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imes\Repos\AttachmentStabilityMetaAnalysis_Opie2019\Data\"/>
    </mc:Choice>
  </mc:AlternateContent>
  <xr:revisionPtr revIDLastSave="0" documentId="13_ncr:1_{BA1DEECF-65CC-4473-BBD4-FF382432101E}" xr6:coauthVersionLast="45" xr6:coauthVersionMax="45" xr10:uidLastSave="{00000000-0000-0000-0000-000000000000}"/>
  <bookViews>
    <workbookView xWindow="-96" yWindow="-96" windowWidth="23232" windowHeight="12552" firstSheet="4" activeTab="16" xr2:uid="{00000000-000D-0000-FFFF-FFFF00000000}"/>
  </bookViews>
  <sheets>
    <sheet name="Raw" sheetId="1" r:id="rId1"/>
    <sheet name="Processed" sheetId="2" r:id="rId2"/>
    <sheet name="Processed - Stability" sheetId="3" r:id="rId3"/>
    <sheet name="Interval Definitions" sheetId="4" r:id="rId4"/>
    <sheet name="Sense checking" sheetId="5" r:id="rId5"/>
    <sheet name="2-way r" sheetId="6" r:id="rId6"/>
    <sheet name="2-way k" sheetId="7" r:id="rId7"/>
    <sheet name="3-way" sheetId="8" r:id="rId8"/>
    <sheet name="4-way" sheetId="9" r:id="rId9"/>
    <sheet name="4-way Chapter 2" sheetId="10" r:id="rId10"/>
    <sheet name="IsD r" sheetId="11" r:id="rId11"/>
    <sheet name="IsD k" sheetId="12" r:id="rId12"/>
    <sheet name="AA r" sheetId="13" r:id="rId13"/>
    <sheet name="AA k" sheetId="14" r:id="rId14"/>
    <sheet name="CC r" sheetId="15" r:id="rId15"/>
    <sheet name="CC k" sheetId="16" r:id="rId16"/>
    <sheet name="BB r" sheetId="17" r:id="rId17"/>
    <sheet name="BB k" sheetId="18" r:id="rId18"/>
    <sheet name="Description of Samples"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07" i="19" l="1"/>
  <c r="AG107" i="19"/>
  <c r="AF107" i="19"/>
  <c r="AE107" i="19"/>
  <c r="AD107" i="19"/>
  <c r="AC107" i="19"/>
  <c r="AB107" i="19"/>
  <c r="AA107" i="19"/>
  <c r="Z107" i="19"/>
  <c r="Y107" i="19"/>
  <c r="X107" i="19"/>
  <c r="W107" i="19"/>
  <c r="V107" i="19"/>
  <c r="O107" i="19"/>
  <c r="N107" i="19"/>
  <c r="L107" i="19"/>
  <c r="J107" i="19"/>
  <c r="I107" i="19"/>
  <c r="H107" i="19"/>
  <c r="G107" i="19"/>
  <c r="F107" i="19"/>
  <c r="E107" i="19"/>
  <c r="C107" i="19"/>
  <c r="B107" i="19"/>
  <c r="AH106" i="19"/>
  <c r="AG106" i="19"/>
  <c r="AF106" i="19"/>
  <c r="AE106" i="19"/>
  <c r="AD106" i="19"/>
  <c r="AC106" i="19"/>
  <c r="AB106" i="19"/>
  <c r="AA106" i="19"/>
  <c r="Z106" i="19"/>
  <c r="Y106" i="19"/>
  <c r="X106" i="19"/>
  <c r="W106" i="19"/>
  <c r="V106" i="19"/>
  <c r="O106" i="19"/>
  <c r="N106" i="19"/>
  <c r="M106" i="19"/>
  <c r="L106" i="19"/>
  <c r="J106" i="19"/>
  <c r="I106" i="19"/>
  <c r="H106" i="19"/>
  <c r="G106" i="19"/>
  <c r="F106" i="19"/>
  <c r="E106" i="19"/>
  <c r="C106" i="19"/>
  <c r="B106" i="19"/>
  <c r="AH105" i="19"/>
  <c r="AG105" i="19"/>
  <c r="AF105" i="19"/>
  <c r="AE105" i="19"/>
  <c r="AD105" i="19"/>
  <c r="AC105" i="19"/>
  <c r="AB105" i="19"/>
  <c r="AA105" i="19"/>
  <c r="Z105" i="19"/>
  <c r="Y105" i="19"/>
  <c r="X105" i="19"/>
  <c r="W105" i="19"/>
  <c r="V105" i="19"/>
  <c r="O105" i="19"/>
  <c r="N105" i="19"/>
  <c r="L105" i="19"/>
  <c r="J105" i="19"/>
  <c r="I105" i="19"/>
  <c r="H105" i="19"/>
  <c r="G105" i="19"/>
  <c r="F105" i="19"/>
  <c r="E105" i="19"/>
  <c r="C105" i="19"/>
  <c r="B105" i="19"/>
  <c r="AH104" i="19"/>
  <c r="AG104" i="19"/>
  <c r="AF104" i="19"/>
  <c r="AE104" i="19"/>
  <c r="AD104" i="19"/>
  <c r="AC104" i="19"/>
  <c r="AB104" i="19"/>
  <c r="AA104" i="19"/>
  <c r="Z104" i="19"/>
  <c r="Y104" i="19"/>
  <c r="X104" i="19"/>
  <c r="W104" i="19"/>
  <c r="V104" i="19"/>
  <c r="O104" i="19"/>
  <c r="N104" i="19"/>
  <c r="L104" i="19"/>
  <c r="J104" i="19"/>
  <c r="I104" i="19"/>
  <c r="H104" i="19"/>
  <c r="G104" i="19"/>
  <c r="F104" i="19"/>
  <c r="E104" i="19"/>
  <c r="C104" i="19"/>
  <c r="B104" i="19"/>
  <c r="AH103" i="19"/>
  <c r="AG103" i="19"/>
  <c r="AF103" i="19"/>
  <c r="AE103" i="19"/>
  <c r="AD103" i="19"/>
  <c r="AC103" i="19"/>
  <c r="AB103" i="19"/>
  <c r="AA103" i="19"/>
  <c r="Z103" i="19"/>
  <c r="Y103" i="19"/>
  <c r="X103" i="19"/>
  <c r="W103" i="19"/>
  <c r="V103" i="19"/>
  <c r="O103" i="19"/>
  <c r="N103" i="19"/>
  <c r="L103" i="19"/>
  <c r="J103" i="19"/>
  <c r="I103" i="19"/>
  <c r="H103" i="19"/>
  <c r="G103" i="19"/>
  <c r="F103" i="19"/>
  <c r="E103" i="19"/>
  <c r="C103" i="19"/>
  <c r="B103" i="19"/>
  <c r="AH102" i="19"/>
  <c r="AG102" i="19"/>
  <c r="AF102" i="19"/>
  <c r="AE102" i="19"/>
  <c r="AD102" i="19"/>
  <c r="AC102" i="19"/>
  <c r="AB102" i="19"/>
  <c r="AA102" i="19"/>
  <c r="Z102" i="19"/>
  <c r="Y102" i="19"/>
  <c r="X102" i="19"/>
  <c r="W102" i="19"/>
  <c r="V102" i="19"/>
  <c r="O102" i="19"/>
  <c r="N102" i="19"/>
  <c r="L102" i="19"/>
  <c r="J102" i="19"/>
  <c r="I102" i="19"/>
  <c r="H102" i="19"/>
  <c r="G102" i="19"/>
  <c r="F102" i="19"/>
  <c r="E102" i="19"/>
  <c r="C102" i="19"/>
  <c r="B102" i="19"/>
  <c r="AH101" i="19"/>
  <c r="AG101" i="19"/>
  <c r="AF101" i="19"/>
  <c r="AE101" i="19"/>
  <c r="AD101" i="19"/>
  <c r="AC101" i="19"/>
  <c r="AB101" i="19"/>
  <c r="AA101" i="19"/>
  <c r="Z101" i="19"/>
  <c r="Y101" i="19"/>
  <c r="X101" i="19"/>
  <c r="W101" i="19"/>
  <c r="V101" i="19"/>
  <c r="O101" i="19"/>
  <c r="N101" i="19"/>
  <c r="L101" i="19"/>
  <c r="J101" i="19"/>
  <c r="I101" i="19"/>
  <c r="H101" i="19"/>
  <c r="G101" i="19"/>
  <c r="F101" i="19"/>
  <c r="E101" i="19"/>
  <c r="C101" i="19"/>
  <c r="B101" i="19"/>
  <c r="AH100" i="19"/>
  <c r="AG100" i="19"/>
  <c r="AF100" i="19"/>
  <c r="AE100" i="19"/>
  <c r="AD100" i="19"/>
  <c r="AC100" i="19"/>
  <c r="AB100" i="19"/>
  <c r="AA100" i="19"/>
  <c r="Z100" i="19"/>
  <c r="Y100" i="19"/>
  <c r="X100" i="19"/>
  <c r="W100" i="19"/>
  <c r="V100" i="19"/>
  <c r="O100" i="19"/>
  <c r="N100" i="19"/>
  <c r="L100" i="19"/>
  <c r="J100" i="19"/>
  <c r="I100" i="19"/>
  <c r="H100" i="19"/>
  <c r="G100" i="19"/>
  <c r="F100" i="19"/>
  <c r="E100" i="19"/>
  <c r="C100" i="19"/>
  <c r="B100" i="19"/>
  <c r="AH99" i="19"/>
  <c r="AG99" i="19"/>
  <c r="AF99" i="19"/>
  <c r="AE99" i="19"/>
  <c r="AD99" i="19"/>
  <c r="AC99" i="19"/>
  <c r="AB99" i="19"/>
  <c r="AA99" i="19"/>
  <c r="Z99" i="19"/>
  <c r="Y99" i="19"/>
  <c r="X99" i="19"/>
  <c r="W99" i="19"/>
  <c r="V99" i="19"/>
  <c r="O99" i="19"/>
  <c r="N99" i="19"/>
  <c r="L99" i="19"/>
  <c r="J99" i="19"/>
  <c r="I99" i="19"/>
  <c r="H99" i="19"/>
  <c r="G99" i="19"/>
  <c r="F99" i="19"/>
  <c r="E99" i="19"/>
  <c r="C99" i="19"/>
  <c r="B99" i="19"/>
  <c r="AH98" i="19"/>
  <c r="AG98" i="19"/>
  <c r="AF98" i="19"/>
  <c r="AE98" i="19"/>
  <c r="AD98" i="19"/>
  <c r="AC98" i="19"/>
  <c r="AB98" i="19"/>
  <c r="AA98" i="19"/>
  <c r="Z98" i="19"/>
  <c r="Y98" i="19"/>
  <c r="X98" i="19"/>
  <c r="W98" i="19"/>
  <c r="V98" i="19"/>
  <c r="O98" i="19"/>
  <c r="N98" i="19"/>
  <c r="L98" i="19"/>
  <c r="J98" i="19"/>
  <c r="I98" i="19"/>
  <c r="H98" i="19"/>
  <c r="G98" i="19"/>
  <c r="F98" i="19"/>
  <c r="E98" i="19"/>
  <c r="C98" i="19"/>
  <c r="B98" i="19"/>
  <c r="AH97" i="19"/>
  <c r="AG97" i="19"/>
  <c r="AF97" i="19"/>
  <c r="AE97" i="19"/>
  <c r="AD97" i="19"/>
  <c r="AC97" i="19"/>
  <c r="AB97" i="19"/>
  <c r="AA97" i="19"/>
  <c r="Z97" i="19"/>
  <c r="Y97" i="19"/>
  <c r="X97" i="19"/>
  <c r="W97" i="19"/>
  <c r="V97" i="19"/>
  <c r="O97" i="19"/>
  <c r="N97" i="19"/>
  <c r="L97" i="19"/>
  <c r="J97" i="19"/>
  <c r="I97" i="19"/>
  <c r="H97" i="19"/>
  <c r="G97" i="19"/>
  <c r="F97" i="19"/>
  <c r="E97" i="19"/>
  <c r="C97" i="19"/>
  <c r="B97" i="19"/>
  <c r="AH96" i="19"/>
  <c r="AG96" i="19"/>
  <c r="AF96" i="19"/>
  <c r="AE96" i="19"/>
  <c r="AD96" i="19"/>
  <c r="AC96" i="19"/>
  <c r="AB96" i="19"/>
  <c r="AA96" i="19"/>
  <c r="Z96" i="19"/>
  <c r="Y96" i="19"/>
  <c r="X96" i="19"/>
  <c r="W96" i="19"/>
  <c r="V96" i="19"/>
  <c r="O96" i="19"/>
  <c r="N96" i="19"/>
  <c r="L96" i="19"/>
  <c r="J96" i="19"/>
  <c r="I96" i="19"/>
  <c r="H96" i="19"/>
  <c r="G96" i="19"/>
  <c r="F96" i="19"/>
  <c r="E96" i="19"/>
  <c r="C96" i="19"/>
  <c r="B96" i="19"/>
  <c r="AH95" i="19"/>
  <c r="AG95" i="19"/>
  <c r="AF95" i="19"/>
  <c r="AE95" i="19"/>
  <c r="AD95" i="19"/>
  <c r="AC95" i="19"/>
  <c r="AB95" i="19"/>
  <c r="AA95" i="19"/>
  <c r="Z95" i="19"/>
  <c r="Y95" i="19"/>
  <c r="X95" i="19"/>
  <c r="W95" i="19"/>
  <c r="V95" i="19"/>
  <c r="O95" i="19"/>
  <c r="N95" i="19"/>
  <c r="L95" i="19"/>
  <c r="J95" i="19"/>
  <c r="I95" i="19"/>
  <c r="H95" i="19"/>
  <c r="G95" i="19"/>
  <c r="F95" i="19"/>
  <c r="E95" i="19"/>
  <c r="C95" i="19"/>
  <c r="B95" i="19"/>
  <c r="AH94" i="19"/>
  <c r="AG94" i="19"/>
  <c r="AF94" i="19"/>
  <c r="AE94" i="19"/>
  <c r="AD94" i="19"/>
  <c r="AC94" i="19"/>
  <c r="AB94" i="19"/>
  <c r="AA94" i="19"/>
  <c r="Z94" i="19"/>
  <c r="Y94" i="19"/>
  <c r="X94" i="19"/>
  <c r="W94" i="19"/>
  <c r="V94" i="19"/>
  <c r="O94" i="19"/>
  <c r="N94" i="19"/>
  <c r="L94" i="19"/>
  <c r="J94" i="19"/>
  <c r="I94" i="19"/>
  <c r="H94" i="19"/>
  <c r="G94" i="19"/>
  <c r="F94" i="19"/>
  <c r="E94" i="19"/>
  <c r="C94" i="19"/>
  <c r="B94" i="19"/>
  <c r="AH93" i="19"/>
  <c r="AG93" i="19"/>
  <c r="AF93" i="19"/>
  <c r="AE93" i="19"/>
  <c r="AD93" i="19"/>
  <c r="AC93" i="19"/>
  <c r="AB93" i="19"/>
  <c r="AA93" i="19"/>
  <c r="Z93" i="19"/>
  <c r="Y93" i="19"/>
  <c r="X93" i="19"/>
  <c r="W93" i="19"/>
  <c r="V93" i="19"/>
  <c r="O93" i="19"/>
  <c r="N93" i="19"/>
  <c r="L93" i="19"/>
  <c r="J93" i="19"/>
  <c r="I93" i="19"/>
  <c r="H93" i="19"/>
  <c r="G93" i="19"/>
  <c r="F93" i="19"/>
  <c r="E93" i="19"/>
  <c r="C93" i="19"/>
  <c r="B93" i="19"/>
  <c r="AH92" i="19"/>
  <c r="AG92" i="19"/>
  <c r="AF92" i="19"/>
  <c r="AE92" i="19"/>
  <c r="AD92" i="19"/>
  <c r="AC92" i="19"/>
  <c r="AB92" i="19"/>
  <c r="AA92" i="19"/>
  <c r="Z92" i="19"/>
  <c r="Y92" i="19"/>
  <c r="X92" i="19"/>
  <c r="W92" i="19"/>
  <c r="V92" i="19"/>
  <c r="O92" i="19"/>
  <c r="N92" i="19"/>
  <c r="L92" i="19"/>
  <c r="J92" i="19"/>
  <c r="I92" i="19"/>
  <c r="H92" i="19"/>
  <c r="G92" i="19"/>
  <c r="F92" i="19"/>
  <c r="E92" i="19"/>
  <c r="C92" i="19"/>
  <c r="B92" i="19"/>
  <c r="AH91" i="19"/>
  <c r="AG91" i="19"/>
  <c r="AF91" i="19"/>
  <c r="AE91" i="19"/>
  <c r="AD91" i="19"/>
  <c r="AC91" i="19"/>
  <c r="AB91" i="19"/>
  <c r="AA91" i="19"/>
  <c r="Z91" i="19"/>
  <c r="Y91" i="19"/>
  <c r="X91" i="19"/>
  <c r="W91" i="19"/>
  <c r="V91" i="19"/>
  <c r="O91" i="19"/>
  <c r="N91" i="19"/>
  <c r="L91" i="19"/>
  <c r="J91" i="19"/>
  <c r="I91" i="19"/>
  <c r="H91" i="19"/>
  <c r="G91" i="19"/>
  <c r="F91" i="19"/>
  <c r="E91" i="19"/>
  <c r="C91" i="19"/>
  <c r="B91" i="19"/>
  <c r="AH90" i="19"/>
  <c r="AG90" i="19"/>
  <c r="AF90" i="19"/>
  <c r="AE90" i="19"/>
  <c r="AD90" i="19"/>
  <c r="AC90" i="19"/>
  <c r="AB90" i="19"/>
  <c r="AA90" i="19"/>
  <c r="Z90" i="19"/>
  <c r="Y90" i="19"/>
  <c r="X90" i="19"/>
  <c r="W90" i="19"/>
  <c r="V90" i="19"/>
  <c r="O90" i="19"/>
  <c r="N90" i="19"/>
  <c r="L90" i="19"/>
  <c r="J90" i="19"/>
  <c r="I90" i="19"/>
  <c r="H90" i="19"/>
  <c r="G90" i="19"/>
  <c r="F90" i="19"/>
  <c r="E90" i="19"/>
  <c r="C90" i="19"/>
  <c r="B90" i="19"/>
  <c r="AH89" i="19"/>
  <c r="AG89" i="19"/>
  <c r="AF89" i="19"/>
  <c r="AE89" i="19"/>
  <c r="AD89" i="19"/>
  <c r="AC89" i="19"/>
  <c r="AB89" i="19"/>
  <c r="AA89" i="19"/>
  <c r="Z89" i="19"/>
  <c r="Y89" i="19"/>
  <c r="X89" i="19"/>
  <c r="W89" i="19"/>
  <c r="V89" i="19"/>
  <c r="O89" i="19"/>
  <c r="N89" i="19"/>
  <c r="L89" i="19"/>
  <c r="J89" i="19"/>
  <c r="I89" i="19"/>
  <c r="H89" i="19"/>
  <c r="G89" i="19"/>
  <c r="F89" i="19"/>
  <c r="E89" i="19"/>
  <c r="C89" i="19"/>
  <c r="B89" i="19"/>
  <c r="AH88" i="19"/>
  <c r="AG88" i="19"/>
  <c r="AF88" i="19"/>
  <c r="AE88" i="19"/>
  <c r="AD88" i="19"/>
  <c r="AC88" i="19"/>
  <c r="AB88" i="19"/>
  <c r="AA88" i="19"/>
  <c r="Z88" i="19"/>
  <c r="Y88" i="19"/>
  <c r="X88" i="19"/>
  <c r="W88" i="19"/>
  <c r="V88" i="19"/>
  <c r="O88" i="19"/>
  <c r="N88" i="19"/>
  <c r="L88" i="19"/>
  <c r="J88" i="19"/>
  <c r="I88" i="19"/>
  <c r="H88" i="19"/>
  <c r="G88" i="19"/>
  <c r="F88" i="19"/>
  <c r="E88" i="19"/>
  <c r="C88" i="19"/>
  <c r="B88" i="19"/>
  <c r="AH87" i="19"/>
  <c r="AG87" i="19"/>
  <c r="AF87" i="19"/>
  <c r="AE87" i="19"/>
  <c r="AD87" i="19"/>
  <c r="AC87" i="19"/>
  <c r="AB87" i="19"/>
  <c r="AA87" i="19"/>
  <c r="Z87" i="19"/>
  <c r="Y87" i="19"/>
  <c r="X87" i="19"/>
  <c r="W87" i="19"/>
  <c r="V87" i="19"/>
  <c r="O87" i="19"/>
  <c r="N87" i="19"/>
  <c r="L87" i="19"/>
  <c r="J87" i="19"/>
  <c r="I87" i="19"/>
  <c r="H87" i="19"/>
  <c r="G87" i="19"/>
  <c r="F87" i="19"/>
  <c r="E87" i="19"/>
  <c r="C87" i="19"/>
  <c r="B87" i="19"/>
  <c r="AH86" i="19"/>
  <c r="AG86" i="19"/>
  <c r="AF86" i="19"/>
  <c r="AE86" i="19"/>
  <c r="AD86" i="19"/>
  <c r="AC86" i="19"/>
  <c r="AB86" i="19"/>
  <c r="AA86" i="19"/>
  <c r="Z86" i="19"/>
  <c r="Y86" i="19"/>
  <c r="X86" i="19"/>
  <c r="W86" i="19"/>
  <c r="V86" i="19"/>
  <c r="O86" i="19"/>
  <c r="N86" i="19"/>
  <c r="L86" i="19"/>
  <c r="J86" i="19"/>
  <c r="I86" i="19"/>
  <c r="H86" i="19"/>
  <c r="G86" i="19"/>
  <c r="F86" i="19"/>
  <c r="E86" i="19"/>
  <c r="C86" i="19"/>
  <c r="B86" i="19"/>
  <c r="AH85" i="19"/>
  <c r="AG85" i="19"/>
  <c r="AF85" i="19"/>
  <c r="AE85" i="19"/>
  <c r="AD85" i="19"/>
  <c r="AC85" i="19"/>
  <c r="AB85" i="19"/>
  <c r="AA85" i="19"/>
  <c r="Z85" i="19"/>
  <c r="Y85" i="19"/>
  <c r="X85" i="19"/>
  <c r="W85" i="19"/>
  <c r="V85" i="19"/>
  <c r="O85" i="19"/>
  <c r="N85" i="19"/>
  <c r="L85" i="19"/>
  <c r="J85" i="19"/>
  <c r="I85" i="19"/>
  <c r="H85" i="19"/>
  <c r="G85" i="19"/>
  <c r="F85" i="19"/>
  <c r="E85" i="19"/>
  <c r="C85" i="19"/>
  <c r="B85" i="19"/>
  <c r="AH84" i="19"/>
  <c r="AG84" i="19"/>
  <c r="AF84" i="19"/>
  <c r="AE84" i="19"/>
  <c r="AD84" i="19"/>
  <c r="AC84" i="19"/>
  <c r="AB84" i="19"/>
  <c r="AA84" i="19"/>
  <c r="Z84" i="19"/>
  <c r="Y84" i="19"/>
  <c r="X84" i="19"/>
  <c r="W84" i="19"/>
  <c r="V84" i="19"/>
  <c r="O84" i="19"/>
  <c r="N84" i="19"/>
  <c r="L84" i="19"/>
  <c r="J84" i="19"/>
  <c r="I84" i="19"/>
  <c r="H84" i="19"/>
  <c r="G84" i="19"/>
  <c r="F84" i="19"/>
  <c r="E84" i="19"/>
  <c r="C84" i="19"/>
  <c r="B84" i="19"/>
  <c r="AH83" i="19"/>
  <c r="AG83" i="19"/>
  <c r="AF83" i="19"/>
  <c r="AE83" i="19"/>
  <c r="AD83" i="19"/>
  <c r="AC83" i="19"/>
  <c r="AB83" i="19"/>
  <c r="AA83" i="19"/>
  <c r="Z83" i="19"/>
  <c r="Y83" i="19"/>
  <c r="X83" i="19"/>
  <c r="W83" i="19"/>
  <c r="V83" i="19"/>
  <c r="O83" i="19"/>
  <c r="N83" i="19"/>
  <c r="L83" i="19"/>
  <c r="J83" i="19"/>
  <c r="I83" i="19"/>
  <c r="H83" i="19"/>
  <c r="G83" i="19"/>
  <c r="F83" i="19"/>
  <c r="E83" i="19"/>
  <c r="C83" i="19"/>
  <c r="B83" i="19"/>
  <c r="AH82" i="19"/>
  <c r="AG82" i="19"/>
  <c r="AF82" i="19"/>
  <c r="AE82" i="19"/>
  <c r="AD82" i="19"/>
  <c r="AC82" i="19"/>
  <c r="AB82" i="19"/>
  <c r="AA82" i="19"/>
  <c r="Z82" i="19"/>
  <c r="Y82" i="19"/>
  <c r="X82" i="19"/>
  <c r="W82" i="19"/>
  <c r="V82" i="19"/>
  <c r="O82" i="19"/>
  <c r="N82" i="19"/>
  <c r="L82" i="19"/>
  <c r="J82" i="19"/>
  <c r="I82" i="19"/>
  <c r="H82" i="19"/>
  <c r="G82" i="19"/>
  <c r="F82" i="19"/>
  <c r="E82" i="19"/>
  <c r="C82" i="19"/>
  <c r="B82" i="19"/>
  <c r="AH81" i="19"/>
  <c r="AG81" i="19"/>
  <c r="AF81" i="19"/>
  <c r="AE81" i="19"/>
  <c r="AD81" i="19"/>
  <c r="AC81" i="19"/>
  <c r="AB81" i="19"/>
  <c r="AA81" i="19"/>
  <c r="Z81" i="19"/>
  <c r="Y81" i="19"/>
  <c r="X81" i="19"/>
  <c r="W81" i="19"/>
  <c r="V81" i="19"/>
  <c r="O81" i="19"/>
  <c r="N81" i="19"/>
  <c r="L81" i="19"/>
  <c r="J81" i="19"/>
  <c r="I81" i="19"/>
  <c r="H81" i="19"/>
  <c r="G81" i="19"/>
  <c r="F81" i="19"/>
  <c r="E81" i="19"/>
  <c r="C81" i="19"/>
  <c r="B81" i="19"/>
  <c r="AH80" i="19"/>
  <c r="AG80" i="19"/>
  <c r="AF80" i="19"/>
  <c r="AE80" i="19"/>
  <c r="AD80" i="19"/>
  <c r="AC80" i="19"/>
  <c r="AB80" i="19"/>
  <c r="AA80" i="19"/>
  <c r="Z80" i="19"/>
  <c r="Y80" i="19"/>
  <c r="X80" i="19"/>
  <c r="W80" i="19"/>
  <c r="V80" i="19"/>
  <c r="O80" i="19"/>
  <c r="N80" i="19"/>
  <c r="L80" i="19"/>
  <c r="J80" i="19"/>
  <c r="I80" i="19"/>
  <c r="H80" i="19"/>
  <c r="G80" i="19"/>
  <c r="F80" i="19"/>
  <c r="E80" i="19"/>
  <c r="C80" i="19"/>
  <c r="B80" i="19"/>
  <c r="AH79" i="19"/>
  <c r="AG79" i="19"/>
  <c r="AF79" i="19"/>
  <c r="AE79" i="19"/>
  <c r="AD79" i="19"/>
  <c r="AC79" i="19"/>
  <c r="AB79" i="19"/>
  <c r="AA79" i="19"/>
  <c r="Z79" i="19"/>
  <c r="Y79" i="19"/>
  <c r="X79" i="19"/>
  <c r="W79" i="19"/>
  <c r="V79" i="19"/>
  <c r="O79" i="19"/>
  <c r="N79" i="19"/>
  <c r="L79" i="19"/>
  <c r="J79" i="19"/>
  <c r="I79" i="19"/>
  <c r="H79" i="19"/>
  <c r="G79" i="19"/>
  <c r="F79" i="19"/>
  <c r="E79" i="19"/>
  <c r="C79" i="19"/>
  <c r="B79" i="19"/>
  <c r="AH78" i="19"/>
  <c r="AG78" i="19"/>
  <c r="AF78" i="19"/>
  <c r="AE78" i="19"/>
  <c r="AD78" i="19"/>
  <c r="AC78" i="19"/>
  <c r="AB78" i="19"/>
  <c r="AA78" i="19"/>
  <c r="Z78" i="19"/>
  <c r="Y78" i="19"/>
  <c r="X78" i="19"/>
  <c r="W78" i="19"/>
  <c r="V78" i="19"/>
  <c r="O78" i="19"/>
  <c r="N78" i="19"/>
  <c r="L78" i="19"/>
  <c r="J78" i="19"/>
  <c r="I78" i="19"/>
  <c r="H78" i="19"/>
  <c r="G78" i="19"/>
  <c r="F78" i="19"/>
  <c r="E78" i="19"/>
  <c r="C78" i="19"/>
  <c r="B78" i="19"/>
  <c r="AH77" i="19"/>
  <c r="AG77" i="19"/>
  <c r="AF77" i="19"/>
  <c r="AE77" i="19"/>
  <c r="AD77" i="19"/>
  <c r="AC77" i="19"/>
  <c r="AB77" i="19"/>
  <c r="AA77" i="19"/>
  <c r="Z77" i="19"/>
  <c r="Y77" i="19"/>
  <c r="X77" i="19"/>
  <c r="W77" i="19"/>
  <c r="V77" i="19"/>
  <c r="O77" i="19"/>
  <c r="N77" i="19"/>
  <c r="L77" i="19"/>
  <c r="J77" i="19"/>
  <c r="I77" i="19"/>
  <c r="H77" i="19"/>
  <c r="G77" i="19"/>
  <c r="F77" i="19"/>
  <c r="E77" i="19"/>
  <c r="C77" i="19"/>
  <c r="B77" i="19"/>
  <c r="AH76" i="19"/>
  <c r="AG76" i="19"/>
  <c r="AF76" i="19"/>
  <c r="AE76" i="19"/>
  <c r="AD76" i="19"/>
  <c r="AC76" i="19"/>
  <c r="AB76" i="19"/>
  <c r="AA76" i="19"/>
  <c r="Z76" i="19"/>
  <c r="Y76" i="19"/>
  <c r="X76" i="19"/>
  <c r="W76" i="19"/>
  <c r="V76" i="19"/>
  <c r="O76" i="19"/>
  <c r="N76" i="19"/>
  <c r="L76" i="19"/>
  <c r="J76" i="19"/>
  <c r="I76" i="19"/>
  <c r="H76" i="19"/>
  <c r="G76" i="19"/>
  <c r="F76" i="19"/>
  <c r="E76" i="19"/>
  <c r="C76" i="19"/>
  <c r="B76" i="19"/>
  <c r="AH75" i="19"/>
  <c r="AG75" i="19"/>
  <c r="AF75" i="19"/>
  <c r="AE75" i="19"/>
  <c r="AD75" i="19"/>
  <c r="AC75" i="19"/>
  <c r="AB75" i="19"/>
  <c r="AA75" i="19"/>
  <c r="Z75" i="19"/>
  <c r="Y75" i="19"/>
  <c r="X75" i="19"/>
  <c r="W75" i="19"/>
  <c r="V75" i="19"/>
  <c r="O75" i="19"/>
  <c r="N75" i="19"/>
  <c r="L75" i="19"/>
  <c r="J75" i="19"/>
  <c r="I75" i="19"/>
  <c r="H75" i="19"/>
  <c r="G75" i="19"/>
  <c r="F75" i="19"/>
  <c r="E75" i="19"/>
  <c r="C75" i="19"/>
  <c r="B75" i="19"/>
  <c r="AH74" i="19"/>
  <c r="AG74" i="19"/>
  <c r="AF74" i="19"/>
  <c r="AE74" i="19"/>
  <c r="AD74" i="19"/>
  <c r="AC74" i="19"/>
  <c r="AB74" i="19"/>
  <c r="AA74" i="19"/>
  <c r="Z74" i="19"/>
  <c r="Y74" i="19"/>
  <c r="X74" i="19"/>
  <c r="W74" i="19"/>
  <c r="V74" i="19"/>
  <c r="O74" i="19"/>
  <c r="N74" i="19"/>
  <c r="L74" i="19"/>
  <c r="J74" i="19"/>
  <c r="I74" i="19"/>
  <c r="H74" i="19"/>
  <c r="G74" i="19"/>
  <c r="F74" i="19"/>
  <c r="E74" i="19"/>
  <c r="C74" i="19"/>
  <c r="B74" i="19"/>
  <c r="AH73" i="19"/>
  <c r="AG73" i="19"/>
  <c r="AF73" i="19"/>
  <c r="AE73" i="19"/>
  <c r="AD73" i="19"/>
  <c r="AC73" i="19"/>
  <c r="AB73" i="19"/>
  <c r="AA73" i="19"/>
  <c r="Z73" i="19"/>
  <c r="Y73" i="19"/>
  <c r="X73" i="19"/>
  <c r="W73" i="19"/>
  <c r="V73" i="19"/>
  <c r="O73" i="19"/>
  <c r="N73" i="19"/>
  <c r="L73" i="19"/>
  <c r="J73" i="19"/>
  <c r="I73" i="19"/>
  <c r="H73" i="19"/>
  <c r="G73" i="19"/>
  <c r="F73" i="19"/>
  <c r="E73" i="19"/>
  <c r="C73" i="19"/>
  <c r="B73" i="19"/>
  <c r="AH72" i="19"/>
  <c r="AG72" i="19"/>
  <c r="AF72" i="19"/>
  <c r="AE72" i="19"/>
  <c r="AD72" i="19"/>
  <c r="AC72" i="19"/>
  <c r="AB72" i="19"/>
  <c r="AA72" i="19"/>
  <c r="Z72" i="19"/>
  <c r="Y72" i="19"/>
  <c r="X72" i="19"/>
  <c r="W72" i="19"/>
  <c r="V72" i="19"/>
  <c r="O72" i="19"/>
  <c r="N72" i="19"/>
  <c r="L72" i="19"/>
  <c r="J72" i="19"/>
  <c r="I72" i="19"/>
  <c r="H72" i="19"/>
  <c r="G72" i="19"/>
  <c r="F72" i="19"/>
  <c r="E72" i="19"/>
  <c r="C72" i="19"/>
  <c r="B72" i="19"/>
  <c r="AH71" i="19"/>
  <c r="AG71" i="19"/>
  <c r="AF71" i="19"/>
  <c r="AE71" i="19"/>
  <c r="AD71" i="19"/>
  <c r="AC71" i="19"/>
  <c r="AB71" i="19"/>
  <c r="AA71" i="19"/>
  <c r="Z71" i="19"/>
  <c r="Y71" i="19"/>
  <c r="X71" i="19"/>
  <c r="W71" i="19"/>
  <c r="V71" i="19"/>
  <c r="O71" i="19"/>
  <c r="N71" i="19"/>
  <c r="L71" i="19"/>
  <c r="J71" i="19"/>
  <c r="I71" i="19"/>
  <c r="H71" i="19"/>
  <c r="G71" i="19"/>
  <c r="F71" i="19"/>
  <c r="E71" i="19"/>
  <c r="C71" i="19"/>
  <c r="B71" i="19"/>
  <c r="AH70" i="19"/>
  <c r="AG70" i="19"/>
  <c r="AF70" i="19"/>
  <c r="AE70" i="19"/>
  <c r="AD70" i="19"/>
  <c r="AC70" i="19"/>
  <c r="AB70" i="19"/>
  <c r="AA70" i="19"/>
  <c r="Z70" i="19"/>
  <c r="Y70" i="19"/>
  <c r="X70" i="19"/>
  <c r="W70" i="19"/>
  <c r="V70" i="19"/>
  <c r="O70" i="19"/>
  <c r="N70" i="19"/>
  <c r="L70" i="19"/>
  <c r="J70" i="19"/>
  <c r="I70" i="19"/>
  <c r="H70" i="19"/>
  <c r="G70" i="19"/>
  <c r="F70" i="19"/>
  <c r="E70" i="19"/>
  <c r="C70" i="19"/>
  <c r="B70" i="19"/>
  <c r="AH69" i="19"/>
  <c r="AG69" i="19"/>
  <c r="AF69" i="19"/>
  <c r="AE69" i="19"/>
  <c r="AD69" i="19"/>
  <c r="AC69" i="19"/>
  <c r="AB69" i="19"/>
  <c r="AA69" i="19"/>
  <c r="Z69" i="19"/>
  <c r="Y69" i="19"/>
  <c r="X69" i="19"/>
  <c r="W69" i="19"/>
  <c r="V69" i="19"/>
  <c r="O69" i="19"/>
  <c r="N69" i="19"/>
  <c r="L69" i="19"/>
  <c r="J69" i="19"/>
  <c r="I69" i="19"/>
  <c r="H69" i="19"/>
  <c r="G69" i="19"/>
  <c r="F69" i="19"/>
  <c r="E69" i="19"/>
  <c r="C69" i="19"/>
  <c r="B69" i="19"/>
  <c r="AH68" i="19"/>
  <c r="AG68" i="19"/>
  <c r="AF68" i="19"/>
  <c r="AE68" i="19"/>
  <c r="AD68" i="19"/>
  <c r="AC68" i="19"/>
  <c r="AB68" i="19"/>
  <c r="AA68" i="19"/>
  <c r="Z68" i="19"/>
  <c r="Y68" i="19"/>
  <c r="X68" i="19"/>
  <c r="W68" i="19"/>
  <c r="V68" i="19"/>
  <c r="O68" i="19"/>
  <c r="N68" i="19"/>
  <c r="L68" i="19"/>
  <c r="J68" i="19"/>
  <c r="I68" i="19"/>
  <c r="H68" i="19"/>
  <c r="G68" i="19"/>
  <c r="F68" i="19"/>
  <c r="E68" i="19"/>
  <c r="C68" i="19"/>
  <c r="B68" i="19"/>
  <c r="AH67" i="19"/>
  <c r="AG67" i="19"/>
  <c r="AF67" i="19"/>
  <c r="AE67" i="19"/>
  <c r="AD67" i="19"/>
  <c r="AC67" i="19"/>
  <c r="AB67" i="19"/>
  <c r="AA67" i="19"/>
  <c r="Z67" i="19"/>
  <c r="Y67" i="19"/>
  <c r="X67" i="19"/>
  <c r="W67" i="19"/>
  <c r="V67" i="19"/>
  <c r="O67" i="19"/>
  <c r="N67" i="19"/>
  <c r="L67" i="19"/>
  <c r="J67" i="19"/>
  <c r="I67" i="19"/>
  <c r="H67" i="19"/>
  <c r="G67" i="19"/>
  <c r="F67" i="19"/>
  <c r="E67" i="19"/>
  <c r="C67" i="19"/>
  <c r="B67" i="19"/>
  <c r="AH66" i="19"/>
  <c r="AG66" i="19"/>
  <c r="AF66" i="19"/>
  <c r="AE66" i="19"/>
  <c r="AD66" i="19"/>
  <c r="AC66" i="19"/>
  <c r="AB66" i="19"/>
  <c r="AA66" i="19"/>
  <c r="Z66" i="19"/>
  <c r="Y66" i="19"/>
  <c r="X66" i="19"/>
  <c r="W66" i="19"/>
  <c r="V66" i="19"/>
  <c r="O66" i="19"/>
  <c r="N66" i="19"/>
  <c r="L66" i="19"/>
  <c r="J66" i="19"/>
  <c r="I66" i="19"/>
  <c r="H66" i="19"/>
  <c r="G66" i="19"/>
  <c r="F66" i="19"/>
  <c r="E66" i="19"/>
  <c r="C66" i="19"/>
  <c r="B66" i="19"/>
  <c r="AH65" i="19"/>
  <c r="AG65" i="19"/>
  <c r="AF65" i="19"/>
  <c r="AE65" i="19"/>
  <c r="AD65" i="19"/>
  <c r="AC65" i="19"/>
  <c r="AB65" i="19"/>
  <c r="AA65" i="19"/>
  <c r="Z65" i="19"/>
  <c r="Y65" i="19"/>
  <c r="X65" i="19"/>
  <c r="W65" i="19"/>
  <c r="V65" i="19"/>
  <c r="O65" i="19"/>
  <c r="N65" i="19"/>
  <c r="L65" i="19"/>
  <c r="J65" i="19"/>
  <c r="I65" i="19"/>
  <c r="H65" i="19"/>
  <c r="G65" i="19"/>
  <c r="F65" i="19"/>
  <c r="E65" i="19"/>
  <c r="C65" i="19"/>
  <c r="B65" i="19"/>
  <c r="AH64" i="19"/>
  <c r="AG64" i="19"/>
  <c r="AF64" i="19"/>
  <c r="AE64" i="19"/>
  <c r="AD64" i="19"/>
  <c r="AC64" i="19"/>
  <c r="AB64" i="19"/>
  <c r="AA64" i="19"/>
  <c r="Z64" i="19"/>
  <c r="Y64" i="19"/>
  <c r="X64" i="19"/>
  <c r="W64" i="19"/>
  <c r="V64" i="19"/>
  <c r="O64" i="19"/>
  <c r="N64" i="19"/>
  <c r="L64" i="19"/>
  <c r="J64" i="19"/>
  <c r="I64" i="19"/>
  <c r="H64" i="19"/>
  <c r="G64" i="19"/>
  <c r="F64" i="19"/>
  <c r="E64" i="19"/>
  <c r="C64" i="19"/>
  <c r="B64" i="19"/>
  <c r="AH63" i="19"/>
  <c r="AG63" i="19"/>
  <c r="AF63" i="19"/>
  <c r="AE63" i="19"/>
  <c r="AD63" i="19"/>
  <c r="AC63" i="19"/>
  <c r="AB63" i="19"/>
  <c r="AA63" i="19"/>
  <c r="Z63" i="19"/>
  <c r="Y63" i="19"/>
  <c r="X63" i="19"/>
  <c r="W63" i="19"/>
  <c r="V63" i="19"/>
  <c r="O63" i="19"/>
  <c r="N63" i="19"/>
  <c r="L63" i="19"/>
  <c r="J63" i="19"/>
  <c r="I63" i="19"/>
  <c r="H63" i="19"/>
  <c r="G63" i="19"/>
  <c r="F63" i="19"/>
  <c r="E63" i="19"/>
  <c r="C63" i="19"/>
  <c r="B63" i="19"/>
  <c r="AH62" i="19"/>
  <c r="AG62" i="19"/>
  <c r="AF62" i="19"/>
  <c r="AE62" i="19"/>
  <c r="AD62" i="19"/>
  <c r="AC62" i="19"/>
  <c r="AB62" i="19"/>
  <c r="AA62" i="19"/>
  <c r="Z62" i="19"/>
  <c r="Y62" i="19"/>
  <c r="X62" i="19"/>
  <c r="W62" i="19"/>
  <c r="V62" i="19"/>
  <c r="O62" i="19"/>
  <c r="N62" i="19"/>
  <c r="L62" i="19"/>
  <c r="J62" i="19"/>
  <c r="I62" i="19"/>
  <c r="H62" i="19"/>
  <c r="G62" i="19"/>
  <c r="F62" i="19"/>
  <c r="E62" i="19"/>
  <c r="C62" i="19"/>
  <c r="B62" i="19"/>
  <c r="AH61" i="19"/>
  <c r="AG61" i="19"/>
  <c r="AF61" i="19"/>
  <c r="AE61" i="19"/>
  <c r="AD61" i="19"/>
  <c r="AC61" i="19"/>
  <c r="AB61" i="19"/>
  <c r="AA61" i="19"/>
  <c r="Z61" i="19"/>
  <c r="Y61" i="19"/>
  <c r="X61" i="19"/>
  <c r="W61" i="19"/>
  <c r="V61" i="19"/>
  <c r="O61" i="19"/>
  <c r="N61" i="19"/>
  <c r="L61" i="19"/>
  <c r="J61" i="19"/>
  <c r="I61" i="19"/>
  <c r="H61" i="19"/>
  <c r="G61" i="19"/>
  <c r="F61" i="19"/>
  <c r="E61" i="19"/>
  <c r="C61" i="19"/>
  <c r="B61" i="19"/>
  <c r="AH60" i="19"/>
  <c r="AG60" i="19"/>
  <c r="AF60" i="19"/>
  <c r="AE60" i="19"/>
  <c r="AD60" i="19"/>
  <c r="AC60" i="19"/>
  <c r="AB60" i="19"/>
  <c r="AA60" i="19"/>
  <c r="Z60" i="19"/>
  <c r="Y60" i="19"/>
  <c r="X60" i="19"/>
  <c r="W60" i="19"/>
  <c r="V60" i="19"/>
  <c r="O60" i="19"/>
  <c r="N60" i="19"/>
  <c r="L60" i="19"/>
  <c r="J60" i="19"/>
  <c r="I60" i="19"/>
  <c r="H60" i="19"/>
  <c r="G60" i="19"/>
  <c r="F60" i="19"/>
  <c r="E60" i="19"/>
  <c r="C60" i="19"/>
  <c r="B60" i="19"/>
  <c r="AH59" i="19"/>
  <c r="AG59" i="19"/>
  <c r="AF59" i="19"/>
  <c r="AE59" i="19"/>
  <c r="AD59" i="19"/>
  <c r="AC59" i="19"/>
  <c r="AB59" i="19"/>
  <c r="AA59" i="19"/>
  <c r="Z59" i="19"/>
  <c r="Y59" i="19"/>
  <c r="X59" i="19"/>
  <c r="W59" i="19"/>
  <c r="V59" i="19"/>
  <c r="O59" i="19"/>
  <c r="N59" i="19"/>
  <c r="L59" i="19"/>
  <c r="J59" i="19"/>
  <c r="I59" i="19"/>
  <c r="H59" i="19"/>
  <c r="G59" i="19"/>
  <c r="F59" i="19"/>
  <c r="E59" i="19"/>
  <c r="C59" i="19"/>
  <c r="B59" i="19"/>
  <c r="AH58" i="19"/>
  <c r="AG58" i="19"/>
  <c r="AF58" i="19"/>
  <c r="AE58" i="19"/>
  <c r="AD58" i="19"/>
  <c r="AC58" i="19"/>
  <c r="AB58" i="19"/>
  <c r="AA58" i="19"/>
  <c r="Z58" i="19"/>
  <c r="Y58" i="19"/>
  <c r="X58" i="19"/>
  <c r="W58" i="19"/>
  <c r="V58" i="19"/>
  <c r="O58" i="19"/>
  <c r="N58" i="19"/>
  <c r="L58" i="19"/>
  <c r="J58" i="19"/>
  <c r="I58" i="19"/>
  <c r="H58" i="19"/>
  <c r="G58" i="19"/>
  <c r="F58" i="19"/>
  <c r="E58" i="19"/>
  <c r="C58" i="19"/>
  <c r="B58" i="19"/>
  <c r="AH57" i="19"/>
  <c r="AG57" i="19"/>
  <c r="AF57" i="19"/>
  <c r="AE57" i="19"/>
  <c r="AD57" i="19"/>
  <c r="AC57" i="19"/>
  <c r="AB57" i="19"/>
  <c r="AA57" i="19"/>
  <c r="Z57" i="19"/>
  <c r="Y57" i="19"/>
  <c r="X57" i="19"/>
  <c r="W57" i="19"/>
  <c r="V57" i="19"/>
  <c r="O57" i="19"/>
  <c r="N57" i="19"/>
  <c r="L57" i="19"/>
  <c r="J57" i="19"/>
  <c r="I57" i="19"/>
  <c r="H57" i="19"/>
  <c r="G57" i="19"/>
  <c r="F57" i="19"/>
  <c r="E57" i="19"/>
  <c r="C57" i="19"/>
  <c r="B57" i="19"/>
  <c r="AH56" i="19"/>
  <c r="AG56" i="19"/>
  <c r="AF56" i="19"/>
  <c r="AE56" i="19"/>
  <c r="AD56" i="19"/>
  <c r="AC56" i="19"/>
  <c r="AB56" i="19"/>
  <c r="AA56" i="19"/>
  <c r="Z56" i="19"/>
  <c r="Y56" i="19"/>
  <c r="X56" i="19"/>
  <c r="W56" i="19"/>
  <c r="V56" i="19"/>
  <c r="O56" i="19"/>
  <c r="N56" i="19"/>
  <c r="L56" i="19"/>
  <c r="J56" i="19"/>
  <c r="I56" i="19"/>
  <c r="H56" i="19"/>
  <c r="G56" i="19"/>
  <c r="F56" i="19"/>
  <c r="E56" i="19"/>
  <c r="C56" i="19"/>
  <c r="B56" i="19"/>
  <c r="AH55" i="19"/>
  <c r="AG55" i="19"/>
  <c r="AF55" i="19"/>
  <c r="AE55" i="19"/>
  <c r="AD55" i="19"/>
  <c r="AC55" i="19"/>
  <c r="AB55" i="19"/>
  <c r="AA55" i="19"/>
  <c r="Z55" i="19"/>
  <c r="Y55" i="19"/>
  <c r="X55" i="19"/>
  <c r="W55" i="19"/>
  <c r="V55" i="19"/>
  <c r="O55" i="19"/>
  <c r="N55" i="19"/>
  <c r="L55" i="19"/>
  <c r="J55" i="19"/>
  <c r="I55" i="19"/>
  <c r="H55" i="19"/>
  <c r="G55" i="19"/>
  <c r="F55" i="19"/>
  <c r="E55" i="19"/>
  <c r="C55" i="19"/>
  <c r="B55" i="19"/>
  <c r="AH54" i="19"/>
  <c r="AG54" i="19"/>
  <c r="AF54" i="19"/>
  <c r="AE54" i="19"/>
  <c r="AD54" i="19"/>
  <c r="AC54" i="19"/>
  <c r="AB54" i="19"/>
  <c r="AA54" i="19"/>
  <c r="Z54" i="19"/>
  <c r="Y54" i="19"/>
  <c r="X54" i="19"/>
  <c r="W54" i="19"/>
  <c r="V54" i="19"/>
  <c r="O54" i="19"/>
  <c r="N54" i="19"/>
  <c r="L54" i="19"/>
  <c r="J54" i="19"/>
  <c r="I54" i="19"/>
  <c r="H54" i="19"/>
  <c r="G54" i="19"/>
  <c r="F54" i="19"/>
  <c r="E54" i="19"/>
  <c r="C54" i="19"/>
  <c r="B54" i="19"/>
  <c r="AH53" i="19"/>
  <c r="AG53" i="19"/>
  <c r="AF53" i="19"/>
  <c r="AE53" i="19"/>
  <c r="AD53" i="19"/>
  <c r="AC53" i="19"/>
  <c r="AB53" i="19"/>
  <c r="AA53" i="19"/>
  <c r="Z53" i="19"/>
  <c r="Y53" i="19"/>
  <c r="X53" i="19"/>
  <c r="W53" i="19"/>
  <c r="V53" i="19"/>
  <c r="O53" i="19"/>
  <c r="N53" i="19"/>
  <c r="L53" i="19"/>
  <c r="J53" i="19"/>
  <c r="I53" i="19"/>
  <c r="H53" i="19"/>
  <c r="G53" i="19"/>
  <c r="F53" i="19"/>
  <c r="E53" i="19"/>
  <c r="C53" i="19"/>
  <c r="B53" i="19"/>
  <c r="AH52" i="19"/>
  <c r="AG52" i="19"/>
  <c r="AF52" i="19"/>
  <c r="AE52" i="19"/>
  <c r="AD52" i="19"/>
  <c r="AC52" i="19"/>
  <c r="AB52" i="19"/>
  <c r="AA52" i="19"/>
  <c r="Z52" i="19"/>
  <c r="Y52" i="19"/>
  <c r="X52" i="19"/>
  <c r="W52" i="19"/>
  <c r="V52" i="19"/>
  <c r="O52" i="19"/>
  <c r="N52" i="19"/>
  <c r="L52" i="19"/>
  <c r="J52" i="19"/>
  <c r="I52" i="19"/>
  <c r="H52" i="19"/>
  <c r="G52" i="19"/>
  <c r="F52" i="19"/>
  <c r="E52" i="19"/>
  <c r="C52" i="19"/>
  <c r="B52" i="19"/>
  <c r="AH51" i="19"/>
  <c r="AG51" i="19"/>
  <c r="AF51" i="19"/>
  <c r="AE51" i="19"/>
  <c r="AD51" i="19"/>
  <c r="AC51" i="19"/>
  <c r="AB51" i="19"/>
  <c r="AA51" i="19"/>
  <c r="Z51" i="19"/>
  <c r="Y51" i="19"/>
  <c r="X51" i="19"/>
  <c r="W51" i="19"/>
  <c r="V51" i="19"/>
  <c r="O51" i="19"/>
  <c r="N51" i="19"/>
  <c r="L51" i="19"/>
  <c r="J51" i="19"/>
  <c r="I51" i="19"/>
  <c r="H51" i="19"/>
  <c r="G51" i="19"/>
  <c r="F51" i="19"/>
  <c r="E51" i="19"/>
  <c r="C51" i="19"/>
  <c r="B51" i="19"/>
  <c r="AH50" i="19"/>
  <c r="AG50" i="19"/>
  <c r="AF50" i="19"/>
  <c r="AE50" i="19"/>
  <c r="AD50" i="19"/>
  <c r="AC50" i="19"/>
  <c r="AB50" i="19"/>
  <c r="AA50" i="19"/>
  <c r="Z50" i="19"/>
  <c r="Y50" i="19"/>
  <c r="X50" i="19"/>
  <c r="W50" i="19"/>
  <c r="V50" i="19"/>
  <c r="O50" i="19"/>
  <c r="N50" i="19"/>
  <c r="L50" i="19"/>
  <c r="J50" i="19"/>
  <c r="I50" i="19"/>
  <c r="H50" i="19"/>
  <c r="G50" i="19"/>
  <c r="F50" i="19"/>
  <c r="E50" i="19"/>
  <c r="C50" i="19"/>
  <c r="B50" i="19"/>
  <c r="AH49" i="19"/>
  <c r="AG49" i="19"/>
  <c r="AF49" i="19"/>
  <c r="AE49" i="19"/>
  <c r="AD49" i="19"/>
  <c r="AC49" i="19"/>
  <c r="AB49" i="19"/>
  <c r="AA49" i="19"/>
  <c r="Z49" i="19"/>
  <c r="Y49" i="19"/>
  <c r="X49" i="19"/>
  <c r="W49" i="19"/>
  <c r="V49" i="19"/>
  <c r="O49" i="19"/>
  <c r="N49" i="19"/>
  <c r="L49" i="19"/>
  <c r="J49" i="19"/>
  <c r="I49" i="19"/>
  <c r="H49" i="19"/>
  <c r="G49" i="19"/>
  <c r="F49" i="19"/>
  <c r="E49" i="19"/>
  <c r="C49" i="19"/>
  <c r="B49" i="19"/>
  <c r="AH48" i="19"/>
  <c r="AG48" i="19"/>
  <c r="AF48" i="19"/>
  <c r="AE48" i="19"/>
  <c r="AD48" i="19"/>
  <c r="AC48" i="19"/>
  <c r="AB48" i="19"/>
  <c r="AA48" i="19"/>
  <c r="Z48" i="19"/>
  <c r="Y48" i="19"/>
  <c r="X48" i="19"/>
  <c r="W48" i="19"/>
  <c r="V48" i="19"/>
  <c r="O48" i="19"/>
  <c r="N48" i="19"/>
  <c r="L48" i="19"/>
  <c r="J48" i="19"/>
  <c r="I48" i="19"/>
  <c r="H48" i="19"/>
  <c r="G48" i="19"/>
  <c r="F48" i="19"/>
  <c r="E48" i="19"/>
  <c r="C48" i="19"/>
  <c r="B48" i="19"/>
  <c r="AH47" i="19"/>
  <c r="AG47" i="19"/>
  <c r="AF47" i="19"/>
  <c r="AE47" i="19"/>
  <c r="AD47" i="19"/>
  <c r="AC47" i="19"/>
  <c r="AB47" i="19"/>
  <c r="AA47" i="19"/>
  <c r="Z47" i="19"/>
  <c r="Y47" i="19"/>
  <c r="X47" i="19"/>
  <c r="W47" i="19"/>
  <c r="V47" i="19"/>
  <c r="O47" i="19"/>
  <c r="N47" i="19"/>
  <c r="L47" i="19"/>
  <c r="J47" i="19"/>
  <c r="I47" i="19"/>
  <c r="H47" i="19"/>
  <c r="G47" i="19"/>
  <c r="F47" i="19"/>
  <c r="E47" i="19"/>
  <c r="C47" i="19"/>
  <c r="B47" i="19"/>
  <c r="AH46" i="19"/>
  <c r="AG46" i="19"/>
  <c r="AF46" i="19"/>
  <c r="AE46" i="19"/>
  <c r="AD46" i="19"/>
  <c r="AC46" i="19"/>
  <c r="AB46" i="19"/>
  <c r="AA46" i="19"/>
  <c r="Z46" i="19"/>
  <c r="Y46" i="19"/>
  <c r="X46" i="19"/>
  <c r="W46" i="19"/>
  <c r="V46" i="19"/>
  <c r="O46" i="19"/>
  <c r="N46" i="19"/>
  <c r="L46" i="19"/>
  <c r="J46" i="19"/>
  <c r="I46" i="19"/>
  <c r="H46" i="19"/>
  <c r="G46" i="19"/>
  <c r="F46" i="19"/>
  <c r="E46" i="19"/>
  <c r="C46" i="19"/>
  <c r="B46" i="19"/>
  <c r="AH45" i="19"/>
  <c r="AG45" i="19"/>
  <c r="AF45" i="19"/>
  <c r="AE45" i="19"/>
  <c r="AD45" i="19"/>
  <c r="AC45" i="19"/>
  <c r="AB45" i="19"/>
  <c r="AA45" i="19"/>
  <c r="Z45" i="19"/>
  <c r="Y45" i="19"/>
  <c r="X45" i="19"/>
  <c r="W45" i="19"/>
  <c r="V45" i="19"/>
  <c r="O45" i="19"/>
  <c r="N45" i="19"/>
  <c r="L45" i="19"/>
  <c r="J45" i="19"/>
  <c r="I45" i="19"/>
  <c r="H45" i="19"/>
  <c r="G45" i="19"/>
  <c r="F45" i="19"/>
  <c r="E45" i="19"/>
  <c r="C45" i="19"/>
  <c r="B45" i="19"/>
  <c r="AH44" i="19"/>
  <c r="AG44" i="19"/>
  <c r="AF44" i="19"/>
  <c r="AE44" i="19"/>
  <c r="AD44" i="19"/>
  <c r="AC44" i="19"/>
  <c r="AB44" i="19"/>
  <c r="AA44" i="19"/>
  <c r="Z44" i="19"/>
  <c r="Y44" i="19"/>
  <c r="X44" i="19"/>
  <c r="W44" i="19"/>
  <c r="V44" i="19"/>
  <c r="O44" i="19"/>
  <c r="N44" i="19"/>
  <c r="L44" i="19"/>
  <c r="J44" i="19"/>
  <c r="I44" i="19"/>
  <c r="H44" i="19"/>
  <c r="G44" i="19"/>
  <c r="F44" i="19"/>
  <c r="E44" i="19"/>
  <c r="C44" i="19"/>
  <c r="B44" i="19"/>
  <c r="AH43" i="19"/>
  <c r="AG43" i="19"/>
  <c r="AF43" i="19"/>
  <c r="AE43" i="19"/>
  <c r="AD43" i="19"/>
  <c r="AC43" i="19"/>
  <c r="AB43" i="19"/>
  <c r="AA43" i="19"/>
  <c r="Z43" i="19"/>
  <c r="Y43" i="19"/>
  <c r="X43" i="19"/>
  <c r="W43" i="19"/>
  <c r="V43" i="19"/>
  <c r="O43" i="19"/>
  <c r="N43" i="19"/>
  <c r="L43" i="19"/>
  <c r="J43" i="19"/>
  <c r="I43" i="19"/>
  <c r="H43" i="19"/>
  <c r="G43" i="19"/>
  <c r="F43" i="19"/>
  <c r="E43" i="19"/>
  <c r="C43" i="19"/>
  <c r="B43" i="19"/>
  <c r="AH42" i="19"/>
  <c r="AG42" i="19"/>
  <c r="AF42" i="19"/>
  <c r="AE42" i="19"/>
  <c r="AD42" i="19"/>
  <c r="AC42" i="19"/>
  <c r="AB42" i="19"/>
  <c r="AA42" i="19"/>
  <c r="Z42" i="19"/>
  <c r="Y42" i="19"/>
  <c r="X42" i="19"/>
  <c r="W42" i="19"/>
  <c r="V42" i="19"/>
  <c r="O42" i="19"/>
  <c r="N42" i="19"/>
  <c r="L42" i="19"/>
  <c r="J42" i="19"/>
  <c r="I42" i="19"/>
  <c r="H42" i="19"/>
  <c r="G42" i="19"/>
  <c r="F42" i="19"/>
  <c r="E42" i="19"/>
  <c r="C42" i="19"/>
  <c r="B42" i="19"/>
  <c r="AH41" i="19"/>
  <c r="AG41" i="19"/>
  <c r="AF41" i="19"/>
  <c r="AE41" i="19"/>
  <c r="AD41" i="19"/>
  <c r="AC41" i="19"/>
  <c r="AB41" i="19"/>
  <c r="AA41" i="19"/>
  <c r="Z41" i="19"/>
  <c r="Y41" i="19"/>
  <c r="X41" i="19"/>
  <c r="W41" i="19"/>
  <c r="V41" i="19"/>
  <c r="O41" i="19"/>
  <c r="N41" i="19"/>
  <c r="L41" i="19"/>
  <c r="J41" i="19"/>
  <c r="I41" i="19"/>
  <c r="H41" i="19"/>
  <c r="G41" i="19"/>
  <c r="F41" i="19"/>
  <c r="E41" i="19"/>
  <c r="C41" i="19"/>
  <c r="B41" i="19"/>
  <c r="AH40" i="19"/>
  <c r="AG40" i="19"/>
  <c r="AF40" i="19"/>
  <c r="AE40" i="19"/>
  <c r="AD40" i="19"/>
  <c r="AC40" i="19"/>
  <c r="AB40" i="19"/>
  <c r="AA40" i="19"/>
  <c r="Z40" i="19"/>
  <c r="Y40" i="19"/>
  <c r="X40" i="19"/>
  <c r="W40" i="19"/>
  <c r="V40" i="19"/>
  <c r="O40" i="19"/>
  <c r="N40" i="19"/>
  <c r="L40" i="19"/>
  <c r="J40" i="19"/>
  <c r="I40" i="19"/>
  <c r="H40" i="19"/>
  <c r="G40" i="19"/>
  <c r="F40" i="19"/>
  <c r="E40" i="19"/>
  <c r="C40" i="19"/>
  <c r="B40" i="19"/>
  <c r="AH39" i="19"/>
  <c r="AG39" i="19"/>
  <c r="AF39" i="19"/>
  <c r="AE39" i="19"/>
  <c r="AD39" i="19"/>
  <c r="AC39" i="19"/>
  <c r="AB39" i="19"/>
  <c r="AA39" i="19"/>
  <c r="Z39" i="19"/>
  <c r="Y39" i="19"/>
  <c r="X39" i="19"/>
  <c r="W39" i="19"/>
  <c r="V39" i="19"/>
  <c r="O39" i="19"/>
  <c r="N39" i="19"/>
  <c r="L39" i="19"/>
  <c r="J39" i="19"/>
  <c r="I39" i="19"/>
  <c r="H39" i="19"/>
  <c r="G39" i="19"/>
  <c r="F39" i="19"/>
  <c r="E39" i="19"/>
  <c r="C39" i="19"/>
  <c r="B39" i="19"/>
  <c r="AH38" i="19"/>
  <c r="AG38" i="19"/>
  <c r="AF38" i="19"/>
  <c r="AE38" i="19"/>
  <c r="AD38" i="19"/>
  <c r="AC38" i="19"/>
  <c r="AB38" i="19"/>
  <c r="AA38" i="19"/>
  <c r="Z38" i="19"/>
  <c r="Y38" i="19"/>
  <c r="X38" i="19"/>
  <c r="W38" i="19"/>
  <c r="V38" i="19"/>
  <c r="O38" i="19"/>
  <c r="N38" i="19"/>
  <c r="L38" i="19"/>
  <c r="J38" i="19"/>
  <c r="I38" i="19"/>
  <c r="H38" i="19"/>
  <c r="G38" i="19"/>
  <c r="F38" i="19"/>
  <c r="E38" i="19"/>
  <c r="C38" i="19"/>
  <c r="B38" i="19"/>
  <c r="AH37" i="19"/>
  <c r="AG37" i="19"/>
  <c r="AF37" i="19"/>
  <c r="AE37" i="19"/>
  <c r="AD37" i="19"/>
  <c r="AC37" i="19"/>
  <c r="AB37" i="19"/>
  <c r="AA37" i="19"/>
  <c r="Z37" i="19"/>
  <c r="Y37" i="19"/>
  <c r="X37" i="19"/>
  <c r="W37" i="19"/>
  <c r="V37" i="19"/>
  <c r="O37" i="19"/>
  <c r="N37" i="19"/>
  <c r="L37" i="19"/>
  <c r="J37" i="19"/>
  <c r="I37" i="19"/>
  <c r="H37" i="19"/>
  <c r="G37" i="19"/>
  <c r="F37" i="19"/>
  <c r="E37" i="19"/>
  <c r="C37" i="19"/>
  <c r="B37" i="19"/>
  <c r="AH36" i="19"/>
  <c r="AG36" i="19"/>
  <c r="AF36" i="19"/>
  <c r="AE36" i="19"/>
  <c r="AD36" i="19"/>
  <c r="AC36" i="19"/>
  <c r="AB36" i="19"/>
  <c r="AA36" i="19"/>
  <c r="Z36" i="19"/>
  <c r="Y36" i="19"/>
  <c r="X36" i="19"/>
  <c r="W36" i="19"/>
  <c r="V36" i="19"/>
  <c r="O36" i="19"/>
  <c r="N36" i="19"/>
  <c r="L36" i="19"/>
  <c r="J36" i="19"/>
  <c r="I36" i="19"/>
  <c r="H36" i="19"/>
  <c r="G36" i="19"/>
  <c r="F36" i="19"/>
  <c r="E36" i="19"/>
  <c r="C36" i="19"/>
  <c r="B36" i="19"/>
  <c r="AH35" i="19"/>
  <c r="AG35" i="19"/>
  <c r="AF35" i="19"/>
  <c r="AE35" i="19"/>
  <c r="AD35" i="19"/>
  <c r="AC35" i="19"/>
  <c r="AB35" i="19"/>
  <c r="AA35" i="19"/>
  <c r="Z35" i="19"/>
  <c r="Y35" i="19"/>
  <c r="X35" i="19"/>
  <c r="W35" i="19"/>
  <c r="V35" i="19"/>
  <c r="O35" i="19"/>
  <c r="N35" i="19"/>
  <c r="L35" i="19"/>
  <c r="J35" i="19"/>
  <c r="I35" i="19"/>
  <c r="H35" i="19"/>
  <c r="G35" i="19"/>
  <c r="F35" i="19"/>
  <c r="E35" i="19"/>
  <c r="C35" i="19"/>
  <c r="B35" i="19"/>
  <c r="AH34" i="19"/>
  <c r="AG34" i="19"/>
  <c r="AF34" i="19"/>
  <c r="AE34" i="19"/>
  <c r="AD34" i="19"/>
  <c r="AC34" i="19"/>
  <c r="AB34" i="19"/>
  <c r="AA34" i="19"/>
  <c r="Z34" i="19"/>
  <c r="Y34" i="19"/>
  <c r="X34" i="19"/>
  <c r="W34" i="19"/>
  <c r="V34" i="19"/>
  <c r="O34" i="19"/>
  <c r="N34" i="19"/>
  <c r="L34" i="19"/>
  <c r="J34" i="19"/>
  <c r="I34" i="19"/>
  <c r="H34" i="19"/>
  <c r="G34" i="19"/>
  <c r="F34" i="19"/>
  <c r="E34" i="19"/>
  <c r="C34" i="19"/>
  <c r="B34" i="19"/>
  <c r="AH33" i="19"/>
  <c r="AG33" i="19"/>
  <c r="AF33" i="19"/>
  <c r="AE33" i="19"/>
  <c r="AD33" i="19"/>
  <c r="AC33" i="19"/>
  <c r="AB33" i="19"/>
  <c r="AA33" i="19"/>
  <c r="Z33" i="19"/>
  <c r="Y33" i="19"/>
  <c r="X33" i="19"/>
  <c r="W33" i="19"/>
  <c r="V33" i="19"/>
  <c r="O33" i="19"/>
  <c r="N33" i="19"/>
  <c r="L33" i="19"/>
  <c r="J33" i="19"/>
  <c r="I33" i="19"/>
  <c r="H33" i="19"/>
  <c r="G33" i="19"/>
  <c r="F33" i="19"/>
  <c r="E33" i="19"/>
  <c r="C33" i="19"/>
  <c r="B33" i="19"/>
  <c r="AH32" i="19"/>
  <c r="AG32" i="19"/>
  <c r="AF32" i="19"/>
  <c r="AE32" i="19"/>
  <c r="AD32" i="19"/>
  <c r="AC32" i="19"/>
  <c r="AB32" i="19"/>
  <c r="AA32" i="19"/>
  <c r="Z32" i="19"/>
  <c r="Y32" i="19"/>
  <c r="X32" i="19"/>
  <c r="W32" i="19"/>
  <c r="V32" i="19"/>
  <c r="O32" i="19"/>
  <c r="N32" i="19"/>
  <c r="L32" i="19"/>
  <c r="J32" i="19"/>
  <c r="I32" i="19"/>
  <c r="H32" i="19"/>
  <c r="G32" i="19"/>
  <c r="F32" i="19"/>
  <c r="E32" i="19"/>
  <c r="C32" i="19"/>
  <c r="B32" i="19"/>
  <c r="AH31" i="19"/>
  <c r="AG31" i="19"/>
  <c r="AF31" i="19"/>
  <c r="AE31" i="19"/>
  <c r="AD31" i="19"/>
  <c r="AC31" i="19"/>
  <c r="AB31" i="19"/>
  <c r="AA31" i="19"/>
  <c r="Z31" i="19"/>
  <c r="Y31" i="19"/>
  <c r="X31" i="19"/>
  <c r="W31" i="19"/>
  <c r="V31" i="19"/>
  <c r="O31" i="19"/>
  <c r="N31" i="19"/>
  <c r="L31" i="19"/>
  <c r="J31" i="19"/>
  <c r="I31" i="19"/>
  <c r="H31" i="19"/>
  <c r="G31" i="19"/>
  <c r="F31" i="19"/>
  <c r="E31" i="19"/>
  <c r="C31" i="19"/>
  <c r="B31" i="19"/>
  <c r="AH30" i="19"/>
  <c r="AG30" i="19"/>
  <c r="AF30" i="19"/>
  <c r="AE30" i="19"/>
  <c r="AD30" i="19"/>
  <c r="AC30" i="19"/>
  <c r="AB30" i="19"/>
  <c r="AA30" i="19"/>
  <c r="Z30" i="19"/>
  <c r="Y30" i="19"/>
  <c r="X30" i="19"/>
  <c r="W30" i="19"/>
  <c r="V30" i="19"/>
  <c r="O30" i="19"/>
  <c r="N30" i="19"/>
  <c r="L30" i="19"/>
  <c r="J30" i="19"/>
  <c r="I30" i="19"/>
  <c r="H30" i="19"/>
  <c r="G30" i="19"/>
  <c r="F30" i="19"/>
  <c r="E30" i="19"/>
  <c r="C30" i="19"/>
  <c r="B30" i="19"/>
  <c r="AH29" i="19"/>
  <c r="AG29" i="19"/>
  <c r="AF29" i="19"/>
  <c r="AE29" i="19"/>
  <c r="AD29" i="19"/>
  <c r="AC29" i="19"/>
  <c r="AB29" i="19"/>
  <c r="AA29" i="19"/>
  <c r="Z29" i="19"/>
  <c r="Y29" i="19"/>
  <c r="X29" i="19"/>
  <c r="W29" i="19"/>
  <c r="V29" i="19"/>
  <c r="O29" i="19"/>
  <c r="N29" i="19"/>
  <c r="L29" i="19"/>
  <c r="J29" i="19"/>
  <c r="I29" i="19"/>
  <c r="H29" i="19"/>
  <c r="G29" i="19"/>
  <c r="F29" i="19"/>
  <c r="E29" i="19"/>
  <c r="C29" i="19"/>
  <c r="B29" i="19"/>
  <c r="AH28" i="19"/>
  <c r="AG28" i="19"/>
  <c r="AF28" i="19"/>
  <c r="AE28" i="19"/>
  <c r="AD28" i="19"/>
  <c r="AC28" i="19"/>
  <c r="AB28" i="19"/>
  <c r="AA28" i="19"/>
  <c r="Z28" i="19"/>
  <c r="Y28" i="19"/>
  <c r="X28" i="19"/>
  <c r="W28" i="19"/>
  <c r="V28" i="19"/>
  <c r="O28" i="19"/>
  <c r="N28" i="19"/>
  <c r="L28" i="19"/>
  <c r="J28" i="19"/>
  <c r="I28" i="19"/>
  <c r="H28" i="19"/>
  <c r="G28" i="19"/>
  <c r="F28" i="19"/>
  <c r="E28" i="19"/>
  <c r="C28" i="19"/>
  <c r="B28" i="19"/>
  <c r="AH27" i="19"/>
  <c r="AG27" i="19"/>
  <c r="AF27" i="19"/>
  <c r="AE27" i="19"/>
  <c r="AD27" i="19"/>
  <c r="AC27" i="19"/>
  <c r="AB27" i="19"/>
  <c r="AA27" i="19"/>
  <c r="Z27" i="19"/>
  <c r="Y27" i="19"/>
  <c r="X27" i="19"/>
  <c r="W27" i="19"/>
  <c r="V27" i="19"/>
  <c r="O27" i="19"/>
  <c r="N27" i="19"/>
  <c r="L27" i="19"/>
  <c r="J27" i="19"/>
  <c r="I27" i="19"/>
  <c r="H27" i="19"/>
  <c r="G27" i="19"/>
  <c r="F27" i="19"/>
  <c r="E27" i="19"/>
  <c r="C27" i="19"/>
  <c r="B27" i="19"/>
  <c r="AH26" i="19"/>
  <c r="AG26" i="19"/>
  <c r="AF26" i="19"/>
  <c r="AE26" i="19"/>
  <c r="AD26" i="19"/>
  <c r="AC26" i="19"/>
  <c r="AB26" i="19"/>
  <c r="AA26" i="19"/>
  <c r="Z26" i="19"/>
  <c r="Y26" i="19"/>
  <c r="X26" i="19"/>
  <c r="W26" i="19"/>
  <c r="V26" i="19"/>
  <c r="O26" i="19"/>
  <c r="N26" i="19"/>
  <c r="L26" i="19"/>
  <c r="J26" i="19"/>
  <c r="I26" i="19"/>
  <c r="H26" i="19"/>
  <c r="G26" i="19"/>
  <c r="F26" i="19"/>
  <c r="E26" i="19"/>
  <c r="C26" i="19"/>
  <c r="B26" i="19"/>
  <c r="AH25" i="19"/>
  <c r="AG25" i="19"/>
  <c r="AF25" i="19"/>
  <c r="AE25" i="19"/>
  <c r="AD25" i="19"/>
  <c r="AC25" i="19"/>
  <c r="AB25" i="19"/>
  <c r="AA25" i="19"/>
  <c r="Z25" i="19"/>
  <c r="Y25" i="19"/>
  <c r="X25" i="19"/>
  <c r="W25" i="19"/>
  <c r="V25" i="19"/>
  <c r="O25" i="19"/>
  <c r="N25" i="19"/>
  <c r="L25" i="19"/>
  <c r="J25" i="19"/>
  <c r="I25" i="19"/>
  <c r="H25" i="19"/>
  <c r="G25" i="19"/>
  <c r="F25" i="19"/>
  <c r="E25" i="19"/>
  <c r="C25" i="19"/>
  <c r="B25" i="19"/>
  <c r="AH24" i="19"/>
  <c r="AG24" i="19"/>
  <c r="AF24" i="19"/>
  <c r="AE24" i="19"/>
  <c r="AD24" i="19"/>
  <c r="AC24" i="19"/>
  <c r="AB24" i="19"/>
  <c r="AA24" i="19"/>
  <c r="Z24" i="19"/>
  <c r="Y24" i="19"/>
  <c r="X24" i="19"/>
  <c r="W24" i="19"/>
  <c r="V24" i="19"/>
  <c r="O24" i="19"/>
  <c r="N24" i="19"/>
  <c r="L24" i="19"/>
  <c r="J24" i="19"/>
  <c r="I24" i="19"/>
  <c r="H24" i="19"/>
  <c r="G24" i="19"/>
  <c r="F24" i="19"/>
  <c r="E24" i="19"/>
  <c r="C24" i="19"/>
  <c r="B24" i="19"/>
  <c r="AH23" i="19"/>
  <c r="AG23" i="19"/>
  <c r="AF23" i="19"/>
  <c r="AE23" i="19"/>
  <c r="AD23" i="19"/>
  <c r="AC23" i="19"/>
  <c r="AB23" i="19"/>
  <c r="AA23" i="19"/>
  <c r="Z23" i="19"/>
  <c r="Y23" i="19"/>
  <c r="X23" i="19"/>
  <c r="W23" i="19"/>
  <c r="V23" i="19"/>
  <c r="O23" i="19"/>
  <c r="N23" i="19"/>
  <c r="L23" i="19"/>
  <c r="J23" i="19"/>
  <c r="I23" i="19"/>
  <c r="H23" i="19"/>
  <c r="G23" i="19"/>
  <c r="F23" i="19"/>
  <c r="E23" i="19"/>
  <c r="C23" i="19"/>
  <c r="B23" i="19"/>
  <c r="AH22" i="19"/>
  <c r="AG22" i="19"/>
  <c r="AF22" i="19"/>
  <c r="AE22" i="19"/>
  <c r="AD22" i="19"/>
  <c r="AC22" i="19"/>
  <c r="AB22" i="19"/>
  <c r="AA22" i="19"/>
  <c r="Z22" i="19"/>
  <c r="Y22" i="19"/>
  <c r="X22" i="19"/>
  <c r="W22" i="19"/>
  <c r="V22" i="19"/>
  <c r="O22" i="19"/>
  <c r="N22" i="19"/>
  <c r="L22" i="19"/>
  <c r="J22" i="19"/>
  <c r="I22" i="19"/>
  <c r="H22" i="19"/>
  <c r="G22" i="19"/>
  <c r="F22" i="19"/>
  <c r="E22" i="19"/>
  <c r="C22" i="19"/>
  <c r="B22" i="19"/>
  <c r="AH21" i="19"/>
  <c r="AG21" i="19"/>
  <c r="AF21" i="19"/>
  <c r="AE21" i="19"/>
  <c r="AD21" i="19"/>
  <c r="AC21" i="19"/>
  <c r="AB21" i="19"/>
  <c r="AA21" i="19"/>
  <c r="Z21" i="19"/>
  <c r="Y21" i="19"/>
  <c r="X21" i="19"/>
  <c r="W21" i="19"/>
  <c r="V21" i="19"/>
  <c r="O21" i="19"/>
  <c r="N21" i="19"/>
  <c r="L21" i="19"/>
  <c r="J21" i="19"/>
  <c r="I21" i="19"/>
  <c r="H21" i="19"/>
  <c r="G21" i="19"/>
  <c r="F21" i="19"/>
  <c r="E21" i="19"/>
  <c r="C21" i="19"/>
  <c r="B21" i="19"/>
  <c r="AH20" i="19"/>
  <c r="AG20" i="19"/>
  <c r="AF20" i="19"/>
  <c r="AE20" i="19"/>
  <c r="AD20" i="19"/>
  <c r="AC20" i="19"/>
  <c r="AB20" i="19"/>
  <c r="AA20" i="19"/>
  <c r="Z20" i="19"/>
  <c r="Y20" i="19"/>
  <c r="X20" i="19"/>
  <c r="W20" i="19"/>
  <c r="V20" i="19"/>
  <c r="O20" i="19"/>
  <c r="N20" i="19"/>
  <c r="L20" i="19"/>
  <c r="J20" i="19"/>
  <c r="I20" i="19"/>
  <c r="H20" i="19"/>
  <c r="G20" i="19"/>
  <c r="F20" i="19"/>
  <c r="E20" i="19"/>
  <c r="C20" i="19"/>
  <c r="B20" i="19"/>
  <c r="AH19" i="19"/>
  <c r="AG19" i="19"/>
  <c r="AF19" i="19"/>
  <c r="AE19" i="19"/>
  <c r="AD19" i="19"/>
  <c r="AC19" i="19"/>
  <c r="AB19" i="19"/>
  <c r="AA19" i="19"/>
  <c r="Z19" i="19"/>
  <c r="Y19" i="19"/>
  <c r="X19" i="19"/>
  <c r="W19" i="19"/>
  <c r="V19" i="19"/>
  <c r="O19" i="19"/>
  <c r="N19" i="19"/>
  <c r="L19" i="19"/>
  <c r="J19" i="19"/>
  <c r="I19" i="19"/>
  <c r="H19" i="19"/>
  <c r="G19" i="19"/>
  <c r="F19" i="19"/>
  <c r="E19" i="19"/>
  <c r="C19" i="19"/>
  <c r="B19" i="19"/>
  <c r="AH18" i="19"/>
  <c r="AG18" i="19"/>
  <c r="AF18" i="19"/>
  <c r="AE18" i="19"/>
  <c r="AD18" i="19"/>
  <c r="AC18" i="19"/>
  <c r="AB18" i="19"/>
  <c r="AA18" i="19"/>
  <c r="Z18" i="19"/>
  <c r="Y18" i="19"/>
  <c r="X18" i="19"/>
  <c r="W18" i="19"/>
  <c r="V18" i="19"/>
  <c r="O18" i="19"/>
  <c r="N18" i="19"/>
  <c r="L18" i="19"/>
  <c r="J18" i="19"/>
  <c r="I18" i="19"/>
  <c r="H18" i="19"/>
  <c r="G18" i="19"/>
  <c r="F18" i="19"/>
  <c r="E18" i="19"/>
  <c r="C18" i="19"/>
  <c r="B18" i="19"/>
  <c r="AH17" i="19"/>
  <c r="AG17" i="19"/>
  <c r="AF17" i="19"/>
  <c r="AE17" i="19"/>
  <c r="AD17" i="19"/>
  <c r="AC17" i="19"/>
  <c r="AB17" i="19"/>
  <c r="AA17" i="19"/>
  <c r="Z17" i="19"/>
  <c r="Y17" i="19"/>
  <c r="X17" i="19"/>
  <c r="W17" i="19"/>
  <c r="V17" i="19"/>
  <c r="O17" i="19"/>
  <c r="N17" i="19"/>
  <c r="L17" i="19"/>
  <c r="J17" i="19"/>
  <c r="I17" i="19"/>
  <c r="H17" i="19"/>
  <c r="G17" i="19"/>
  <c r="F17" i="19"/>
  <c r="E17" i="19"/>
  <c r="C17" i="19"/>
  <c r="B17" i="19"/>
  <c r="AH16" i="19"/>
  <c r="AG16" i="19"/>
  <c r="AF16" i="19"/>
  <c r="AE16" i="19"/>
  <c r="AD16" i="19"/>
  <c r="AC16" i="19"/>
  <c r="AB16" i="19"/>
  <c r="AA16" i="19"/>
  <c r="Z16" i="19"/>
  <c r="Y16" i="19"/>
  <c r="X16" i="19"/>
  <c r="W16" i="19"/>
  <c r="V16" i="19"/>
  <c r="O16" i="19"/>
  <c r="N16" i="19"/>
  <c r="L16" i="19"/>
  <c r="J16" i="19"/>
  <c r="I16" i="19"/>
  <c r="H16" i="19"/>
  <c r="G16" i="19"/>
  <c r="F16" i="19"/>
  <c r="E16" i="19"/>
  <c r="C16" i="19"/>
  <c r="B16" i="19"/>
  <c r="AH15" i="19"/>
  <c r="AG15" i="19"/>
  <c r="AF15" i="19"/>
  <c r="AE15" i="19"/>
  <c r="AD15" i="19"/>
  <c r="AC15" i="19"/>
  <c r="AB15" i="19"/>
  <c r="AA15" i="19"/>
  <c r="Z15" i="19"/>
  <c r="Y15" i="19"/>
  <c r="X15" i="19"/>
  <c r="W15" i="19"/>
  <c r="V15" i="19"/>
  <c r="O15" i="19"/>
  <c r="N15" i="19"/>
  <c r="L15" i="19"/>
  <c r="J15" i="19"/>
  <c r="I15" i="19"/>
  <c r="H15" i="19"/>
  <c r="G15" i="19"/>
  <c r="F15" i="19"/>
  <c r="E15" i="19"/>
  <c r="C15" i="19"/>
  <c r="B15" i="19"/>
  <c r="AH14" i="19"/>
  <c r="AG14" i="19"/>
  <c r="AF14" i="19"/>
  <c r="AE14" i="19"/>
  <c r="AD14" i="19"/>
  <c r="AC14" i="19"/>
  <c r="AB14" i="19"/>
  <c r="AA14" i="19"/>
  <c r="Z14" i="19"/>
  <c r="Y14" i="19"/>
  <c r="X14" i="19"/>
  <c r="W14" i="19"/>
  <c r="V14" i="19"/>
  <c r="O14" i="19"/>
  <c r="N14" i="19"/>
  <c r="L14" i="19"/>
  <c r="J14" i="19"/>
  <c r="I14" i="19"/>
  <c r="H14" i="19"/>
  <c r="G14" i="19"/>
  <c r="F14" i="19"/>
  <c r="E14" i="19"/>
  <c r="C14" i="19"/>
  <c r="B14" i="19"/>
  <c r="AH13" i="19"/>
  <c r="AG13" i="19"/>
  <c r="AF13" i="19"/>
  <c r="AE13" i="19"/>
  <c r="AD13" i="19"/>
  <c r="AC13" i="19"/>
  <c r="AB13" i="19"/>
  <c r="AA13" i="19"/>
  <c r="Z13" i="19"/>
  <c r="Y13" i="19"/>
  <c r="X13" i="19"/>
  <c r="W13" i="19"/>
  <c r="V13" i="19"/>
  <c r="O13" i="19"/>
  <c r="N13" i="19"/>
  <c r="L13" i="19"/>
  <c r="J13" i="19"/>
  <c r="I13" i="19"/>
  <c r="H13" i="19"/>
  <c r="G13" i="19"/>
  <c r="F13" i="19"/>
  <c r="E13" i="19"/>
  <c r="C13" i="19"/>
  <c r="B13" i="19"/>
  <c r="AH12" i="19"/>
  <c r="AG12" i="19"/>
  <c r="AF12" i="19"/>
  <c r="AE12" i="19"/>
  <c r="AD12" i="19"/>
  <c r="AC12" i="19"/>
  <c r="AB12" i="19"/>
  <c r="AA12" i="19"/>
  <c r="Z12" i="19"/>
  <c r="Y12" i="19"/>
  <c r="X12" i="19"/>
  <c r="W12" i="19"/>
  <c r="V12" i="19"/>
  <c r="O12" i="19"/>
  <c r="N12" i="19"/>
  <c r="L12" i="19"/>
  <c r="J12" i="19"/>
  <c r="I12" i="19"/>
  <c r="H12" i="19"/>
  <c r="G12" i="19"/>
  <c r="F12" i="19"/>
  <c r="E12" i="19"/>
  <c r="C12" i="19"/>
  <c r="B12" i="19"/>
  <c r="AH11" i="19"/>
  <c r="AG11" i="19"/>
  <c r="AF11" i="19"/>
  <c r="AE11" i="19"/>
  <c r="AD11" i="19"/>
  <c r="AC11" i="19"/>
  <c r="AB11" i="19"/>
  <c r="AA11" i="19"/>
  <c r="Z11" i="19"/>
  <c r="Y11" i="19"/>
  <c r="X11" i="19"/>
  <c r="W11" i="19"/>
  <c r="V11" i="19"/>
  <c r="O11" i="19"/>
  <c r="N11" i="19"/>
  <c r="L11" i="19"/>
  <c r="J11" i="19"/>
  <c r="I11" i="19"/>
  <c r="H11" i="19"/>
  <c r="G11" i="19"/>
  <c r="F11" i="19"/>
  <c r="E11" i="19"/>
  <c r="C11" i="19"/>
  <c r="B11" i="19"/>
  <c r="AH10" i="19"/>
  <c r="AG10" i="19"/>
  <c r="AF10" i="19"/>
  <c r="AE10" i="19"/>
  <c r="AD10" i="19"/>
  <c r="AC10" i="19"/>
  <c r="AB10" i="19"/>
  <c r="AA10" i="19"/>
  <c r="Z10" i="19"/>
  <c r="Y10" i="19"/>
  <c r="X10" i="19"/>
  <c r="W10" i="19"/>
  <c r="V10" i="19"/>
  <c r="O10" i="19"/>
  <c r="N10" i="19"/>
  <c r="L10" i="19"/>
  <c r="J10" i="19"/>
  <c r="I10" i="19"/>
  <c r="H10" i="19"/>
  <c r="G10" i="19"/>
  <c r="F10" i="19"/>
  <c r="E10" i="19"/>
  <c r="C10" i="19"/>
  <c r="B10" i="19"/>
  <c r="AH9" i="19"/>
  <c r="AG9" i="19"/>
  <c r="AF9" i="19"/>
  <c r="AE9" i="19"/>
  <c r="AD9" i="19"/>
  <c r="AC9" i="19"/>
  <c r="AB9" i="19"/>
  <c r="AA9" i="19"/>
  <c r="Z9" i="19"/>
  <c r="Y9" i="19"/>
  <c r="X9" i="19"/>
  <c r="W9" i="19"/>
  <c r="V9" i="19"/>
  <c r="O9" i="19"/>
  <c r="N9" i="19"/>
  <c r="L9" i="19"/>
  <c r="J9" i="19"/>
  <c r="I9" i="19"/>
  <c r="H9" i="19"/>
  <c r="G9" i="19"/>
  <c r="F9" i="19"/>
  <c r="E9" i="19"/>
  <c r="C9" i="19"/>
  <c r="B9" i="19"/>
  <c r="AH8" i="19"/>
  <c r="AG8" i="19"/>
  <c r="AF8" i="19"/>
  <c r="AE8" i="19"/>
  <c r="AD8" i="19"/>
  <c r="AC8" i="19"/>
  <c r="AB8" i="19"/>
  <c r="AA8" i="19"/>
  <c r="Z8" i="19"/>
  <c r="Y8" i="19"/>
  <c r="X8" i="19"/>
  <c r="W8" i="19"/>
  <c r="V8" i="19"/>
  <c r="O8" i="19"/>
  <c r="N8" i="19"/>
  <c r="L8" i="19"/>
  <c r="J8" i="19"/>
  <c r="I8" i="19"/>
  <c r="H8" i="19"/>
  <c r="G8" i="19"/>
  <c r="F8" i="19"/>
  <c r="E8" i="19"/>
  <c r="C8" i="19"/>
  <c r="B8" i="19"/>
  <c r="AH7" i="19"/>
  <c r="AG7" i="19"/>
  <c r="AF7" i="19"/>
  <c r="AE7" i="19"/>
  <c r="AD7" i="19"/>
  <c r="AC7" i="19"/>
  <c r="AB7" i="19"/>
  <c r="AA7" i="19"/>
  <c r="Z7" i="19"/>
  <c r="Y7" i="19"/>
  <c r="X7" i="19"/>
  <c r="W7" i="19"/>
  <c r="V7" i="19"/>
  <c r="O7" i="19"/>
  <c r="N7" i="19"/>
  <c r="L7" i="19"/>
  <c r="J7" i="19"/>
  <c r="I7" i="19"/>
  <c r="H7" i="19"/>
  <c r="G7" i="19"/>
  <c r="F7" i="19"/>
  <c r="E7" i="19"/>
  <c r="C7" i="19"/>
  <c r="B7" i="19"/>
  <c r="AH6" i="19"/>
  <c r="AG6" i="19"/>
  <c r="AF6" i="19"/>
  <c r="AE6" i="19"/>
  <c r="AD6" i="19"/>
  <c r="AC6" i="19"/>
  <c r="AB6" i="19"/>
  <c r="AA6" i="19"/>
  <c r="Z6" i="19"/>
  <c r="Y6" i="19"/>
  <c r="X6" i="19"/>
  <c r="W6" i="19"/>
  <c r="V6" i="19"/>
  <c r="O6" i="19"/>
  <c r="N6" i="19"/>
  <c r="L6" i="19"/>
  <c r="J6" i="19"/>
  <c r="I6" i="19"/>
  <c r="H6" i="19"/>
  <c r="G6" i="19"/>
  <c r="F6" i="19"/>
  <c r="E6" i="19"/>
  <c r="C6" i="19"/>
  <c r="B6" i="19"/>
  <c r="AH5" i="19"/>
  <c r="AG5" i="19"/>
  <c r="AF5" i="19"/>
  <c r="AE5" i="19"/>
  <c r="AD5" i="19"/>
  <c r="AC5" i="19"/>
  <c r="AB5" i="19"/>
  <c r="AA5" i="19"/>
  <c r="Z5" i="19"/>
  <c r="Y5" i="19"/>
  <c r="X5" i="19"/>
  <c r="W5" i="19"/>
  <c r="V5" i="19"/>
  <c r="O5" i="19"/>
  <c r="N5" i="19"/>
  <c r="L5" i="19"/>
  <c r="J5" i="19"/>
  <c r="I5" i="19"/>
  <c r="H5" i="19"/>
  <c r="G5" i="19"/>
  <c r="F5" i="19"/>
  <c r="E5" i="19"/>
  <c r="C5" i="19"/>
  <c r="B5" i="19"/>
  <c r="AH4" i="19"/>
  <c r="AG4" i="19"/>
  <c r="AF4" i="19"/>
  <c r="AE4" i="19"/>
  <c r="AD4" i="19"/>
  <c r="AC4" i="19"/>
  <c r="AB4" i="19"/>
  <c r="AA4" i="19"/>
  <c r="Z4" i="19"/>
  <c r="Y4" i="19"/>
  <c r="X4" i="19"/>
  <c r="W4" i="19"/>
  <c r="V4" i="19"/>
  <c r="O4" i="19"/>
  <c r="N4" i="19"/>
  <c r="L4" i="19"/>
  <c r="J4" i="19"/>
  <c r="I4" i="19"/>
  <c r="H4" i="19"/>
  <c r="G4" i="19"/>
  <c r="F4" i="19"/>
  <c r="E4" i="19"/>
  <c r="C4" i="19"/>
  <c r="B4" i="19"/>
  <c r="AH3" i="19"/>
  <c r="AG3" i="19"/>
  <c r="AF3" i="19"/>
  <c r="AE3" i="19"/>
  <c r="AD3" i="19"/>
  <c r="AC3" i="19"/>
  <c r="AB3" i="19"/>
  <c r="AA3" i="19"/>
  <c r="Z3" i="19"/>
  <c r="Y3" i="19"/>
  <c r="X3" i="19"/>
  <c r="W3" i="19"/>
  <c r="V3" i="19"/>
  <c r="O3" i="19"/>
  <c r="N3" i="19"/>
  <c r="L3" i="19"/>
  <c r="J3" i="19"/>
  <c r="I3" i="19"/>
  <c r="H3" i="19"/>
  <c r="G3" i="19"/>
  <c r="F3" i="19"/>
  <c r="E3" i="19"/>
  <c r="C3" i="19"/>
  <c r="B3" i="19"/>
  <c r="AH2" i="19"/>
  <c r="AG2" i="19"/>
  <c r="AF2" i="19"/>
  <c r="AE2" i="19"/>
  <c r="AD2" i="19"/>
  <c r="AC2" i="19"/>
  <c r="AB2" i="19"/>
  <c r="AA2" i="19"/>
  <c r="Z2" i="19"/>
  <c r="Y2" i="19"/>
  <c r="X2" i="19"/>
  <c r="W2" i="19"/>
  <c r="V2" i="19"/>
  <c r="O2" i="19"/>
  <c r="N2" i="19"/>
  <c r="L2" i="19"/>
  <c r="J2" i="19"/>
  <c r="I2" i="19"/>
  <c r="H2" i="19"/>
  <c r="G2" i="19"/>
  <c r="F2" i="19"/>
  <c r="E2" i="19"/>
  <c r="C2" i="19"/>
  <c r="B2" i="19"/>
  <c r="AG1" i="19"/>
  <c r="AF1" i="19"/>
  <c r="AE1" i="19"/>
  <c r="AD1" i="19"/>
  <c r="AC1" i="19"/>
  <c r="AB1" i="19"/>
  <c r="AA1" i="19"/>
  <c r="Z1" i="19"/>
  <c r="Y1" i="19"/>
  <c r="X1" i="19"/>
  <c r="W1" i="19"/>
  <c r="V1" i="19"/>
  <c r="R47" i="18"/>
  <c r="Q47" i="18"/>
  <c r="P47" i="18"/>
  <c r="O47" i="18"/>
  <c r="N47" i="18"/>
  <c r="M47" i="18"/>
  <c r="L47" i="18"/>
  <c r="K47" i="18"/>
  <c r="J47" i="18"/>
  <c r="I47" i="18"/>
  <c r="H47" i="18"/>
  <c r="G47" i="18"/>
  <c r="F47" i="18"/>
  <c r="E47" i="18"/>
  <c r="D47" i="18"/>
  <c r="C47" i="18"/>
  <c r="B47" i="18"/>
  <c r="A47" i="18"/>
  <c r="R46" i="18"/>
  <c r="Q46" i="18"/>
  <c r="P46" i="18"/>
  <c r="O46" i="18"/>
  <c r="N46" i="18"/>
  <c r="M46" i="18"/>
  <c r="L46" i="18"/>
  <c r="K46" i="18"/>
  <c r="J46" i="18"/>
  <c r="I46" i="18"/>
  <c r="H46" i="18"/>
  <c r="G46" i="18"/>
  <c r="F46" i="18"/>
  <c r="E46" i="18"/>
  <c r="D46" i="18"/>
  <c r="C46" i="18"/>
  <c r="B46" i="18"/>
  <c r="A46" i="18"/>
  <c r="R45" i="18"/>
  <c r="Q45" i="18"/>
  <c r="P45" i="18"/>
  <c r="O45" i="18"/>
  <c r="N45" i="18"/>
  <c r="M45" i="18"/>
  <c r="L45" i="18"/>
  <c r="K45" i="18"/>
  <c r="J45" i="18"/>
  <c r="I45" i="18"/>
  <c r="H45" i="18"/>
  <c r="G45" i="18"/>
  <c r="F45" i="18"/>
  <c r="E45" i="18"/>
  <c r="D45" i="18"/>
  <c r="C45" i="18"/>
  <c r="B45" i="18"/>
  <c r="A45" i="18"/>
  <c r="R44" i="18"/>
  <c r="Q44" i="18"/>
  <c r="P44" i="18"/>
  <c r="O44" i="18"/>
  <c r="N44" i="18"/>
  <c r="M44" i="18"/>
  <c r="L44" i="18"/>
  <c r="K44" i="18"/>
  <c r="J44" i="18"/>
  <c r="I44" i="18"/>
  <c r="H44" i="18"/>
  <c r="G44" i="18"/>
  <c r="F44" i="18"/>
  <c r="E44" i="18"/>
  <c r="D44" i="18"/>
  <c r="C44" i="18"/>
  <c r="B44" i="18"/>
  <c r="A44" i="18"/>
  <c r="R43" i="18"/>
  <c r="Q43" i="18"/>
  <c r="P43" i="18"/>
  <c r="O43" i="18"/>
  <c r="N43" i="18"/>
  <c r="M43" i="18"/>
  <c r="L43" i="18"/>
  <c r="K43" i="18"/>
  <c r="J43" i="18"/>
  <c r="I43" i="18"/>
  <c r="H43" i="18"/>
  <c r="G43" i="18"/>
  <c r="F43" i="18"/>
  <c r="E43" i="18"/>
  <c r="D43" i="18"/>
  <c r="C43" i="18"/>
  <c r="B43" i="18"/>
  <c r="A43" i="18"/>
  <c r="R42" i="18"/>
  <c r="Q42" i="18"/>
  <c r="P42" i="18"/>
  <c r="O42" i="18"/>
  <c r="N42" i="18"/>
  <c r="M42" i="18"/>
  <c r="L42" i="18"/>
  <c r="K42" i="18"/>
  <c r="J42" i="18"/>
  <c r="I42" i="18"/>
  <c r="H42" i="18"/>
  <c r="G42" i="18"/>
  <c r="F42" i="18"/>
  <c r="E42" i="18"/>
  <c r="D42" i="18"/>
  <c r="C42" i="18"/>
  <c r="B42" i="18"/>
  <c r="A42" i="18"/>
  <c r="R41" i="18"/>
  <c r="Q41" i="18"/>
  <c r="P41" i="18"/>
  <c r="O41" i="18"/>
  <c r="N41" i="18"/>
  <c r="M41" i="18"/>
  <c r="L41" i="18"/>
  <c r="K41" i="18"/>
  <c r="J41" i="18"/>
  <c r="I41" i="18"/>
  <c r="H41" i="18"/>
  <c r="G41" i="18"/>
  <c r="F41" i="18"/>
  <c r="E41" i="18"/>
  <c r="D41" i="18"/>
  <c r="C41" i="18"/>
  <c r="B41" i="18"/>
  <c r="A41" i="18"/>
  <c r="R40" i="18"/>
  <c r="Q40" i="18"/>
  <c r="P40" i="18"/>
  <c r="O40" i="18"/>
  <c r="N40" i="18"/>
  <c r="M40" i="18"/>
  <c r="L40" i="18"/>
  <c r="K40" i="18"/>
  <c r="J40" i="18"/>
  <c r="I40" i="18"/>
  <c r="H40" i="18"/>
  <c r="G40" i="18"/>
  <c r="F40" i="18"/>
  <c r="E40" i="18"/>
  <c r="D40" i="18"/>
  <c r="C40" i="18"/>
  <c r="B40" i="18"/>
  <c r="A40" i="18"/>
  <c r="R39" i="18"/>
  <c r="Q39" i="18"/>
  <c r="P39" i="18"/>
  <c r="O39" i="18"/>
  <c r="N39" i="18"/>
  <c r="M39" i="18"/>
  <c r="L39" i="18"/>
  <c r="K39" i="18"/>
  <c r="J39" i="18"/>
  <c r="I39" i="18"/>
  <c r="H39" i="18"/>
  <c r="G39" i="18"/>
  <c r="F39" i="18"/>
  <c r="E39" i="18"/>
  <c r="D39" i="18"/>
  <c r="C39" i="18"/>
  <c r="B39" i="18"/>
  <c r="A39" i="18"/>
  <c r="R38" i="18"/>
  <c r="Q38" i="18"/>
  <c r="P38" i="18"/>
  <c r="O38" i="18"/>
  <c r="N38" i="18"/>
  <c r="M38" i="18"/>
  <c r="L38" i="18"/>
  <c r="K38" i="18"/>
  <c r="J38" i="18"/>
  <c r="I38" i="18"/>
  <c r="H38" i="18"/>
  <c r="G38" i="18"/>
  <c r="F38" i="18"/>
  <c r="E38" i="18"/>
  <c r="D38" i="18"/>
  <c r="C38" i="18"/>
  <c r="B38" i="18"/>
  <c r="A38" i="18"/>
  <c r="R37" i="18"/>
  <c r="Q37" i="18"/>
  <c r="P37" i="18"/>
  <c r="O37" i="18"/>
  <c r="N37" i="18"/>
  <c r="M37" i="18"/>
  <c r="L37" i="18"/>
  <c r="K37" i="18"/>
  <c r="J37" i="18"/>
  <c r="I37" i="18"/>
  <c r="H37" i="18"/>
  <c r="G37" i="18"/>
  <c r="F37" i="18"/>
  <c r="E37" i="18"/>
  <c r="D37" i="18"/>
  <c r="C37" i="18"/>
  <c r="B37" i="18"/>
  <c r="A37" i="18"/>
  <c r="R36" i="18"/>
  <c r="Q36" i="18"/>
  <c r="P36" i="18"/>
  <c r="O36" i="18"/>
  <c r="N36" i="18"/>
  <c r="M36" i="18"/>
  <c r="L36" i="18"/>
  <c r="K36" i="18"/>
  <c r="J36" i="18"/>
  <c r="I36" i="18"/>
  <c r="H36" i="18"/>
  <c r="G36" i="18"/>
  <c r="F36" i="18"/>
  <c r="E36" i="18"/>
  <c r="D36" i="18"/>
  <c r="C36" i="18"/>
  <c r="B36" i="18"/>
  <c r="A36" i="18"/>
  <c r="R35" i="18"/>
  <c r="Q35" i="18"/>
  <c r="P35" i="18"/>
  <c r="O35" i="18"/>
  <c r="N35" i="18"/>
  <c r="M35" i="18"/>
  <c r="L35" i="18"/>
  <c r="K35" i="18"/>
  <c r="J35" i="18"/>
  <c r="I35" i="18"/>
  <c r="H35" i="18"/>
  <c r="G35" i="18"/>
  <c r="F35" i="18"/>
  <c r="E35" i="18"/>
  <c r="D35" i="18"/>
  <c r="C35" i="18"/>
  <c r="B35" i="18"/>
  <c r="A35" i="18"/>
  <c r="R34" i="18"/>
  <c r="Q34" i="18"/>
  <c r="P34" i="18"/>
  <c r="O34" i="18"/>
  <c r="N34" i="18"/>
  <c r="M34" i="18"/>
  <c r="L34" i="18"/>
  <c r="K34" i="18"/>
  <c r="J34" i="18"/>
  <c r="I34" i="18"/>
  <c r="H34" i="18"/>
  <c r="G34" i="18"/>
  <c r="F34" i="18"/>
  <c r="E34" i="18"/>
  <c r="D34" i="18"/>
  <c r="C34" i="18"/>
  <c r="B34" i="18"/>
  <c r="A34" i="18"/>
  <c r="R33" i="18"/>
  <c r="Q33" i="18"/>
  <c r="P33" i="18"/>
  <c r="O33" i="18"/>
  <c r="N33" i="18"/>
  <c r="M33" i="18"/>
  <c r="L33" i="18"/>
  <c r="K33" i="18"/>
  <c r="J33" i="18"/>
  <c r="I33" i="18"/>
  <c r="H33" i="18"/>
  <c r="G33" i="18"/>
  <c r="F33" i="18"/>
  <c r="E33" i="18"/>
  <c r="D33" i="18"/>
  <c r="C33" i="18"/>
  <c r="B33" i="18"/>
  <c r="A33" i="18"/>
  <c r="R32" i="18"/>
  <c r="Q32" i="18"/>
  <c r="P32" i="18"/>
  <c r="O32" i="18"/>
  <c r="N32" i="18"/>
  <c r="M32" i="18"/>
  <c r="L32" i="18"/>
  <c r="K32" i="18"/>
  <c r="J32" i="18"/>
  <c r="I32" i="18"/>
  <c r="H32" i="18"/>
  <c r="G32" i="18"/>
  <c r="F32" i="18"/>
  <c r="E32" i="18"/>
  <c r="D32" i="18"/>
  <c r="C32" i="18"/>
  <c r="B32" i="18"/>
  <c r="A32" i="18"/>
  <c r="R31" i="18"/>
  <c r="Q31" i="18"/>
  <c r="P31" i="18"/>
  <c r="O31" i="18"/>
  <c r="N31" i="18"/>
  <c r="M31" i="18"/>
  <c r="L31" i="18"/>
  <c r="K31" i="18"/>
  <c r="J31" i="18"/>
  <c r="I31" i="18"/>
  <c r="H31" i="18"/>
  <c r="G31" i="18"/>
  <c r="F31" i="18"/>
  <c r="E31" i="18"/>
  <c r="D31" i="18"/>
  <c r="C31" i="18"/>
  <c r="B31" i="18"/>
  <c r="A31" i="18"/>
  <c r="R30" i="18"/>
  <c r="Q30" i="18"/>
  <c r="P30" i="18"/>
  <c r="O30" i="18"/>
  <c r="N30" i="18"/>
  <c r="M30" i="18"/>
  <c r="L30" i="18"/>
  <c r="K30" i="18"/>
  <c r="J30" i="18"/>
  <c r="I30" i="18"/>
  <c r="H30" i="18"/>
  <c r="G30" i="18"/>
  <c r="F30" i="18"/>
  <c r="E30" i="18"/>
  <c r="D30" i="18"/>
  <c r="C30" i="18"/>
  <c r="B30" i="18"/>
  <c r="A30" i="18"/>
  <c r="R29" i="18"/>
  <c r="Q29" i="18"/>
  <c r="P29" i="18"/>
  <c r="O29" i="18"/>
  <c r="N29" i="18"/>
  <c r="M29" i="18"/>
  <c r="L29" i="18"/>
  <c r="K29" i="18"/>
  <c r="J29" i="18"/>
  <c r="I29" i="18"/>
  <c r="H29" i="18"/>
  <c r="G29" i="18"/>
  <c r="F29" i="18"/>
  <c r="E29" i="18"/>
  <c r="D29" i="18"/>
  <c r="C29" i="18"/>
  <c r="B29" i="18"/>
  <c r="A29" i="18"/>
  <c r="R28" i="18"/>
  <c r="Q28" i="18"/>
  <c r="P28" i="18"/>
  <c r="O28" i="18"/>
  <c r="N28" i="18"/>
  <c r="M28" i="18"/>
  <c r="L28" i="18"/>
  <c r="K28" i="18"/>
  <c r="J28" i="18"/>
  <c r="I28" i="18"/>
  <c r="H28" i="18"/>
  <c r="G28" i="18"/>
  <c r="F28" i="18"/>
  <c r="E28" i="18"/>
  <c r="D28" i="18"/>
  <c r="C28" i="18"/>
  <c r="B28" i="18"/>
  <c r="A28" i="18"/>
  <c r="R27" i="18"/>
  <c r="Q27" i="18"/>
  <c r="P27" i="18"/>
  <c r="O27" i="18"/>
  <c r="N27" i="18"/>
  <c r="M27" i="18"/>
  <c r="L27" i="18"/>
  <c r="K27" i="18"/>
  <c r="J27" i="18"/>
  <c r="I27" i="18"/>
  <c r="H27" i="18"/>
  <c r="G27" i="18"/>
  <c r="F27" i="18"/>
  <c r="E27" i="18"/>
  <c r="D27" i="18"/>
  <c r="C27" i="18"/>
  <c r="B27" i="18"/>
  <c r="A27" i="18"/>
  <c r="R26" i="18"/>
  <c r="Q26" i="18"/>
  <c r="P26" i="18"/>
  <c r="O26" i="18"/>
  <c r="N26" i="18"/>
  <c r="M26" i="18"/>
  <c r="L26" i="18"/>
  <c r="K26" i="18"/>
  <c r="J26" i="18"/>
  <c r="I26" i="18"/>
  <c r="H26" i="18"/>
  <c r="G26" i="18"/>
  <c r="F26" i="18"/>
  <c r="E26" i="18"/>
  <c r="D26" i="18"/>
  <c r="C26" i="18"/>
  <c r="B26" i="18"/>
  <c r="A26" i="18"/>
  <c r="R25" i="18"/>
  <c r="Q25" i="18"/>
  <c r="P25" i="18"/>
  <c r="O25" i="18"/>
  <c r="N25" i="18"/>
  <c r="M25" i="18"/>
  <c r="L25" i="18"/>
  <c r="K25" i="18"/>
  <c r="J25" i="18"/>
  <c r="I25" i="18"/>
  <c r="H25" i="18"/>
  <c r="G25" i="18"/>
  <c r="F25" i="18"/>
  <c r="E25" i="18"/>
  <c r="D25" i="18"/>
  <c r="C25" i="18"/>
  <c r="B25" i="18"/>
  <c r="A25" i="18"/>
  <c r="R24" i="18"/>
  <c r="Q24" i="18"/>
  <c r="P24" i="18"/>
  <c r="O24" i="18"/>
  <c r="N24" i="18"/>
  <c r="M24" i="18"/>
  <c r="L24" i="18"/>
  <c r="K24" i="18"/>
  <c r="J24" i="18"/>
  <c r="I24" i="18"/>
  <c r="H24" i="18"/>
  <c r="G24" i="18"/>
  <c r="F24" i="18"/>
  <c r="E24" i="18"/>
  <c r="D24" i="18"/>
  <c r="C24" i="18"/>
  <c r="B24" i="18"/>
  <c r="A24" i="18"/>
  <c r="R23" i="18"/>
  <c r="Q23" i="18"/>
  <c r="P23" i="18"/>
  <c r="O23" i="18"/>
  <c r="N23" i="18"/>
  <c r="M23" i="18"/>
  <c r="L23" i="18"/>
  <c r="K23" i="18"/>
  <c r="J23" i="18"/>
  <c r="I23" i="18"/>
  <c r="H23" i="18"/>
  <c r="G23" i="18"/>
  <c r="F23" i="18"/>
  <c r="E23" i="18"/>
  <c r="D23" i="18"/>
  <c r="C23" i="18"/>
  <c r="B23" i="18"/>
  <c r="A23" i="18"/>
  <c r="R22" i="18"/>
  <c r="Q22" i="18"/>
  <c r="P22" i="18"/>
  <c r="O22" i="18"/>
  <c r="N22" i="18"/>
  <c r="M22" i="18"/>
  <c r="L22" i="18"/>
  <c r="K22" i="18"/>
  <c r="J22" i="18"/>
  <c r="I22" i="18"/>
  <c r="H22" i="18"/>
  <c r="G22" i="18"/>
  <c r="F22" i="18"/>
  <c r="E22" i="18"/>
  <c r="D22" i="18"/>
  <c r="C22" i="18"/>
  <c r="B22" i="18"/>
  <c r="A22" i="18"/>
  <c r="R21" i="18"/>
  <c r="Q21" i="18"/>
  <c r="P21" i="18"/>
  <c r="O21" i="18"/>
  <c r="N21" i="18"/>
  <c r="M21" i="18"/>
  <c r="L21" i="18"/>
  <c r="K21" i="18"/>
  <c r="J21" i="18"/>
  <c r="I21" i="18"/>
  <c r="H21" i="18"/>
  <c r="G21" i="18"/>
  <c r="F21" i="18"/>
  <c r="E21" i="18"/>
  <c r="D21" i="18"/>
  <c r="C21" i="18"/>
  <c r="B21" i="18"/>
  <c r="A21" i="18"/>
  <c r="R20" i="18"/>
  <c r="Q20" i="18"/>
  <c r="P20" i="18"/>
  <c r="O20" i="18"/>
  <c r="N20" i="18"/>
  <c r="M20" i="18"/>
  <c r="L20" i="18"/>
  <c r="K20" i="18"/>
  <c r="J20" i="18"/>
  <c r="I20" i="18"/>
  <c r="H20" i="18"/>
  <c r="G20" i="18"/>
  <c r="F20" i="18"/>
  <c r="E20" i="18"/>
  <c r="D20" i="18"/>
  <c r="C20" i="18"/>
  <c r="B20" i="18"/>
  <c r="A20" i="18"/>
  <c r="R19" i="18"/>
  <c r="Q19" i="18"/>
  <c r="P19" i="18"/>
  <c r="O19" i="18"/>
  <c r="N19" i="18"/>
  <c r="M19" i="18"/>
  <c r="L19" i="18"/>
  <c r="K19" i="18"/>
  <c r="J19" i="18"/>
  <c r="I19" i="18"/>
  <c r="H19" i="18"/>
  <c r="G19" i="18"/>
  <c r="F19" i="18"/>
  <c r="E19" i="18"/>
  <c r="D19" i="18"/>
  <c r="C19" i="18"/>
  <c r="B19" i="18"/>
  <c r="A19" i="18"/>
  <c r="R18" i="18"/>
  <c r="Q18" i="18"/>
  <c r="P18" i="18"/>
  <c r="O18" i="18"/>
  <c r="N18" i="18"/>
  <c r="M18" i="18"/>
  <c r="L18" i="18"/>
  <c r="K18" i="18"/>
  <c r="J18" i="18"/>
  <c r="I18" i="18"/>
  <c r="H18" i="18"/>
  <c r="G18" i="18"/>
  <c r="F18" i="18"/>
  <c r="E18" i="18"/>
  <c r="D18" i="18"/>
  <c r="C18" i="18"/>
  <c r="B18" i="18"/>
  <c r="A18" i="18"/>
  <c r="R17" i="18"/>
  <c r="Q17" i="18"/>
  <c r="P17" i="18"/>
  <c r="O17" i="18"/>
  <c r="N17" i="18"/>
  <c r="M17" i="18"/>
  <c r="L17" i="18"/>
  <c r="K17" i="18"/>
  <c r="J17" i="18"/>
  <c r="I17" i="18"/>
  <c r="H17" i="18"/>
  <c r="G17" i="18"/>
  <c r="F17" i="18"/>
  <c r="E17" i="18"/>
  <c r="D17" i="18"/>
  <c r="C17" i="18"/>
  <c r="B17" i="18"/>
  <c r="A17" i="18"/>
  <c r="R16" i="18"/>
  <c r="Q16" i="18"/>
  <c r="P16" i="18"/>
  <c r="O16" i="18"/>
  <c r="N16" i="18"/>
  <c r="M16" i="18"/>
  <c r="L16" i="18"/>
  <c r="K16" i="18"/>
  <c r="J16" i="18"/>
  <c r="I16" i="18"/>
  <c r="H16" i="18"/>
  <c r="G16" i="18"/>
  <c r="F16" i="18"/>
  <c r="E16" i="18"/>
  <c r="D16" i="18"/>
  <c r="C16" i="18"/>
  <c r="B16" i="18"/>
  <c r="A16" i="18"/>
  <c r="R15" i="18"/>
  <c r="Q15" i="18"/>
  <c r="P15" i="18"/>
  <c r="O15" i="18"/>
  <c r="N15" i="18"/>
  <c r="M15" i="18"/>
  <c r="L15" i="18"/>
  <c r="K15" i="18"/>
  <c r="J15" i="18"/>
  <c r="I15" i="18"/>
  <c r="H15" i="18"/>
  <c r="G15" i="18"/>
  <c r="F15" i="18"/>
  <c r="E15" i="18"/>
  <c r="D15" i="18"/>
  <c r="C15" i="18"/>
  <c r="B15" i="18"/>
  <c r="A15" i="18"/>
  <c r="R14" i="18"/>
  <c r="Q14" i="18"/>
  <c r="P14" i="18"/>
  <c r="O14" i="18"/>
  <c r="N14" i="18"/>
  <c r="M14" i="18"/>
  <c r="L14" i="18"/>
  <c r="K14" i="18"/>
  <c r="J14" i="18"/>
  <c r="I14" i="18"/>
  <c r="H14" i="18"/>
  <c r="G14" i="18"/>
  <c r="F14" i="18"/>
  <c r="E14" i="18"/>
  <c r="D14" i="18"/>
  <c r="C14" i="18"/>
  <c r="B14" i="18"/>
  <c r="A14" i="18"/>
  <c r="R13" i="18"/>
  <c r="Q13" i="18"/>
  <c r="P13" i="18"/>
  <c r="O13" i="18"/>
  <c r="N13" i="18"/>
  <c r="M13" i="18"/>
  <c r="L13" i="18"/>
  <c r="K13" i="18"/>
  <c r="J13" i="18"/>
  <c r="I13" i="18"/>
  <c r="H13" i="18"/>
  <c r="G13" i="18"/>
  <c r="F13" i="18"/>
  <c r="E13" i="18"/>
  <c r="D13" i="18"/>
  <c r="C13" i="18"/>
  <c r="B13" i="18"/>
  <c r="A13" i="18"/>
  <c r="R12" i="18"/>
  <c r="Q12" i="18"/>
  <c r="P12" i="18"/>
  <c r="O12" i="18"/>
  <c r="N12" i="18"/>
  <c r="M12" i="18"/>
  <c r="L12" i="18"/>
  <c r="K12" i="18"/>
  <c r="J12" i="18"/>
  <c r="I12" i="18"/>
  <c r="H12" i="18"/>
  <c r="G12" i="18"/>
  <c r="F12" i="18"/>
  <c r="E12" i="18"/>
  <c r="D12" i="18"/>
  <c r="C12" i="18"/>
  <c r="B12" i="18"/>
  <c r="A12" i="18"/>
  <c r="R11" i="18"/>
  <c r="Q11" i="18"/>
  <c r="P11" i="18"/>
  <c r="O11" i="18"/>
  <c r="N11" i="18"/>
  <c r="M11" i="18"/>
  <c r="L11" i="18"/>
  <c r="K11" i="18"/>
  <c r="J11" i="18"/>
  <c r="I11" i="18"/>
  <c r="H11" i="18"/>
  <c r="G11" i="18"/>
  <c r="F11" i="18"/>
  <c r="E11" i="18"/>
  <c r="D11" i="18"/>
  <c r="C11" i="18"/>
  <c r="B11" i="18"/>
  <c r="A11" i="18"/>
  <c r="R10" i="18"/>
  <c r="Q10" i="18"/>
  <c r="P10" i="18"/>
  <c r="O10" i="18"/>
  <c r="N10" i="18"/>
  <c r="M10" i="18"/>
  <c r="L10" i="18"/>
  <c r="K10" i="18"/>
  <c r="J10" i="18"/>
  <c r="I10" i="18"/>
  <c r="H10" i="18"/>
  <c r="G10" i="18"/>
  <c r="F10" i="18"/>
  <c r="E10" i="18"/>
  <c r="D10" i="18"/>
  <c r="C10" i="18"/>
  <c r="B10" i="18"/>
  <c r="A10" i="18"/>
  <c r="R9" i="18"/>
  <c r="Q9" i="18"/>
  <c r="P9" i="18"/>
  <c r="O9" i="18"/>
  <c r="N9" i="18"/>
  <c r="M9" i="18"/>
  <c r="L9" i="18"/>
  <c r="K9" i="18"/>
  <c r="J9" i="18"/>
  <c r="I9" i="18"/>
  <c r="H9" i="18"/>
  <c r="G9" i="18"/>
  <c r="F9" i="18"/>
  <c r="E9" i="18"/>
  <c r="D9" i="18"/>
  <c r="C9" i="18"/>
  <c r="B9" i="18"/>
  <c r="A9" i="18"/>
  <c r="R8" i="18"/>
  <c r="Q8" i="18"/>
  <c r="P8" i="18"/>
  <c r="O8" i="18"/>
  <c r="N8" i="18"/>
  <c r="M8" i="18"/>
  <c r="L8" i="18"/>
  <c r="K8" i="18"/>
  <c r="J8" i="18"/>
  <c r="I8" i="18"/>
  <c r="H8" i="18"/>
  <c r="G8" i="18"/>
  <c r="F8" i="18"/>
  <c r="E8" i="18"/>
  <c r="D8" i="18"/>
  <c r="C8" i="18"/>
  <c r="B8" i="18"/>
  <c r="A8" i="18"/>
  <c r="R7" i="18"/>
  <c r="Q7" i="18"/>
  <c r="P7" i="18"/>
  <c r="O7" i="18"/>
  <c r="N7" i="18"/>
  <c r="M7" i="18"/>
  <c r="L7" i="18"/>
  <c r="K7" i="18"/>
  <c r="J7" i="18"/>
  <c r="I7" i="18"/>
  <c r="H7" i="18"/>
  <c r="G7" i="18"/>
  <c r="F7" i="18"/>
  <c r="E7" i="18"/>
  <c r="D7" i="18"/>
  <c r="C7" i="18"/>
  <c r="B7" i="18"/>
  <c r="A7" i="18"/>
  <c r="R6" i="18"/>
  <c r="Q6" i="18"/>
  <c r="P6" i="18"/>
  <c r="O6" i="18"/>
  <c r="N6" i="18"/>
  <c r="M6" i="18"/>
  <c r="L6" i="18"/>
  <c r="K6" i="18"/>
  <c r="J6" i="18"/>
  <c r="I6" i="18"/>
  <c r="H6" i="18"/>
  <c r="G6" i="18"/>
  <c r="F6" i="18"/>
  <c r="E6" i="18"/>
  <c r="D6" i="18"/>
  <c r="C6" i="18"/>
  <c r="B6" i="18"/>
  <c r="A6" i="18"/>
  <c r="R5" i="18"/>
  <c r="Q5" i="18"/>
  <c r="P5" i="18"/>
  <c r="O5" i="18"/>
  <c r="N5" i="18"/>
  <c r="M5" i="18"/>
  <c r="L5" i="18"/>
  <c r="K5" i="18"/>
  <c r="J5" i="18"/>
  <c r="I5" i="18"/>
  <c r="H5" i="18"/>
  <c r="G5" i="18"/>
  <c r="F5" i="18"/>
  <c r="E5" i="18"/>
  <c r="D5" i="18"/>
  <c r="C5" i="18"/>
  <c r="B5" i="18"/>
  <c r="A5" i="18"/>
  <c r="R4" i="18"/>
  <c r="Q4" i="18"/>
  <c r="P4" i="18"/>
  <c r="O4" i="18"/>
  <c r="N4" i="18"/>
  <c r="M4" i="18"/>
  <c r="L4" i="18"/>
  <c r="K4" i="18"/>
  <c r="J4" i="18"/>
  <c r="I4" i="18"/>
  <c r="H4" i="18"/>
  <c r="G4" i="18"/>
  <c r="F4" i="18"/>
  <c r="E4" i="18"/>
  <c r="D4" i="18"/>
  <c r="C4" i="18"/>
  <c r="B4" i="18"/>
  <c r="A4" i="18"/>
  <c r="R3" i="18"/>
  <c r="Q3" i="18"/>
  <c r="P3" i="18"/>
  <c r="O3" i="18"/>
  <c r="N3" i="18"/>
  <c r="M3" i="18"/>
  <c r="L3" i="18"/>
  <c r="K3" i="18"/>
  <c r="J3" i="18"/>
  <c r="I3" i="18"/>
  <c r="H3" i="18"/>
  <c r="G3" i="18"/>
  <c r="F3" i="18"/>
  <c r="E3" i="18"/>
  <c r="D3" i="18"/>
  <c r="C3" i="18"/>
  <c r="B3" i="18"/>
  <c r="A3" i="18"/>
  <c r="R2" i="18"/>
  <c r="Q2" i="18"/>
  <c r="P2" i="18"/>
  <c r="O2" i="18"/>
  <c r="N2" i="18"/>
  <c r="M2" i="18"/>
  <c r="L2" i="18"/>
  <c r="K2" i="18"/>
  <c r="J2" i="18"/>
  <c r="I2" i="18"/>
  <c r="H2" i="18"/>
  <c r="G2" i="18"/>
  <c r="F2" i="18"/>
  <c r="E2" i="18"/>
  <c r="D2" i="18"/>
  <c r="C2" i="18"/>
  <c r="B2" i="18"/>
  <c r="A2" i="18"/>
  <c r="R1" i="18"/>
  <c r="Q1" i="18"/>
  <c r="P1" i="18"/>
  <c r="O1" i="18"/>
  <c r="N1" i="18"/>
  <c r="M1" i="18"/>
  <c r="L1" i="18"/>
  <c r="K1" i="18"/>
  <c r="J1" i="18"/>
  <c r="I1" i="18"/>
  <c r="H1" i="18"/>
  <c r="G1" i="18"/>
  <c r="F1" i="18"/>
  <c r="E1" i="18"/>
  <c r="D1" i="18"/>
  <c r="C1" i="18"/>
  <c r="B1" i="18"/>
  <c r="A1" i="18"/>
  <c r="S47" i="17"/>
  <c r="R47" i="17"/>
  <c r="Q47" i="17"/>
  <c r="P47" i="17"/>
  <c r="O47" i="17"/>
  <c r="N47" i="17"/>
  <c r="M47" i="17"/>
  <c r="L47" i="17"/>
  <c r="K47" i="17"/>
  <c r="J47" i="17"/>
  <c r="I47" i="17"/>
  <c r="H47" i="17"/>
  <c r="G47" i="17"/>
  <c r="F47" i="17"/>
  <c r="E47" i="17"/>
  <c r="D47" i="17"/>
  <c r="C47" i="17"/>
  <c r="B47" i="17"/>
  <c r="A47" i="17"/>
  <c r="S46" i="17"/>
  <c r="R46" i="17"/>
  <c r="Q46" i="17"/>
  <c r="P46" i="17"/>
  <c r="O46" i="17"/>
  <c r="N46" i="17"/>
  <c r="M46" i="17"/>
  <c r="L46" i="17"/>
  <c r="K46" i="17"/>
  <c r="J46" i="17"/>
  <c r="I46" i="17"/>
  <c r="H46" i="17"/>
  <c r="G46" i="17"/>
  <c r="F46" i="17"/>
  <c r="E46" i="17"/>
  <c r="D46" i="17"/>
  <c r="C46" i="17"/>
  <c r="B46" i="17"/>
  <c r="A46" i="17"/>
  <c r="S45" i="17"/>
  <c r="R45" i="17"/>
  <c r="Q45" i="17"/>
  <c r="P45" i="17"/>
  <c r="O45" i="17"/>
  <c r="N45" i="17"/>
  <c r="M45" i="17"/>
  <c r="L45" i="17"/>
  <c r="K45" i="17"/>
  <c r="J45" i="17"/>
  <c r="I45" i="17"/>
  <c r="H45" i="17"/>
  <c r="G45" i="17"/>
  <c r="F45" i="17"/>
  <c r="E45" i="17"/>
  <c r="D45" i="17"/>
  <c r="C45" i="17"/>
  <c r="B45" i="17"/>
  <c r="A45" i="17"/>
  <c r="S44" i="17"/>
  <c r="R44" i="17"/>
  <c r="Q44" i="17"/>
  <c r="P44" i="17"/>
  <c r="O44" i="17"/>
  <c r="N44" i="17"/>
  <c r="M44" i="17"/>
  <c r="L44" i="17"/>
  <c r="K44" i="17"/>
  <c r="J44" i="17"/>
  <c r="I44" i="17"/>
  <c r="H44" i="17"/>
  <c r="G44" i="17"/>
  <c r="F44" i="17"/>
  <c r="E44" i="17"/>
  <c r="D44" i="17"/>
  <c r="C44" i="17"/>
  <c r="B44" i="17"/>
  <c r="A44" i="17"/>
  <c r="S43" i="17"/>
  <c r="R43" i="17"/>
  <c r="Q43" i="17"/>
  <c r="P43" i="17"/>
  <c r="O43" i="17"/>
  <c r="N43" i="17"/>
  <c r="M43" i="17"/>
  <c r="L43" i="17"/>
  <c r="K43" i="17"/>
  <c r="J43" i="17"/>
  <c r="I43" i="17"/>
  <c r="H43" i="17"/>
  <c r="G43" i="17"/>
  <c r="F43" i="17"/>
  <c r="E43" i="17"/>
  <c r="D43" i="17"/>
  <c r="C43" i="17"/>
  <c r="B43" i="17"/>
  <c r="A43" i="17"/>
  <c r="S42" i="17"/>
  <c r="R42" i="17"/>
  <c r="Q42" i="17"/>
  <c r="P42" i="17"/>
  <c r="O42" i="17"/>
  <c r="N42" i="17"/>
  <c r="M42" i="17"/>
  <c r="L42" i="17"/>
  <c r="K42" i="17"/>
  <c r="J42" i="17"/>
  <c r="I42" i="17"/>
  <c r="H42" i="17"/>
  <c r="G42" i="17"/>
  <c r="F42" i="17"/>
  <c r="E42" i="17"/>
  <c r="D42" i="17"/>
  <c r="C42" i="17"/>
  <c r="B42" i="17"/>
  <c r="A42" i="17"/>
  <c r="S41" i="17"/>
  <c r="R41" i="17"/>
  <c r="Q41" i="17"/>
  <c r="P41" i="17"/>
  <c r="O41" i="17"/>
  <c r="N41" i="17"/>
  <c r="M41" i="17"/>
  <c r="L41" i="17"/>
  <c r="K41" i="17"/>
  <c r="J41" i="17"/>
  <c r="I41" i="17"/>
  <c r="H41" i="17"/>
  <c r="G41" i="17"/>
  <c r="F41" i="17"/>
  <c r="E41" i="17"/>
  <c r="D41" i="17"/>
  <c r="C41" i="17"/>
  <c r="B41" i="17"/>
  <c r="A41" i="17"/>
  <c r="S40" i="17"/>
  <c r="R40" i="17"/>
  <c r="Q40" i="17"/>
  <c r="P40" i="17"/>
  <c r="O40" i="17"/>
  <c r="N40" i="17"/>
  <c r="M40" i="17"/>
  <c r="L40" i="17"/>
  <c r="K40" i="17"/>
  <c r="J40" i="17"/>
  <c r="I40" i="17"/>
  <c r="H40" i="17"/>
  <c r="G40" i="17"/>
  <c r="F40" i="17"/>
  <c r="E40" i="17"/>
  <c r="D40" i="17"/>
  <c r="C40" i="17"/>
  <c r="B40" i="17"/>
  <c r="A40" i="17"/>
  <c r="S39" i="17"/>
  <c r="R39" i="17"/>
  <c r="Q39" i="17"/>
  <c r="P39" i="17"/>
  <c r="O39" i="17"/>
  <c r="N39" i="17"/>
  <c r="M39" i="17"/>
  <c r="L39" i="17"/>
  <c r="K39" i="17"/>
  <c r="J39" i="17"/>
  <c r="I39" i="17"/>
  <c r="H39" i="17"/>
  <c r="G39" i="17"/>
  <c r="F39" i="17"/>
  <c r="E39" i="17"/>
  <c r="D39" i="17"/>
  <c r="C39" i="17"/>
  <c r="B39" i="17"/>
  <c r="A39" i="17"/>
  <c r="S38" i="17"/>
  <c r="R38" i="17"/>
  <c r="Q38" i="17"/>
  <c r="P38" i="17"/>
  <c r="O38" i="17"/>
  <c r="N38" i="17"/>
  <c r="M38" i="17"/>
  <c r="L38" i="17"/>
  <c r="K38" i="17"/>
  <c r="J38" i="17"/>
  <c r="I38" i="17"/>
  <c r="H38" i="17"/>
  <c r="G38" i="17"/>
  <c r="F38" i="17"/>
  <c r="E38" i="17"/>
  <c r="D38" i="17"/>
  <c r="C38" i="17"/>
  <c r="B38" i="17"/>
  <c r="A38" i="17"/>
  <c r="S37" i="17"/>
  <c r="R37" i="17"/>
  <c r="Q37" i="17"/>
  <c r="P37" i="17"/>
  <c r="O37" i="17"/>
  <c r="N37" i="17"/>
  <c r="M37" i="17"/>
  <c r="L37" i="17"/>
  <c r="K37" i="17"/>
  <c r="J37" i="17"/>
  <c r="I37" i="17"/>
  <c r="H37" i="17"/>
  <c r="G37" i="17"/>
  <c r="F37" i="17"/>
  <c r="E37" i="17"/>
  <c r="D37" i="17"/>
  <c r="C37" i="17"/>
  <c r="B37" i="17"/>
  <c r="A37" i="17"/>
  <c r="S36" i="17"/>
  <c r="R36" i="17"/>
  <c r="Q36" i="17"/>
  <c r="P36" i="17"/>
  <c r="O36" i="17"/>
  <c r="N36" i="17"/>
  <c r="M36" i="17"/>
  <c r="L36" i="17"/>
  <c r="K36" i="17"/>
  <c r="J36" i="17"/>
  <c r="I36" i="17"/>
  <c r="H36" i="17"/>
  <c r="G36" i="17"/>
  <c r="F36" i="17"/>
  <c r="E36" i="17"/>
  <c r="D36" i="17"/>
  <c r="C36" i="17"/>
  <c r="B36" i="17"/>
  <c r="A36" i="17"/>
  <c r="S35" i="17"/>
  <c r="R35" i="17"/>
  <c r="Q35" i="17"/>
  <c r="P35" i="17"/>
  <c r="O35" i="17"/>
  <c r="N35" i="17"/>
  <c r="M35" i="17"/>
  <c r="L35" i="17"/>
  <c r="K35" i="17"/>
  <c r="J35" i="17"/>
  <c r="I35" i="17"/>
  <c r="H35" i="17"/>
  <c r="G35" i="17"/>
  <c r="F35" i="17"/>
  <c r="E35" i="17"/>
  <c r="D35" i="17"/>
  <c r="C35" i="17"/>
  <c r="B35" i="17"/>
  <c r="A35" i="17"/>
  <c r="S34" i="17"/>
  <c r="R34" i="17"/>
  <c r="Q34" i="17"/>
  <c r="P34" i="17"/>
  <c r="O34" i="17"/>
  <c r="N34" i="17"/>
  <c r="M34" i="17"/>
  <c r="L34" i="17"/>
  <c r="K34" i="17"/>
  <c r="J34" i="17"/>
  <c r="I34" i="17"/>
  <c r="H34" i="17"/>
  <c r="G34" i="17"/>
  <c r="F34" i="17"/>
  <c r="E34" i="17"/>
  <c r="D34" i="17"/>
  <c r="C34" i="17"/>
  <c r="B34" i="17"/>
  <c r="A34" i="17"/>
  <c r="S33" i="17"/>
  <c r="R33" i="17"/>
  <c r="Q33" i="17"/>
  <c r="P33" i="17"/>
  <c r="O33" i="17"/>
  <c r="N33" i="17"/>
  <c r="M33" i="17"/>
  <c r="L33" i="17"/>
  <c r="K33" i="17"/>
  <c r="J33" i="17"/>
  <c r="I33" i="17"/>
  <c r="H33" i="17"/>
  <c r="G33" i="17"/>
  <c r="F33" i="17"/>
  <c r="E33" i="17"/>
  <c r="D33" i="17"/>
  <c r="C33" i="17"/>
  <c r="B33" i="17"/>
  <c r="A33" i="17"/>
  <c r="S32" i="17"/>
  <c r="R32" i="17"/>
  <c r="Q32" i="17"/>
  <c r="P32" i="17"/>
  <c r="O32" i="17"/>
  <c r="N32" i="17"/>
  <c r="M32" i="17"/>
  <c r="L32" i="17"/>
  <c r="K32" i="17"/>
  <c r="J32" i="17"/>
  <c r="I32" i="17"/>
  <c r="H32" i="17"/>
  <c r="G32" i="17"/>
  <c r="F32" i="17"/>
  <c r="E32" i="17"/>
  <c r="D32" i="17"/>
  <c r="C32" i="17"/>
  <c r="B32" i="17"/>
  <c r="A32" i="17"/>
  <c r="S31" i="17"/>
  <c r="R31" i="17"/>
  <c r="Q31" i="17"/>
  <c r="P31" i="17"/>
  <c r="O31" i="17"/>
  <c r="N31" i="17"/>
  <c r="M31" i="17"/>
  <c r="L31" i="17"/>
  <c r="K31" i="17"/>
  <c r="J31" i="17"/>
  <c r="I31" i="17"/>
  <c r="H31" i="17"/>
  <c r="G31" i="17"/>
  <c r="F31" i="17"/>
  <c r="E31" i="17"/>
  <c r="D31" i="17"/>
  <c r="C31" i="17"/>
  <c r="B31" i="17"/>
  <c r="A31" i="17"/>
  <c r="S30" i="17"/>
  <c r="R30" i="17"/>
  <c r="Q30" i="17"/>
  <c r="P30" i="17"/>
  <c r="O30" i="17"/>
  <c r="N30" i="17"/>
  <c r="M30" i="17"/>
  <c r="L30" i="17"/>
  <c r="K30" i="17"/>
  <c r="J30" i="17"/>
  <c r="I30" i="17"/>
  <c r="H30" i="17"/>
  <c r="G30" i="17"/>
  <c r="F30" i="17"/>
  <c r="E30" i="17"/>
  <c r="D30" i="17"/>
  <c r="C30" i="17"/>
  <c r="B30" i="17"/>
  <c r="A30" i="17"/>
  <c r="S29" i="17"/>
  <c r="R29" i="17"/>
  <c r="Q29" i="17"/>
  <c r="P29" i="17"/>
  <c r="O29" i="17"/>
  <c r="N29" i="17"/>
  <c r="M29" i="17"/>
  <c r="L29" i="17"/>
  <c r="K29" i="17"/>
  <c r="J29" i="17"/>
  <c r="I29" i="17"/>
  <c r="H29" i="17"/>
  <c r="G29" i="17"/>
  <c r="F29" i="17"/>
  <c r="E29" i="17"/>
  <c r="D29" i="17"/>
  <c r="C29" i="17"/>
  <c r="B29" i="17"/>
  <c r="A29" i="17"/>
  <c r="S28" i="17"/>
  <c r="R28" i="17"/>
  <c r="Q28" i="17"/>
  <c r="P28" i="17"/>
  <c r="O28" i="17"/>
  <c r="N28" i="17"/>
  <c r="M28" i="17"/>
  <c r="L28" i="17"/>
  <c r="K28" i="17"/>
  <c r="J28" i="17"/>
  <c r="I28" i="17"/>
  <c r="H28" i="17"/>
  <c r="G28" i="17"/>
  <c r="F28" i="17"/>
  <c r="E28" i="17"/>
  <c r="D28" i="17"/>
  <c r="C28" i="17"/>
  <c r="B28" i="17"/>
  <c r="A28" i="17"/>
  <c r="S27" i="17"/>
  <c r="R27" i="17"/>
  <c r="Q27" i="17"/>
  <c r="P27" i="17"/>
  <c r="O27" i="17"/>
  <c r="N27" i="17"/>
  <c r="M27" i="17"/>
  <c r="L27" i="17"/>
  <c r="K27" i="17"/>
  <c r="J27" i="17"/>
  <c r="I27" i="17"/>
  <c r="H27" i="17"/>
  <c r="G27" i="17"/>
  <c r="F27" i="17"/>
  <c r="E27" i="17"/>
  <c r="D27" i="17"/>
  <c r="C27" i="17"/>
  <c r="B27" i="17"/>
  <c r="A27" i="17"/>
  <c r="S26" i="17"/>
  <c r="R26" i="17"/>
  <c r="Q26" i="17"/>
  <c r="P26" i="17"/>
  <c r="O26" i="17"/>
  <c r="N26" i="17"/>
  <c r="M26" i="17"/>
  <c r="L26" i="17"/>
  <c r="K26" i="17"/>
  <c r="J26" i="17"/>
  <c r="I26" i="17"/>
  <c r="H26" i="17"/>
  <c r="G26" i="17"/>
  <c r="F26" i="17"/>
  <c r="E26" i="17"/>
  <c r="D26" i="17"/>
  <c r="C26" i="17"/>
  <c r="B26" i="17"/>
  <c r="A26" i="17"/>
  <c r="S25" i="17"/>
  <c r="R25" i="17"/>
  <c r="Q25" i="17"/>
  <c r="P25" i="17"/>
  <c r="O25" i="17"/>
  <c r="N25" i="17"/>
  <c r="M25" i="17"/>
  <c r="L25" i="17"/>
  <c r="K25" i="17"/>
  <c r="J25" i="17"/>
  <c r="I25" i="17"/>
  <c r="H25" i="17"/>
  <c r="G25" i="17"/>
  <c r="F25" i="17"/>
  <c r="E25" i="17"/>
  <c r="D25" i="17"/>
  <c r="C25" i="17"/>
  <c r="B25" i="17"/>
  <c r="A25" i="17"/>
  <c r="S24" i="17"/>
  <c r="R24" i="17"/>
  <c r="Q24" i="17"/>
  <c r="P24" i="17"/>
  <c r="O24" i="17"/>
  <c r="N24" i="17"/>
  <c r="M24" i="17"/>
  <c r="L24" i="17"/>
  <c r="K24" i="17"/>
  <c r="J24" i="17"/>
  <c r="I24" i="17"/>
  <c r="H24" i="17"/>
  <c r="G24" i="17"/>
  <c r="F24" i="17"/>
  <c r="E24" i="17"/>
  <c r="D24" i="17"/>
  <c r="C24" i="17"/>
  <c r="B24" i="17"/>
  <c r="A24" i="17"/>
  <c r="S23" i="17"/>
  <c r="R23" i="17"/>
  <c r="Q23" i="17"/>
  <c r="P23" i="17"/>
  <c r="O23" i="17"/>
  <c r="N23" i="17"/>
  <c r="M23" i="17"/>
  <c r="L23" i="17"/>
  <c r="K23" i="17"/>
  <c r="J23" i="17"/>
  <c r="I23" i="17"/>
  <c r="H23" i="17"/>
  <c r="G23" i="17"/>
  <c r="F23" i="17"/>
  <c r="E23" i="17"/>
  <c r="D23" i="17"/>
  <c r="C23" i="17"/>
  <c r="B23" i="17"/>
  <c r="A23" i="17"/>
  <c r="S22" i="17"/>
  <c r="R22" i="17"/>
  <c r="Q22" i="17"/>
  <c r="P22" i="17"/>
  <c r="O22" i="17"/>
  <c r="N22" i="17"/>
  <c r="M22" i="17"/>
  <c r="L22" i="17"/>
  <c r="K22" i="17"/>
  <c r="J22" i="17"/>
  <c r="I22" i="17"/>
  <c r="H22" i="17"/>
  <c r="G22" i="17"/>
  <c r="F22" i="17"/>
  <c r="E22" i="17"/>
  <c r="D22" i="17"/>
  <c r="C22" i="17"/>
  <c r="B22" i="17"/>
  <c r="A22" i="17"/>
  <c r="S21" i="17"/>
  <c r="R21" i="17"/>
  <c r="Q21" i="17"/>
  <c r="P21" i="17"/>
  <c r="O21" i="17"/>
  <c r="N21" i="17"/>
  <c r="M21" i="17"/>
  <c r="L21" i="17"/>
  <c r="K21" i="17"/>
  <c r="J21" i="17"/>
  <c r="I21" i="17"/>
  <c r="H21" i="17"/>
  <c r="G21" i="17"/>
  <c r="E21" i="17"/>
  <c r="D21" i="17"/>
  <c r="C21" i="17"/>
  <c r="B21" i="17"/>
  <c r="A21" i="17"/>
  <c r="S20" i="17"/>
  <c r="R20" i="17"/>
  <c r="Q20" i="17"/>
  <c r="P20" i="17"/>
  <c r="O20" i="17"/>
  <c r="N20" i="17"/>
  <c r="M20" i="17"/>
  <c r="L20" i="17"/>
  <c r="K20" i="17"/>
  <c r="J20" i="17"/>
  <c r="I20" i="17"/>
  <c r="H20" i="17"/>
  <c r="G20" i="17"/>
  <c r="F20" i="17"/>
  <c r="E20" i="17"/>
  <c r="D20" i="17"/>
  <c r="C20" i="17"/>
  <c r="B20" i="17"/>
  <c r="A20" i="17"/>
  <c r="S19" i="17"/>
  <c r="R19" i="17"/>
  <c r="Q19" i="17"/>
  <c r="P19" i="17"/>
  <c r="O19" i="17"/>
  <c r="N19" i="17"/>
  <c r="M19" i="17"/>
  <c r="L19" i="17"/>
  <c r="K19" i="17"/>
  <c r="J19" i="17"/>
  <c r="I19" i="17"/>
  <c r="H19" i="17"/>
  <c r="G19" i="17"/>
  <c r="F19" i="17"/>
  <c r="E19" i="17"/>
  <c r="D19" i="17"/>
  <c r="C19" i="17"/>
  <c r="B19" i="17"/>
  <c r="A19" i="17"/>
  <c r="S18" i="17"/>
  <c r="R18" i="17"/>
  <c r="Q18" i="17"/>
  <c r="P18" i="17"/>
  <c r="O18" i="17"/>
  <c r="N18" i="17"/>
  <c r="M18" i="17"/>
  <c r="L18" i="17"/>
  <c r="K18" i="17"/>
  <c r="J18" i="17"/>
  <c r="I18" i="17"/>
  <c r="H18" i="17"/>
  <c r="G18" i="17"/>
  <c r="F18" i="17"/>
  <c r="E18" i="17"/>
  <c r="D18" i="17"/>
  <c r="C18" i="17"/>
  <c r="B18" i="17"/>
  <c r="A18" i="17"/>
  <c r="S17" i="17"/>
  <c r="R17" i="17"/>
  <c r="Q17" i="17"/>
  <c r="P17" i="17"/>
  <c r="O17" i="17"/>
  <c r="N17" i="17"/>
  <c r="M17" i="17"/>
  <c r="L17" i="17"/>
  <c r="K17" i="17"/>
  <c r="J17" i="17"/>
  <c r="I17" i="17"/>
  <c r="H17" i="17"/>
  <c r="G17" i="17"/>
  <c r="F17" i="17"/>
  <c r="E17" i="17"/>
  <c r="D17" i="17"/>
  <c r="C17" i="17"/>
  <c r="B17" i="17"/>
  <c r="A17" i="17"/>
  <c r="S16" i="17"/>
  <c r="R16" i="17"/>
  <c r="Q16" i="17"/>
  <c r="P16" i="17"/>
  <c r="O16" i="17"/>
  <c r="N16" i="17"/>
  <c r="M16" i="17"/>
  <c r="L16" i="17"/>
  <c r="K16" i="17"/>
  <c r="J16" i="17"/>
  <c r="I16" i="17"/>
  <c r="H16" i="17"/>
  <c r="G16" i="17"/>
  <c r="F16" i="17"/>
  <c r="E16" i="17"/>
  <c r="D16" i="17"/>
  <c r="C16" i="17"/>
  <c r="B16" i="17"/>
  <c r="A16" i="17"/>
  <c r="S15" i="17"/>
  <c r="R15" i="17"/>
  <c r="Q15" i="17"/>
  <c r="P15" i="17"/>
  <c r="O15" i="17"/>
  <c r="N15" i="17"/>
  <c r="M15" i="17"/>
  <c r="L15" i="17"/>
  <c r="K15" i="17"/>
  <c r="J15" i="17"/>
  <c r="I15" i="17"/>
  <c r="H15" i="17"/>
  <c r="G15" i="17"/>
  <c r="F15" i="17"/>
  <c r="E15" i="17"/>
  <c r="D15" i="17"/>
  <c r="C15" i="17"/>
  <c r="B15" i="17"/>
  <c r="A15" i="17"/>
  <c r="S14" i="17"/>
  <c r="R14" i="17"/>
  <c r="Q14" i="17"/>
  <c r="P14" i="17"/>
  <c r="O14" i="17"/>
  <c r="N14" i="17"/>
  <c r="M14" i="17"/>
  <c r="L14" i="17"/>
  <c r="K14" i="17"/>
  <c r="J14" i="17"/>
  <c r="I14" i="17"/>
  <c r="H14" i="17"/>
  <c r="G14" i="17"/>
  <c r="F14" i="17"/>
  <c r="E14" i="17"/>
  <c r="D14" i="17"/>
  <c r="C14" i="17"/>
  <c r="B14" i="17"/>
  <c r="A14" i="17"/>
  <c r="S13" i="17"/>
  <c r="R13" i="17"/>
  <c r="Q13" i="17"/>
  <c r="P13" i="17"/>
  <c r="O13" i="17"/>
  <c r="N13" i="17"/>
  <c r="M13" i="17"/>
  <c r="L13" i="17"/>
  <c r="K13" i="17"/>
  <c r="J13" i="17"/>
  <c r="I13" i="17"/>
  <c r="H13" i="17"/>
  <c r="G13" i="17"/>
  <c r="F13" i="17"/>
  <c r="E13" i="17"/>
  <c r="D13" i="17"/>
  <c r="C13" i="17"/>
  <c r="B13" i="17"/>
  <c r="A13" i="17"/>
  <c r="S12" i="17"/>
  <c r="R12" i="17"/>
  <c r="Q12" i="17"/>
  <c r="P12" i="17"/>
  <c r="O12" i="17"/>
  <c r="N12" i="17"/>
  <c r="M12" i="17"/>
  <c r="L12" i="17"/>
  <c r="K12" i="17"/>
  <c r="J12" i="17"/>
  <c r="I12" i="17"/>
  <c r="H12" i="17"/>
  <c r="G12" i="17"/>
  <c r="F12" i="17"/>
  <c r="E12" i="17"/>
  <c r="D12" i="17"/>
  <c r="C12" i="17"/>
  <c r="B12" i="17"/>
  <c r="A12" i="17"/>
  <c r="S11" i="17"/>
  <c r="R11" i="17"/>
  <c r="Q11" i="17"/>
  <c r="P11" i="17"/>
  <c r="O11" i="17"/>
  <c r="N11" i="17"/>
  <c r="M11" i="17"/>
  <c r="L11" i="17"/>
  <c r="K11" i="17"/>
  <c r="J11" i="17"/>
  <c r="I11" i="17"/>
  <c r="H11" i="17"/>
  <c r="G11" i="17"/>
  <c r="F11" i="17"/>
  <c r="E11" i="17"/>
  <c r="D11" i="17"/>
  <c r="C11" i="17"/>
  <c r="B11" i="17"/>
  <c r="A11" i="17"/>
  <c r="S10" i="17"/>
  <c r="R10" i="17"/>
  <c r="Q10" i="17"/>
  <c r="P10" i="17"/>
  <c r="O10" i="17"/>
  <c r="N10" i="17"/>
  <c r="M10" i="17"/>
  <c r="L10" i="17"/>
  <c r="K10" i="17"/>
  <c r="J10" i="17"/>
  <c r="I10" i="17"/>
  <c r="H10" i="17"/>
  <c r="G10" i="17"/>
  <c r="F10" i="17"/>
  <c r="E10" i="17"/>
  <c r="D10" i="17"/>
  <c r="C10" i="17"/>
  <c r="B10" i="17"/>
  <c r="A10" i="17"/>
  <c r="S9" i="17"/>
  <c r="R9" i="17"/>
  <c r="Q9" i="17"/>
  <c r="P9" i="17"/>
  <c r="O9" i="17"/>
  <c r="N9" i="17"/>
  <c r="M9" i="17"/>
  <c r="L9" i="17"/>
  <c r="K9" i="17"/>
  <c r="J9" i="17"/>
  <c r="I9" i="17"/>
  <c r="H9" i="17"/>
  <c r="G9" i="17"/>
  <c r="F9" i="17"/>
  <c r="E9" i="17"/>
  <c r="D9" i="17"/>
  <c r="C9" i="17"/>
  <c r="B9" i="17"/>
  <c r="A9" i="17"/>
  <c r="S8" i="17"/>
  <c r="R8" i="17"/>
  <c r="Q8" i="17"/>
  <c r="P8" i="17"/>
  <c r="O8" i="17"/>
  <c r="N8" i="17"/>
  <c r="M8" i="17"/>
  <c r="L8" i="17"/>
  <c r="K8" i="17"/>
  <c r="J8" i="17"/>
  <c r="I8" i="17"/>
  <c r="H8" i="17"/>
  <c r="G8" i="17"/>
  <c r="F8" i="17"/>
  <c r="E8" i="17"/>
  <c r="D8" i="17"/>
  <c r="C8" i="17"/>
  <c r="B8" i="17"/>
  <c r="A8" i="17"/>
  <c r="S7" i="17"/>
  <c r="R7" i="17"/>
  <c r="Q7" i="17"/>
  <c r="P7" i="17"/>
  <c r="O7" i="17"/>
  <c r="N7" i="17"/>
  <c r="M7" i="17"/>
  <c r="L7" i="17"/>
  <c r="K7" i="17"/>
  <c r="J7" i="17"/>
  <c r="I7" i="17"/>
  <c r="H7" i="17"/>
  <c r="G7" i="17"/>
  <c r="F7" i="17"/>
  <c r="E7" i="17"/>
  <c r="D7" i="17"/>
  <c r="C7" i="17"/>
  <c r="B7" i="17"/>
  <c r="A7" i="17"/>
  <c r="S6" i="17"/>
  <c r="R6" i="17"/>
  <c r="Q6" i="17"/>
  <c r="P6" i="17"/>
  <c r="O6" i="17"/>
  <c r="N6" i="17"/>
  <c r="M6" i="17"/>
  <c r="L6" i="17"/>
  <c r="K6" i="17"/>
  <c r="J6" i="17"/>
  <c r="I6" i="17"/>
  <c r="H6" i="17"/>
  <c r="G6" i="17"/>
  <c r="F6" i="17"/>
  <c r="E6" i="17"/>
  <c r="D6" i="17"/>
  <c r="C6" i="17"/>
  <c r="B6" i="17"/>
  <c r="A6" i="17"/>
  <c r="S5" i="17"/>
  <c r="R5" i="17"/>
  <c r="Q5" i="17"/>
  <c r="P5" i="17"/>
  <c r="O5" i="17"/>
  <c r="N5" i="17"/>
  <c r="M5" i="17"/>
  <c r="L5" i="17"/>
  <c r="K5" i="17"/>
  <c r="J5" i="17"/>
  <c r="I5" i="17"/>
  <c r="H5" i="17"/>
  <c r="G5" i="17"/>
  <c r="F5" i="17"/>
  <c r="E5" i="17"/>
  <c r="D5" i="17"/>
  <c r="C5" i="17"/>
  <c r="B5" i="17"/>
  <c r="A5" i="17"/>
  <c r="S4" i="17"/>
  <c r="R4" i="17"/>
  <c r="Q4" i="17"/>
  <c r="P4" i="17"/>
  <c r="O4" i="17"/>
  <c r="N4" i="17"/>
  <c r="M4" i="17"/>
  <c r="L4" i="17"/>
  <c r="K4" i="17"/>
  <c r="J4" i="17"/>
  <c r="I4" i="17"/>
  <c r="H4" i="17"/>
  <c r="G4" i="17"/>
  <c r="F4" i="17"/>
  <c r="E4" i="17"/>
  <c r="D4" i="17"/>
  <c r="C4" i="17"/>
  <c r="B4" i="17"/>
  <c r="A4" i="17"/>
  <c r="S3" i="17"/>
  <c r="R3" i="17"/>
  <c r="Q3" i="17"/>
  <c r="P3" i="17"/>
  <c r="O3" i="17"/>
  <c r="N3" i="17"/>
  <c r="M3" i="17"/>
  <c r="L3" i="17"/>
  <c r="K3" i="17"/>
  <c r="J3" i="17"/>
  <c r="I3" i="17"/>
  <c r="H3" i="17"/>
  <c r="G3" i="17"/>
  <c r="F3" i="17"/>
  <c r="E3" i="17"/>
  <c r="D3" i="17"/>
  <c r="C3" i="17"/>
  <c r="B3" i="17"/>
  <c r="A3" i="17"/>
  <c r="S2" i="17"/>
  <c r="R2" i="17"/>
  <c r="Q2" i="17"/>
  <c r="P2" i="17"/>
  <c r="O2" i="17"/>
  <c r="N2" i="17"/>
  <c r="M2" i="17"/>
  <c r="L2" i="17"/>
  <c r="K2" i="17"/>
  <c r="J2" i="17"/>
  <c r="I2" i="17"/>
  <c r="H2" i="17"/>
  <c r="G2" i="17"/>
  <c r="F2" i="17"/>
  <c r="E2" i="17"/>
  <c r="D2" i="17"/>
  <c r="C2" i="17"/>
  <c r="B2" i="17"/>
  <c r="A2" i="17"/>
  <c r="S1" i="17"/>
  <c r="R1" i="17"/>
  <c r="Q1" i="17"/>
  <c r="P1" i="17"/>
  <c r="O1" i="17"/>
  <c r="N1" i="17"/>
  <c r="M1" i="17"/>
  <c r="L1" i="17"/>
  <c r="K1" i="17"/>
  <c r="J1" i="17"/>
  <c r="I1" i="17"/>
  <c r="H1" i="17"/>
  <c r="G1" i="17"/>
  <c r="F1" i="17"/>
  <c r="E1" i="17"/>
  <c r="D1" i="17"/>
  <c r="C1" i="17"/>
  <c r="B1" i="17"/>
  <c r="A1" i="17"/>
  <c r="R47" i="16"/>
  <c r="Q47" i="16"/>
  <c r="P47" i="16"/>
  <c r="O47" i="16"/>
  <c r="N47" i="16"/>
  <c r="M47" i="16"/>
  <c r="L47" i="16"/>
  <c r="K47" i="16"/>
  <c r="J47" i="16"/>
  <c r="I47" i="16"/>
  <c r="H47" i="16"/>
  <c r="G47" i="16"/>
  <c r="F47" i="16"/>
  <c r="E47" i="16"/>
  <c r="D47" i="16"/>
  <c r="C47" i="16"/>
  <c r="B47" i="16"/>
  <c r="A47" i="16"/>
  <c r="R46" i="16"/>
  <c r="Q46" i="16"/>
  <c r="P46" i="16"/>
  <c r="O46" i="16"/>
  <c r="N46" i="16"/>
  <c r="M46" i="16"/>
  <c r="L46" i="16"/>
  <c r="K46" i="16"/>
  <c r="J46" i="16"/>
  <c r="I46" i="16"/>
  <c r="H46" i="16"/>
  <c r="G46" i="16"/>
  <c r="F46" i="16"/>
  <c r="E46" i="16"/>
  <c r="D46" i="16"/>
  <c r="C46" i="16"/>
  <c r="B46" i="16"/>
  <c r="A46" i="16"/>
  <c r="R45" i="16"/>
  <c r="Q45" i="16"/>
  <c r="P45" i="16"/>
  <c r="O45" i="16"/>
  <c r="N45" i="16"/>
  <c r="M45" i="16"/>
  <c r="L45" i="16"/>
  <c r="K45" i="16"/>
  <c r="J45" i="16"/>
  <c r="I45" i="16"/>
  <c r="H45" i="16"/>
  <c r="G45" i="16"/>
  <c r="F45" i="16"/>
  <c r="E45" i="16"/>
  <c r="D45" i="16"/>
  <c r="C45" i="16"/>
  <c r="B45" i="16"/>
  <c r="A45" i="16"/>
  <c r="R44" i="16"/>
  <c r="Q44" i="16"/>
  <c r="P44" i="16"/>
  <c r="O44" i="16"/>
  <c r="N44" i="16"/>
  <c r="M44" i="16"/>
  <c r="L44" i="16"/>
  <c r="K44" i="16"/>
  <c r="J44" i="16"/>
  <c r="I44" i="16"/>
  <c r="H44" i="16"/>
  <c r="G44" i="16"/>
  <c r="F44" i="16"/>
  <c r="E44" i="16"/>
  <c r="D44" i="16"/>
  <c r="C44" i="16"/>
  <c r="B44" i="16"/>
  <c r="A44" i="16"/>
  <c r="R43" i="16"/>
  <c r="Q43" i="16"/>
  <c r="P43" i="16"/>
  <c r="O43" i="16"/>
  <c r="N43" i="16"/>
  <c r="M43" i="16"/>
  <c r="L43" i="16"/>
  <c r="K43" i="16"/>
  <c r="J43" i="16"/>
  <c r="I43" i="16"/>
  <c r="H43" i="16"/>
  <c r="G43" i="16"/>
  <c r="F43" i="16"/>
  <c r="E43" i="16"/>
  <c r="D43" i="16"/>
  <c r="C43" i="16"/>
  <c r="B43" i="16"/>
  <c r="A43" i="16"/>
  <c r="R42" i="16"/>
  <c r="Q42" i="16"/>
  <c r="P42" i="16"/>
  <c r="O42" i="16"/>
  <c r="N42" i="16"/>
  <c r="M42" i="16"/>
  <c r="L42" i="16"/>
  <c r="K42" i="16"/>
  <c r="J42" i="16"/>
  <c r="I42" i="16"/>
  <c r="H42" i="16"/>
  <c r="G42" i="16"/>
  <c r="F42" i="16"/>
  <c r="E42" i="16"/>
  <c r="D42" i="16"/>
  <c r="C42" i="16"/>
  <c r="B42" i="16"/>
  <c r="A42" i="16"/>
  <c r="R41" i="16"/>
  <c r="Q41" i="16"/>
  <c r="P41" i="16"/>
  <c r="O41" i="16"/>
  <c r="N41" i="16"/>
  <c r="M41" i="16"/>
  <c r="L41" i="16"/>
  <c r="K41" i="16"/>
  <c r="J41" i="16"/>
  <c r="I41" i="16"/>
  <c r="H41" i="16"/>
  <c r="G41" i="16"/>
  <c r="F41" i="16"/>
  <c r="E41" i="16"/>
  <c r="D41" i="16"/>
  <c r="C41" i="16"/>
  <c r="B41" i="16"/>
  <c r="A41" i="16"/>
  <c r="R40" i="16"/>
  <c r="Q40" i="16"/>
  <c r="P40" i="16"/>
  <c r="O40" i="16"/>
  <c r="N40" i="16"/>
  <c r="M40" i="16"/>
  <c r="L40" i="16"/>
  <c r="K40" i="16"/>
  <c r="J40" i="16"/>
  <c r="I40" i="16"/>
  <c r="H40" i="16"/>
  <c r="G40" i="16"/>
  <c r="F40" i="16"/>
  <c r="E40" i="16"/>
  <c r="D40" i="16"/>
  <c r="C40" i="16"/>
  <c r="B40" i="16"/>
  <c r="A40" i="16"/>
  <c r="R39" i="16"/>
  <c r="Q39" i="16"/>
  <c r="P39" i="16"/>
  <c r="O39" i="16"/>
  <c r="N39" i="16"/>
  <c r="M39" i="16"/>
  <c r="L39" i="16"/>
  <c r="K39" i="16"/>
  <c r="J39" i="16"/>
  <c r="I39" i="16"/>
  <c r="H39" i="16"/>
  <c r="G39" i="16"/>
  <c r="F39" i="16"/>
  <c r="E39" i="16"/>
  <c r="D39" i="16"/>
  <c r="C39" i="16"/>
  <c r="B39" i="16"/>
  <c r="A39" i="16"/>
  <c r="R38" i="16"/>
  <c r="Q38" i="16"/>
  <c r="P38" i="16"/>
  <c r="O38" i="16"/>
  <c r="N38" i="16"/>
  <c r="M38" i="16"/>
  <c r="L38" i="16"/>
  <c r="K38" i="16"/>
  <c r="J38" i="16"/>
  <c r="I38" i="16"/>
  <c r="H38" i="16"/>
  <c r="G38" i="16"/>
  <c r="F38" i="16"/>
  <c r="E38" i="16"/>
  <c r="D38" i="16"/>
  <c r="C38" i="16"/>
  <c r="B38" i="16"/>
  <c r="A38" i="16"/>
  <c r="R37" i="16"/>
  <c r="Q37" i="16"/>
  <c r="P37" i="16"/>
  <c r="O37" i="16"/>
  <c r="N37" i="16"/>
  <c r="M37" i="16"/>
  <c r="L37" i="16"/>
  <c r="K37" i="16"/>
  <c r="J37" i="16"/>
  <c r="I37" i="16"/>
  <c r="H37" i="16"/>
  <c r="G37" i="16"/>
  <c r="F37" i="16"/>
  <c r="E37" i="16"/>
  <c r="D37" i="16"/>
  <c r="C37" i="16"/>
  <c r="B37" i="16"/>
  <c r="A37" i="16"/>
  <c r="R36" i="16"/>
  <c r="Q36" i="16"/>
  <c r="P36" i="16"/>
  <c r="O36" i="16"/>
  <c r="N36" i="16"/>
  <c r="M36" i="16"/>
  <c r="L36" i="16"/>
  <c r="K36" i="16"/>
  <c r="J36" i="16"/>
  <c r="I36" i="16"/>
  <c r="H36" i="16"/>
  <c r="G36" i="16"/>
  <c r="F36" i="16"/>
  <c r="E36" i="16"/>
  <c r="D36" i="16"/>
  <c r="C36" i="16"/>
  <c r="B36" i="16"/>
  <c r="A36" i="16"/>
  <c r="R35" i="16"/>
  <c r="Q35" i="16"/>
  <c r="P35" i="16"/>
  <c r="O35" i="16"/>
  <c r="N35" i="16"/>
  <c r="M35" i="16"/>
  <c r="L35" i="16"/>
  <c r="K35" i="16"/>
  <c r="J35" i="16"/>
  <c r="I35" i="16"/>
  <c r="H35" i="16"/>
  <c r="G35" i="16"/>
  <c r="F35" i="16"/>
  <c r="E35" i="16"/>
  <c r="D35" i="16"/>
  <c r="C35" i="16"/>
  <c r="B35" i="16"/>
  <c r="A35" i="16"/>
  <c r="R34" i="16"/>
  <c r="Q34" i="16"/>
  <c r="P34" i="16"/>
  <c r="O34" i="16"/>
  <c r="N34" i="16"/>
  <c r="M34" i="16"/>
  <c r="L34" i="16"/>
  <c r="K34" i="16"/>
  <c r="J34" i="16"/>
  <c r="I34" i="16"/>
  <c r="H34" i="16"/>
  <c r="G34" i="16"/>
  <c r="F34" i="16"/>
  <c r="E34" i="16"/>
  <c r="D34" i="16"/>
  <c r="C34" i="16"/>
  <c r="B34" i="16"/>
  <c r="A34" i="16"/>
  <c r="R33" i="16"/>
  <c r="Q33" i="16"/>
  <c r="P33" i="16"/>
  <c r="O33" i="16"/>
  <c r="N33" i="16"/>
  <c r="M33" i="16"/>
  <c r="L33" i="16"/>
  <c r="K33" i="16"/>
  <c r="J33" i="16"/>
  <c r="I33" i="16"/>
  <c r="H33" i="16"/>
  <c r="G33" i="16"/>
  <c r="F33" i="16"/>
  <c r="E33" i="16"/>
  <c r="D33" i="16"/>
  <c r="C33" i="16"/>
  <c r="B33" i="16"/>
  <c r="A33" i="16"/>
  <c r="R32" i="16"/>
  <c r="Q32" i="16"/>
  <c r="P32" i="16"/>
  <c r="O32" i="16"/>
  <c r="N32" i="16"/>
  <c r="M32" i="16"/>
  <c r="L32" i="16"/>
  <c r="K32" i="16"/>
  <c r="J32" i="16"/>
  <c r="I32" i="16"/>
  <c r="H32" i="16"/>
  <c r="G32" i="16"/>
  <c r="F32" i="16"/>
  <c r="E32" i="16"/>
  <c r="D32" i="16"/>
  <c r="C32" i="16"/>
  <c r="B32" i="16"/>
  <c r="A32" i="16"/>
  <c r="R31" i="16"/>
  <c r="Q31" i="16"/>
  <c r="P31" i="16"/>
  <c r="O31" i="16"/>
  <c r="N31" i="16"/>
  <c r="M31" i="16"/>
  <c r="L31" i="16"/>
  <c r="K31" i="16"/>
  <c r="J31" i="16"/>
  <c r="I31" i="16"/>
  <c r="H31" i="16"/>
  <c r="G31" i="16"/>
  <c r="F31" i="16"/>
  <c r="E31" i="16"/>
  <c r="D31" i="16"/>
  <c r="C31" i="16"/>
  <c r="B31" i="16"/>
  <c r="A31" i="16"/>
  <c r="R30" i="16"/>
  <c r="Q30" i="16"/>
  <c r="P30" i="16"/>
  <c r="O30" i="16"/>
  <c r="N30" i="16"/>
  <c r="M30" i="16"/>
  <c r="L30" i="16"/>
  <c r="K30" i="16"/>
  <c r="J30" i="16"/>
  <c r="I30" i="16"/>
  <c r="H30" i="16"/>
  <c r="G30" i="16"/>
  <c r="F30" i="16"/>
  <c r="E30" i="16"/>
  <c r="D30" i="16"/>
  <c r="C30" i="16"/>
  <c r="B30" i="16"/>
  <c r="A30" i="16"/>
  <c r="R29" i="16"/>
  <c r="Q29" i="16"/>
  <c r="P29" i="16"/>
  <c r="O29" i="16"/>
  <c r="N29" i="16"/>
  <c r="M29" i="16"/>
  <c r="L29" i="16"/>
  <c r="K29" i="16"/>
  <c r="J29" i="16"/>
  <c r="I29" i="16"/>
  <c r="H29" i="16"/>
  <c r="G29" i="16"/>
  <c r="F29" i="16"/>
  <c r="E29" i="16"/>
  <c r="D29" i="16"/>
  <c r="C29" i="16"/>
  <c r="B29" i="16"/>
  <c r="A29" i="16"/>
  <c r="R28" i="16"/>
  <c r="Q28" i="16"/>
  <c r="P28" i="16"/>
  <c r="O28" i="16"/>
  <c r="N28" i="16"/>
  <c r="M28" i="16"/>
  <c r="L28" i="16"/>
  <c r="K28" i="16"/>
  <c r="J28" i="16"/>
  <c r="I28" i="16"/>
  <c r="H28" i="16"/>
  <c r="G28" i="16"/>
  <c r="F28" i="16"/>
  <c r="E28" i="16"/>
  <c r="D28" i="16"/>
  <c r="C28" i="16"/>
  <c r="B28" i="16"/>
  <c r="A28" i="16"/>
  <c r="R27" i="16"/>
  <c r="Q27" i="16"/>
  <c r="P27" i="16"/>
  <c r="O27" i="16"/>
  <c r="N27" i="16"/>
  <c r="M27" i="16"/>
  <c r="L27" i="16"/>
  <c r="K27" i="16"/>
  <c r="J27" i="16"/>
  <c r="I27" i="16"/>
  <c r="H27" i="16"/>
  <c r="G27" i="16"/>
  <c r="F27" i="16"/>
  <c r="E27" i="16"/>
  <c r="D27" i="16"/>
  <c r="C27" i="16"/>
  <c r="B27" i="16"/>
  <c r="A27" i="16"/>
  <c r="R26" i="16"/>
  <c r="Q26" i="16"/>
  <c r="P26" i="16"/>
  <c r="O26" i="16"/>
  <c r="N26" i="16"/>
  <c r="M26" i="16"/>
  <c r="L26" i="16"/>
  <c r="K26" i="16"/>
  <c r="J26" i="16"/>
  <c r="I26" i="16"/>
  <c r="H26" i="16"/>
  <c r="G26" i="16"/>
  <c r="F26" i="16"/>
  <c r="E26" i="16"/>
  <c r="D26" i="16"/>
  <c r="C26" i="16"/>
  <c r="B26" i="16"/>
  <c r="A26" i="16"/>
  <c r="R25" i="16"/>
  <c r="Q25" i="16"/>
  <c r="P25" i="16"/>
  <c r="O25" i="16"/>
  <c r="N25" i="16"/>
  <c r="M25" i="16"/>
  <c r="L25" i="16"/>
  <c r="K25" i="16"/>
  <c r="J25" i="16"/>
  <c r="I25" i="16"/>
  <c r="H25" i="16"/>
  <c r="G25" i="16"/>
  <c r="F25" i="16"/>
  <c r="E25" i="16"/>
  <c r="D25" i="16"/>
  <c r="C25" i="16"/>
  <c r="B25" i="16"/>
  <c r="A25" i="16"/>
  <c r="R24" i="16"/>
  <c r="Q24" i="16"/>
  <c r="P24" i="16"/>
  <c r="O24" i="16"/>
  <c r="N24" i="16"/>
  <c r="M24" i="16"/>
  <c r="L24" i="16"/>
  <c r="K24" i="16"/>
  <c r="J24" i="16"/>
  <c r="I24" i="16"/>
  <c r="H24" i="16"/>
  <c r="G24" i="16"/>
  <c r="F24" i="16"/>
  <c r="E24" i="16"/>
  <c r="D24" i="16"/>
  <c r="C24" i="16"/>
  <c r="B24" i="16"/>
  <c r="A24" i="16"/>
  <c r="R23" i="16"/>
  <c r="Q23" i="16"/>
  <c r="P23" i="16"/>
  <c r="O23" i="16"/>
  <c r="N23" i="16"/>
  <c r="M23" i="16"/>
  <c r="L23" i="16"/>
  <c r="K23" i="16"/>
  <c r="J23" i="16"/>
  <c r="I23" i="16"/>
  <c r="H23" i="16"/>
  <c r="G23" i="16"/>
  <c r="F23" i="16"/>
  <c r="E23" i="16"/>
  <c r="D23" i="16"/>
  <c r="C23" i="16"/>
  <c r="B23" i="16"/>
  <c r="A23" i="16"/>
  <c r="R22" i="16"/>
  <c r="Q22" i="16"/>
  <c r="P22" i="16"/>
  <c r="O22" i="16"/>
  <c r="N22" i="16"/>
  <c r="M22" i="16"/>
  <c r="L22" i="16"/>
  <c r="K22" i="16"/>
  <c r="J22" i="16"/>
  <c r="I22" i="16"/>
  <c r="H22" i="16"/>
  <c r="G22" i="16"/>
  <c r="F22" i="16"/>
  <c r="E22" i="16"/>
  <c r="D22" i="16"/>
  <c r="C22" i="16"/>
  <c r="B22" i="16"/>
  <c r="A22" i="16"/>
  <c r="R21" i="16"/>
  <c r="Q21" i="16"/>
  <c r="P21" i="16"/>
  <c r="O21" i="16"/>
  <c r="N21" i="16"/>
  <c r="M21" i="16"/>
  <c r="L21" i="16"/>
  <c r="K21" i="16"/>
  <c r="J21" i="16"/>
  <c r="I21" i="16"/>
  <c r="H21" i="16"/>
  <c r="G21" i="16"/>
  <c r="F21" i="16"/>
  <c r="E21" i="16"/>
  <c r="D21" i="16"/>
  <c r="C21" i="16"/>
  <c r="B21" i="16"/>
  <c r="A21" i="16"/>
  <c r="R20" i="16"/>
  <c r="Q20" i="16"/>
  <c r="P20" i="16"/>
  <c r="O20" i="16"/>
  <c r="N20" i="16"/>
  <c r="M20" i="16"/>
  <c r="L20" i="16"/>
  <c r="K20" i="16"/>
  <c r="J20" i="16"/>
  <c r="I20" i="16"/>
  <c r="H20" i="16"/>
  <c r="G20" i="16"/>
  <c r="F20" i="16"/>
  <c r="E20" i="16"/>
  <c r="D20" i="16"/>
  <c r="C20" i="16"/>
  <c r="B20" i="16"/>
  <c r="A20" i="16"/>
  <c r="R19" i="16"/>
  <c r="Q19" i="16"/>
  <c r="P19" i="16"/>
  <c r="O19" i="16"/>
  <c r="N19" i="16"/>
  <c r="M19" i="16"/>
  <c r="L19" i="16"/>
  <c r="K19" i="16"/>
  <c r="J19" i="16"/>
  <c r="I19" i="16"/>
  <c r="H19" i="16"/>
  <c r="G19" i="16"/>
  <c r="F19" i="16"/>
  <c r="E19" i="16"/>
  <c r="D19" i="16"/>
  <c r="C19" i="16"/>
  <c r="B19" i="16"/>
  <c r="A19" i="16"/>
  <c r="R18" i="16"/>
  <c r="Q18" i="16"/>
  <c r="P18" i="16"/>
  <c r="O18" i="16"/>
  <c r="N18" i="16"/>
  <c r="M18" i="16"/>
  <c r="L18" i="16"/>
  <c r="K18" i="16"/>
  <c r="J18" i="16"/>
  <c r="I18" i="16"/>
  <c r="H18" i="16"/>
  <c r="G18" i="16"/>
  <c r="F18" i="16"/>
  <c r="E18" i="16"/>
  <c r="D18" i="16"/>
  <c r="C18" i="16"/>
  <c r="B18" i="16"/>
  <c r="A18" i="16"/>
  <c r="R17" i="16"/>
  <c r="Q17" i="16"/>
  <c r="P17" i="16"/>
  <c r="O17" i="16"/>
  <c r="N17" i="16"/>
  <c r="M17" i="16"/>
  <c r="L17" i="16"/>
  <c r="K17" i="16"/>
  <c r="J17" i="16"/>
  <c r="I17" i="16"/>
  <c r="H17" i="16"/>
  <c r="G17" i="16"/>
  <c r="F17" i="16"/>
  <c r="E17" i="16"/>
  <c r="D17" i="16"/>
  <c r="C17" i="16"/>
  <c r="B17" i="16"/>
  <c r="A17" i="16"/>
  <c r="R16" i="16"/>
  <c r="Q16" i="16"/>
  <c r="P16" i="16"/>
  <c r="O16" i="16"/>
  <c r="N16" i="16"/>
  <c r="M16" i="16"/>
  <c r="L16" i="16"/>
  <c r="K16" i="16"/>
  <c r="J16" i="16"/>
  <c r="I16" i="16"/>
  <c r="H16" i="16"/>
  <c r="G16" i="16"/>
  <c r="F16" i="16"/>
  <c r="E16" i="16"/>
  <c r="D16" i="16"/>
  <c r="C16" i="16"/>
  <c r="B16" i="16"/>
  <c r="A16" i="16"/>
  <c r="R15" i="16"/>
  <c r="Q15" i="16"/>
  <c r="P15" i="16"/>
  <c r="O15" i="16"/>
  <c r="N15" i="16"/>
  <c r="M15" i="16"/>
  <c r="L15" i="16"/>
  <c r="K15" i="16"/>
  <c r="J15" i="16"/>
  <c r="I15" i="16"/>
  <c r="H15" i="16"/>
  <c r="G15" i="16"/>
  <c r="F15" i="16"/>
  <c r="E15" i="16"/>
  <c r="D15" i="16"/>
  <c r="C15" i="16"/>
  <c r="B15" i="16"/>
  <c r="A15" i="16"/>
  <c r="R14" i="16"/>
  <c r="Q14" i="16"/>
  <c r="P14" i="16"/>
  <c r="O14" i="16"/>
  <c r="N14" i="16"/>
  <c r="M14" i="16"/>
  <c r="L14" i="16"/>
  <c r="K14" i="16"/>
  <c r="J14" i="16"/>
  <c r="I14" i="16"/>
  <c r="H14" i="16"/>
  <c r="G14" i="16"/>
  <c r="F14" i="16"/>
  <c r="E14" i="16"/>
  <c r="D14" i="16"/>
  <c r="C14" i="16"/>
  <c r="B14" i="16"/>
  <c r="A14" i="16"/>
  <c r="R13" i="16"/>
  <c r="Q13" i="16"/>
  <c r="P13" i="16"/>
  <c r="O13" i="16"/>
  <c r="N13" i="16"/>
  <c r="M13" i="16"/>
  <c r="L13" i="16"/>
  <c r="K13" i="16"/>
  <c r="J13" i="16"/>
  <c r="I13" i="16"/>
  <c r="H13" i="16"/>
  <c r="G13" i="16"/>
  <c r="F13" i="16"/>
  <c r="E13" i="16"/>
  <c r="D13" i="16"/>
  <c r="C13" i="16"/>
  <c r="B13" i="16"/>
  <c r="A13" i="16"/>
  <c r="R12" i="16"/>
  <c r="Q12" i="16"/>
  <c r="P12" i="16"/>
  <c r="O12" i="16"/>
  <c r="N12" i="16"/>
  <c r="M12" i="16"/>
  <c r="L12" i="16"/>
  <c r="K12" i="16"/>
  <c r="J12" i="16"/>
  <c r="I12" i="16"/>
  <c r="H12" i="16"/>
  <c r="G12" i="16"/>
  <c r="F12" i="16"/>
  <c r="E12" i="16"/>
  <c r="D12" i="16"/>
  <c r="C12" i="16"/>
  <c r="B12" i="16"/>
  <c r="A12" i="16"/>
  <c r="R11" i="16"/>
  <c r="Q11" i="16"/>
  <c r="P11" i="16"/>
  <c r="O11" i="16"/>
  <c r="N11" i="16"/>
  <c r="M11" i="16"/>
  <c r="L11" i="16"/>
  <c r="K11" i="16"/>
  <c r="J11" i="16"/>
  <c r="I11" i="16"/>
  <c r="H11" i="16"/>
  <c r="G11" i="16"/>
  <c r="F11" i="16"/>
  <c r="E11" i="16"/>
  <c r="D11" i="16"/>
  <c r="C11" i="16"/>
  <c r="B11" i="16"/>
  <c r="A11" i="16"/>
  <c r="R10" i="16"/>
  <c r="Q10" i="16"/>
  <c r="P10" i="16"/>
  <c r="O10" i="16"/>
  <c r="N10" i="16"/>
  <c r="M10" i="16"/>
  <c r="L10" i="16"/>
  <c r="K10" i="16"/>
  <c r="J10" i="16"/>
  <c r="I10" i="16"/>
  <c r="H10" i="16"/>
  <c r="G10" i="16"/>
  <c r="F10" i="16"/>
  <c r="E10" i="16"/>
  <c r="D10" i="16"/>
  <c r="C10" i="16"/>
  <c r="B10" i="16"/>
  <c r="A10" i="16"/>
  <c r="R9" i="16"/>
  <c r="Q9" i="16"/>
  <c r="P9" i="16"/>
  <c r="O9" i="16"/>
  <c r="N9" i="16"/>
  <c r="M9" i="16"/>
  <c r="L9" i="16"/>
  <c r="K9" i="16"/>
  <c r="J9" i="16"/>
  <c r="I9" i="16"/>
  <c r="H9" i="16"/>
  <c r="G9" i="16"/>
  <c r="F9" i="16"/>
  <c r="E9" i="16"/>
  <c r="D9" i="16"/>
  <c r="C9" i="16"/>
  <c r="B9" i="16"/>
  <c r="A9" i="16"/>
  <c r="R8" i="16"/>
  <c r="Q8" i="16"/>
  <c r="P8" i="16"/>
  <c r="O8" i="16"/>
  <c r="N8" i="16"/>
  <c r="M8" i="16"/>
  <c r="L8" i="16"/>
  <c r="K8" i="16"/>
  <c r="J8" i="16"/>
  <c r="I8" i="16"/>
  <c r="H8" i="16"/>
  <c r="G8" i="16"/>
  <c r="F8" i="16"/>
  <c r="E8" i="16"/>
  <c r="D8" i="16"/>
  <c r="C8" i="16"/>
  <c r="B8" i="16"/>
  <c r="A8" i="16"/>
  <c r="R7" i="16"/>
  <c r="Q7" i="16"/>
  <c r="P7" i="16"/>
  <c r="O7" i="16"/>
  <c r="N7" i="16"/>
  <c r="M7" i="16"/>
  <c r="L7" i="16"/>
  <c r="K7" i="16"/>
  <c r="J7" i="16"/>
  <c r="I7" i="16"/>
  <c r="H7" i="16"/>
  <c r="G7" i="16"/>
  <c r="F7" i="16"/>
  <c r="E7" i="16"/>
  <c r="D7" i="16"/>
  <c r="C7" i="16"/>
  <c r="B7" i="16"/>
  <c r="A7" i="16"/>
  <c r="R6" i="16"/>
  <c r="Q6" i="16"/>
  <c r="P6" i="16"/>
  <c r="O6" i="16"/>
  <c r="N6" i="16"/>
  <c r="M6" i="16"/>
  <c r="L6" i="16"/>
  <c r="K6" i="16"/>
  <c r="J6" i="16"/>
  <c r="I6" i="16"/>
  <c r="H6" i="16"/>
  <c r="G6" i="16"/>
  <c r="F6" i="16"/>
  <c r="E6" i="16"/>
  <c r="D6" i="16"/>
  <c r="C6" i="16"/>
  <c r="B6" i="16"/>
  <c r="A6" i="16"/>
  <c r="R5" i="16"/>
  <c r="Q5" i="16"/>
  <c r="P5" i="16"/>
  <c r="O5" i="16"/>
  <c r="N5" i="16"/>
  <c r="M5" i="16"/>
  <c r="L5" i="16"/>
  <c r="K5" i="16"/>
  <c r="J5" i="16"/>
  <c r="I5" i="16"/>
  <c r="H5" i="16"/>
  <c r="G5" i="16"/>
  <c r="F5" i="16"/>
  <c r="E5" i="16"/>
  <c r="D5" i="16"/>
  <c r="C5" i="16"/>
  <c r="B5" i="16"/>
  <c r="A5" i="16"/>
  <c r="R4" i="16"/>
  <c r="Q4" i="16"/>
  <c r="P4" i="16"/>
  <c r="O4" i="16"/>
  <c r="N4" i="16"/>
  <c r="M4" i="16"/>
  <c r="L4" i="16"/>
  <c r="K4" i="16"/>
  <c r="J4" i="16"/>
  <c r="I4" i="16"/>
  <c r="H4" i="16"/>
  <c r="G4" i="16"/>
  <c r="F4" i="16"/>
  <c r="E4" i="16"/>
  <c r="D4" i="16"/>
  <c r="C4" i="16"/>
  <c r="B4" i="16"/>
  <c r="A4" i="16"/>
  <c r="R3" i="16"/>
  <c r="Q3" i="16"/>
  <c r="P3" i="16"/>
  <c r="O3" i="16"/>
  <c r="N3" i="16"/>
  <c r="M3" i="16"/>
  <c r="L3" i="16"/>
  <c r="K3" i="16"/>
  <c r="J3" i="16"/>
  <c r="I3" i="16"/>
  <c r="H3" i="16"/>
  <c r="G3" i="16"/>
  <c r="F3" i="16"/>
  <c r="E3" i="16"/>
  <c r="D3" i="16"/>
  <c r="C3" i="16"/>
  <c r="B3" i="16"/>
  <c r="A3" i="16"/>
  <c r="R2" i="16"/>
  <c r="Q2" i="16"/>
  <c r="P2" i="16"/>
  <c r="O2" i="16"/>
  <c r="N2" i="16"/>
  <c r="M2" i="16"/>
  <c r="L2" i="16"/>
  <c r="K2" i="16"/>
  <c r="J2" i="16"/>
  <c r="I2" i="16"/>
  <c r="H2" i="16"/>
  <c r="G2" i="16"/>
  <c r="F2" i="16"/>
  <c r="E2" i="16"/>
  <c r="D2" i="16"/>
  <c r="C2" i="16"/>
  <c r="B2" i="16"/>
  <c r="A2" i="16"/>
  <c r="R1" i="16"/>
  <c r="Q1" i="16"/>
  <c r="P1" i="16"/>
  <c r="O1" i="16"/>
  <c r="N1" i="16"/>
  <c r="M1" i="16"/>
  <c r="L1" i="16"/>
  <c r="K1" i="16"/>
  <c r="J1" i="16"/>
  <c r="I1" i="16"/>
  <c r="H1" i="16"/>
  <c r="G1" i="16"/>
  <c r="F1" i="16"/>
  <c r="E1" i="16"/>
  <c r="D1" i="16"/>
  <c r="C1" i="16"/>
  <c r="B1" i="16"/>
  <c r="A1" i="16"/>
  <c r="S47" i="15"/>
  <c r="R47" i="15"/>
  <c r="Q47" i="15"/>
  <c r="P47" i="15"/>
  <c r="O47" i="15"/>
  <c r="N47" i="15"/>
  <c r="M47" i="15"/>
  <c r="L47" i="15"/>
  <c r="K47" i="15"/>
  <c r="J47" i="15"/>
  <c r="I47" i="15"/>
  <c r="H47" i="15"/>
  <c r="G47" i="15"/>
  <c r="F47" i="15"/>
  <c r="E47" i="15"/>
  <c r="D47" i="15"/>
  <c r="C47" i="15"/>
  <c r="B47" i="15"/>
  <c r="A47" i="15"/>
  <c r="S46" i="15"/>
  <c r="R46" i="15"/>
  <c r="Q46" i="15"/>
  <c r="P46" i="15"/>
  <c r="O46" i="15"/>
  <c r="N46" i="15"/>
  <c r="M46" i="15"/>
  <c r="L46" i="15"/>
  <c r="K46" i="15"/>
  <c r="J46" i="15"/>
  <c r="I46" i="15"/>
  <c r="H46" i="15"/>
  <c r="G46" i="15"/>
  <c r="F46" i="15"/>
  <c r="E46" i="15"/>
  <c r="D46" i="15"/>
  <c r="C46" i="15"/>
  <c r="B46" i="15"/>
  <c r="A46" i="15"/>
  <c r="S45" i="15"/>
  <c r="R45" i="15"/>
  <c r="Q45" i="15"/>
  <c r="P45" i="15"/>
  <c r="O45" i="15"/>
  <c r="N45" i="15"/>
  <c r="M45" i="15"/>
  <c r="L45" i="15"/>
  <c r="K45" i="15"/>
  <c r="J45" i="15"/>
  <c r="I45" i="15"/>
  <c r="H45" i="15"/>
  <c r="G45" i="15"/>
  <c r="F45" i="15"/>
  <c r="E45" i="15"/>
  <c r="D45" i="15"/>
  <c r="C45" i="15"/>
  <c r="B45" i="15"/>
  <c r="A45" i="15"/>
  <c r="S44" i="15"/>
  <c r="R44" i="15"/>
  <c r="Q44" i="15"/>
  <c r="P44" i="15"/>
  <c r="O44" i="15"/>
  <c r="N44" i="15"/>
  <c r="M44" i="15"/>
  <c r="L44" i="15"/>
  <c r="K44" i="15"/>
  <c r="J44" i="15"/>
  <c r="I44" i="15"/>
  <c r="H44" i="15"/>
  <c r="G44" i="15"/>
  <c r="F44" i="15"/>
  <c r="E44" i="15"/>
  <c r="D44" i="15"/>
  <c r="C44" i="15"/>
  <c r="B44" i="15"/>
  <c r="A44" i="15"/>
  <c r="S43" i="15"/>
  <c r="R43" i="15"/>
  <c r="Q43" i="15"/>
  <c r="P43" i="15"/>
  <c r="O43" i="15"/>
  <c r="N43" i="15"/>
  <c r="M43" i="15"/>
  <c r="L43" i="15"/>
  <c r="K43" i="15"/>
  <c r="J43" i="15"/>
  <c r="I43" i="15"/>
  <c r="H43" i="15"/>
  <c r="G43" i="15"/>
  <c r="F43" i="15"/>
  <c r="E43" i="15"/>
  <c r="D43" i="15"/>
  <c r="C43" i="15"/>
  <c r="B43" i="15"/>
  <c r="A43" i="15"/>
  <c r="S42" i="15"/>
  <c r="R42" i="15"/>
  <c r="Q42" i="15"/>
  <c r="P42" i="15"/>
  <c r="O42" i="15"/>
  <c r="N42" i="15"/>
  <c r="M42" i="15"/>
  <c r="L42" i="15"/>
  <c r="K42" i="15"/>
  <c r="J42" i="15"/>
  <c r="I42" i="15"/>
  <c r="H42" i="15"/>
  <c r="G42" i="15"/>
  <c r="F42" i="15"/>
  <c r="E42" i="15"/>
  <c r="D42" i="15"/>
  <c r="C42" i="15"/>
  <c r="B42" i="15"/>
  <c r="A42" i="15"/>
  <c r="S41" i="15"/>
  <c r="R41" i="15"/>
  <c r="Q41" i="15"/>
  <c r="P41" i="15"/>
  <c r="O41" i="15"/>
  <c r="N41" i="15"/>
  <c r="M41" i="15"/>
  <c r="L41" i="15"/>
  <c r="K41" i="15"/>
  <c r="J41" i="15"/>
  <c r="I41" i="15"/>
  <c r="H41" i="15"/>
  <c r="G41" i="15"/>
  <c r="F41" i="15"/>
  <c r="E41" i="15"/>
  <c r="D41" i="15"/>
  <c r="C41" i="15"/>
  <c r="B41" i="15"/>
  <c r="A41" i="15"/>
  <c r="S40" i="15"/>
  <c r="R40" i="15"/>
  <c r="Q40" i="15"/>
  <c r="P40" i="15"/>
  <c r="O40" i="15"/>
  <c r="N40" i="15"/>
  <c r="M40" i="15"/>
  <c r="L40" i="15"/>
  <c r="K40" i="15"/>
  <c r="J40" i="15"/>
  <c r="I40" i="15"/>
  <c r="H40" i="15"/>
  <c r="G40" i="15"/>
  <c r="F40" i="15"/>
  <c r="E40" i="15"/>
  <c r="D40" i="15"/>
  <c r="C40" i="15"/>
  <c r="B40" i="15"/>
  <c r="A40" i="15"/>
  <c r="S39" i="15"/>
  <c r="R39" i="15"/>
  <c r="Q39" i="15"/>
  <c r="P39" i="15"/>
  <c r="O39" i="15"/>
  <c r="N39" i="15"/>
  <c r="M39" i="15"/>
  <c r="L39" i="15"/>
  <c r="K39" i="15"/>
  <c r="J39" i="15"/>
  <c r="I39" i="15"/>
  <c r="H39" i="15"/>
  <c r="G39" i="15"/>
  <c r="F39" i="15"/>
  <c r="E39" i="15"/>
  <c r="D39" i="15"/>
  <c r="C39" i="15"/>
  <c r="B39" i="15"/>
  <c r="A39" i="15"/>
  <c r="S38" i="15"/>
  <c r="R38" i="15"/>
  <c r="Q38" i="15"/>
  <c r="P38" i="15"/>
  <c r="O38" i="15"/>
  <c r="N38" i="15"/>
  <c r="M38" i="15"/>
  <c r="L38" i="15"/>
  <c r="K38" i="15"/>
  <c r="J38" i="15"/>
  <c r="I38" i="15"/>
  <c r="H38" i="15"/>
  <c r="G38" i="15"/>
  <c r="F38" i="15"/>
  <c r="E38" i="15"/>
  <c r="D38" i="15"/>
  <c r="C38" i="15"/>
  <c r="B38" i="15"/>
  <c r="A38" i="15"/>
  <c r="S37" i="15"/>
  <c r="R37" i="15"/>
  <c r="Q37" i="15"/>
  <c r="P37" i="15"/>
  <c r="O37" i="15"/>
  <c r="N37" i="15"/>
  <c r="M37" i="15"/>
  <c r="L37" i="15"/>
  <c r="K37" i="15"/>
  <c r="J37" i="15"/>
  <c r="I37" i="15"/>
  <c r="H37" i="15"/>
  <c r="G37" i="15"/>
  <c r="F37" i="15"/>
  <c r="E37" i="15"/>
  <c r="D37" i="15"/>
  <c r="C37" i="15"/>
  <c r="B37" i="15"/>
  <c r="A37" i="15"/>
  <c r="S36" i="15"/>
  <c r="R36" i="15"/>
  <c r="Q36" i="15"/>
  <c r="P36" i="15"/>
  <c r="O36" i="15"/>
  <c r="N36" i="15"/>
  <c r="M36" i="15"/>
  <c r="L36" i="15"/>
  <c r="K36" i="15"/>
  <c r="J36" i="15"/>
  <c r="I36" i="15"/>
  <c r="H36" i="15"/>
  <c r="G36" i="15"/>
  <c r="F36" i="15"/>
  <c r="E36" i="15"/>
  <c r="D36" i="15"/>
  <c r="C36" i="15"/>
  <c r="B36" i="15"/>
  <c r="A36" i="15"/>
  <c r="S35" i="15"/>
  <c r="R35" i="15"/>
  <c r="Q35" i="15"/>
  <c r="P35" i="15"/>
  <c r="O35" i="15"/>
  <c r="N35" i="15"/>
  <c r="M35" i="15"/>
  <c r="L35" i="15"/>
  <c r="K35" i="15"/>
  <c r="J35" i="15"/>
  <c r="I35" i="15"/>
  <c r="H35" i="15"/>
  <c r="G35" i="15"/>
  <c r="F35" i="15"/>
  <c r="E35" i="15"/>
  <c r="D35" i="15"/>
  <c r="C35" i="15"/>
  <c r="B35" i="15"/>
  <c r="A35" i="15"/>
  <c r="S34" i="15"/>
  <c r="R34" i="15"/>
  <c r="Q34" i="15"/>
  <c r="P34" i="15"/>
  <c r="O34" i="15"/>
  <c r="N34" i="15"/>
  <c r="M34" i="15"/>
  <c r="L34" i="15"/>
  <c r="K34" i="15"/>
  <c r="J34" i="15"/>
  <c r="I34" i="15"/>
  <c r="H34" i="15"/>
  <c r="G34" i="15"/>
  <c r="F34" i="15"/>
  <c r="E34" i="15"/>
  <c r="D34" i="15"/>
  <c r="C34" i="15"/>
  <c r="B34" i="15"/>
  <c r="A34" i="15"/>
  <c r="S33" i="15"/>
  <c r="R33" i="15"/>
  <c r="Q33" i="15"/>
  <c r="P33" i="15"/>
  <c r="O33" i="15"/>
  <c r="N33" i="15"/>
  <c r="M33" i="15"/>
  <c r="L33" i="15"/>
  <c r="K33" i="15"/>
  <c r="J33" i="15"/>
  <c r="I33" i="15"/>
  <c r="H33" i="15"/>
  <c r="G33" i="15"/>
  <c r="F33" i="15"/>
  <c r="E33" i="15"/>
  <c r="D33" i="15"/>
  <c r="C33" i="15"/>
  <c r="B33" i="15"/>
  <c r="A33" i="15"/>
  <c r="S32" i="15"/>
  <c r="R32" i="15"/>
  <c r="Q32" i="15"/>
  <c r="P32" i="15"/>
  <c r="O32" i="15"/>
  <c r="N32" i="15"/>
  <c r="M32" i="15"/>
  <c r="L32" i="15"/>
  <c r="K32" i="15"/>
  <c r="J32" i="15"/>
  <c r="I32" i="15"/>
  <c r="H32" i="15"/>
  <c r="G32" i="15"/>
  <c r="F32" i="15"/>
  <c r="E32" i="15"/>
  <c r="D32" i="15"/>
  <c r="C32" i="15"/>
  <c r="B32" i="15"/>
  <c r="A32" i="15"/>
  <c r="S31" i="15"/>
  <c r="R31" i="15"/>
  <c r="Q31" i="15"/>
  <c r="P31" i="15"/>
  <c r="O31" i="15"/>
  <c r="N31" i="15"/>
  <c r="M31" i="15"/>
  <c r="L31" i="15"/>
  <c r="K31" i="15"/>
  <c r="J31" i="15"/>
  <c r="I31" i="15"/>
  <c r="H31" i="15"/>
  <c r="G31" i="15"/>
  <c r="F31" i="15"/>
  <c r="E31" i="15"/>
  <c r="D31" i="15"/>
  <c r="C31" i="15"/>
  <c r="B31" i="15"/>
  <c r="A31" i="15"/>
  <c r="S30" i="15"/>
  <c r="R30" i="15"/>
  <c r="Q30" i="15"/>
  <c r="P30" i="15"/>
  <c r="O30" i="15"/>
  <c r="N30" i="15"/>
  <c r="M30" i="15"/>
  <c r="L30" i="15"/>
  <c r="K30" i="15"/>
  <c r="J30" i="15"/>
  <c r="I30" i="15"/>
  <c r="H30" i="15"/>
  <c r="G30" i="15"/>
  <c r="F30" i="15"/>
  <c r="E30" i="15"/>
  <c r="D30" i="15"/>
  <c r="C30" i="15"/>
  <c r="B30" i="15"/>
  <c r="A30" i="15"/>
  <c r="S29" i="15"/>
  <c r="R29" i="15"/>
  <c r="Q29" i="15"/>
  <c r="P29" i="15"/>
  <c r="O29" i="15"/>
  <c r="N29" i="15"/>
  <c r="M29" i="15"/>
  <c r="L29" i="15"/>
  <c r="K29" i="15"/>
  <c r="J29" i="15"/>
  <c r="I29" i="15"/>
  <c r="H29" i="15"/>
  <c r="G29" i="15"/>
  <c r="F29" i="15"/>
  <c r="E29" i="15"/>
  <c r="D29" i="15"/>
  <c r="C29" i="15"/>
  <c r="B29" i="15"/>
  <c r="A29" i="15"/>
  <c r="S28" i="15"/>
  <c r="R28" i="15"/>
  <c r="Q28" i="15"/>
  <c r="P28" i="15"/>
  <c r="O28" i="15"/>
  <c r="N28" i="15"/>
  <c r="M28" i="15"/>
  <c r="L28" i="15"/>
  <c r="K28" i="15"/>
  <c r="J28" i="15"/>
  <c r="I28" i="15"/>
  <c r="H28" i="15"/>
  <c r="G28" i="15"/>
  <c r="F28" i="15"/>
  <c r="E28" i="15"/>
  <c r="D28" i="15"/>
  <c r="C28" i="15"/>
  <c r="B28" i="15"/>
  <c r="A28" i="15"/>
  <c r="S27" i="15"/>
  <c r="R27" i="15"/>
  <c r="Q27" i="15"/>
  <c r="P27" i="15"/>
  <c r="O27" i="15"/>
  <c r="N27" i="15"/>
  <c r="M27" i="15"/>
  <c r="L27" i="15"/>
  <c r="K27" i="15"/>
  <c r="J27" i="15"/>
  <c r="I27" i="15"/>
  <c r="H27" i="15"/>
  <c r="G27" i="15"/>
  <c r="F27" i="15"/>
  <c r="E27" i="15"/>
  <c r="D27" i="15"/>
  <c r="C27" i="15"/>
  <c r="B27" i="15"/>
  <c r="A27" i="15"/>
  <c r="S26" i="15"/>
  <c r="R26" i="15"/>
  <c r="Q26" i="15"/>
  <c r="P26" i="15"/>
  <c r="O26" i="15"/>
  <c r="N26" i="15"/>
  <c r="M26" i="15"/>
  <c r="L26" i="15"/>
  <c r="K26" i="15"/>
  <c r="J26" i="15"/>
  <c r="I26" i="15"/>
  <c r="H26" i="15"/>
  <c r="G26" i="15"/>
  <c r="F26" i="15"/>
  <c r="E26" i="15"/>
  <c r="D26" i="15"/>
  <c r="C26" i="15"/>
  <c r="B26" i="15"/>
  <c r="A26" i="15"/>
  <c r="S25" i="15"/>
  <c r="R25" i="15"/>
  <c r="Q25" i="15"/>
  <c r="P25" i="15"/>
  <c r="O25" i="15"/>
  <c r="N25" i="15"/>
  <c r="M25" i="15"/>
  <c r="L25" i="15"/>
  <c r="K25" i="15"/>
  <c r="J25" i="15"/>
  <c r="I25" i="15"/>
  <c r="H25" i="15"/>
  <c r="G25" i="15"/>
  <c r="F25" i="15"/>
  <c r="E25" i="15"/>
  <c r="D25" i="15"/>
  <c r="C25" i="15"/>
  <c r="B25" i="15"/>
  <c r="A25" i="15"/>
  <c r="S24" i="15"/>
  <c r="R24" i="15"/>
  <c r="Q24" i="15"/>
  <c r="P24" i="15"/>
  <c r="O24" i="15"/>
  <c r="N24" i="15"/>
  <c r="M24" i="15"/>
  <c r="L24" i="15"/>
  <c r="K24" i="15"/>
  <c r="J24" i="15"/>
  <c r="I24" i="15"/>
  <c r="H24" i="15"/>
  <c r="G24" i="15"/>
  <c r="F24" i="15"/>
  <c r="E24" i="15"/>
  <c r="D24" i="15"/>
  <c r="C24" i="15"/>
  <c r="B24" i="15"/>
  <c r="A24" i="15"/>
  <c r="S23" i="15"/>
  <c r="R23" i="15"/>
  <c r="Q23" i="15"/>
  <c r="P23" i="15"/>
  <c r="O23" i="15"/>
  <c r="N23" i="15"/>
  <c r="M23" i="15"/>
  <c r="L23" i="15"/>
  <c r="K23" i="15"/>
  <c r="J23" i="15"/>
  <c r="I23" i="15"/>
  <c r="H23" i="15"/>
  <c r="G23" i="15"/>
  <c r="F23" i="15"/>
  <c r="E23" i="15"/>
  <c r="D23" i="15"/>
  <c r="C23" i="15"/>
  <c r="B23" i="15"/>
  <c r="A23" i="15"/>
  <c r="S22" i="15"/>
  <c r="R22" i="15"/>
  <c r="Q22" i="15"/>
  <c r="P22" i="15"/>
  <c r="O22" i="15"/>
  <c r="N22" i="15"/>
  <c r="M22" i="15"/>
  <c r="L22" i="15"/>
  <c r="K22" i="15"/>
  <c r="J22" i="15"/>
  <c r="I22" i="15"/>
  <c r="H22" i="15"/>
  <c r="G22" i="15"/>
  <c r="F22" i="15"/>
  <c r="E22" i="15"/>
  <c r="D22" i="15"/>
  <c r="C22" i="15"/>
  <c r="B22" i="15"/>
  <c r="A22" i="15"/>
  <c r="S21" i="15"/>
  <c r="R21" i="15"/>
  <c r="Q21" i="15"/>
  <c r="P21" i="15"/>
  <c r="O21" i="15"/>
  <c r="N21" i="15"/>
  <c r="M21" i="15"/>
  <c r="L21" i="15"/>
  <c r="K21" i="15"/>
  <c r="J21" i="15"/>
  <c r="I21" i="15"/>
  <c r="H21" i="15"/>
  <c r="G21" i="15"/>
  <c r="F21" i="15"/>
  <c r="E21" i="15"/>
  <c r="D21" i="15"/>
  <c r="C21" i="15"/>
  <c r="B21" i="15"/>
  <c r="A21" i="15"/>
  <c r="S20" i="15"/>
  <c r="R20" i="15"/>
  <c r="Q20" i="15"/>
  <c r="P20" i="15"/>
  <c r="O20" i="15"/>
  <c r="N20" i="15"/>
  <c r="M20" i="15"/>
  <c r="L20" i="15"/>
  <c r="K20" i="15"/>
  <c r="J20" i="15"/>
  <c r="I20" i="15"/>
  <c r="H20" i="15"/>
  <c r="G20" i="15"/>
  <c r="F20" i="15"/>
  <c r="E20" i="15"/>
  <c r="D20" i="15"/>
  <c r="C20" i="15"/>
  <c r="B20" i="15"/>
  <c r="A20" i="15"/>
  <c r="S19" i="15"/>
  <c r="R19" i="15"/>
  <c r="Q19" i="15"/>
  <c r="P19" i="15"/>
  <c r="O19" i="15"/>
  <c r="N19" i="15"/>
  <c r="M19" i="15"/>
  <c r="L19" i="15"/>
  <c r="K19" i="15"/>
  <c r="J19" i="15"/>
  <c r="I19" i="15"/>
  <c r="H19" i="15"/>
  <c r="G19" i="15"/>
  <c r="F19" i="15"/>
  <c r="E19" i="15"/>
  <c r="D19" i="15"/>
  <c r="C19" i="15"/>
  <c r="B19" i="15"/>
  <c r="A19" i="15"/>
  <c r="S18" i="15"/>
  <c r="R18" i="15"/>
  <c r="Q18" i="15"/>
  <c r="P18" i="15"/>
  <c r="O18" i="15"/>
  <c r="N18" i="15"/>
  <c r="M18" i="15"/>
  <c r="L18" i="15"/>
  <c r="K18" i="15"/>
  <c r="J18" i="15"/>
  <c r="I18" i="15"/>
  <c r="H18" i="15"/>
  <c r="G18" i="15"/>
  <c r="F18" i="15"/>
  <c r="E18" i="15"/>
  <c r="D18" i="15"/>
  <c r="C18" i="15"/>
  <c r="B18" i="15"/>
  <c r="A18" i="15"/>
  <c r="S17" i="15"/>
  <c r="R17" i="15"/>
  <c r="Q17" i="15"/>
  <c r="P17" i="15"/>
  <c r="O17" i="15"/>
  <c r="N17" i="15"/>
  <c r="M17" i="15"/>
  <c r="L17" i="15"/>
  <c r="K17" i="15"/>
  <c r="J17" i="15"/>
  <c r="I17" i="15"/>
  <c r="H17" i="15"/>
  <c r="G17" i="15"/>
  <c r="F17" i="15"/>
  <c r="E17" i="15"/>
  <c r="D17" i="15"/>
  <c r="C17" i="15"/>
  <c r="B17" i="15"/>
  <c r="A17" i="15"/>
  <c r="S16" i="15"/>
  <c r="R16" i="15"/>
  <c r="Q16" i="15"/>
  <c r="P16" i="15"/>
  <c r="O16" i="15"/>
  <c r="N16" i="15"/>
  <c r="M16" i="15"/>
  <c r="L16" i="15"/>
  <c r="K16" i="15"/>
  <c r="J16" i="15"/>
  <c r="I16" i="15"/>
  <c r="H16" i="15"/>
  <c r="G16" i="15"/>
  <c r="F16" i="15"/>
  <c r="E16" i="15"/>
  <c r="D16" i="15"/>
  <c r="C16" i="15"/>
  <c r="B16" i="15"/>
  <c r="A16" i="15"/>
  <c r="S15" i="15"/>
  <c r="R15" i="15"/>
  <c r="Q15" i="15"/>
  <c r="P15" i="15"/>
  <c r="O15" i="15"/>
  <c r="N15" i="15"/>
  <c r="M15" i="15"/>
  <c r="L15" i="15"/>
  <c r="K15" i="15"/>
  <c r="J15" i="15"/>
  <c r="I15" i="15"/>
  <c r="H15" i="15"/>
  <c r="G15" i="15"/>
  <c r="F15" i="15"/>
  <c r="E15" i="15"/>
  <c r="D15" i="15"/>
  <c r="C15" i="15"/>
  <c r="B15" i="15"/>
  <c r="A15" i="15"/>
  <c r="S14" i="15"/>
  <c r="R14" i="15"/>
  <c r="Q14" i="15"/>
  <c r="P14" i="15"/>
  <c r="O14" i="15"/>
  <c r="N14" i="15"/>
  <c r="M14" i="15"/>
  <c r="L14" i="15"/>
  <c r="K14" i="15"/>
  <c r="J14" i="15"/>
  <c r="I14" i="15"/>
  <c r="H14" i="15"/>
  <c r="G14" i="15"/>
  <c r="F14" i="15"/>
  <c r="E14" i="15"/>
  <c r="D14" i="15"/>
  <c r="C14" i="15"/>
  <c r="B14" i="15"/>
  <c r="A14" i="15"/>
  <c r="S13" i="15"/>
  <c r="R13" i="15"/>
  <c r="Q13" i="15"/>
  <c r="P13" i="15"/>
  <c r="O13" i="15"/>
  <c r="N13" i="15"/>
  <c r="M13" i="15"/>
  <c r="L13" i="15"/>
  <c r="K13" i="15"/>
  <c r="J13" i="15"/>
  <c r="I13" i="15"/>
  <c r="H13" i="15"/>
  <c r="G13" i="15"/>
  <c r="F13" i="15"/>
  <c r="E13" i="15"/>
  <c r="D13" i="15"/>
  <c r="C13" i="15"/>
  <c r="B13" i="15"/>
  <c r="A13" i="15"/>
  <c r="S12" i="15"/>
  <c r="R12" i="15"/>
  <c r="Q12" i="15"/>
  <c r="P12" i="15"/>
  <c r="O12" i="15"/>
  <c r="N12" i="15"/>
  <c r="M12" i="15"/>
  <c r="L12" i="15"/>
  <c r="K12" i="15"/>
  <c r="J12" i="15"/>
  <c r="I12" i="15"/>
  <c r="H12" i="15"/>
  <c r="G12" i="15"/>
  <c r="F12" i="15"/>
  <c r="E12" i="15"/>
  <c r="D12" i="15"/>
  <c r="C12" i="15"/>
  <c r="B12" i="15"/>
  <c r="A12" i="15"/>
  <c r="S11" i="15"/>
  <c r="R11" i="15"/>
  <c r="Q11" i="15"/>
  <c r="P11" i="15"/>
  <c r="O11" i="15"/>
  <c r="N11" i="15"/>
  <c r="M11" i="15"/>
  <c r="L11" i="15"/>
  <c r="K11" i="15"/>
  <c r="J11" i="15"/>
  <c r="I11" i="15"/>
  <c r="H11" i="15"/>
  <c r="G11" i="15"/>
  <c r="F11" i="15"/>
  <c r="E11" i="15"/>
  <c r="D11" i="15"/>
  <c r="C11" i="15"/>
  <c r="B11" i="15"/>
  <c r="A11" i="15"/>
  <c r="S10" i="15"/>
  <c r="R10" i="15"/>
  <c r="Q10" i="15"/>
  <c r="P10" i="15"/>
  <c r="O10" i="15"/>
  <c r="N10" i="15"/>
  <c r="M10" i="15"/>
  <c r="L10" i="15"/>
  <c r="K10" i="15"/>
  <c r="J10" i="15"/>
  <c r="I10" i="15"/>
  <c r="H10" i="15"/>
  <c r="G10" i="15"/>
  <c r="F10" i="15"/>
  <c r="E10" i="15"/>
  <c r="D10" i="15"/>
  <c r="C10" i="15"/>
  <c r="B10" i="15"/>
  <c r="A10" i="15"/>
  <c r="S9" i="15"/>
  <c r="R9" i="15"/>
  <c r="Q9" i="15"/>
  <c r="P9" i="15"/>
  <c r="O9" i="15"/>
  <c r="N9" i="15"/>
  <c r="M9" i="15"/>
  <c r="L9" i="15"/>
  <c r="K9" i="15"/>
  <c r="J9" i="15"/>
  <c r="I9" i="15"/>
  <c r="H9" i="15"/>
  <c r="G9" i="15"/>
  <c r="F9" i="15"/>
  <c r="E9" i="15"/>
  <c r="D9" i="15"/>
  <c r="C9" i="15"/>
  <c r="B9" i="15"/>
  <c r="A9" i="15"/>
  <c r="S8" i="15"/>
  <c r="R8" i="15"/>
  <c r="Q8" i="15"/>
  <c r="P8" i="15"/>
  <c r="O8" i="15"/>
  <c r="N8" i="15"/>
  <c r="M8" i="15"/>
  <c r="L8" i="15"/>
  <c r="K8" i="15"/>
  <c r="J8" i="15"/>
  <c r="I8" i="15"/>
  <c r="H8" i="15"/>
  <c r="G8" i="15"/>
  <c r="F8" i="15"/>
  <c r="E8" i="15"/>
  <c r="D8" i="15"/>
  <c r="C8" i="15"/>
  <c r="B8" i="15"/>
  <c r="A8" i="15"/>
  <c r="S7" i="15"/>
  <c r="R7" i="15"/>
  <c r="Q7" i="15"/>
  <c r="P7" i="15"/>
  <c r="O7" i="15"/>
  <c r="N7" i="15"/>
  <c r="M7" i="15"/>
  <c r="L7" i="15"/>
  <c r="K7" i="15"/>
  <c r="J7" i="15"/>
  <c r="I7" i="15"/>
  <c r="H7" i="15"/>
  <c r="G7" i="15"/>
  <c r="F7" i="15"/>
  <c r="E7" i="15"/>
  <c r="D7" i="15"/>
  <c r="C7" i="15"/>
  <c r="B7" i="15"/>
  <c r="A7" i="15"/>
  <c r="S6" i="15"/>
  <c r="R6" i="15"/>
  <c r="Q6" i="15"/>
  <c r="P6" i="15"/>
  <c r="O6" i="15"/>
  <c r="N6" i="15"/>
  <c r="M6" i="15"/>
  <c r="L6" i="15"/>
  <c r="K6" i="15"/>
  <c r="J6" i="15"/>
  <c r="I6" i="15"/>
  <c r="H6" i="15"/>
  <c r="G6" i="15"/>
  <c r="F6" i="15"/>
  <c r="E6" i="15"/>
  <c r="D6" i="15"/>
  <c r="C6" i="15"/>
  <c r="B6" i="15"/>
  <c r="A6" i="15"/>
  <c r="S5" i="15"/>
  <c r="R5" i="15"/>
  <c r="Q5" i="15"/>
  <c r="P5" i="15"/>
  <c r="O5" i="15"/>
  <c r="N5" i="15"/>
  <c r="M5" i="15"/>
  <c r="L5" i="15"/>
  <c r="K5" i="15"/>
  <c r="J5" i="15"/>
  <c r="I5" i="15"/>
  <c r="H5" i="15"/>
  <c r="G5" i="15"/>
  <c r="F5" i="15"/>
  <c r="E5" i="15"/>
  <c r="D5" i="15"/>
  <c r="C5" i="15"/>
  <c r="B5" i="15"/>
  <c r="A5" i="15"/>
  <c r="S4" i="15"/>
  <c r="R4" i="15"/>
  <c r="Q4" i="15"/>
  <c r="P4" i="15"/>
  <c r="O4" i="15"/>
  <c r="N4" i="15"/>
  <c r="M4" i="15"/>
  <c r="L4" i="15"/>
  <c r="K4" i="15"/>
  <c r="J4" i="15"/>
  <c r="I4" i="15"/>
  <c r="H4" i="15"/>
  <c r="G4" i="15"/>
  <c r="F4" i="15"/>
  <c r="E4" i="15"/>
  <c r="D4" i="15"/>
  <c r="C4" i="15"/>
  <c r="B4" i="15"/>
  <c r="A4" i="15"/>
  <c r="S3" i="15"/>
  <c r="R3" i="15"/>
  <c r="Q3" i="15"/>
  <c r="P3" i="15"/>
  <c r="O3" i="15"/>
  <c r="N3" i="15"/>
  <c r="M3" i="15"/>
  <c r="L3" i="15"/>
  <c r="K3" i="15"/>
  <c r="J3" i="15"/>
  <c r="I3" i="15"/>
  <c r="H3" i="15"/>
  <c r="G3" i="15"/>
  <c r="F3" i="15"/>
  <c r="E3" i="15"/>
  <c r="D3" i="15"/>
  <c r="C3" i="15"/>
  <c r="B3" i="15"/>
  <c r="A3" i="15"/>
  <c r="S2" i="15"/>
  <c r="R2" i="15"/>
  <c r="Q2" i="15"/>
  <c r="P2" i="15"/>
  <c r="O2" i="15"/>
  <c r="N2" i="15"/>
  <c r="M2" i="15"/>
  <c r="L2" i="15"/>
  <c r="K2" i="15"/>
  <c r="J2" i="15"/>
  <c r="I2" i="15"/>
  <c r="H2" i="15"/>
  <c r="G2" i="15"/>
  <c r="F2" i="15"/>
  <c r="E2" i="15"/>
  <c r="D2" i="15"/>
  <c r="C2" i="15"/>
  <c r="B2" i="15"/>
  <c r="A2" i="15"/>
  <c r="S1" i="15"/>
  <c r="R1" i="15"/>
  <c r="Q1" i="15"/>
  <c r="P1" i="15"/>
  <c r="O1" i="15"/>
  <c r="N1" i="15"/>
  <c r="M1" i="15"/>
  <c r="L1" i="15"/>
  <c r="K1" i="15"/>
  <c r="J1" i="15"/>
  <c r="I1" i="15"/>
  <c r="H1" i="15"/>
  <c r="G1" i="15"/>
  <c r="F1" i="15"/>
  <c r="E1" i="15"/>
  <c r="D1" i="15"/>
  <c r="C1" i="15"/>
  <c r="B1" i="15"/>
  <c r="A1" i="15"/>
  <c r="R47" i="14"/>
  <c r="Q47" i="14"/>
  <c r="P47" i="14"/>
  <c r="O47" i="14"/>
  <c r="N47" i="14"/>
  <c r="M47" i="14"/>
  <c r="L47" i="14"/>
  <c r="K47" i="14"/>
  <c r="J47" i="14"/>
  <c r="I47" i="14"/>
  <c r="H47" i="14"/>
  <c r="G47" i="14"/>
  <c r="F47" i="14"/>
  <c r="E47" i="14"/>
  <c r="D47" i="14"/>
  <c r="C47" i="14"/>
  <c r="B47" i="14"/>
  <c r="A47" i="14"/>
  <c r="R46" i="14"/>
  <c r="Q46" i="14"/>
  <c r="P46" i="14"/>
  <c r="O46" i="14"/>
  <c r="N46" i="14"/>
  <c r="M46" i="14"/>
  <c r="L46" i="14"/>
  <c r="K46" i="14"/>
  <c r="J46" i="14"/>
  <c r="I46" i="14"/>
  <c r="H46" i="14"/>
  <c r="G46" i="14"/>
  <c r="F46" i="14"/>
  <c r="E46" i="14"/>
  <c r="D46" i="14"/>
  <c r="C46" i="14"/>
  <c r="B46" i="14"/>
  <c r="A46" i="14"/>
  <c r="R45" i="14"/>
  <c r="Q45" i="14"/>
  <c r="P45" i="14"/>
  <c r="O45" i="14"/>
  <c r="N45" i="14"/>
  <c r="M45" i="14"/>
  <c r="L45" i="14"/>
  <c r="K45" i="14"/>
  <c r="J45" i="14"/>
  <c r="I45" i="14"/>
  <c r="H45" i="14"/>
  <c r="G45" i="14"/>
  <c r="F45" i="14"/>
  <c r="E45" i="14"/>
  <c r="D45" i="14"/>
  <c r="C45" i="14"/>
  <c r="B45" i="14"/>
  <c r="A45" i="14"/>
  <c r="R44" i="14"/>
  <c r="Q44" i="14"/>
  <c r="P44" i="14"/>
  <c r="O44" i="14"/>
  <c r="N44" i="14"/>
  <c r="M44" i="14"/>
  <c r="L44" i="14"/>
  <c r="K44" i="14"/>
  <c r="J44" i="14"/>
  <c r="I44" i="14"/>
  <c r="H44" i="14"/>
  <c r="G44" i="14"/>
  <c r="F44" i="14"/>
  <c r="E44" i="14"/>
  <c r="D44" i="14"/>
  <c r="C44" i="14"/>
  <c r="B44" i="14"/>
  <c r="A44" i="14"/>
  <c r="R43" i="14"/>
  <c r="Q43" i="14"/>
  <c r="P43" i="14"/>
  <c r="O43" i="14"/>
  <c r="N43" i="14"/>
  <c r="M43" i="14"/>
  <c r="L43" i="14"/>
  <c r="K43" i="14"/>
  <c r="J43" i="14"/>
  <c r="I43" i="14"/>
  <c r="H43" i="14"/>
  <c r="G43" i="14"/>
  <c r="F43" i="14"/>
  <c r="E43" i="14"/>
  <c r="D43" i="14"/>
  <c r="C43" i="14"/>
  <c r="B43" i="14"/>
  <c r="A43" i="14"/>
  <c r="R42" i="14"/>
  <c r="Q42" i="14"/>
  <c r="P42" i="14"/>
  <c r="O42" i="14"/>
  <c r="N42" i="14"/>
  <c r="M42" i="14"/>
  <c r="L42" i="14"/>
  <c r="K42" i="14"/>
  <c r="J42" i="14"/>
  <c r="I42" i="14"/>
  <c r="H42" i="14"/>
  <c r="G42" i="14"/>
  <c r="F42" i="14"/>
  <c r="E42" i="14"/>
  <c r="D42" i="14"/>
  <c r="C42" i="14"/>
  <c r="B42" i="14"/>
  <c r="A42" i="14"/>
  <c r="R41" i="14"/>
  <c r="Q41" i="14"/>
  <c r="P41" i="14"/>
  <c r="O41" i="14"/>
  <c r="N41" i="14"/>
  <c r="M41" i="14"/>
  <c r="L41" i="14"/>
  <c r="K41" i="14"/>
  <c r="J41" i="14"/>
  <c r="I41" i="14"/>
  <c r="H41" i="14"/>
  <c r="G41" i="14"/>
  <c r="F41" i="14"/>
  <c r="E41" i="14"/>
  <c r="D41" i="14"/>
  <c r="C41" i="14"/>
  <c r="B41" i="14"/>
  <c r="A41" i="14"/>
  <c r="R40" i="14"/>
  <c r="Q40" i="14"/>
  <c r="P40" i="14"/>
  <c r="O40" i="14"/>
  <c r="N40" i="14"/>
  <c r="M40" i="14"/>
  <c r="L40" i="14"/>
  <c r="K40" i="14"/>
  <c r="J40" i="14"/>
  <c r="I40" i="14"/>
  <c r="H40" i="14"/>
  <c r="G40" i="14"/>
  <c r="F40" i="14"/>
  <c r="E40" i="14"/>
  <c r="D40" i="14"/>
  <c r="C40" i="14"/>
  <c r="B40" i="14"/>
  <c r="A40" i="14"/>
  <c r="R39" i="14"/>
  <c r="Q39" i="14"/>
  <c r="P39" i="14"/>
  <c r="O39" i="14"/>
  <c r="N39" i="14"/>
  <c r="M39" i="14"/>
  <c r="L39" i="14"/>
  <c r="K39" i="14"/>
  <c r="J39" i="14"/>
  <c r="I39" i="14"/>
  <c r="H39" i="14"/>
  <c r="G39" i="14"/>
  <c r="F39" i="14"/>
  <c r="E39" i="14"/>
  <c r="D39" i="14"/>
  <c r="C39" i="14"/>
  <c r="B39" i="14"/>
  <c r="A39" i="14"/>
  <c r="R38" i="14"/>
  <c r="Q38" i="14"/>
  <c r="P38" i="14"/>
  <c r="O38" i="14"/>
  <c r="N38" i="14"/>
  <c r="M38" i="14"/>
  <c r="L38" i="14"/>
  <c r="K38" i="14"/>
  <c r="J38" i="14"/>
  <c r="I38" i="14"/>
  <c r="H38" i="14"/>
  <c r="G38" i="14"/>
  <c r="F38" i="14"/>
  <c r="E38" i="14"/>
  <c r="D38" i="14"/>
  <c r="C38" i="14"/>
  <c r="B38" i="14"/>
  <c r="A38" i="14"/>
  <c r="R37" i="14"/>
  <c r="Q37" i="14"/>
  <c r="P37" i="14"/>
  <c r="O37" i="14"/>
  <c r="N37" i="14"/>
  <c r="M37" i="14"/>
  <c r="L37" i="14"/>
  <c r="K37" i="14"/>
  <c r="J37" i="14"/>
  <c r="I37" i="14"/>
  <c r="H37" i="14"/>
  <c r="G37" i="14"/>
  <c r="F37" i="14"/>
  <c r="E37" i="14"/>
  <c r="D37" i="14"/>
  <c r="C37" i="14"/>
  <c r="B37" i="14"/>
  <c r="A37" i="14"/>
  <c r="R36" i="14"/>
  <c r="Q36" i="14"/>
  <c r="P36" i="14"/>
  <c r="O36" i="14"/>
  <c r="N36" i="14"/>
  <c r="M36" i="14"/>
  <c r="L36" i="14"/>
  <c r="K36" i="14"/>
  <c r="J36" i="14"/>
  <c r="I36" i="14"/>
  <c r="H36" i="14"/>
  <c r="G36" i="14"/>
  <c r="F36" i="14"/>
  <c r="E36" i="14"/>
  <c r="D36" i="14"/>
  <c r="C36" i="14"/>
  <c r="B36" i="14"/>
  <c r="A36" i="14"/>
  <c r="R35" i="14"/>
  <c r="Q35" i="14"/>
  <c r="P35" i="14"/>
  <c r="O35" i="14"/>
  <c r="N35" i="14"/>
  <c r="M35" i="14"/>
  <c r="L35" i="14"/>
  <c r="K35" i="14"/>
  <c r="J35" i="14"/>
  <c r="I35" i="14"/>
  <c r="H35" i="14"/>
  <c r="G35" i="14"/>
  <c r="F35" i="14"/>
  <c r="E35" i="14"/>
  <c r="D35" i="14"/>
  <c r="C35" i="14"/>
  <c r="B35" i="14"/>
  <c r="A35" i="14"/>
  <c r="R34" i="14"/>
  <c r="Q34" i="14"/>
  <c r="P34" i="14"/>
  <c r="O34" i="14"/>
  <c r="N34" i="14"/>
  <c r="M34" i="14"/>
  <c r="L34" i="14"/>
  <c r="K34" i="14"/>
  <c r="J34" i="14"/>
  <c r="I34" i="14"/>
  <c r="H34" i="14"/>
  <c r="G34" i="14"/>
  <c r="F34" i="14"/>
  <c r="E34" i="14"/>
  <c r="D34" i="14"/>
  <c r="C34" i="14"/>
  <c r="B34" i="14"/>
  <c r="A34" i="14"/>
  <c r="R33" i="14"/>
  <c r="Q33" i="14"/>
  <c r="P33" i="14"/>
  <c r="O33" i="14"/>
  <c r="N33" i="14"/>
  <c r="M33" i="14"/>
  <c r="L33" i="14"/>
  <c r="K33" i="14"/>
  <c r="J33" i="14"/>
  <c r="I33" i="14"/>
  <c r="H33" i="14"/>
  <c r="G33" i="14"/>
  <c r="F33" i="14"/>
  <c r="E33" i="14"/>
  <c r="D33" i="14"/>
  <c r="C33" i="14"/>
  <c r="B33" i="14"/>
  <c r="A33" i="14"/>
  <c r="R32" i="14"/>
  <c r="Q32" i="14"/>
  <c r="P32" i="14"/>
  <c r="O32" i="14"/>
  <c r="N32" i="14"/>
  <c r="M32" i="14"/>
  <c r="L32" i="14"/>
  <c r="K32" i="14"/>
  <c r="J32" i="14"/>
  <c r="I32" i="14"/>
  <c r="H32" i="14"/>
  <c r="G32" i="14"/>
  <c r="F32" i="14"/>
  <c r="E32" i="14"/>
  <c r="D32" i="14"/>
  <c r="C32" i="14"/>
  <c r="B32" i="14"/>
  <c r="A32" i="14"/>
  <c r="R31" i="14"/>
  <c r="Q31" i="14"/>
  <c r="P31" i="14"/>
  <c r="O31" i="14"/>
  <c r="N31" i="14"/>
  <c r="M31" i="14"/>
  <c r="L31" i="14"/>
  <c r="K31" i="14"/>
  <c r="J31" i="14"/>
  <c r="I31" i="14"/>
  <c r="H31" i="14"/>
  <c r="G31" i="14"/>
  <c r="F31" i="14"/>
  <c r="E31" i="14"/>
  <c r="D31" i="14"/>
  <c r="C31" i="14"/>
  <c r="B31" i="14"/>
  <c r="A31" i="14"/>
  <c r="R30" i="14"/>
  <c r="Q30" i="14"/>
  <c r="P30" i="14"/>
  <c r="O30" i="14"/>
  <c r="N30" i="14"/>
  <c r="M30" i="14"/>
  <c r="L30" i="14"/>
  <c r="K30" i="14"/>
  <c r="J30" i="14"/>
  <c r="I30" i="14"/>
  <c r="H30" i="14"/>
  <c r="G30" i="14"/>
  <c r="F30" i="14"/>
  <c r="E30" i="14"/>
  <c r="D30" i="14"/>
  <c r="C30" i="14"/>
  <c r="B30" i="14"/>
  <c r="A30" i="14"/>
  <c r="R29" i="14"/>
  <c r="Q29" i="14"/>
  <c r="P29" i="14"/>
  <c r="O29" i="14"/>
  <c r="N29" i="14"/>
  <c r="M29" i="14"/>
  <c r="L29" i="14"/>
  <c r="K29" i="14"/>
  <c r="J29" i="14"/>
  <c r="I29" i="14"/>
  <c r="H29" i="14"/>
  <c r="G29" i="14"/>
  <c r="F29" i="14"/>
  <c r="E29" i="14"/>
  <c r="D29" i="14"/>
  <c r="C29" i="14"/>
  <c r="B29" i="14"/>
  <c r="A29" i="14"/>
  <c r="R28" i="14"/>
  <c r="Q28" i="14"/>
  <c r="P28" i="14"/>
  <c r="O28" i="14"/>
  <c r="N28" i="14"/>
  <c r="M28" i="14"/>
  <c r="L28" i="14"/>
  <c r="K28" i="14"/>
  <c r="J28" i="14"/>
  <c r="I28" i="14"/>
  <c r="H28" i="14"/>
  <c r="G28" i="14"/>
  <c r="F28" i="14"/>
  <c r="E28" i="14"/>
  <c r="D28" i="14"/>
  <c r="C28" i="14"/>
  <c r="B28" i="14"/>
  <c r="A28" i="14"/>
  <c r="R27" i="14"/>
  <c r="Q27" i="14"/>
  <c r="P27" i="14"/>
  <c r="O27" i="14"/>
  <c r="N27" i="14"/>
  <c r="M27" i="14"/>
  <c r="L27" i="14"/>
  <c r="K27" i="14"/>
  <c r="J27" i="14"/>
  <c r="I27" i="14"/>
  <c r="H27" i="14"/>
  <c r="G27" i="14"/>
  <c r="F27" i="14"/>
  <c r="E27" i="14"/>
  <c r="D27" i="14"/>
  <c r="C27" i="14"/>
  <c r="B27" i="14"/>
  <c r="A27" i="14"/>
  <c r="R26" i="14"/>
  <c r="Q26" i="14"/>
  <c r="P26" i="14"/>
  <c r="O26" i="14"/>
  <c r="N26" i="14"/>
  <c r="M26" i="14"/>
  <c r="L26" i="14"/>
  <c r="K26" i="14"/>
  <c r="J26" i="14"/>
  <c r="I26" i="14"/>
  <c r="H26" i="14"/>
  <c r="G26" i="14"/>
  <c r="F26" i="14"/>
  <c r="E26" i="14"/>
  <c r="D26" i="14"/>
  <c r="C26" i="14"/>
  <c r="B26" i="14"/>
  <c r="A26" i="14"/>
  <c r="R25" i="14"/>
  <c r="Q25" i="14"/>
  <c r="P25" i="14"/>
  <c r="O25" i="14"/>
  <c r="N25" i="14"/>
  <c r="M25" i="14"/>
  <c r="L25" i="14"/>
  <c r="K25" i="14"/>
  <c r="J25" i="14"/>
  <c r="I25" i="14"/>
  <c r="H25" i="14"/>
  <c r="G25" i="14"/>
  <c r="F25" i="14"/>
  <c r="E25" i="14"/>
  <c r="D25" i="14"/>
  <c r="C25" i="14"/>
  <c r="B25" i="14"/>
  <c r="A25" i="14"/>
  <c r="R24" i="14"/>
  <c r="Q24" i="14"/>
  <c r="P24" i="14"/>
  <c r="O24" i="14"/>
  <c r="N24" i="14"/>
  <c r="M24" i="14"/>
  <c r="L24" i="14"/>
  <c r="K24" i="14"/>
  <c r="J24" i="14"/>
  <c r="I24" i="14"/>
  <c r="H24" i="14"/>
  <c r="G24" i="14"/>
  <c r="F24" i="14"/>
  <c r="E24" i="14"/>
  <c r="D24" i="14"/>
  <c r="C24" i="14"/>
  <c r="B24" i="14"/>
  <c r="A24" i="14"/>
  <c r="R23" i="14"/>
  <c r="Q23" i="14"/>
  <c r="P23" i="14"/>
  <c r="O23" i="14"/>
  <c r="N23" i="14"/>
  <c r="M23" i="14"/>
  <c r="L23" i="14"/>
  <c r="K23" i="14"/>
  <c r="J23" i="14"/>
  <c r="I23" i="14"/>
  <c r="H23" i="14"/>
  <c r="G23" i="14"/>
  <c r="F23" i="14"/>
  <c r="E23" i="14"/>
  <c r="D23" i="14"/>
  <c r="C23" i="14"/>
  <c r="B23" i="14"/>
  <c r="A23" i="14"/>
  <c r="R22" i="14"/>
  <c r="Q22" i="14"/>
  <c r="P22" i="14"/>
  <c r="O22" i="14"/>
  <c r="N22" i="14"/>
  <c r="M22" i="14"/>
  <c r="L22" i="14"/>
  <c r="K22" i="14"/>
  <c r="J22" i="14"/>
  <c r="I22" i="14"/>
  <c r="H22" i="14"/>
  <c r="G22" i="14"/>
  <c r="F22" i="14"/>
  <c r="E22" i="14"/>
  <c r="D22" i="14"/>
  <c r="C22" i="14"/>
  <c r="B22" i="14"/>
  <c r="A22" i="14"/>
  <c r="R21" i="14"/>
  <c r="Q21" i="14"/>
  <c r="P21" i="14"/>
  <c r="O21" i="14"/>
  <c r="N21" i="14"/>
  <c r="M21" i="14"/>
  <c r="L21" i="14"/>
  <c r="K21" i="14"/>
  <c r="J21" i="14"/>
  <c r="I21" i="14"/>
  <c r="H21" i="14"/>
  <c r="G21" i="14"/>
  <c r="F21" i="14"/>
  <c r="E21" i="14"/>
  <c r="D21" i="14"/>
  <c r="C21" i="14"/>
  <c r="B21" i="14"/>
  <c r="A21" i="14"/>
  <c r="R20" i="14"/>
  <c r="Q20" i="14"/>
  <c r="P20" i="14"/>
  <c r="O20" i="14"/>
  <c r="N20" i="14"/>
  <c r="M20" i="14"/>
  <c r="L20" i="14"/>
  <c r="K20" i="14"/>
  <c r="J20" i="14"/>
  <c r="I20" i="14"/>
  <c r="H20" i="14"/>
  <c r="G20" i="14"/>
  <c r="F20" i="14"/>
  <c r="E20" i="14"/>
  <c r="D20" i="14"/>
  <c r="C20" i="14"/>
  <c r="B20" i="14"/>
  <c r="A20" i="14"/>
  <c r="R19" i="14"/>
  <c r="Q19" i="14"/>
  <c r="P19" i="14"/>
  <c r="O19" i="14"/>
  <c r="N19" i="14"/>
  <c r="M19" i="14"/>
  <c r="L19" i="14"/>
  <c r="K19" i="14"/>
  <c r="J19" i="14"/>
  <c r="I19" i="14"/>
  <c r="H19" i="14"/>
  <c r="G19" i="14"/>
  <c r="F19" i="14"/>
  <c r="E19" i="14"/>
  <c r="D19" i="14"/>
  <c r="C19" i="14"/>
  <c r="B19" i="14"/>
  <c r="A19" i="14"/>
  <c r="R18" i="14"/>
  <c r="Q18" i="14"/>
  <c r="P18" i="14"/>
  <c r="O18" i="14"/>
  <c r="N18" i="14"/>
  <c r="M18" i="14"/>
  <c r="L18" i="14"/>
  <c r="K18" i="14"/>
  <c r="J18" i="14"/>
  <c r="I18" i="14"/>
  <c r="H18" i="14"/>
  <c r="G18" i="14"/>
  <c r="F18" i="14"/>
  <c r="E18" i="14"/>
  <c r="D18" i="14"/>
  <c r="C18" i="14"/>
  <c r="B18" i="14"/>
  <c r="A18" i="14"/>
  <c r="R17" i="14"/>
  <c r="Q17" i="14"/>
  <c r="P17" i="14"/>
  <c r="O17" i="14"/>
  <c r="N17" i="14"/>
  <c r="M17" i="14"/>
  <c r="L17" i="14"/>
  <c r="K17" i="14"/>
  <c r="J17" i="14"/>
  <c r="I17" i="14"/>
  <c r="H17" i="14"/>
  <c r="G17" i="14"/>
  <c r="F17" i="14"/>
  <c r="E17" i="14"/>
  <c r="D17" i="14"/>
  <c r="C17" i="14"/>
  <c r="B17" i="14"/>
  <c r="A17" i="14"/>
  <c r="R16" i="14"/>
  <c r="Q16" i="14"/>
  <c r="P16" i="14"/>
  <c r="O16" i="14"/>
  <c r="N16" i="14"/>
  <c r="M16" i="14"/>
  <c r="L16" i="14"/>
  <c r="K16" i="14"/>
  <c r="J16" i="14"/>
  <c r="I16" i="14"/>
  <c r="H16" i="14"/>
  <c r="G16" i="14"/>
  <c r="F16" i="14"/>
  <c r="E16" i="14"/>
  <c r="D16" i="14"/>
  <c r="C16" i="14"/>
  <c r="B16" i="14"/>
  <c r="A16" i="14"/>
  <c r="R15" i="14"/>
  <c r="Q15" i="14"/>
  <c r="P15" i="14"/>
  <c r="O15" i="14"/>
  <c r="N15" i="14"/>
  <c r="M15" i="14"/>
  <c r="L15" i="14"/>
  <c r="K15" i="14"/>
  <c r="J15" i="14"/>
  <c r="I15" i="14"/>
  <c r="H15" i="14"/>
  <c r="G15" i="14"/>
  <c r="F15" i="14"/>
  <c r="E15" i="14"/>
  <c r="D15" i="14"/>
  <c r="C15" i="14"/>
  <c r="B15" i="14"/>
  <c r="A15" i="14"/>
  <c r="R14" i="14"/>
  <c r="Q14" i="14"/>
  <c r="P14" i="14"/>
  <c r="O14" i="14"/>
  <c r="N14" i="14"/>
  <c r="M14" i="14"/>
  <c r="L14" i="14"/>
  <c r="K14" i="14"/>
  <c r="J14" i="14"/>
  <c r="I14" i="14"/>
  <c r="H14" i="14"/>
  <c r="G14" i="14"/>
  <c r="F14" i="14"/>
  <c r="E14" i="14"/>
  <c r="D14" i="14"/>
  <c r="C14" i="14"/>
  <c r="B14" i="14"/>
  <c r="A14" i="14"/>
  <c r="R13" i="14"/>
  <c r="Q13" i="14"/>
  <c r="P13" i="14"/>
  <c r="O13" i="14"/>
  <c r="N13" i="14"/>
  <c r="M13" i="14"/>
  <c r="L13" i="14"/>
  <c r="K13" i="14"/>
  <c r="J13" i="14"/>
  <c r="I13" i="14"/>
  <c r="H13" i="14"/>
  <c r="G13" i="14"/>
  <c r="F13" i="14"/>
  <c r="E13" i="14"/>
  <c r="D13" i="14"/>
  <c r="C13" i="14"/>
  <c r="B13" i="14"/>
  <c r="A13" i="14"/>
  <c r="R12" i="14"/>
  <c r="Q12" i="14"/>
  <c r="P12" i="14"/>
  <c r="O12" i="14"/>
  <c r="N12" i="14"/>
  <c r="M12" i="14"/>
  <c r="L12" i="14"/>
  <c r="K12" i="14"/>
  <c r="J12" i="14"/>
  <c r="I12" i="14"/>
  <c r="H12" i="14"/>
  <c r="G12" i="14"/>
  <c r="F12" i="14"/>
  <c r="E12" i="14"/>
  <c r="D12" i="14"/>
  <c r="C12" i="14"/>
  <c r="B12" i="14"/>
  <c r="A12" i="14"/>
  <c r="R11" i="14"/>
  <c r="Q11" i="14"/>
  <c r="P11" i="14"/>
  <c r="O11" i="14"/>
  <c r="N11" i="14"/>
  <c r="M11" i="14"/>
  <c r="L11" i="14"/>
  <c r="K11" i="14"/>
  <c r="J11" i="14"/>
  <c r="I11" i="14"/>
  <c r="H11" i="14"/>
  <c r="G11" i="14"/>
  <c r="F11" i="14"/>
  <c r="E11" i="14"/>
  <c r="D11" i="14"/>
  <c r="C11" i="14"/>
  <c r="B11" i="14"/>
  <c r="A11" i="14"/>
  <c r="R10" i="14"/>
  <c r="Q10" i="14"/>
  <c r="P10" i="14"/>
  <c r="O10" i="14"/>
  <c r="N10" i="14"/>
  <c r="M10" i="14"/>
  <c r="L10" i="14"/>
  <c r="K10" i="14"/>
  <c r="J10" i="14"/>
  <c r="I10" i="14"/>
  <c r="H10" i="14"/>
  <c r="G10" i="14"/>
  <c r="F10" i="14"/>
  <c r="E10" i="14"/>
  <c r="D10" i="14"/>
  <c r="C10" i="14"/>
  <c r="B10" i="14"/>
  <c r="A10" i="14"/>
  <c r="R9" i="14"/>
  <c r="Q9" i="14"/>
  <c r="P9" i="14"/>
  <c r="O9" i="14"/>
  <c r="N9" i="14"/>
  <c r="M9" i="14"/>
  <c r="L9" i="14"/>
  <c r="K9" i="14"/>
  <c r="J9" i="14"/>
  <c r="I9" i="14"/>
  <c r="H9" i="14"/>
  <c r="G9" i="14"/>
  <c r="F9" i="14"/>
  <c r="E9" i="14"/>
  <c r="D9" i="14"/>
  <c r="C9" i="14"/>
  <c r="B9" i="14"/>
  <c r="A9" i="14"/>
  <c r="R8" i="14"/>
  <c r="Q8" i="14"/>
  <c r="P8" i="14"/>
  <c r="O8" i="14"/>
  <c r="N8" i="14"/>
  <c r="M8" i="14"/>
  <c r="L8" i="14"/>
  <c r="K8" i="14"/>
  <c r="J8" i="14"/>
  <c r="I8" i="14"/>
  <c r="H8" i="14"/>
  <c r="G8" i="14"/>
  <c r="F8" i="14"/>
  <c r="E8" i="14"/>
  <c r="D8" i="14"/>
  <c r="C8" i="14"/>
  <c r="B8" i="14"/>
  <c r="A8" i="14"/>
  <c r="R7" i="14"/>
  <c r="Q7" i="14"/>
  <c r="P7" i="14"/>
  <c r="O7" i="14"/>
  <c r="N7" i="14"/>
  <c r="M7" i="14"/>
  <c r="L7" i="14"/>
  <c r="K7" i="14"/>
  <c r="J7" i="14"/>
  <c r="I7" i="14"/>
  <c r="H7" i="14"/>
  <c r="G7" i="14"/>
  <c r="F7" i="14"/>
  <c r="E7" i="14"/>
  <c r="D7" i="14"/>
  <c r="C7" i="14"/>
  <c r="B7" i="14"/>
  <c r="A7" i="14"/>
  <c r="R6" i="14"/>
  <c r="Q6" i="14"/>
  <c r="P6" i="14"/>
  <c r="O6" i="14"/>
  <c r="N6" i="14"/>
  <c r="M6" i="14"/>
  <c r="L6" i="14"/>
  <c r="K6" i="14"/>
  <c r="J6" i="14"/>
  <c r="I6" i="14"/>
  <c r="H6" i="14"/>
  <c r="G6" i="14"/>
  <c r="F6" i="14"/>
  <c r="E6" i="14"/>
  <c r="D6" i="14"/>
  <c r="C6" i="14"/>
  <c r="B6" i="14"/>
  <c r="A6" i="14"/>
  <c r="R5" i="14"/>
  <c r="Q5" i="14"/>
  <c r="P5" i="14"/>
  <c r="O5" i="14"/>
  <c r="N5" i="14"/>
  <c r="M5" i="14"/>
  <c r="L5" i="14"/>
  <c r="K5" i="14"/>
  <c r="J5" i="14"/>
  <c r="I5" i="14"/>
  <c r="H5" i="14"/>
  <c r="G5" i="14"/>
  <c r="F5" i="14"/>
  <c r="E5" i="14"/>
  <c r="D5" i="14"/>
  <c r="C5" i="14"/>
  <c r="B5" i="14"/>
  <c r="A5" i="14"/>
  <c r="R4" i="14"/>
  <c r="Q4" i="14"/>
  <c r="P4" i="14"/>
  <c r="O4" i="14"/>
  <c r="N4" i="14"/>
  <c r="M4" i="14"/>
  <c r="L4" i="14"/>
  <c r="K4" i="14"/>
  <c r="J4" i="14"/>
  <c r="I4" i="14"/>
  <c r="H4" i="14"/>
  <c r="G4" i="14"/>
  <c r="F4" i="14"/>
  <c r="E4" i="14"/>
  <c r="D4" i="14"/>
  <c r="C4" i="14"/>
  <c r="B4" i="14"/>
  <c r="A4" i="14"/>
  <c r="R3" i="14"/>
  <c r="Q3" i="14"/>
  <c r="P3" i="14"/>
  <c r="O3" i="14"/>
  <c r="N3" i="14"/>
  <c r="M3" i="14"/>
  <c r="L3" i="14"/>
  <c r="K3" i="14"/>
  <c r="J3" i="14"/>
  <c r="I3" i="14"/>
  <c r="H3" i="14"/>
  <c r="G3" i="14"/>
  <c r="F3" i="14"/>
  <c r="E3" i="14"/>
  <c r="D3" i="14"/>
  <c r="C3" i="14"/>
  <c r="B3" i="14"/>
  <c r="A3" i="14"/>
  <c r="R2" i="14"/>
  <c r="Q2" i="14"/>
  <c r="P2" i="14"/>
  <c r="O2" i="14"/>
  <c r="N2" i="14"/>
  <c r="M2" i="14"/>
  <c r="L2" i="14"/>
  <c r="K2" i="14"/>
  <c r="J2" i="14"/>
  <c r="I2" i="14"/>
  <c r="H2" i="14"/>
  <c r="G2" i="14"/>
  <c r="F2" i="14"/>
  <c r="E2" i="14"/>
  <c r="D2" i="14"/>
  <c r="C2" i="14"/>
  <c r="B2" i="14"/>
  <c r="A2" i="14"/>
  <c r="R1" i="14"/>
  <c r="Q1" i="14"/>
  <c r="P1" i="14"/>
  <c r="O1" i="14"/>
  <c r="N1" i="14"/>
  <c r="M1" i="14"/>
  <c r="L1" i="14"/>
  <c r="K1" i="14"/>
  <c r="J1" i="14"/>
  <c r="I1" i="14"/>
  <c r="H1" i="14"/>
  <c r="G1" i="14"/>
  <c r="F1" i="14"/>
  <c r="E1" i="14"/>
  <c r="D1" i="14"/>
  <c r="C1" i="14"/>
  <c r="B1" i="14"/>
  <c r="A1" i="14"/>
  <c r="S47" i="13"/>
  <c r="R47" i="13"/>
  <c r="Q47" i="13"/>
  <c r="P47" i="13"/>
  <c r="O47" i="13"/>
  <c r="N47" i="13"/>
  <c r="M47" i="13"/>
  <c r="L47" i="13"/>
  <c r="K47" i="13"/>
  <c r="J47" i="13"/>
  <c r="I47" i="13"/>
  <c r="H47" i="13"/>
  <c r="G47" i="13"/>
  <c r="F47" i="13"/>
  <c r="E47" i="13"/>
  <c r="D47" i="13"/>
  <c r="C47" i="13"/>
  <c r="B47" i="13"/>
  <c r="A47" i="13"/>
  <c r="S46" i="13"/>
  <c r="R46" i="13"/>
  <c r="Q46" i="13"/>
  <c r="P46" i="13"/>
  <c r="O46" i="13"/>
  <c r="N46" i="13"/>
  <c r="M46" i="13"/>
  <c r="L46" i="13"/>
  <c r="K46" i="13"/>
  <c r="J46" i="13"/>
  <c r="I46" i="13"/>
  <c r="H46" i="13"/>
  <c r="G46" i="13"/>
  <c r="F46" i="13"/>
  <c r="E46" i="13"/>
  <c r="D46" i="13"/>
  <c r="C46" i="13"/>
  <c r="B46" i="13"/>
  <c r="A46" i="13"/>
  <c r="S45" i="13"/>
  <c r="R45" i="13"/>
  <c r="Q45" i="13"/>
  <c r="P45" i="13"/>
  <c r="O45" i="13"/>
  <c r="N45" i="13"/>
  <c r="M45" i="13"/>
  <c r="L45" i="13"/>
  <c r="K45" i="13"/>
  <c r="J45" i="13"/>
  <c r="I45" i="13"/>
  <c r="H45" i="13"/>
  <c r="G45" i="13"/>
  <c r="F45" i="13"/>
  <c r="E45" i="13"/>
  <c r="D45" i="13"/>
  <c r="C45" i="13"/>
  <c r="B45" i="13"/>
  <c r="A45" i="13"/>
  <c r="S44" i="13"/>
  <c r="R44" i="13"/>
  <c r="Q44" i="13"/>
  <c r="P44" i="13"/>
  <c r="O44" i="13"/>
  <c r="N44" i="13"/>
  <c r="M44" i="13"/>
  <c r="L44" i="13"/>
  <c r="K44" i="13"/>
  <c r="J44" i="13"/>
  <c r="I44" i="13"/>
  <c r="H44" i="13"/>
  <c r="G44" i="13"/>
  <c r="F44" i="13"/>
  <c r="E44" i="13"/>
  <c r="D44" i="13"/>
  <c r="C44" i="13"/>
  <c r="B44" i="13"/>
  <c r="A44" i="13"/>
  <c r="S43" i="13"/>
  <c r="R43" i="13"/>
  <c r="Q43" i="13"/>
  <c r="P43" i="13"/>
  <c r="O43" i="13"/>
  <c r="N43" i="13"/>
  <c r="M43" i="13"/>
  <c r="L43" i="13"/>
  <c r="K43" i="13"/>
  <c r="J43" i="13"/>
  <c r="I43" i="13"/>
  <c r="H43" i="13"/>
  <c r="G43" i="13"/>
  <c r="F43" i="13"/>
  <c r="E43" i="13"/>
  <c r="D43" i="13"/>
  <c r="C43" i="13"/>
  <c r="B43" i="13"/>
  <c r="A43" i="13"/>
  <c r="S42" i="13"/>
  <c r="R42" i="13"/>
  <c r="Q42" i="13"/>
  <c r="P42" i="13"/>
  <c r="O42" i="13"/>
  <c r="N42" i="13"/>
  <c r="M42" i="13"/>
  <c r="L42" i="13"/>
  <c r="K42" i="13"/>
  <c r="J42" i="13"/>
  <c r="I42" i="13"/>
  <c r="H42" i="13"/>
  <c r="G42" i="13"/>
  <c r="F42" i="13"/>
  <c r="E42" i="13"/>
  <c r="D42" i="13"/>
  <c r="C42" i="13"/>
  <c r="B42" i="13"/>
  <c r="A42" i="13"/>
  <c r="S41" i="13"/>
  <c r="R41" i="13"/>
  <c r="Q41" i="13"/>
  <c r="P41" i="13"/>
  <c r="O41" i="13"/>
  <c r="N41" i="13"/>
  <c r="M41" i="13"/>
  <c r="L41" i="13"/>
  <c r="K41" i="13"/>
  <c r="J41" i="13"/>
  <c r="I41" i="13"/>
  <c r="H41" i="13"/>
  <c r="G41" i="13"/>
  <c r="F41" i="13"/>
  <c r="E41" i="13"/>
  <c r="D41" i="13"/>
  <c r="C41" i="13"/>
  <c r="B41" i="13"/>
  <c r="A41" i="13"/>
  <c r="S40" i="13"/>
  <c r="R40" i="13"/>
  <c r="Q40" i="13"/>
  <c r="P40" i="13"/>
  <c r="O40" i="13"/>
  <c r="N40" i="13"/>
  <c r="M40" i="13"/>
  <c r="L40" i="13"/>
  <c r="K40" i="13"/>
  <c r="J40" i="13"/>
  <c r="I40" i="13"/>
  <c r="H40" i="13"/>
  <c r="G40" i="13"/>
  <c r="F40" i="13"/>
  <c r="E40" i="13"/>
  <c r="D40" i="13"/>
  <c r="C40" i="13"/>
  <c r="B40" i="13"/>
  <c r="A40" i="13"/>
  <c r="S39" i="13"/>
  <c r="R39" i="13"/>
  <c r="Q39" i="13"/>
  <c r="P39" i="13"/>
  <c r="O39" i="13"/>
  <c r="N39" i="13"/>
  <c r="M39" i="13"/>
  <c r="L39" i="13"/>
  <c r="K39" i="13"/>
  <c r="J39" i="13"/>
  <c r="I39" i="13"/>
  <c r="H39" i="13"/>
  <c r="G39" i="13"/>
  <c r="F39" i="13"/>
  <c r="E39" i="13"/>
  <c r="D39" i="13"/>
  <c r="C39" i="13"/>
  <c r="B39" i="13"/>
  <c r="A39" i="13"/>
  <c r="S38" i="13"/>
  <c r="R38" i="13"/>
  <c r="Q38" i="13"/>
  <c r="P38" i="13"/>
  <c r="O38" i="13"/>
  <c r="N38" i="13"/>
  <c r="M38" i="13"/>
  <c r="L38" i="13"/>
  <c r="K38" i="13"/>
  <c r="J38" i="13"/>
  <c r="I38" i="13"/>
  <c r="H38" i="13"/>
  <c r="G38" i="13"/>
  <c r="F38" i="13"/>
  <c r="E38" i="13"/>
  <c r="D38" i="13"/>
  <c r="C38" i="13"/>
  <c r="B38" i="13"/>
  <c r="A38" i="13"/>
  <c r="S37" i="13"/>
  <c r="R37" i="13"/>
  <c r="Q37" i="13"/>
  <c r="P37" i="13"/>
  <c r="O37" i="13"/>
  <c r="N37" i="13"/>
  <c r="M37" i="13"/>
  <c r="L37" i="13"/>
  <c r="K37" i="13"/>
  <c r="J37" i="13"/>
  <c r="I37" i="13"/>
  <c r="H37" i="13"/>
  <c r="G37" i="13"/>
  <c r="F37" i="13"/>
  <c r="E37" i="13"/>
  <c r="D37" i="13"/>
  <c r="C37" i="13"/>
  <c r="B37" i="13"/>
  <c r="A37" i="13"/>
  <c r="S36" i="13"/>
  <c r="R36" i="13"/>
  <c r="Q36" i="13"/>
  <c r="P36" i="13"/>
  <c r="O36" i="13"/>
  <c r="N36" i="13"/>
  <c r="M36" i="13"/>
  <c r="L36" i="13"/>
  <c r="K36" i="13"/>
  <c r="J36" i="13"/>
  <c r="I36" i="13"/>
  <c r="H36" i="13"/>
  <c r="G36" i="13"/>
  <c r="F36" i="13"/>
  <c r="E36" i="13"/>
  <c r="D36" i="13"/>
  <c r="C36" i="13"/>
  <c r="B36" i="13"/>
  <c r="A36" i="13"/>
  <c r="S35" i="13"/>
  <c r="R35" i="13"/>
  <c r="Q35" i="13"/>
  <c r="P35" i="13"/>
  <c r="O35" i="13"/>
  <c r="N35" i="13"/>
  <c r="M35" i="13"/>
  <c r="L35" i="13"/>
  <c r="K35" i="13"/>
  <c r="J35" i="13"/>
  <c r="I35" i="13"/>
  <c r="H35" i="13"/>
  <c r="G35" i="13"/>
  <c r="F35" i="13"/>
  <c r="E35" i="13"/>
  <c r="D35" i="13"/>
  <c r="C35" i="13"/>
  <c r="B35" i="13"/>
  <c r="A35" i="13"/>
  <c r="S34" i="13"/>
  <c r="R34" i="13"/>
  <c r="Q34" i="13"/>
  <c r="P34" i="13"/>
  <c r="O34" i="13"/>
  <c r="N34" i="13"/>
  <c r="M34" i="13"/>
  <c r="L34" i="13"/>
  <c r="K34" i="13"/>
  <c r="J34" i="13"/>
  <c r="I34" i="13"/>
  <c r="H34" i="13"/>
  <c r="G34" i="13"/>
  <c r="F34" i="13"/>
  <c r="E34" i="13"/>
  <c r="D34" i="13"/>
  <c r="C34" i="13"/>
  <c r="B34" i="13"/>
  <c r="A34" i="13"/>
  <c r="S33" i="13"/>
  <c r="R33" i="13"/>
  <c r="Q33" i="13"/>
  <c r="P33" i="13"/>
  <c r="O33" i="13"/>
  <c r="N33" i="13"/>
  <c r="M33" i="13"/>
  <c r="L33" i="13"/>
  <c r="K33" i="13"/>
  <c r="J33" i="13"/>
  <c r="I33" i="13"/>
  <c r="H33" i="13"/>
  <c r="G33" i="13"/>
  <c r="F33" i="13"/>
  <c r="E33" i="13"/>
  <c r="D33" i="13"/>
  <c r="C33" i="13"/>
  <c r="B33" i="13"/>
  <c r="A33" i="13"/>
  <c r="S32" i="13"/>
  <c r="R32" i="13"/>
  <c r="Q32" i="13"/>
  <c r="P32" i="13"/>
  <c r="O32" i="13"/>
  <c r="N32" i="13"/>
  <c r="M32" i="13"/>
  <c r="L32" i="13"/>
  <c r="K32" i="13"/>
  <c r="J32" i="13"/>
  <c r="I32" i="13"/>
  <c r="H32" i="13"/>
  <c r="G32" i="13"/>
  <c r="F32" i="13"/>
  <c r="E32" i="13"/>
  <c r="D32" i="13"/>
  <c r="C32" i="13"/>
  <c r="B32" i="13"/>
  <c r="A32" i="13"/>
  <c r="S31" i="13"/>
  <c r="R31" i="13"/>
  <c r="Q31" i="13"/>
  <c r="P31" i="13"/>
  <c r="O31" i="13"/>
  <c r="N31" i="13"/>
  <c r="M31" i="13"/>
  <c r="L31" i="13"/>
  <c r="K31" i="13"/>
  <c r="J31" i="13"/>
  <c r="I31" i="13"/>
  <c r="H31" i="13"/>
  <c r="G31" i="13"/>
  <c r="F31" i="13"/>
  <c r="E31" i="13"/>
  <c r="D31" i="13"/>
  <c r="C31" i="13"/>
  <c r="B31" i="13"/>
  <c r="A31" i="13"/>
  <c r="S30" i="13"/>
  <c r="R30" i="13"/>
  <c r="Q30" i="13"/>
  <c r="P30" i="13"/>
  <c r="O30" i="13"/>
  <c r="N30" i="13"/>
  <c r="M30" i="13"/>
  <c r="L30" i="13"/>
  <c r="K30" i="13"/>
  <c r="J30" i="13"/>
  <c r="I30" i="13"/>
  <c r="H30" i="13"/>
  <c r="G30" i="13"/>
  <c r="F30" i="13"/>
  <c r="E30" i="13"/>
  <c r="D30" i="13"/>
  <c r="C30" i="13"/>
  <c r="B30" i="13"/>
  <c r="A30" i="13"/>
  <c r="S29" i="13"/>
  <c r="R29" i="13"/>
  <c r="Q29" i="13"/>
  <c r="P29" i="13"/>
  <c r="O29" i="13"/>
  <c r="N29" i="13"/>
  <c r="M29" i="13"/>
  <c r="L29" i="13"/>
  <c r="K29" i="13"/>
  <c r="J29" i="13"/>
  <c r="I29" i="13"/>
  <c r="H29" i="13"/>
  <c r="G29" i="13"/>
  <c r="F29" i="13"/>
  <c r="E29" i="13"/>
  <c r="D29" i="13"/>
  <c r="C29" i="13"/>
  <c r="B29" i="13"/>
  <c r="A29" i="13"/>
  <c r="S28" i="13"/>
  <c r="R28" i="13"/>
  <c r="Q28" i="13"/>
  <c r="P28" i="13"/>
  <c r="O28" i="13"/>
  <c r="N28" i="13"/>
  <c r="M28" i="13"/>
  <c r="L28" i="13"/>
  <c r="K28" i="13"/>
  <c r="J28" i="13"/>
  <c r="I28" i="13"/>
  <c r="H28" i="13"/>
  <c r="G28" i="13"/>
  <c r="F28" i="13"/>
  <c r="E28" i="13"/>
  <c r="D28" i="13"/>
  <c r="C28" i="13"/>
  <c r="B28" i="13"/>
  <c r="A28" i="13"/>
  <c r="S27" i="13"/>
  <c r="R27" i="13"/>
  <c r="Q27" i="13"/>
  <c r="P27" i="13"/>
  <c r="O27" i="13"/>
  <c r="N27" i="13"/>
  <c r="M27" i="13"/>
  <c r="L27" i="13"/>
  <c r="K27" i="13"/>
  <c r="J27" i="13"/>
  <c r="I27" i="13"/>
  <c r="H27" i="13"/>
  <c r="G27" i="13"/>
  <c r="F27" i="13"/>
  <c r="E27" i="13"/>
  <c r="D27" i="13"/>
  <c r="C27" i="13"/>
  <c r="B27" i="13"/>
  <c r="A27" i="13"/>
  <c r="S26" i="13"/>
  <c r="R26" i="13"/>
  <c r="Q26" i="13"/>
  <c r="P26" i="13"/>
  <c r="O26" i="13"/>
  <c r="N26" i="13"/>
  <c r="M26" i="13"/>
  <c r="L26" i="13"/>
  <c r="K26" i="13"/>
  <c r="J26" i="13"/>
  <c r="I26" i="13"/>
  <c r="H26" i="13"/>
  <c r="G26" i="13"/>
  <c r="F26" i="13"/>
  <c r="E26" i="13"/>
  <c r="D26" i="13"/>
  <c r="C26" i="13"/>
  <c r="B26" i="13"/>
  <c r="A26" i="13"/>
  <c r="S25" i="13"/>
  <c r="R25" i="13"/>
  <c r="Q25" i="13"/>
  <c r="P25" i="13"/>
  <c r="O25" i="13"/>
  <c r="N25" i="13"/>
  <c r="M25" i="13"/>
  <c r="L25" i="13"/>
  <c r="K25" i="13"/>
  <c r="J25" i="13"/>
  <c r="I25" i="13"/>
  <c r="H25" i="13"/>
  <c r="G25" i="13"/>
  <c r="F25" i="13"/>
  <c r="E25" i="13"/>
  <c r="D25" i="13"/>
  <c r="C25" i="13"/>
  <c r="B25" i="13"/>
  <c r="A25" i="13"/>
  <c r="S24" i="13"/>
  <c r="R24" i="13"/>
  <c r="Q24" i="13"/>
  <c r="P24" i="13"/>
  <c r="O24" i="13"/>
  <c r="N24" i="13"/>
  <c r="M24" i="13"/>
  <c r="L24" i="13"/>
  <c r="K24" i="13"/>
  <c r="J24" i="13"/>
  <c r="I24" i="13"/>
  <c r="H24" i="13"/>
  <c r="G24" i="13"/>
  <c r="F24" i="13"/>
  <c r="E24" i="13"/>
  <c r="D24" i="13"/>
  <c r="C24" i="13"/>
  <c r="B24" i="13"/>
  <c r="A24" i="13"/>
  <c r="S23" i="13"/>
  <c r="R23" i="13"/>
  <c r="Q23" i="13"/>
  <c r="P23" i="13"/>
  <c r="O23" i="13"/>
  <c r="N23" i="13"/>
  <c r="M23" i="13"/>
  <c r="L23" i="13"/>
  <c r="K23" i="13"/>
  <c r="J23" i="13"/>
  <c r="I23" i="13"/>
  <c r="H23" i="13"/>
  <c r="G23" i="13"/>
  <c r="F23" i="13"/>
  <c r="E23" i="13"/>
  <c r="D23" i="13"/>
  <c r="C23" i="13"/>
  <c r="B23" i="13"/>
  <c r="A23" i="13"/>
  <c r="S22" i="13"/>
  <c r="R22" i="13"/>
  <c r="Q22" i="13"/>
  <c r="P22" i="13"/>
  <c r="O22" i="13"/>
  <c r="N22" i="13"/>
  <c r="M22" i="13"/>
  <c r="L22" i="13"/>
  <c r="K22" i="13"/>
  <c r="J22" i="13"/>
  <c r="I22" i="13"/>
  <c r="H22" i="13"/>
  <c r="G22" i="13"/>
  <c r="F22" i="13"/>
  <c r="E22" i="13"/>
  <c r="D22" i="13"/>
  <c r="C22" i="13"/>
  <c r="B22" i="13"/>
  <c r="A22" i="13"/>
  <c r="S21" i="13"/>
  <c r="R21" i="13"/>
  <c r="Q21" i="13"/>
  <c r="P21" i="13"/>
  <c r="O21" i="13"/>
  <c r="N21" i="13"/>
  <c r="M21" i="13"/>
  <c r="L21" i="13"/>
  <c r="K21" i="13"/>
  <c r="J21" i="13"/>
  <c r="I21" i="13"/>
  <c r="H21" i="13"/>
  <c r="G21" i="13"/>
  <c r="F21" i="13"/>
  <c r="E21" i="13"/>
  <c r="D21" i="13"/>
  <c r="C21" i="13"/>
  <c r="B21" i="13"/>
  <c r="A21" i="13"/>
  <c r="S20" i="13"/>
  <c r="R20" i="13"/>
  <c r="Q20" i="13"/>
  <c r="P20" i="13"/>
  <c r="O20" i="13"/>
  <c r="N20" i="13"/>
  <c r="M20" i="13"/>
  <c r="L20" i="13"/>
  <c r="K20" i="13"/>
  <c r="J20" i="13"/>
  <c r="I20" i="13"/>
  <c r="H20" i="13"/>
  <c r="G20" i="13"/>
  <c r="F20" i="13"/>
  <c r="E20" i="13"/>
  <c r="D20" i="13"/>
  <c r="C20" i="13"/>
  <c r="B20" i="13"/>
  <c r="A20" i="13"/>
  <c r="S19" i="13"/>
  <c r="R19" i="13"/>
  <c r="Q19" i="13"/>
  <c r="P19" i="13"/>
  <c r="O19" i="13"/>
  <c r="N19" i="13"/>
  <c r="M19" i="13"/>
  <c r="L19" i="13"/>
  <c r="K19" i="13"/>
  <c r="J19" i="13"/>
  <c r="I19" i="13"/>
  <c r="H19" i="13"/>
  <c r="G19" i="13"/>
  <c r="F19" i="13"/>
  <c r="E19" i="13"/>
  <c r="D19" i="13"/>
  <c r="C19" i="13"/>
  <c r="B19" i="13"/>
  <c r="A19" i="13"/>
  <c r="S18" i="13"/>
  <c r="R18" i="13"/>
  <c r="Q18" i="13"/>
  <c r="P18" i="13"/>
  <c r="O18" i="13"/>
  <c r="N18" i="13"/>
  <c r="M18" i="13"/>
  <c r="L18" i="13"/>
  <c r="K18" i="13"/>
  <c r="J18" i="13"/>
  <c r="I18" i="13"/>
  <c r="H18" i="13"/>
  <c r="G18" i="13"/>
  <c r="F18" i="13"/>
  <c r="E18" i="13"/>
  <c r="D18" i="13"/>
  <c r="C18" i="13"/>
  <c r="B18" i="13"/>
  <c r="A18" i="13"/>
  <c r="S17" i="13"/>
  <c r="R17" i="13"/>
  <c r="Q17" i="13"/>
  <c r="P17" i="13"/>
  <c r="O17" i="13"/>
  <c r="N17" i="13"/>
  <c r="M17" i="13"/>
  <c r="L17" i="13"/>
  <c r="K17" i="13"/>
  <c r="J17" i="13"/>
  <c r="I17" i="13"/>
  <c r="H17" i="13"/>
  <c r="G17" i="13"/>
  <c r="F17" i="13"/>
  <c r="E17" i="13"/>
  <c r="D17" i="13"/>
  <c r="C17" i="13"/>
  <c r="B17" i="13"/>
  <c r="A17" i="13"/>
  <c r="S16" i="13"/>
  <c r="R16" i="13"/>
  <c r="Q16" i="13"/>
  <c r="P16" i="13"/>
  <c r="O16" i="13"/>
  <c r="N16" i="13"/>
  <c r="M16" i="13"/>
  <c r="L16" i="13"/>
  <c r="K16" i="13"/>
  <c r="J16" i="13"/>
  <c r="I16" i="13"/>
  <c r="H16" i="13"/>
  <c r="G16" i="13"/>
  <c r="F16" i="13"/>
  <c r="E16" i="13"/>
  <c r="D16" i="13"/>
  <c r="C16" i="13"/>
  <c r="B16" i="13"/>
  <c r="A16" i="13"/>
  <c r="S15" i="13"/>
  <c r="R15" i="13"/>
  <c r="Q15" i="13"/>
  <c r="P15" i="13"/>
  <c r="O15" i="13"/>
  <c r="N15" i="13"/>
  <c r="M15" i="13"/>
  <c r="L15" i="13"/>
  <c r="K15" i="13"/>
  <c r="J15" i="13"/>
  <c r="I15" i="13"/>
  <c r="H15" i="13"/>
  <c r="G15" i="13"/>
  <c r="F15" i="13"/>
  <c r="E15" i="13"/>
  <c r="D15" i="13"/>
  <c r="C15" i="13"/>
  <c r="B15" i="13"/>
  <c r="A15" i="13"/>
  <c r="S14" i="13"/>
  <c r="R14" i="13"/>
  <c r="Q14" i="13"/>
  <c r="P14" i="13"/>
  <c r="O14" i="13"/>
  <c r="N14" i="13"/>
  <c r="M14" i="13"/>
  <c r="L14" i="13"/>
  <c r="K14" i="13"/>
  <c r="J14" i="13"/>
  <c r="I14" i="13"/>
  <c r="H14" i="13"/>
  <c r="G14" i="13"/>
  <c r="F14" i="13"/>
  <c r="E14" i="13"/>
  <c r="D14" i="13"/>
  <c r="C14" i="13"/>
  <c r="B14" i="13"/>
  <c r="A14" i="13"/>
  <c r="S13" i="13"/>
  <c r="R13" i="13"/>
  <c r="Q13" i="13"/>
  <c r="P13" i="13"/>
  <c r="O13" i="13"/>
  <c r="N13" i="13"/>
  <c r="M13" i="13"/>
  <c r="L13" i="13"/>
  <c r="K13" i="13"/>
  <c r="J13" i="13"/>
  <c r="I13" i="13"/>
  <c r="H13" i="13"/>
  <c r="G13" i="13"/>
  <c r="F13" i="13"/>
  <c r="E13" i="13"/>
  <c r="D13" i="13"/>
  <c r="C13" i="13"/>
  <c r="B13" i="13"/>
  <c r="A13" i="13"/>
  <c r="S12" i="13"/>
  <c r="R12" i="13"/>
  <c r="Q12" i="13"/>
  <c r="P12" i="13"/>
  <c r="O12" i="13"/>
  <c r="N12" i="13"/>
  <c r="M12" i="13"/>
  <c r="L12" i="13"/>
  <c r="K12" i="13"/>
  <c r="J12" i="13"/>
  <c r="I12" i="13"/>
  <c r="H12" i="13"/>
  <c r="G12" i="13"/>
  <c r="F12" i="13"/>
  <c r="E12" i="13"/>
  <c r="D12" i="13"/>
  <c r="C12" i="13"/>
  <c r="B12" i="13"/>
  <c r="A12" i="13"/>
  <c r="S11" i="13"/>
  <c r="R11" i="13"/>
  <c r="Q11" i="13"/>
  <c r="P11" i="13"/>
  <c r="O11" i="13"/>
  <c r="N11" i="13"/>
  <c r="M11" i="13"/>
  <c r="L11" i="13"/>
  <c r="K11" i="13"/>
  <c r="J11" i="13"/>
  <c r="I11" i="13"/>
  <c r="H11" i="13"/>
  <c r="G11" i="13"/>
  <c r="F11" i="13"/>
  <c r="E11" i="13"/>
  <c r="D11" i="13"/>
  <c r="C11" i="13"/>
  <c r="B11" i="13"/>
  <c r="A11" i="13"/>
  <c r="S10" i="13"/>
  <c r="R10" i="13"/>
  <c r="Q10" i="13"/>
  <c r="P10" i="13"/>
  <c r="O10" i="13"/>
  <c r="N10" i="13"/>
  <c r="M10" i="13"/>
  <c r="L10" i="13"/>
  <c r="K10" i="13"/>
  <c r="J10" i="13"/>
  <c r="I10" i="13"/>
  <c r="H10" i="13"/>
  <c r="G10" i="13"/>
  <c r="F10" i="13"/>
  <c r="E10" i="13"/>
  <c r="D10" i="13"/>
  <c r="C10" i="13"/>
  <c r="B10" i="13"/>
  <c r="A10" i="13"/>
  <c r="S9" i="13"/>
  <c r="R9" i="13"/>
  <c r="Q9" i="13"/>
  <c r="P9" i="13"/>
  <c r="O9" i="13"/>
  <c r="N9" i="13"/>
  <c r="M9" i="13"/>
  <c r="L9" i="13"/>
  <c r="K9" i="13"/>
  <c r="J9" i="13"/>
  <c r="I9" i="13"/>
  <c r="H9" i="13"/>
  <c r="G9" i="13"/>
  <c r="F9" i="13"/>
  <c r="E9" i="13"/>
  <c r="D9" i="13"/>
  <c r="C9" i="13"/>
  <c r="B9" i="13"/>
  <c r="A9" i="13"/>
  <c r="S8" i="13"/>
  <c r="R8" i="13"/>
  <c r="Q8" i="13"/>
  <c r="P8" i="13"/>
  <c r="O8" i="13"/>
  <c r="N8" i="13"/>
  <c r="M8" i="13"/>
  <c r="L8" i="13"/>
  <c r="K8" i="13"/>
  <c r="J8" i="13"/>
  <c r="I8" i="13"/>
  <c r="H8" i="13"/>
  <c r="G8" i="13"/>
  <c r="F8" i="13"/>
  <c r="E8" i="13"/>
  <c r="D8" i="13"/>
  <c r="C8" i="13"/>
  <c r="B8" i="13"/>
  <c r="A8" i="13"/>
  <c r="S7" i="13"/>
  <c r="R7" i="13"/>
  <c r="Q7" i="13"/>
  <c r="P7" i="13"/>
  <c r="O7" i="13"/>
  <c r="N7" i="13"/>
  <c r="M7" i="13"/>
  <c r="L7" i="13"/>
  <c r="K7" i="13"/>
  <c r="J7" i="13"/>
  <c r="I7" i="13"/>
  <c r="H7" i="13"/>
  <c r="G7" i="13"/>
  <c r="F7" i="13"/>
  <c r="E7" i="13"/>
  <c r="D7" i="13"/>
  <c r="C7" i="13"/>
  <c r="B7" i="13"/>
  <c r="A7" i="13"/>
  <c r="S6" i="13"/>
  <c r="R6" i="13"/>
  <c r="Q6" i="13"/>
  <c r="P6" i="13"/>
  <c r="O6" i="13"/>
  <c r="N6" i="13"/>
  <c r="M6" i="13"/>
  <c r="L6" i="13"/>
  <c r="K6" i="13"/>
  <c r="J6" i="13"/>
  <c r="I6" i="13"/>
  <c r="H6" i="13"/>
  <c r="G6" i="13"/>
  <c r="F6" i="13"/>
  <c r="E6" i="13"/>
  <c r="D6" i="13"/>
  <c r="C6" i="13"/>
  <c r="B6" i="13"/>
  <c r="A6" i="13"/>
  <c r="S5" i="13"/>
  <c r="R5" i="13"/>
  <c r="Q5" i="13"/>
  <c r="P5" i="13"/>
  <c r="O5" i="13"/>
  <c r="N5" i="13"/>
  <c r="M5" i="13"/>
  <c r="L5" i="13"/>
  <c r="K5" i="13"/>
  <c r="J5" i="13"/>
  <c r="I5" i="13"/>
  <c r="H5" i="13"/>
  <c r="G5" i="13"/>
  <c r="F5" i="13"/>
  <c r="E5" i="13"/>
  <c r="D5" i="13"/>
  <c r="C5" i="13"/>
  <c r="B5" i="13"/>
  <c r="A5" i="13"/>
  <c r="S4" i="13"/>
  <c r="R4" i="13"/>
  <c r="Q4" i="13"/>
  <c r="P4" i="13"/>
  <c r="O4" i="13"/>
  <c r="N4" i="13"/>
  <c r="M4" i="13"/>
  <c r="L4" i="13"/>
  <c r="K4" i="13"/>
  <c r="J4" i="13"/>
  <c r="I4" i="13"/>
  <c r="H4" i="13"/>
  <c r="G4" i="13"/>
  <c r="F4" i="13"/>
  <c r="E4" i="13"/>
  <c r="D4" i="13"/>
  <c r="C4" i="13"/>
  <c r="B4" i="13"/>
  <c r="A4" i="13"/>
  <c r="S3" i="13"/>
  <c r="R3" i="13"/>
  <c r="Q3" i="13"/>
  <c r="P3" i="13"/>
  <c r="O3" i="13"/>
  <c r="N3" i="13"/>
  <c r="M3" i="13"/>
  <c r="L3" i="13"/>
  <c r="K3" i="13"/>
  <c r="J3" i="13"/>
  <c r="I3" i="13"/>
  <c r="H3" i="13"/>
  <c r="G3" i="13"/>
  <c r="F3" i="13"/>
  <c r="E3" i="13"/>
  <c r="D3" i="13"/>
  <c r="C3" i="13"/>
  <c r="B3" i="13"/>
  <c r="A3" i="13"/>
  <c r="S2" i="13"/>
  <c r="R2" i="13"/>
  <c r="Q2" i="13"/>
  <c r="P2" i="13"/>
  <c r="O2" i="13"/>
  <c r="N2" i="13"/>
  <c r="M2" i="13"/>
  <c r="L2" i="13"/>
  <c r="K2" i="13"/>
  <c r="J2" i="13"/>
  <c r="I2" i="13"/>
  <c r="H2" i="13"/>
  <c r="G2" i="13"/>
  <c r="F2" i="13"/>
  <c r="E2" i="13"/>
  <c r="D2" i="13"/>
  <c r="C2" i="13"/>
  <c r="B2" i="13"/>
  <c r="A2" i="13"/>
  <c r="S1" i="13"/>
  <c r="R1" i="13"/>
  <c r="Q1" i="13"/>
  <c r="P1" i="13"/>
  <c r="O1" i="13"/>
  <c r="N1" i="13"/>
  <c r="M1" i="13"/>
  <c r="L1" i="13"/>
  <c r="K1" i="13"/>
  <c r="J1" i="13"/>
  <c r="I1" i="13"/>
  <c r="H1" i="13"/>
  <c r="G1" i="13"/>
  <c r="F1" i="13"/>
  <c r="E1" i="13"/>
  <c r="D1" i="13"/>
  <c r="C1" i="13"/>
  <c r="B1" i="13"/>
  <c r="A1" i="13"/>
  <c r="R47" i="12"/>
  <c r="Q47" i="12"/>
  <c r="P47" i="12"/>
  <c r="O47" i="12"/>
  <c r="N47" i="12"/>
  <c r="M47" i="12"/>
  <c r="L47" i="12"/>
  <c r="K47" i="12"/>
  <c r="J47" i="12"/>
  <c r="I47" i="12"/>
  <c r="H47" i="12"/>
  <c r="G47" i="12"/>
  <c r="F47" i="12"/>
  <c r="E47" i="12"/>
  <c r="D47" i="12"/>
  <c r="C47" i="12"/>
  <c r="B47" i="12"/>
  <c r="A47" i="12"/>
  <c r="R46" i="12"/>
  <c r="Q46" i="12"/>
  <c r="P46" i="12"/>
  <c r="O46" i="12"/>
  <c r="N46" i="12"/>
  <c r="M46" i="12"/>
  <c r="L46" i="12"/>
  <c r="K46" i="12"/>
  <c r="J46" i="12"/>
  <c r="I46" i="12"/>
  <c r="H46" i="12"/>
  <c r="G46" i="12"/>
  <c r="F46" i="12"/>
  <c r="E46" i="12"/>
  <c r="D46" i="12"/>
  <c r="C46" i="12"/>
  <c r="B46" i="12"/>
  <c r="A46" i="12"/>
  <c r="R45" i="12"/>
  <c r="Q45" i="12"/>
  <c r="P45" i="12"/>
  <c r="O45" i="12"/>
  <c r="N45" i="12"/>
  <c r="M45" i="12"/>
  <c r="L45" i="12"/>
  <c r="K45" i="12"/>
  <c r="J45" i="12"/>
  <c r="I45" i="12"/>
  <c r="H45" i="12"/>
  <c r="G45" i="12"/>
  <c r="F45" i="12"/>
  <c r="E45" i="12"/>
  <c r="D45" i="12"/>
  <c r="C45" i="12"/>
  <c r="B45" i="12"/>
  <c r="A45" i="12"/>
  <c r="R44" i="12"/>
  <c r="Q44" i="12"/>
  <c r="P44" i="12"/>
  <c r="O44" i="12"/>
  <c r="N44" i="12"/>
  <c r="M44" i="12"/>
  <c r="L44" i="12"/>
  <c r="K44" i="12"/>
  <c r="J44" i="12"/>
  <c r="I44" i="12"/>
  <c r="H44" i="12"/>
  <c r="G44" i="12"/>
  <c r="F44" i="12"/>
  <c r="E44" i="12"/>
  <c r="D44" i="12"/>
  <c r="C44" i="12"/>
  <c r="B44" i="12"/>
  <c r="A44" i="12"/>
  <c r="R43" i="12"/>
  <c r="Q43" i="12"/>
  <c r="P43" i="12"/>
  <c r="O43" i="12"/>
  <c r="N43" i="12"/>
  <c r="M43" i="12"/>
  <c r="L43" i="12"/>
  <c r="K43" i="12"/>
  <c r="J43" i="12"/>
  <c r="I43" i="12"/>
  <c r="H43" i="12"/>
  <c r="G43" i="12"/>
  <c r="F43" i="12"/>
  <c r="E43" i="12"/>
  <c r="D43" i="12"/>
  <c r="C43" i="12"/>
  <c r="B43" i="12"/>
  <c r="A43" i="12"/>
  <c r="R42" i="12"/>
  <c r="Q42" i="12"/>
  <c r="P42" i="12"/>
  <c r="O42" i="12"/>
  <c r="N42" i="12"/>
  <c r="M42" i="12"/>
  <c r="L42" i="12"/>
  <c r="K42" i="12"/>
  <c r="J42" i="12"/>
  <c r="I42" i="12"/>
  <c r="H42" i="12"/>
  <c r="G42" i="12"/>
  <c r="F42" i="12"/>
  <c r="E42" i="12"/>
  <c r="D42" i="12"/>
  <c r="C42" i="12"/>
  <c r="B42" i="12"/>
  <c r="A42" i="12"/>
  <c r="R41" i="12"/>
  <c r="Q41" i="12"/>
  <c r="P41" i="12"/>
  <c r="O41" i="12"/>
  <c r="N41" i="12"/>
  <c r="M41" i="12"/>
  <c r="L41" i="12"/>
  <c r="K41" i="12"/>
  <c r="J41" i="12"/>
  <c r="I41" i="12"/>
  <c r="H41" i="12"/>
  <c r="G41" i="12"/>
  <c r="F41" i="12"/>
  <c r="E41" i="12"/>
  <c r="D41" i="12"/>
  <c r="C41" i="12"/>
  <c r="B41" i="12"/>
  <c r="A41" i="12"/>
  <c r="R40" i="12"/>
  <c r="Q40" i="12"/>
  <c r="P40" i="12"/>
  <c r="O40" i="12"/>
  <c r="N40" i="12"/>
  <c r="M40" i="12"/>
  <c r="L40" i="12"/>
  <c r="K40" i="12"/>
  <c r="J40" i="12"/>
  <c r="I40" i="12"/>
  <c r="H40" i="12"/>
  <c r="G40" i="12"/>
  <c r="F40" i="12"/>
  <c r="E40" i="12"/>
  <c r="D40" i="12"/>
  <c r="C40" i="12"/>
  <c r="B40" i="12"/>
  <c r="A40" i="12"/>
  <c r="R39" i="12"/>
  <c r="Q39" i="12"/>
  <c r="P39" i="12"/>
  <c r="O39" i="12"/>
  <c r="N39" i="12"/>
  <c r="M39" i="12"/>
  <c r="L39" i="12"/>
  <c r="K39" i="12"/>
  <c r="J39" i="12"/>
  <c r="I39" i="12"/>
  <c r="H39" i="12"/>
  <c r="G39" i="12"/>
  <c r="F39" i="12"/>
  <c r="E39" i="12"/>
  <c r="D39" i="12"/>
  <c r="C39" i="12"/>
  <c r="B39" i="12"/>
  <c r="A39" i="12"/>
  <c r="R38" i="12"/>
  <c r="Q38" i="12"/>
  <c r="P38" i="12"/>
  <c r="O38" i="12"/>
  <c r="N38" i="12"/>
  <c r="M38" i="12"/>
  <c r="L38" i="12"/>
  <c r="K38" i="12"/>
  <c r="J38" i="12"/>
  <c r="I38" i="12"/>
  <c r="H38" i="12"/>
  <c r="G38" i="12"/>
  <c r="F38" i="12"/>
  <c r="E38" i="12"/>
  <c r="D38" i="12"/>
  <c r="C38" i="12"/>
  <c r="B38" i="12"/>
  <c r="A38" i="12"/>
  <c r="R37" i="12"/>
  <c r="Q37" i="12"/>
  <c r="P37" i="12"/>
  <c r="O37" i="12"/>
  <c r="N37" i="12"/>
  <c r="M37" i="12"/>
  <c r="L37" i="12"/>
  <c r="K37" i="12"/>
  <c r="J37" i="12"/>
  <c r="I37" i="12"/>
  <c r="H37" i="12"/>
  <c r="G37" i="12"/>
  <c r="F37" i="12"/>
  <c r="E37" i="12"/>
  <c r="D37" i="12"/>
  <c r="C37" i="12"/>
  <c r="B37" i="12"/>
  <c r="A37" i="12"/>
  <c r="R36" i="12"/>
  <c r="Q36" i="12"/>
  <c r="P36" i="12"/>
  <c r="O36" i="12"/>
  <c r="N36" i="12"/>
  <c r="M36" i="12"/>
  <c r="L36" i="12"/>
  <c r="K36" i="12"/>
  <c r="J36" i="12"/>
  <c r="I36" i="12"/>
  <c r="H36" i="12"/>
  <c r="G36" i="12"/>
  <c r="F36" i="12"/>
  <c r="E36" i="12"/>
  <c r="D36" i="12"/>
  <c r="C36" i="12"/>
  <c r="B36" i="12"/>
  <c r="A36" i="12"/>
  <c r="R35" i="12"/>
  <c r="Q35" i="12"/>
  <c r="P35" i="12"/>
  <c r="O35" i="12"/>
  <c r="N35" i="12"/>
  <c r="M35" i="12"/>
  <c r="L35" i="12"/>
  <c r="K35" i="12"/>
  <c r="J35" i="12"/>
  <c r="I35" i="12"/>
  <c r="H35" i="12"/>
  <c r="G35" i="12"/>
  <c r="F35" i="12"/>
  <c r="E35" i="12"/>
  <c r="D35" i="12"/>
  <c r="C35" i="12"/>
  <c r="B35" i="12"/>
  <c r="A35" i="12"/>
  <c r="R34" i="12"/>
  <c r="Q34" i="12"/>
  <c r="P34" i="12"/>
  <c r="O34" i="12"/>
  <c r="N34" i="12"/>
  <c r="M34" i="12"/>
  <c r="L34" i="12"/>
  <c r="K34" i="12"/>
  <c r="J34" i="12"/>
  <c r="I34" i="12"/>
  <c r="H34" i="12"/>
  <c r="G34" i="12"/>
  <c r="F34" i="12"/>
  <c r="E34" i="12"/>
  <c r="D34" i="12"/>
  <c r="C34" i="12"/>
  <c r="B34" i="12"/>
  <c r="A34" i="12"/>
  <c r="R33" i="12"/>
  <c r="Q33" i="12"/>
  <c r="P33" i="12"/>
  <c r="O33" i="12"/>
  <c r="N33" i="12"/>
  <c r="M33" i="12"/>
  <c r="L33" i="12"/>
  <c r="K33" i="12"/>
  <c r="J33" i="12"/>
  <c r="I33" i="12"/>
  <c r="H33" i="12"/>
  <c r="G33" i="12"/>
  <c r="F33" i="12"/>
  <c r="E33" i="12"/>
  <c r="D33" i="12"/>
  <c r="C33" i="12"/>
  <c r="B33" i="12"/>
  <c r="A33" i="12"/>
  <c r="R32" i="12"/>
  <c r="Q32" i="12"/>
  <c r="P32" i="12"/>
  <c r="O32" i="12"/>
  <c r="N32" i="12"/>
  <c r="M32" i="12"/>
  <c r="L32" i="12"/>
  <c r="K32" i="12"/>
  <c r="J32" i="12"/>
  <c r="I32" i="12"/>
  <c r="H32" i="12"/>
  <c r="G32" i="12"/>
  <c r="F32" i="12"/>
  <c r="E32" i="12"/>
  <c r="D32" i="12"/>
  <c r="C32" i="12"/>
  <c r="B32" i="12"/>
  <c r="A32" i="12"/>
  <c r="R31" i="12"/>
  <c r="Q31" i="12"/>
  <c r="P31" i="12"/>
  <c r="O31" i="12"/>
  <c r="N31" i="12"/>
  <c r="M31" i="12"/>
  <c r="L31" i="12"/>
  <c r="K31" i="12"/>
  <c r="J31" i="12"/>
  <c r="I31" i="12"/>
  <c r="H31" i="12"/>
  <c r="G31" i="12"/>
  <c r="F31" i="12"/>
  <c r="E31" i="12"/>
  <c r="D31" i="12"/>
  <c r="C31" i="12"/>
  <c r="B31" i="12"/>
  <c r="A31" i="12"/>
  <c r="R30" i="12"/>
  <c r="Q30" i="12"/>
  <c r="P30" i="12"/>
  <c r="O30" i="12"/>
  <c r="N30" i="12"/>
  <c r="M30" i="12"/>
  <c r="L30" i="12"/>
  <c r="K30" i="12"/>
  <c r="J30" i="12"/>
  <c r="I30" i="12"/>
  <c r="H30" i="12"/>
  <c r="G30" i="12"/>
  <c r="F30" i="12"/>
  <c r="E30" i="12"/>
  <c r="D30" i="12"/>
  <c r="C30" i="12"/>
  <c r="B30" i="12"/>
  <c r="A30" i="12"/>
  <c r="R29" i="12"/>
  <c r="Q29" i="12"/>
  <c r="P29" i="12"/>
  <c r="O29" i="12"/>
  <c r="N29" i="12"/>
  <c r="M29" i="12"/>
  <c r="L29" i="12"/>
  <c r="K29" i="12"/>
  <c r="J29" i="12"/>
  <c r="I29" i="12"/>
  <c r="H29" i="12"/>
  <c r="G29" i="12"/>
  <c r="F29" i="12"/>
  <c r="E29" i="12"/>
  <c r="D29" i="12"/>
  <c r="C29" i="12"/>
  <c r="B29" i="12"/>
  <c r="A29" i="12"/>
  <c r="R28" i="12"/>
  <c r="Q28" i="12"/>
  <c r="P28" i="12"/>
  <c r="O28" i="12"/>
  <c r="N28" i="12"/>
  <c r="M28" i="12"/>
  <c r="L28" i="12"/>
  <c r="K28" i="12"/>
  <c r="J28" i="12"/>
  <c r="I28" i="12"/>
  <c r="H28" i="12"/>
  <c r="G28" i="12"/>
  <c r="F28" i="12"/>
  <c r="E28" i="12"/>
  <c r="D28" i="12"/>
  <c r="C28" i="12"/>
  <c r="B28" i="12"/>
  <c r="A28" i="12"/>
  <c r="R27" i="12"/>
  <c r="Q27" i="12"/>
  <c r="P27" i="12"/>
  <c r="O27" i="12"/>
  <c r="N27" i="12"/>
  <c r="M27" i="12"/>
  <c r="L27" i="12"/>
  <c r="K27" i="12"/>
  <c r="J27" i="12"/>
  <c r="I27" i="12"/>
  <c r="H27" i="12"/>
  <c r="G27" i="12"/>
  <c r="F27" i="12"/>
  <c r="E27" i="12"/>
  <c r="D27" i="12"/>
  <c r="C27" i="12"/>
  <c r="B27" i="12"/>
  <c r="A27" i="12"/>
  <c r="R26" i="12"/>
  <c r="Q26" i="12"/>
  <c r="P26" i="12"/>
  <c r="O26" i="12"/>
  <c r="N26" i="12"/>
  <c r="M26" i="12"/>
  <c r="L26" i="12"/>
  <c r="K26" i="12"/>
  <c r="J26" i="12"/>
  <c r="I26" i="12"/>
  <c r="H26" i="12"/>
  <c r="G26" i="12"/>
  <c r="F26" i="12"/>
  <c r="E26" i="12"/>
  <c r="D26" i="12"/>
  <c r="C26" i="12"/>
  <c r="B26" i="12"/>
  <c r="A26" i="12"/>
  <c r="R25" i="12"/>
  <c r="Q25" i="12"/>
  <c r="P25" i="12"/>
  <c r="O25" i="12"/>
  <c r="N25" i="12"/>
  <c r="M25" i="12"/>
  <c r="L25" i="12"/>
  <c r="K25" i="12"/>
  <c r="J25" i="12"/>
  <c r="I25" i="12"/>
  <c r="H25" i="12"/>
  <c r="G25" i="12"/>
  <c r="F25" i="12"/>
  <c r="E25" i="12"/>
  <c r="D25" i="12"/>
  <c r="C25" i="12"/>
  <c r="B25" i="12"/>
  <c r="A25" i="12"/>
  <c r="R24" i="12"/>
  <c r="Q24" i="12"/>
  <c r="P24" i="12"/>
  <c r="O24" i="12"/>
  <c r="N24" i="12"/>
  <c r="M24" i="12"/>
  <c r="L24" i="12"/>
  <c r="K24" i="12"/>
  <c r="J24" i="12"/>
  <c r="I24" i="12"/>
  <c r="H24" i="12"/>
  <c r="G24" i="12"/>
  <c r="F24" i="12"/>
  <c r="E24" i="12"/>
  <c r="D24" i="12"/>
  <c r="C24" i="12"/>
  <c r="B24" i="12"/>
  <c r="A24" i="12"/>
  <c r="R23" i="12"/>
  <c r="Q23" i="12"/>
  <c r="P23" i="12"/>
  <c r="O23" i="12"/>
  <c r="N23" i="12"/>
  <c r="M23" i="12"/>
  <c r="L23" i="12"/>
  <c r="K23" i="12"/>
  <c r="J23" i="12"/>
  <c r="I23" i="12"/>
  <c r="H23" i="12"/>
  <c r="G23" i="12"/>
  <c r="F23" i="12"/>
  <c r="E23" i="12"/>
  <c r="D23" i="12"/>
  <c r="C23" i="12"/>
  <c r="B23" i="12"/>
  <c r="A23" i="12"/>
  <c r="R22" i="12"/>
  <c r="Q22" i="12"/>
  <c r="P22" i="12"/>
  <c r="O22" i="12"/>
  <c r="N22" i="12"/>
  <c r="M22" i="12"/>
  <c r="L22" i="12"/>
  <c r="K22" i="12"/>
  <c r="J22" i="12"/>
  <c r="I22" i="12"/>
  <c r="H22" i="12"/>
  <c r="G22" i="12"/>
  <c r="F22" i="12"/>
  <c r="E22" i="12"/>
  <c r="D22" i="12"/>
  <c r="C22" i="12"/>
  <c r="B22" i="12"/>
  <c r="A22" i="12"/>
  <c r="R21" i="12"/>
  <c r="Q21" i="12"/>
  <c r="P21" i="12"/>
  <c r="O21" i="12"/>
  <c r="N21" i="12"/>
  <c r="M21" i="12"/>
  <c r="L21" i="12"/>
  <c r="K21" i="12"/>
  <c r="J21" i="12"/>
  <c r="I21" i="12"/>
  <c r="H21" i="12"/>
  <c r="G21" i="12"/>
  <c r="F21" i="12"/>
  <c r="E21" i="12"/>
  <c r="D21" i="12"/>
  <c r="C21" i="12"/>
  <c r="B21" i="12"/>
  <c r="A21" i="12"/>
  <c r="R20" i="12"/>
  <c r="Q20" i="12"/>
  <c r="P20" i="12"/>
  <c r="O20" i="12"/>
  <c r="N20" i="12"/>
  <c r="M20" i="12"/>
  <c r="L20" i="12"/>
  <c r="K20" i="12"/>
  <c r="J20" i="12"/>
  <c r="I20" i="12"/>
  <c r="H20" i="12"/>
  <c r="G20" i="12"/>
  <c r="F20" i="12"/>
  <c r="E20" i="12"/>
  <c r="D20" i="12"/>
  <c r="C20" i="12"/>
  <c r="B20" i="12"/>
  <c r="A20" i="12"/>
  <c r="R19" i="12"/>
  <c r="Q19" i="12"/>
  <c r="P19" i="12"/>
  <c r="O19" i="12"/>
  <c r="N19" i="12"/>
  <c r="M19" i="12"/>
  <c r="L19" i="12"/>
  <c r="K19" i="12"/>
  <c r="J19" i="12"/>
  <c r="I19" i="12"/>
  <c r="H19" i="12"/>
  <c r="G19" i="12"/>
  <c r="F19" i="12"/>
  <c r="E19" i="12"/>
  <c r="D19" i="12"/>
  <c r="C19" i="12"/>
  <c r="B19" i="12"/>
  <c r="A19" i="12"/>
  <c r="R18" i="12"/>
  <c r="Q18" i="12"/>
  <c r="P18" i="12"/>
  <c r="O18" i="12"/>
  <c r="N18" i="12"/>
  <c r="M18" i="12"/>
  <c r="L18" i="12"/>
  <c r="K18" i="12"/>
  <c r="J18" i="12"/>
  <c r="I18" i="12"/>
  <c r="H18" i="12"/>
  <c r="G18" i="12"/>
  <c r="F18" i="12"/>
  <c r="E18" i="12"/>
  <c r="D18" i="12"/>
  <c r="C18" i="12"/>
  <c r="B18" i="12"/>
  <c r="A18" i="12"/>
  <c r="R17" i="12"/>
  <c r="Q17" i="12"/>
  <c r="P17" i="12"/>
  <c r="O17" i="12"/>
  <c r="N17" i="12"/>
  <c r="M17" i="12"/>
  <c r="L17" i="12"/>
  <c r="K17" i="12"/>
  <c r="J17" i="12"/>
  <c r="I17" i="12"/>
  <c r="H17" i="12"/>
  <c r="G17" i="12"/>
  <c r="F17" i="12"/>
  <c r="E17" i="12"/>
  <c r="D17" i="12"/>
  <c r="C17" i="12"/>
  <c r="B17" i="12"/>
  <c r="A17" i="12"/>
  <c r="R16" i="12"/>
  <c r="Q16" i="12"/>
  <c r="P16" i="12"/>
  <c r="O16" i="12"/>
  <c r="N16" i="12"/>
  <c r="M16" i="12"/>
  <c r="L16" i="12"/>
  <c r="K16" i="12"/>
  <c r="J16" i="12"/>
  <c r="I16" i="12"/>
  <c r="H16" i="12"/>
  <c r="G16" i="12"/>
  <c r="F16" i="12"/>
  <c r="E16" i="12"/>
  <c r="D16" i="12"/>
  <c r="C16" i="12"/>
  <c r="B16" i="12"/>
  <c r="A16" i="12"/>
  <c r="R15" i="12"/>
  <c r="Q15" i="12"/>
  <c r="P15" i="12"/>
  <c r="O15" i="12"/>
  <c r="N15" i="12"/>
  <c r="M15" i="12"/>
  <c r="L15" i="12"/>
  <c r="K15" i="12"/>
  <c r="J15" i="12"/>
  <c r="I15" i="12"/>
  <c r="H15" i="12"/>
  <c r="G15" i="12"/>
  <c r="F15" i="12"/>
  <c r="E15" i="12"/>
  <c r="D15" i="12"/>
  <c r="C15" i="12"/>
  <c r="B15" i="12"/>
  <c r="A15" i="12"/>
  <c r="R14" i="12"/>
  <c r="Q14" i="12"/>
  <c r="P14" i="12"/>
  <c r="O14" i="12"/>
  <c r="N14" i="12"/>
  <c r="M14" i="12"/>
  <c r="L14" i="12"/>
  <c r="K14" i="12"/>
  <c r="J14" i="12"/>
  <c r="I14" i="12"/>
  <c r="H14" i="12"/>
  <c r="G14" i="12"/>
  <c r="F14" i="12"/>
  <c r="E14" i="12"/>
  <c r="D14" i="12"/>
  <c r="C14" i="12"/>
  <c r="B14" i="12"/>
  <c r="A14" i="12"/>
  <c r="R13" i="12"/>
  <c r="Q13" i="12"/>
  <c r="P13" i="12"/>
  <c r="O13" i="12"/>
  <c r="N13" i="12"/>
  <c r="M13" i="12"/>
  <c r="L13" i="12"/>
  <c r="K13" i="12"/>
  <c r="J13" i="12"/>
  <c r="I13" i="12"/>
  <c r="H13" i="12"/>
  <c r="G13" i="12"/>
  <c r="F13" i="12"/>
  <c r="E13" i="12"/>
  <c r="D13" i="12"/>
  <c r="C13" i="12"/>
  <c r="B13" i="12"/>
  <c r="A13" i="12"/>
  <c r="R12" i="12"/>
  <c r="Q12" i="12"/>
  <c r="P12" i="12"/>
  <c r="O12" i="12"/>
  <c r="N12" i="12"/>
  <c r="M12" i="12"/>
  <c r="L12" i="12"/>
  <c r="K12" i="12"/>
  <c r="J12" i="12"/>
  <c r="I12" i="12"/>
  <c r="H12" i="12"/>
  <c r="G12" i="12"/>
  <c r="F12" i="12"/>
  <c r="E12" i="12"/>
  <c r="D12" i="12"/>
  <c r="C12" i="12"/>
  <c r="B12" i="12"/>
  <c r="A12" i="12"/>
  <c r="R11" i="12"/>
  <c r="Q11" i="12"/>
  <c r="P11" i="12"/>
  <c r="O11" i="12"/>
  <c r="N11" i="12"/>
  <c r="M11" i="12"/>
  <c r="L11" i="12"/>
  <c r="K11" i="12"/>
  <c r="J11" i="12"/>
  <c r="I11" i="12"/>
  <c r="H11" i="12"/>
  <c r="G11" i="12"/>
  <c r="F11" i="12"/>
  <c r="E11" i="12"/>
  <c r="D11" i="12"/>
  <c r="C11" i="12"/>
  <c r="B11" i="12"/>
  <c r="A11" i="12"/>
  <c r="R10" i="12"/>
  <c r="Q10" i="12"/>
  <c r="P10" i="12"/>
  <c r="O10" i="12"/>
  <c r="N10" i="12"/>
  <c r="M10" i="12"/>
  <c r="L10" i="12"/>
  <c r="K10" i="12"/>
  <c r="J10" i="12"/>
  <c r="I10" i="12"/>
  <c r="H10" i="12"/>
  <c r="G10" i="12"/>
  <c r="F10" i="12"/>
  <c r="E10" i="12"/>
  <c r="D10" i="12"/>
  <c r="C10" i="12"/>
  <c r="B10" i="12"/>
  <c r="A10" i="12"/>
  <c r="R9" i="12"/>
  <c r="Q9" i="12"/>
  <c r="P9" i="12"/>
  <c r="O9" i="12"/>
  <c r="N9" i="12"/>
  <c r="M9" i="12"/>
  <c r="L9" i="12"/>
  <c r="K9" i="12"/>
  <c r="J9" i="12"/>
  <c r="I9" i="12"/>
  <c r="H9" i="12"/>
  <c r="G9" i="12"/>
  <c r="F9" i="12"/>
  <c r="E9" i="12"/>
  <c r="D9" i="12"/>
  <c r="C9" i="12"/>
  <c r="B9" i="12"/>
  <c r="A9" i="12"/>
  <c r="R8" i="12"/>
  <c r="Q8" i="12"/>
  <c r="P8" i="12"/>
  <c r="O8" i="12"/>
  <c r="N8" i="12"/>
  <c r="M8" i="12"/>
  <c r="L8" i="12"/>
  <c r="K8" i="12"/>
  <c r="J8" i="12"/>
  <c r="I8" i="12"/>
  <c r="H8" i="12"/>
  <c r="G8" i="12"/>
  <c r="F8" i="12"/>
  <c r="E8" i="12"/>
  <c r="D8" i="12"/>
  <c r="C8" i="12"/>
  <c r="B8" i="12"/>
  <c r="A8" i="12"/>
  <c r="R7" i="12"/>
  <c r="Q7" i="12"/>
  <c r="P7" i="12"/>
  <c r="O7" i="12"/>
  <c r="N7" i="12"/>
  <c r="M7" i="12"/>
  <c r="L7" i="12"/>
  <c r="K7" i="12"/>
  <c r="J7" i="12"/>
  <c r="I7" i="12"/>
  <c r="H7" i="12"/>
  <c r="G7" i="12"/>
  <c r="F7" i="12"/>
  <c r="E7" i="12"/>
  <c r="D7" i="12"/>
  <c r="C7" i="12"/>
  <c r="B7" i="12"/>
  <c r="A7" i="12"/>
  <c r="R6" i="12"/>
  <c r="Q6" i="12"/>
  <c r="P6" i="12"/>
  <c r="O6" i="12"/>
  <c r="N6" i="12"/>
  <c r="M6" i="12"/>
  <c r="L6" i="12"/>
  <c r="K6" i="12"/>
  <c r="J6" i="12"/>
  <c r="I6" i="12"/>
  <c r="H6" i="12"/>
  <c r="G6" i="12"/>
  <c r="F6" i="12"/>
  <c r="E6" i="12"/>
  <c r="D6" i="12"/>
  <c r="C6" i="12"/>
  <c r="B6" i="12"/>
  <c r="A6" i="12"/>
  <c r="R5" i="12"/>
  <c r="Q5" i="12"/>
  <c r="P5" i="12"/>
  <c r="O5" i="12"/>
  <c r="N5" i="12"/>
  <c r="M5" i="12"/>
  <c r="L5" i="12"/>
  <c r="K5" i="12"/>
  <c r="J5" i="12"/>
  <c r="I5" i="12"/>
  <c r="H5" i="12"/>
  <c r="G5" i="12"/>
  <c r="F5" i="12"/>
  <c r="E5" i="12"/>
  <c r="D5" i="12"/>
  <c r="C5" i="12"/>
  <c r="B5" i="12"/>
  <c r="A5" i="12"/>
  <c r="R4" i="12"/>
  <c r="Q4" i="12"/>
  <c r="P4" i="12"/>
  <c r="O4" i="12"/>
  <c r="N4" i="12"/>
  <c r="M4" i="12"/>
  <c r="L4" i="12"/>
  <c r="K4" i="12"/>
  <c r="J4" i="12"/>
  <c r="I4" i="12"/>
  <c r="H4" i="12"/>
  <c r="G4" i="12"/>
  <c r="F4" i="12"/>
  <c r="E4" i="12"/>
  <c r="D4" i="12"/>
  <c r="C4" i="12"/>
  <c r="B4" i="12"/>
  <c r="A4" i="12"/>
  <c r="R3" i="12"/>
  <c r="Q3" i="12"/>
  <c r="P3" i="12"/>
  <c r="O3" i="12"/>
  <c r="N3" i="12"/>
  <c r="M3" i="12"/>
  <c r="L3" i="12"/>
  <c r="K3" i="12"/>
  <c r="J3" i="12"/>
  <c r="I3" i="12"/>
  <c r="H3" i="12"/>
  <c r="G3" i="12"/>
  <c r="F3" i="12"/>
  <c r="E3" i="12"/>
  <c r="D3" i="12"/>
  <c r="C3" i="12"/>
  <c r="B3" i="12"/>
  <c r="A3" i="12"/>
  <c r="R2" i="12"/>
  <c r="Q2" i="12"/>
  <c r="P2" i="12"/>
  <c r="O2" i="12"/>
  <c r="N2" i="12"/>
  <c r="M2" i="12"/>
  <c r="L2" i="12"/>
  <c r="K2" i="12"/>
  <c r="J2" i="12"/>
  <c r="I2" i="12"/>
  <c r="H2" i="12"/>
  <c r="G2" i="12"/>
  <c r="F2" i="12"/>
  <c r="E2" i="12"/>
  <c r="D2" i="12"/>
  <c r="C2" i="12"/>
  <c r="B2" i="12"/>
  <c r="A2" i="12"/>
  <c r="R1" i="12"/>
  <c r="Q1" i="12"/>
  <c r="P1" i="12"/>
  <c r="O1" i="12"/>
  <c r="N1" i="12"/>
  <c r="M1" i="12"/>
  <c r="L1" i="12"/>
  <c r="K1" i="12"/>
  <c r="J1" i="12"/>
  <c r="I1" i="12"/>
  <c r="H1" i="12"/>
  <c r="G1" i="12"/>
  <c r="F1" i="12"/>
  <c r="E1" i="12"/>
  <c r="D1" i="12"/>
  <c r="C1" i="12"/>
  <c r="B1" i="12"/>
  <c r="A1" i="12"/>
  <c r="S47" i="11"/>
  <c r="R47" i="11"/>
  <c r="Q47" i="11"/>
  <c r="P47" i="11"/>
  <c r="O47" i="11"/>
  <c r="N47" i="11"/>
  <c r="M47" i="11"/>
  <c r="L47" i="11"/>
  <c r="K47" i="11"/>
  <c r="J47" i="11"/>
  <c r="I47" i="11"/>
  <c r="H47" i="11"/>
  <c r="G47" i="11"/>
  <c r="F47" i="11"/>
  <c r="E47" i="11"/>
  <c r="D47" i="11"/>
  <c r="C47" i="11"/>
  <c r="B47" i="11"/>
  <c r="A47" i="11"/>
  <c r="S46" i="11"/>
  <c r="R46" i="11"/>
  <c r="Q46" i="11"/>
  <c r="P46" i="11"/>
  <c r="O46" i="11"/>
  <c r="N46" i="11"/>
  <c r="M46" i="11"/>
  <c r="L46" i="11"/>
  <c r="K46" i="11"/>
  <c r="J46" i="11"/>
  <c r="I46" i="11"/>
  <c r="H46" i="11"/>
  <c r="G46" i="11"/>
  <c r="F46" i="11"/>
  <c r="E46" i="11"/>
  <c r="D46" i="11"/>
  <c r="C46" i="11"/>
  <c r="B46" i="11"/>
  <c r="A46" i="11"/>
  <c r="S45" i="11"/>
  <c r="R45" i="11"/>
  <c r="Q45" i="11"/>
  <c r="P45" i="11"/>
  <c r="O45" i="11"/>
  <c r="N45" i="11"/>
  <c r="M45" i="11"/>
  <c r="L45" i="11"/>
  <c r="K45" i="11"/>
  <c r="J45" i="11"/>
  <c r="I45" i="11"/>
  <c r="H45" i="11"/>
  <c r="G45" i="11"/>
  <c r="F45" i="11"/>
  <c r="E45" i="11"/>
  <c r="D45" i="11"/>
  <c r="C45" i="11"/>
  <c r="B45" i="11"/>
  <c r="A45" i="11"/>
  <c r="S44" i="11"/>
  <c r="R44" i="11"/>
  <c r="Q44" i="11"/>
  <c r="P44" i="11"/>
  <c r="O44" i="11"/>
  <c r="N44" i="11"/>
  <c r="M44" i="11"/>
  <c r="L44" i="11"/>
  <c r="K44" i="11"/>
  <c r="J44" i="11"/>
  <c r="I44" i="11"/>
  <c r="H44" i="11"/>
  <c r="G44" i="11"/>
  <c r="F44" i="11"/>
  <c r="E44" i="11"/>
  <c r="D44" i="11"/>
  <c r="C44" i="11"/>
  <c r="B44" i="11"/>
  <c r="A44" i="11"/>
  <c r="S43" i="11"/>
  <c r="R43" i="11"/>
  <c r="Q43" i="11"/>
  <c r="P43" i="11"/>
  <c r="O43" i="11"/>
  <c r="N43" i="11"/>
  <c r="M43" i="11"/>
  <c r="L43" i="11"/>
  <c r="K43" i="11"/>
  <c r="J43" i="11"/>
  <c r="I43" i="11"/>
  <c r="H43" i="11"/>
  <c r="G43" i="11"/>
  <c r="F43" i="11"/>
  <c r="E43" i="11"/>
  <c r="D43" i="11"/>
  <c r="C43" i="11"/>
  <c r="B43" i="11"/>
  <c r="A43" i="11"/>
  <c r="S42" i="11"/>
  <c r="R42" i="11"/>
  <c r="Q42" i="11"/>
  <c r="P42" i="11"/>
  <c r="O42" i="11"/>
  <c r="N42" i="11"/>
  <c r="M42" i="11"/>
  <c r="L42" i="11"/>
  <c r="K42" i="11"/>
  <c r="J42" i="11"/>
  <c r="I42" i="11"/>
  <c r="H42" i="11"/>
  <c r="G42" i="11"/>
  <c r="F42" i="11"/>
  <c r="E42" i="11"/>
  <c r="D42" i="11"/>
  <c r="C42" i="11"/>
  <c r="B42" i="11"/>
  <c r="A42" i="11"/>
  <c r="S41" i="11"/>
  <c r="R41" i="11"/>
  <c r="Q41" i="11"/>
  <c r="P41" i="11"/>
  <c r="O41" i="11"/>
  <c r="N41" i="11"/>
  <c r="M41" i="11"/>
  <c r="L41" i="11"/>
  <c r="K41" i="11"/>
  <c r="J41" i="11"/>
  <c r="I41" i="11"/>
  <c r="H41" i="11"/>
  <c r="G41" i="11"/>
  <c r="F41" i="11"/>
  <c r="E41" i="11"/>
  <c r="D41" i="11"/>
  <c r="C41" i="11"/>
  <c r="B41" i="11"/>
  <c r="A41" i="11"/>
  <c r="S40" i="11"/>
  <c r="R40" i="11"/>
  <c r="Q40" i="11"/>
  <c r="P40" i="11"/>
  <c r="O40" i="11"/>
  <c r="N40" i="11"/>
  <c r="M40" i="11"/>
  <c r="L40" i="11"/>
  <c r="K40" i="11"/>
  <c r="J40" i="11"/>
  <c r="I40" i="11"/>
  <c r="H40" i="11"/>
  <c r="G40" i="11"/>
  <c r="F40" i="11"/>
  <c r="E40" i="11"/>
  <c r="D40" i="11"/>
  <c r="C40" i="11"/>
  <c r="B40" i="11"/>
  <c r="A40" i="11"/>
  <c r="S39" i="11"/>
  <c r="R39" i="11"/>
  <c r="Q39" i="11"/>
  <c r="P39" i="11"/>
  <c r="O39" i="11"/>
  <c r="N39" i="11"/>
  <c r="M39" i="11"/>
  <c r="L39" i="11"/>
  <c r="K39" i="11"/>
  <c r="J39" i="11"/>
  <c r="I39" i="11"/>
  <c r="H39" i="11"/>
  <c r="G39" i="11"/>
  <c r="F39" i="11"/>
  <c r="E39" i="11"/>
  <c r="D39" i="11"/>
  <c r="C39" i="11"/>
  <c r="B39" i="11"/>
  <c r="A39" i="11"/>
  <c r="S38" i="11"/>
  <c r="R38" i="11"/>
  <c r="Q38" i="11"/>
  <c r="P38" i="11"/>
  <c r="O38" i="11"/>
  <c r="N38" i="11"/>
  <c r="M38" i="11"/>
  <c r="L38" i="11"/>
  <c r="K38" i="11"/>
  <c r="J38" i="11"/>
  <c r="I38" i="11"/>
  <c r="H38" i="11"/>
  <c r="G38" i="11"/>
  <c r="F38" i="11"/>
  <c r="E38" i="11"/>
  <c r="D38" i="11"/>
  <c r="C38" i="11"/>
  <c r="B38" i="11"/>
  <c r="A38" i="11"/>
  <c r="S37" i="11"/>
  <c r="R37" i="11"/>
  <c r="Q37" i="11"/>
  <c r="P37" i="11"/>
  <c r="O37" i="11"/>
  <c r="N37" i="11"/>
  <c r="M37" i="11"/>
  <c r="L37" i="11"/>
  <c r="K37" i="11"/>
  <c r="J37" i="11"/>
  <c r="I37" i="11"/>
  <c r="H37" i="11"/>
  <c r="G37" i="11"/>
  <c r="F37" i="11"/>
  <c r="E37" i="11"/>
  <c r="D37" i="11"/>
  <c r="C37" i="11"/>
  <c r="B37" i="11"/>
  <c r="A37" i="11"/>
  <c r="S36" i="11"/>
  <c r="R36" i="11"/>
  <c r="Q36" i="11"/>
  <c r="P36" i="11"/>
  <c r="O36" i="11"/>
  <c r="N36" i="11"/>
  <c r="M36" i="11"/>
  <c r="L36" i="11"/>
  <c r="K36" i="11"/>
  <c r="J36" i="11"/>
  <c r="I36" i="11"/>
  <c r="H36" i="11"/>
  <c r="G36" i="11"/>
  <c r="F36" i="11"/>
  <c r="E36" i="11"/>
  <c r="D36" i="11"/>
  <c r="C36" i="11"/>
  <c r="B36" i="11"/>
  <c r="A36" i="11"/>
  <c r="S35" i="11"/>
  <c r="R35" i="11"/>
  <c r="Q35" i="11"/>
  <c r="P35" i="11"/>
  <c r="O35" i="11"/>
  <c r="N35" i="11"/>
  <c r="M35" i="11"/>
  <c r="L35" i="11"/>
  <c r="K35" i="11"/>
  <c r="J35" i="11"/>
  <c r="I35" i="11"/>
  <c r="H35" i="11"/>
  <c r="G35" i="11"/>
  <c r="F35" i="11"/>
  <c r="E35" i="11"/>
  <c r="D35" i="11"/>
  <c r="C35" i="11"/>
  <c r="B35" i="11"/>
  <c r="A35" i="11"/>
  <c r="S34" i="11"/>
  <c r="R34" i="11"/>
  <c r="Q34" i="11"/>
  <c r="P34" i="11"/>
  <c r="O34" i="11"/>
  <c r="N34" i="11"/>
  <c r="M34" i="11"/>
  <c r="L34" i="11"/>
  <c r="K34" i="11"/>
  <c r="J34" i="11"/>
  <c r="I34" i="11"/>
  <c r="H34" i="11"/>
  <c r="G34" i="11"/>
  <c r="F34" i="11"/>
  <c r="E34" i="11"/>
  <c r="D34" i="11"/>
  <c r="C34" i="11"/>
  <c r="B34" i="11"/>
  <c r="A34" i="11"/>
  <c r="S33" i="11"/>
  <c r="R33" i="11"/>
  <c r="Q33" i="11"/>
  <c r="P33" i="11"/>
  <c r="O33" i="11"/>
  <c r="N33" i="11"/>
  <c r="M33" i="11"/>
  <c r="L33" i="11"/>
  <c r="K33" i="11"/>
  <c r="J33" i="11"/>
  <c r="I33" i="11"/>
  <c r="H33" i="11"/>
  <c r="G33" i="11"/>
  <c r="F33" i="11"/>
  <c r="E33" i="11"/>
  <c r="D33" i="11"/>
  <c r="C33" i="11"/>
  <c r="B33" i="11"/>
  <c r="A33" i="11"/>
  <c r="S32" i="11"/>
  <c r="R32" i="11"/>
  <c r="Q32" i="11"/>
  <c r="P32" i="11"/>
  <c r="O32" i="11"/>
  <c r="N32" i="11"/>
  <c r="M32" i="11"/>
  <c r="L32" i="11"/>
  <c r="K32" i="11"/>
  <c r="J32" i="11"/>
  <c r="I32" i="11"/>
  <c r="H32" i="11"/>
  <c r="G32" i="11"/>
  <c r="F32" i="11"/>
  <c r="E32" i="11"/>
  <c r="D32" i="11"/>
  <c r="C32" i="11"/>
  <c r="B32" i="11"/>
  <c r="A32" i="11"/>
  <c r="S31" i="11"/>
  <c r="R31" i="11"/>
  <c r="Q31" i="11"/>
  <c r="P31" i="11"/>
  <c r="O31" i="11"/>
  <c r="N31" i="11"/>
  <c r="M31" i="11"/>
  <c r="L31" i="11"/>
  <c r="K31" i="11"/>
  <c r="J31" i="11"/>
  <c r="I31" i="11"/>
  <c r="H31" i="11"/>
  <c r="G31" i="11"/>
  <c r="F31" i="11"/>
  <c r="E31" i="11"/>
  <c r="D31" i="11"/>
  <c r="C31" i="11"/>
  <c r="B31" i="11"/>
  <c r="A31" i="11"/>
  <c r="S30" i="11"/>
  <c r="R30" i="11"/>
  <c r="Q30" i="11"/>
  <c r="P30" i="11"/>
  <c r="O30" i="11"/>
  <c r="N30" i="11"/>
  <c r="M30" i="11"/>
  <c r="L30" i="11"/>
  <c r="K30" i="11"/>
  <c r="J30" i="11"/>
  <c r="I30" i="11"/>
  <c r="H30" i="11"/>
  <c r="G30" i="11"/>
  <c r="F30" i="11"/>
  <c r="E30" i="11"/>
  <c r="D30" i="11"/>
  <c r="C30" i="11"/>
  <c r="B30" i="11"/>
  <c r="A30" i="11"/>
  <c r="S29" i="11"/>
  <c r="R29" i="11"/>
  <c r="Q29" i="11"/>
  <c r="P29" i="11"/>
  <c r="O29" i="11"/>
  <c r="N29" i="11"/>
  <c r="M29" i="11"/>
  <c r="L29" i="11"/>
  <c r="K29" i="11"/>
  <c r="J29" i="11"/>
  <c r="I29" i="11"/>
  <c r="H29" i="11"/>
  <c r="G29" i="11"/>
  <c r="F29" i="11"/>
  <c r="E29" i="11"/>
  <c r="D29" i="11"/>
  <c r="C29" i="11"/>
  <c r="B29" i="11"/>
  <c r="A29" i="11"/>
  <c r="S28" i="11"/>
  <c r="R28" i="11"/>
  <c r="Q28" i="11"/>
  <c r="P28" i="11"/>
  <c r="O28" i="11"/>
  <c r="N28" i="11"/>
  <c r="M28" i="11"/>
  <c r="L28" i="11"/>
  <c r="K28" i="11"/>
  <c r="J28" i="11"/>
  <c r="I28" i="11"/>
  <c r="H28" i="11"/>
  <c r="G28" i="11"/>
  <c r="F28" i="11"/>
  <c r="E28" i="11"/>
  <c r="D28" i="11"/>
  <c r="C28" i="11"/>
  <c r="B28" i="11"/>
  <c r="A28" i="11"/>
  <c r="S27" i="11"/>
  <c r="R27" i="11"/>
  <c r="Q27" i="11"/>
  <c r="P27" i="11"/>
  <c r="O27" i="11"/>
  <c r="N27" i="11"/>
  <c r="M27" i="11"/>
  <c r="L27" i="11"/>
  <c r="K27" i="11"/>
  <c r="J27" i="11"/>
  <c r="I27" i="11"/>
  <c r="H27" i="11"/>
  <c r="G27" i="11"/>
  <c r="F27" i="11"/>
  <c r="E27" i="11"/>
  <c r="D27" i="11"/>
  <c r="C27" i="11"/>
  <c r="B27" i="11"/>
  <c r="A27" i="11"/>
  <c r="S26" i="11"/>
  <c r="R26" i="11"/>
  <c r="Q26" i="11"/>
  <c r="P26" i="11"/>
  <c r="O26" i="11"/>
  <c r="N26" i="11"/>
  <c r="M26" i="11"/>
  <c r="L26" i="11"/>
  <c r="K26" i="11"/>
  <c r="J26" i="11"/>
  <c r="I26" i="11"/>
  <c r="H26" i="11"/>
  <c r="G26" i="11"/>
  <c r="F26" i="11"/>
  <c r="E26" i="11"/>
  <c r="D26" i="11"/>
  <c r="C26" i="11"/>
  <c r="B26" i="11"/>
  <c r="A26" i="11"/>
  <c r="S25" i="11"/>
  <c r="R25" i="11"/>
  <c r="Q25" i="11"/>
  <c r="P25" i="11"/>
  <c r="O25" i="11"/>
  <c r="N25" i="11"/>
  <c r="M25" i="11"/>
  <c r="L25" i="11"/>
  <c r="K25" i="11"/>
  <c r="J25" i="11"/>
  <c r="I25" i="11"/>
  <c r="H25" i="11"/>
  <c r="G25" i="11"/>
  <c r="F25" i="11"/>
  <c r="E25" i="11"/>
  <c r="D25" i="11"/>
  <c r="C25" i="11"/>
  <c r="B25" i="11"/>
  <c r="A25" i="11"/>
  <c r="S24" i="11"/>
  <c r="R24" i="11"/>
  <c r="Q24" i="11"/>
  <c r="P24" i="11"/>
  <c r="O24" i="11"/>
  <c r="N24" i="11"/>
  <c r="M24" i="11"/>
  <c r="L24" i="11"/>
  <c r="K24" i="11"/>
  <c r="J24" i="11"/>
  <c r="I24" i="11"/>
  <c r="H24" i="11"/>
  <c r="G24" i="11"/>
  <c r="F24" i="11"/>
  <c r="E24" i="11"/>
  <c r="D24" i="11"/>
  <c r="C24" i="11"/>
  <c r="B24" i="11"/>
  <c r="A24" i="11"/>
  <c r="S23" i="11"/>
  <c r="R23" i="11"/>
  <c r="Q23" i="11"/>
  <c r="P23" i="11"/>
  <c r="O23" i="11"/>
  <c r="N23" i="11"/>
  <c r="M23" i="11"/>
  <c r="L23" i="11"/>
  <c r="K23" i="11"/>
  <c r="J23" i="11"/>
  <c r="I23" i="11"/>
  <c r="H23" i="11"/>
  <c r="G23" i="11"/>
  <c r="F23" i="11"/>
  <c r="E23" i="11"/>
  <c r="D23" i="11"/>
  <c r="C23" i="11"/>
  <c r="B23" i="11"/>
  <c r="A23" i="11"/>
  <c r="S22" i="11"/>
  <c r="R22" i="11"/>
  <c r="Q22" i="11"/>
  <c r="P22" i="11"/>
  <c r="O22" i="11"/>
  <c r="N22" i="11"/>
  <c r="M22" i="11"/>
  <c r="L22" i="11"/>
  <c r="K22" i="11"/>
  <c r="J22" i="11"/>
  <c r="I22" i="11"/>
  <c r="H22" i="11"/>
  <c r="G22" i="11"/>
  <c r="F22" i="11"/>
  <c r="E22" i="11"/>
  <c r="D22" i="11"/>
  <c r="C22" i="11"/>
  <c r="B22" i="11"/>
  <c r="A22" i="11"/>
  <c r="S21" i="11"/>
  <c r="R21" i="11"/>
  <c r="Q21" i="11"/>
  <c r="P21" i="11"/>
  <c r="O21" i="11"/>
  <c r="N21" i="11"/>
  <c r="M21" i="11"/>
  <c r="L21" i="11"/>
  <c r="K21" i="11"/>
  <c r="J21" i="11"/>
  <c r="I21" i="11"/>
  <c r="H21" i="11"/>
  <c r="G21" i="11"/>
  <c r="F21" i="11"/>
  <c r="E21" i="11"/>
  <c r="D21" i="11"/>
  <c r="C21" i="11"/>
  <c r="B21" i="11"/>
  <c r="A21" i="11"/>
  <c r="S20" i="11"/>
  <c r="R20" i="11"/>
  <c r="Q20" i="11"/>
  <c r="P20" i="11"/>
  <c r="O20" i="11"/>
  <c r="N20" i="11"/>
  <c r="M20" i="11"/>
  <c r="L20" i="11"/>
  <c r="K20" i="11"/>
  <c r="J20" i="11"/>
  <c r="I20" i="11"/>
  <c r="H20" i="11"/>
  <c r="G20" i="11"/>
  <c r="F20" i="11"/>
  <c r="E20" i="11"/>
  <c r="D20" i="11"/>
  <c r="C20" i="11"/>
  <c r="B20" i="11"/>
  <c r="A20" i="11"/>
  <c r="S19" i="11"/>
  <c r="R19" i="11"/>
  <c r="Q19" i="11"/>
  <c r="P19" i="11"/>
  <c r="O19" i="11"/>
  <c r="N19" i="11"/>
  <c r="M19" i="11"/>
  <c r="L19" i="11"/>
  <c r="K19" i="11"/>
  <c r="J19" i="11"/>
  <c r="I19" i="11"/>
  <c r="H19" i="11"/>
  <c r="G19" i="11"/>
  <c r="F19" i="11"/>
  <c r="E19" i="11"/>
  <c r="D19" i="11"/>
  <c r="C19" i="11"/>
  <c r="B19" i="11"/>
  <c r="A19" i="11"/>
  <c r="S18" i="11"/>
  <c r="R18" i="11"/>
  <c r="Q18" i="11"/>
  <c r="P18" i="11"/>
  <c r="O18" i="11"/>
  <c r="N18" i="11"/>
  <c r="M18" i="11"/>
  <c r="L18" i="11"/>
  <c r="K18" i="11"/>
  <c r="J18" i="11"/>
  <c r="I18" i="11"/>
  <c r="H18" i="11"/>
  <c r="G18" i="11"/>
  <c r="F18" i="11"/>
  <c r="E18" i="11"/>
  <c r="D18" i="11"/>
  <c r="C18" i="11"/>
  <c r="B18" i="11"/>
  <c r="A18" i="11"/>
  <c r="S17" i="11"/>
  <c r="R17" i="11"/>
  <c r="Q17" i="11"/>
  <c r="P17" i="11"/>
  <c r="O17" i="11"/>
  <c r="N17" i="11"/>
  <c r="M17" i="11"/>
  <c r="L17" i="11"/>
  <c r="K17" i="11"/>
  <c r="J17" i="11"/>
  <c r="I17" i="11"/>
  <c r="H17" i="11"/>
  <c r="G17" i="11"/>
  <c r="F17" i="11"/>
  <c r="E17" i="11"/>
  <c r="D17" i="11"/>
  <c r="C17" i="11"/>
  <c r="B17" i="11"/>
  <c r="A17" i="11"/>
  <c r="S16" i="11"/>
  <c r="R16" i="11"/>
  <c r="Q16" i="11"/>
  <c r="P16" i="11"/>
  <c r="O16" i="11"/>
  <c r="N16" i="11"/>
  <c r="M16" i="11"/>
  <c r="L16" i="11"/>
  <c r="K16" i="11"/>
  <c r="J16" i="11"/>
  <c r="I16" i="11"/>
  <c r="H16" i="11"/>
  <c r="G16" i="11"/>
  <c r="F16" i="11"/>
  <c r="E16" i="11"/>
  <c r="D16" i="11"/>
  <c r="C16" i="11"/>
  <c r="B16" i="11"/>
  <c r="A16" i="11"/>
  <c r="S15" i="11"/>
  <c r="R15" i="11"/>
  <c r="Q15" i="11"/>
  <c r="P15" i="11"/>
  <c r="O15" i="11"/>
  <c r="N15" i="11"/>
  <c r="M15" i="11"/>
  <c r="L15" i="11"/>
  <c r="K15" i="11"/>
  <c r="J15" i="11"/>
  <c r="I15" i="11"/>
  <c r="H15" i="11"/>
  <c r="G15" i="11"/>
  <c r="F15" i="11"/>
  <c r="E15" i="11"/>
  <c r="D15" i="11"/>
  <c r="C15" i="11"/>
  <c r="B15" i="11"/>
  <c r="A15" i="11"/>
  <c r="S14" i="11"/>
  <c r="R14" i="11"/>
  <c r="Q14" i="11"/>
  <c r="P14" i="11"/>
  <c r="O14" i="11"/>
  <c r="N14" i="11"/>
  <c r="M14" i="11"/>
  <c r="L14" i="11"/>
  <c r="K14" i="11"/>
  <c r="J14" i="11"/>
  <c r="I14" i="11"/>
  <c r="H14" i="11"/>
  <c r="G14" i="11"/>
  <c r="F14" i="11"/>
  <c r="E14" i="11"/>
  <c r="D14" i="11"/>
  <c r="C14" i="11"/>
  <c r="B14" i="11"/>
  <c r="A14" i="11"/>
  <c r="S13" i="11"/>
  <c r="R13" i="11"/>
  <c r="Q13" i="11"/>
  <c r="P13" i="11"/>
  <c r="O13" i="11"/>
  <c r="N13" i="11"/>
  <c r="M13" i="11"/>
  <c r="L13" i="11"/>
  <c r="K13" i="11"/>
  <c r="J13" i="11"/>
  <c r="I13" i="11"/>
  <c r="H13" i="11"/>
  <c r="G13" i="11"/>
  <c r="F13" i="11"/>
  <c r="E13" i="11"/>
  <c r="D13" i="11"/>
  <c r="C13" i="11"/>
  <c r="B13" i="11"/>
  <c r="A13" i="11"/>
  <c r="S12" i="11"/>
  <c r="R12" i="11"/>
  <c r="Q12" i="11"/>
  <c r="P12" i="11"/>
  <c r="O12" i="11"/>
  <c r="N12" i="11"/>
  <c r="M12" i="11"/>
  <c r="L12" i="11"/>
  <c r="K12" i="11"/>
  <c r="J12" i="11"/>
  <c r="I12" i="11"/>
  <c r="H12" i="11"/>
  <c r="G12" i="11"/>
  <c r="F12" i="11"/>
  <c r="E12" i="11"/>
  <c r="D12" i="11"/>
  <c r="C12" i="11"/>
  <c r="B12" i="11"/>
  <c r="A12" i="11"/>
  <c r="S11" i="11"/>
  <c r="R11" i="11"/>
  <c r="Q11" i="11"/>
  <c r="P11" i="11"/>
  <c r="O11" i="11"/>
  <c r="N11" i="11"/>
  <c r="M11" i="11"/>
  <c r="L11" i="11"/>
  <c r="K11" i="11"/>
  <c r="J11" i="11"/>
  <c r="I11" i="11"/>
  <c r="H11" i="11"/>
  <c r="G11" i="11"/>
  <c r="F11" i="11"/>
  <c r="E11" i="11"/>
  <c r="D11" i="11"/>
  <c r="C11" i="11"/>
  <c r="B11" i="11"/>
  <c r="A11" i="11"/>
  <c r="S10" i="11"/>
  <c r="R10" i="11"/>
  <c r="Q10" i="11"/>
  <c r="P10" i="11"/>
  <c r="O10" i="11"/>
  <c r="N10" i="11"/>
  <c r="M10" i="11"/>
  <c r="L10" i="11"/>
  <c r="K10" i="11"/>
  <c r="J10" i="11"/>
  <c r="I10" i="11"/>
  <c r="H10" i="11"/>
  <c r="G10" i="11"/>
  <c r="F10" i="11"/>
  <c r="E10" i="11"/>
  <c r="D10" i="11"/>
  <c r="C10" i="11"/>
  <c r="B10" i="11"/>
  <c r="A10" i="11"/>
  <c r="S9" i="11"/>
  <c r="R9" i="11"/>
  <c r="Q9" i="11"/>
  <c r="P9" i="11"/>
  <c r="O9" i="11"/>
  <c r="N9" i="11"/>
  <c r="M9" i="11"/>
  <c r="L9" i="11"/>
  <c r="K9" i="11"/>
  <c r="J9" i="11"/>
  <c r="I9" i="11"/>
  <c r="H9" i="11"/>
  <c r="G9" i="11"/>
  <c r="F9" i="11"/>
  <c r="E9" i="11"/>
  <c r="D9" i="11"/>
  <c r="C9" i="11"/>
  <c r="B9" i="11"/>
  <c r="A9" i="11"/>
  <c r="S8" i="11"/>
  <c r="R8" i="11"/>
  <c r="Q8" i="11"/>
  <c r="P8" i="11"/>
  <c r="O8" i="11"/>
  <c r="N8" i="11"/>
  <c r="M8" i="11"/>
  <c r="L8" i="11"/>
  <c r="K8" i="11"/>
  <c r="J8" i="11"/>
  <c r="I8" i="11"/>
  <c r="H8" i="11"/>
  <c r="G8" i="11"/>
  <c r="F8" i="11"/>
  <c r="E8" i="11"/>
  <c r="D8" i="11"/>
  <c r="C8" i="11"/>
  <c r="B8" i="11"/>
  <c r="A8" i="11"/>
  <c r="S7" i="11"/>
  <c r="R7" i="11"/>
  <c r="Q7" i="11"/>
  <c r="P7" i="11"/>
  <c r="O7" i="11"/>
  <c r="N7" i="11"/>
  <c r="M7" i="11"/>
  <c r="L7" i="11"/>
  <c r="K7" i="11"/>
  <c r="J7" i="11"/>
  <c r="I7" i="11"/>
  <c r="H7" i="11"/>
  <c r="G7" i="11"/>
  <c r="F7" i="11"/>
  <c r="E7" i="11"/>
  <c r="D7" i="11"/>
  <c r="C7" i="11"/>
  <c r="B7" i="11"/>
  <c r="A7" i="11"/>
  <c r="S6" i="11"/>
  <c r="R6" i="11"/>
  <c r="Q6" i="11"/>
  <c r="P6" i="11"/>
  <c r="O6" i="11"/>
  <c r="N6" i="11"/>
  <c r="M6" i="11"/>
  <c r="L6" i="11"/>
  <c r="K6" i="11"/>
  <c r="J6" i="11"/>
  <c r="I6" i="11"/>
  <c r="H6" i="11"/>
  <c r="G6" i="11"/>
  <c r="F6" i="11"/>
  <c r="E6" i="11"/>
  <c r="D6" i="11"/>
  <c r="C6" i="11"/>
  <c r="B6" i="11"/>
  <c r="A6" i="11"/>
  <c r="S5" i="11"/>
  <c r="R5" i="11"/>
  <c r="Q5" i="11"/>
  <c r="P5" i="11"/>
  <c r="O5" i="11"/>
  <c r="N5" i="11"/>
  <c r="M5" i="11"/>
  <c r="L5" i="11"/>
  <c r="K5" i="11"/>
  <c r="J5" i="11"/>
  <c r="I5" i="11"/>
  <c r="H5" i="11"/>
  <c r="G5" i="11"/>
  <c r="F5" i="11"/>
  <c r="E5" i="11"/>
  <c r="D5" i="11"/>
  <c r="C5" i="11"/>
  <c r="B5" i="11"/>
  <c r="A5" i="11"/>
  <c r="S4" i="11"/>
  <c r="R4" i="11"/>
  <c r="Q4" i="11"/>
  <c r="P4" i="11"/>
  <c r="O4" i="11"/>
  <c r="N4" i="11"/>
  <c r="M4" i="11"/>
  <c r="L4" i="11"/>
  <c r="K4" i="11"/>
  <c r="J4" i="11"/>
  <c r="I4" i="11"/>
  <c r="H4" i="11"/>
  <c r="G4" i="11"/>
  <c r="F4" i="11"/>
  <c r="E4" i="11"/>
  <c r="D4" i="11"/>
  <c r="C4" i="11"/>
  <c r="B4" i="11"/>
  <c r="A4" i="11"/>
  <c r="S3" i="11"/>
  <c r="R3" i="11"/>
  <c r="Q3" i="11"/>
  <c r="P3" i="11"/>
  <c r="O3" i="11"/>
  <c r="N3" i="11"/>
  <c r="M3" i="11"/>
  <c r="L3" i="11"/>
  <c r="K3" i="11"/>
  <c r="J3" i="11"/>
  <c r="I3" i="11"/>
  <c r="H3" i="11"/>
  <c r="G3" i="11"/>
  <c r="F3" i="11"/>
  <c r="E3" i="11"/>
  <c r="D3" i="11"/>
  <c r="C3" i="11"/>
  <c r="B3" i="11"/>
  <c r="A3" i="11"/>
  <c r="S2" i="11"/>
  <c r="R2" i="11"/>
  <c r="Q2" i="11"/>
  <c r="P2" i="11"/>
  <c r="O2" i="11"/>
  <c r="N2" i="11"/>
  <c r="M2" i="11"/>
  <c r="L2" i="11"/>
  <c r="K2" i="11"/>
  <c r="J2" i="11"/>
  <c r="I2" i="11"/>
  <c r="H2" i="11"/>
  <c r="G2" i="11"/>
  <c r="F2" i="11"/>
  <c r="E2" i="11"/>
  <c r="D2" i="11"/>
  <c r="C2" i="11"/>
  <c r="B2" i="11"/>
  <c r="A2" i="11"/>
  <c r="S1" i="11"/>
  <c r="R1" i="11"/>
  <c r="Q1" i="11"/>
  <c r="P1" i="11"/>
  <c r="O1" i="11"/>
  <c r="N1" i="11"/>
  <c r="M1" i="11"/>
  <c r="L1" i="11"/>
  <c r="K1" i="11"/>
  <c r="J1" i="11"/>
  <c r="I1" i="11"/>
  <c r="H1" i="11"/>
  <c r="G1" i="11"/>
  <c r="F1" i="11"/>
  <c r="E1" i="11"/>
  <c r="D1" i="11"/>
  <c r="C1" i="11"/>
  <c r="B1" i="11"/>
  <c r="A1" i="11"/>
  <c r="R92" i="10"/>
  <c r="Q92" i="10"/>
  <c r="P92" i="10"/>
  <c r="O92" i="10"/>
  <c r="N92" i="10"/>
  <c r="M92" i="10"/>
  <c r="L92" i="10"/>
  <c r="K92" i="10"/>
  <c r="J92" i="10"/>
  <c r="I92" i="10"/>
  <c r="H92" i="10"/>
  <c r="G92" i="10"/>
  <c r="F92" i="10"/>
  <c r="E92" i="10"/>
  <c r="D92" i="10"/>
  <c r="C92" i="10"/>
  <c r="B92" i="10"/>
  <c r="A92" i="10"/>
  <c r="R91" i="10"/>
  <c r="Q91" i="10"/>
  <c r="P91" i="10"/>
  <c r="O91" i="10"/>
  <c r="N91" i="10"/>
  <c r="M91" i="10"/>
  <c r="L91" i="10"/>
  <c r="K91" i="10"/>
  <c r="J91" i="10"/>
  <c r="I91" i="10"/>
  <c r="H91" i="10"/>
  <c r="G91" i="10"/>
  <c r="F91" i="10"/>
  <c r="E91" i="10"/>
  <c r="D91" i="10"/>
  <c r="C91" i="10"/>
  <c r="B91" i="10"/>
  <c r="A91" i="10"/>
  <c r="R90" i="10"/>
  <c r="Q90" i="10"/>
  <c r="P90" i="10"/>
  <c r="O90" i="10"/>
  <c r="N90" i="10"/>
  <c r="M90" i="10"/>
  <c r="L90" i="10"/>
  <c r="K90" i="10"/>
  <c r="J90" i="10"/>
  <c r="I90" i="10"/>
  <c r="H90" i="10"/>
  <c r="G90" i="10"/>
  <c r="F90" i="10"/>
  <c r="E90" i="10"/>
  <c r="D90" i="10"/>
  <c r="C90" i="10"/>
  <c r="B90" i="10"/>
  <c r="A90" i="10"/>
  <c r="R89" i="10"/>
  <c r="Q89" i="10"/>
  <c r="P89" i="10"/>
  <c r="O89" i="10"/>
  <c r="N89" i="10"/>
  <c r="M89" i="10"/>
  <c r="L89" i="10"/>
  <c r="K89" i="10"/>
  <c r="J89" i="10"/>
  <c r="I89" i="10"/>
  <c r="H89" i="10"/>
  <c r="G89" i="10"/>
  <c r="F89" i="10"/>
  <c r="E89" i="10"/>
  <c r="D89" i="10"/>
  <c r="C89" i="10"/>
  <c r="B89" i="10"/>
  <c r="A89" i="10"/>
  <c r="R88" i="10"/>
  <c r="Q88" i="10"/>
  <c r="P88" i="10"/>
  <c r="O88" i="10"/>
  <c r="N88" i="10"/>
  <c r="M88" i="10"/>
  <c r="L88" i="10"/>
  <c r="K88" i="10"/>
  <c r="J88" i="10"/>
  <c r="I88" i="10"/>
  <c r="H88" i="10"/>
  <c r="G88" i="10"/>
  <c r="F88" i="10"/>
  <c r="E88" i="10"/>
  <c r="D88" i="10"/>
  <c r="C88" i="10"/>
  <c r="B88" i="10"/>
  <c r="A88" i="10"/>
  <c r="R87" i="10"/>
  <c r="Q87" i="10"/>
  <c r="P87" i="10"/>
  <c r="O87" i="10"/>
  <c r="N87" i="10"/>
  <c r="M87" i="10"/>
  <c r="L87" i="10"/>
  <c r="K87" i="10"/>
  <c r="J87" i="10"/>
  <c r="I87" i="10"/>
  <c r="H87" i="10"/>
  <c r="G87" i="10"/>
  <c r="F87" i="10"/>
  <c r="E87" i="10"/>
  <c r="D87" i="10"/>
  <c r="C87" i="10"/>
  <c r="B87" i="10"/>
  <c r="A87" i="10"/>
  <c r="R86" i="10"/>
  <c r="Q86" i="10"/>
  <c r="P86" i="10"/>
  <c r="O86" i="10"/>
  <c r="N86" i="10"/>
  <c r="M86" i="10"/>
  <c r="L86" i="10"/>
  <c r="K86" i="10"/>
  <c r="J86" i="10"/>
  <c r="I86" i="10"/>
  <c r="H86" i="10"/>
  <c r="G86" i="10"/>
  <c r="F86" i="10"/>
  <c r="E86" i="10"/>
  <c r="D86" i="10"/>
  <c r="C86" i="10"/>
  <c r="B86" i="10"/>
  <c r="A86" i="10"/>
  <c r="R85" i="10"/>
  <c r="Q85" i="10"/>
  <c r="P85" i="10"/>
  <c r="O85" i="10"/>
  <c r="N85" i="10"/>
  <c r="M85" i="10"/>
  <c r="L85" i="10"/>
  <c r="K85" i="10"/>
  <c r="J85" i="10"/>
  <c r="I85" i="10"/>
  <c r="H85" i="10"/>
  <c r="G85" i="10"/>
  <c r="F85" i="10"/>
  <c r="E85" i="10"/>
  <c r="D85" i="10"/>
  <c r="C85" i="10"/>
  <c r="B85" i="10"/>
  <c r="A85" i="10"/>
  <c r="R84" i="10"/>
  <c r="Q84" i="10"/>
  <c r="P84" i="10"/>
  <c r="O84" i="10"/>
  <c r="N84" i="10"/>
  <c r="M84" i="10"/>
  <c r="L84" i="10"/>
  <c r="K84" i="10"/>
  <c r="J84" i="10"/>
  <c r="I84" i="10"/>
  <c r="H84" i="10"/>
  <c r="G84" i="10"/>
  <c r="F84" i="10"/>
  <c r="E84" i="10"/>
  <c r="D84" i="10"/>
  <c r="C84" i="10"/>
  <c r="B84" i="10"/>
  <c r="A84" i="10"/>
  <c r="R83" i="10"/>
  <c r="Q83" i="10"/>
  <c r="P83" i="10"/>
  <c r="O83" i="10"/>
  <c r="N83" i="10"/>
  <c r="M83" i="10"/>
  <c r="L83" i="10"/>
  <c r="K83" i="10"/>
  <c r="J83" i="10"/>
  <c r="I83" i="10"/>
  <c r="H83" i="10"/>
  <c r="G83" i="10"/>
  <c r="F83" i="10"/>
  <c r="E83" i="10"/>
  <c r="D83" i="10"/>
  <c r="C83" i="10"/>
  <c r="B83" i="10"/>
  <c r="A83" i="10"/>
  <c r="R82" i="10"/>
  <c r="Q82" i="10"/>
  <c r="P82" i="10"/>
  <c r="O82" i="10"/>
  <c r="N82" i="10"/>
  <c r="M82" i="10"/>
  <c r="L82" i="10"/>
  <c r="K82" i="10"/>
  <c r="J82" i="10"/>
  <c r="I82" i="10"/>
  <c r="H82" i="10"/>
  <c r="G82" i="10"/>
  <c r="F82" i="10"/>
  <c r="E82" i="10"/>
  <c r="D82" i="10"/>
  <c r="C82" i="10"/>
  <c r="B82" i="10"/>
  <c r="A82" i="10"/>
  <c r="R81" i="10"/>
  <c r="Q81" i="10"/>
  <c r="P81" i="10"/>
  <c r="O81" i="10"/>
  <c r="N81" i="10"/>
  <c r="M81" i="10"/>
  <c r="L81" i="10"/>
  <c r="K81" i="10"/>
  <c r="J81" i="10"/>
  <c r="I81" i="10"/>
  <c r="H81" i="10"/>
  <c r="G81" i="10"/>
  <c r="F81" i="10"/>
  <c r="E81" i="10"/>
  <c r="D81" i="10"/>
  <c r="C81" i="10"/>
  <c r="B81" i="10"/>
  <c r="A81" i="10"/>
  <c r="R80" i="10"/>
  <c r="Q80" i="10"/>
  <c r="P80" i="10"/>
  <c r="O80" i="10"/>
  <c r="N80" i="10"/>
  <c r="M80" i="10"/>
  <c r="L80" i="10"/>
  <c r="K80" i="10"/>
  <c r="J80" i="10"/>
  <c r="I80" i="10"/>
  <c r="H80" i="10"/>
  <c r="G80" i="10"/>
  <c r="F80" i="10"/>
  <c r="E80" i="10"/>
  <c r="D80" i="10"/>
  <c r="C80" i="10"/>
  <c r="B80" i="10"/>
  <c r="A80" i="10"/>
  <c r="R79" i="10"/>
  <c r="Q79" i="10"/>
  <c r="P79" i="10"/>
  <c r="O79" i="10"/>
  <c r="N79" i="10"/>
  <c r="M79" i="10"/>
  <c r="L79" i="10"/>
  <c r="K79" i="10"/>
  <c r="J79" i="10"/>
  <c r="I79" i="10"/>
  <c r="H79" i="10"/>
  <c r="G79" i="10"/>
  <c r="F79" i="10"/>
  <c r="E79" i="10"/>
  <c r="D79" i="10"/>
  <c r="C79" i="10"/>
  <c r="B79" i="10"/>
  <c r="A79" i="10"/>
  <c r="R78" i="10"/>
  <c r="Q78" i="10"/>
  <c r="P78" i="10"/>
  <c r="O78" i="10"/>
  <c r="N78" i="10"/>
  <c r="M78" i="10"/>
  <c r="L78" i="10"/>
  <c r="K78" i="10"/>
  <c r="J78" i="10"/>
  <c r="I78" i="10"/>
  <c r="H78" i="10"/>
  <c r="G78" i="10"/>
  <c r="F78" i="10"/>
  <c r="E78" i="10"/>
  <c r="D78" i="10"/>
  <c r="C78" i="10"/>
  <c r="B78" i="10"/>
  <c r="A78" i="10"/>
  <c r="R77" i="10"/>
  <c r="Q77" i="10"/>
  <c r="P77" i="10"/>
  <c r="O77" i="10"/>
  <c r="N77" i="10"/>
  <c r="M77" i="10"/>
  <c r="L77" i="10"/>
  <c r="K77" i="10"/>
  <c r="J77" i="10"/>
  <c r="I77" i="10"/>
  <c r="H77" i="10"/>
  <c r="G77" i="10"/>
  <c r="F77" i="10"/>
  <c r="E77" i="10"/>
  <c r="D77" i="10"/>
  <c r="C77" i="10"/>
  <c r="B77" i="10"/>
  <c r="A77" i="10"/>
  <c r="R76" i="10"/>
  <c r="Q76" i="10"/>
  <c r="P76" i="10"/>
  <c r="O76" i="10"/>
  <c r="N76" i="10"/>
  <c r="M76" i="10"/>
  <c r="L76" i="10"/>
  <c r="K76" i="10"/>
  <c r="J76" i="10"/>
  <c r="I76" i="10"/>
  <c r="H76" i="10"/>
  <c r="G76" i="10"/>
  <c r="F76" i="10"/>
  <c r="E76" i="10"/>
  <c r="D76" i="10"/>
  <c r="C76" i="10"/>
  <c r="B76" i="10"/>
  <c r="A76" i="10"/>
  <c r="R75" i="10"/>
  <c r="Q75" i="10"/>
  <c r="P75" i="10"/>
  <c r="O75" i="10"/>
  <c r="N75" i="10"/>
  <c r="M75" i="10"/>
  <c r="L75" i="10"/>
  <c r="K75" i="10"/>
  <c r="J75" i="10"/>
  <c r="I75" i="10"/>
  <c r="H75" i="10"/>
  <c r="G75" i="10"/>
  <c r="F75" i="10"/>
  <c r="E75" i="10"/>
  <c r="D75" i="10"/>
  <c r="C75" i="10"/>
  <c r="B75" i="10"/>
  <c r="A75" i="10"/>
  <c r="R74" i="10"/>
  <c r="Q74" i="10"/>
  <c r="P74" i="10"/>
  <c r="O74" i="10"/>
  <c r="N74" i="10"/>
  <c r="M74" i="10"/>
  <c r="L74" i="10"/>
  <c r="K74" i="10"/>
  <c r="J74" i="10"/>
  <c r="I74" i="10"/>
  <c r="H74" i="10"/>
  <c r="G74" i="10"/>
  <c r="F74" i="10"/>
  <c r="E74" i="10"/>
  <c r="D74" i="10"/>
  <c r="C74" i="10"/>
  <c r="B74" i="10"/>
  <c r="A74" i="10"/>
  <c r="R73" i="10"/>
  <c r="Q73" i="10"/>
  <c r="P73" i="10"/>
  <c r="O73" i="10"/>
  <c r="N73" i="10"/>
  <c r="M73" i="10"/>
  <c r="L73" i="10"/>
  <c r="K73" i="10"/>
  <c r="J73" i="10"/>
  <c r="I73" i="10"/>
  <c r="H73" i="10"/>
  <c r="G73" i="10"/>
  <c r="F73" i="10"/>
  <c r="E73" i="10"/>
  <c r="D73" i="10"/>
  <c r="C73" i="10"/>
  <c r="B73" i="10"/>
  <c r="A73" i="10"/>
  <c r="R72" i="10"/>
  <c r="Q72" i="10"/>
  <c r="P72" i="10"/>
  <c r="O72" i="10"/>
  <c r="N72" i="10"/>
  <c r="M72" i="10"/>
  <c r="L72" i="10"/>
  <c r="K72" i="10"/>
  <c r="J72" i="10"/>
  <c r="I72" i="10"/>
  <c r="H72" i="10"/>
  <c r="G72" i="10"/>
  <c r="F72" i="10"/>
  <c r="E72" i="10"/>
  <c r="D72" i="10"/>
  <c r="C72" i="10"/>
  <c r="B72" i="10"/>
  <c r="A72" i="10"/>
  <c r="R71" i="10"/>
  <c r="Q71" i="10"/>
  <c r="P71" i="10"/>
  <c r="O71" i="10"/>
  <c r="N71" i="10"/>
  <c r="M71" i="10"/>
  <c r="L71" i="10"/>
  <c r="K71" i="10"/>
  <c r="J71" i="10"/>
  <c r="I71" i="10"/>
  <c r="H71" i="10"/>
  <c r="G71" i="10"/>
  <c r="F71" i="10"/>
  <c r="E71" i="10"/>
  <c r="D71" i="10"/>
  <c r="C71" i="10"/>
  <c r="B71" i="10"/>
  <c r="A71" i="10"/>
  <c r="R70" i="10"/>
  <c r="Q70" i="10"/>
  <c r="P70" i="10"/>
  <c r="O70" i="10"/>
  <c r="N70" i="10"/>
  <c r="M70" i="10"/>
  <c r="L70" i="10"/>
  <c r="K70" i="10"/>
  <c r="J70" i="10"/>
  <c r="I70" i="10"/>
  <c r="H70" i="10"/>
  <c r="G70" i="10"/>
  <c r="F70" i="10"/>
  <c r="E70" i="10"/>
  <c r="D70" i="10"/>
  <c r="C70" i="10"/>
  <c r="B70" i="10"/>
  <c r="A70" i="10"/>
  <c r="R69" i="10"/>
  <c r="Q69" i="10"/>
  <c r="P69" i="10"/>
  <c r="O69" i="10"/>
  <c r="N69" i="10"/>
  <c r="M69" i="10"/>
  <c r="L69" i="10"/>
  <c r="K69" i="10"/>
  <c r="J69" i="10"/>
  <c r="I69" i="10"/>
  <c r="H69" i="10"/>
  <c r="G69" i="10"/>
  <c r="F69" i="10"/>
  <c r="E69" i="10"/>
  <c r="D69" i="10"/>
  <c r="C69" i="10"/>
  <c r="B69" i="10"/>
  <c r="A69" i="10"/>
  <c r="R68" i="10"/>
  <c r="Q68" i="10"/>
  <c r="P68" i="10"/>
  <c r="O68" i="10"/>
  <c r="N68" i="10"/>
  <c r="M68" i="10"/>
  <c r="L68" i="10"/>
  <c r="K68" i="10"/>
  <c r="J68" i="10"/>
  <c r="I68" i="10"/>
  <c r="H68" i="10"/>
  <c r="G68" i="10"/>
  <c r="F68" i="10"/>
  <c r="E68" i="10"/>
  <c r="D68" i="10"/>
  <c r="C68" i="10"/>
  <c r="B68" i="10"/>
  <c r="A68" i="10"/>
  <c r="R67" i="10"/>
  <c r="Q67" i="10"/>
  <c r="P67" i="10"/>
  <c r="O67" i="10"/>
  <c r="N67" i="10"/>
  <c r="M67" i="10"/>
  <c r="L67" i="10"/>
  <c r="K67" i="10"/>
  <c r="J67" i="10"/>
  <c r="I67" i="10"/>
  <c r="H67" i="10"/>
  <c r="G67" i="10"/>
  <c r="F67" i="10"/>
  <c r="E67" i="10"/>
  <c r="D67" i="10"/>
  <c r="C67" i="10"/>
  <c r="B67" i="10"/>
  <c r="A67" i="10"/>
  <c r="R66" i="10"/>
  <c r="Q66" i="10"/>
  <c r="P66" i="10"/>
  <c r="O66" i="10"/>
  <c r="N66" i="10"/>
  <c r="M66" i="10"/>
  <c r="L66" i="10"/>
  <c r="K66" i="10"/>
  <c r="J66" i="10"/>
  <c r="I66" i="10"/>
  <c r="H66" i="10"/>
  <c r="G66" i="10"/>
  <c r="F66" i="10"/>
  <c r="E66" i="10"/>
  <c r="D66" i="10"/>
  <c r="C66" i="10"/>
  <c r="B66" i="10"/>
  <c r="A66" i="10"/>
  <c r="R65" i="10"/>
  <c r="Q65" i="10"/>
  <c r="P65" i="10"/>
  <c r="O65" i="10"/>
  <c r="N65" i="10"/>
  <c r="M65" i="10"/>
  <c r="L65" i="10"/>
  <c r="K65" i="10"/>
  <c r="J65" i="10"/>
  <c r="I65" i="10"/>
  <c r="H65" i="10"/>
  <c r="G65" i="10"/>
  <c r="F65" i="10"/>
  <c r="E65" i="10"/>
  <c r="D65" i="10"/>
  <c r="C65" i="10"/>
  <c r="B65" i="10"/>
  <c r="A65" i="10"/>
  <c r="R64" i="10"/>
  <c r="Q64" i="10"/>
  <c r="P64" i="10"/>
  <c r="O64" i="10"/>
  <c r="N64" i="10"/>
  <c r="M64" i="10"/>
  <c r="L64" i="10"/>
  <c r="K64" i="10"/>
  <c r="J64" i="10"/>
  <c r="I64" i="10"/>
  <c r="H64" i="10"/>
  <c r="G64" i="10"/>
  <c r="F64" i="10"/>
  <c r="E64" i="10"/>
  <c r="D64" i="10"/>
  <c r="C64" i="10"/>
  <c r="B64" i="10"/>
  <c r="A64" i="10"/>
  <c r="R63" i="10"/>
  <c r="Q63" i="10"/>
  <c r="P63" i="10"/>
  <c r="O63" i="10"/>
  <c r="N63" i="10"/>
  <c r="M63" i="10"/>
  <c r="L63" i="10"/>
  <c r="K63" i="10"/>
  <c r="J63" i="10"/>
  <c r="I63" i="10"/>
  <c r="H63" i="10"/>
  <c r="G63" i="10"/>
  <c r="F63" i="10"/>
  <c r="E63" i="10"/>
  <c r="D63" i="10"/>
  <c r="C63" i="10"/>
  <c r="B63" i="10"/>
  <c r="A63" i="10"/>
  <c r="R62" i="10"/>
  <c r="Q62" i="10"/>
  <c r="P62" i="10"/>
  <c r="O62" i="10"/>
  <c r="N62" i="10"/>
  <c r="M62" i="10"/>
  <c r="L62" i="10"/>
  <c r="K62" i="10"/>
  <c r="J62" i="10"/>
  <c r="I62" i="10"/>
  <c r="H62" i="10"/>
  <c r="G62" i="10"/>
  <c r="F62" i="10"/>
  <c r="E62" i="10"/>
  <c r="D62" i="10"/>
  <c r="C62" i="10"/>
  <c r="B62" i="10"/>
  <c r="A62" i="10"/>
  <c r="R61" i="10"/>
  <c r="Q61" i="10"/>
  <c r="P61" i="10"/>
  <c r="O61" i="10"/>
  <c r="N61" i="10"/>
  <c r="M61" i="10"/>
  <c r="L61" i="10"/>
  <c r="K61" i="10"/>
  <c r="J61" i="10"/>
  <c r="I61" i="10"/>
  <c r="H61" i="10"/>
  <c r="G61" i="10"/>
  <c r="F61" i="10"/>
  <c r="E61" i="10"/>
  <c r="D61" i="10"/>
  <c r="C61" i="10"/>
  <c r="B61" i="10"/>
  <c r="A61" i="10"/>
  <c r="R60" i="10"/>
  <c r="Q60" i="10"/>
  <c r="P60" i="10"/>
  <c r="O60" i="10"/>
  <c r="N60" i="10"/>
  <c r="M60" i="10"/>
  <c r="L60" i="10"/>
  <c r="K60" i="10"/>
  <c r="J60" i="10"/>
  <c r="I60" i="10"/>
  <c r="H60" i="10"/>
  <c r="G60" i="10"/>
  <c r="F60" i="10"/>
  <c r="E60" i="10"/>
  <c r="D60" i="10"/>
  <c r="C60" i="10"/>
  <c r="B60" i="10"/>
  <c r="A60" i="10"/>
  <c r="R59" i="10"/>
  <c r="Q59" i="10"/>
  <c r="P59" i="10"/>
  <c r="O59" i="10"/>
  <c r="N59" i="10"/>
  <c r="M59" i="10"/>
  <c r="L59" i="10"/>
  <c r="K59" i="10"/>
  <c r="J59" i="10"/>
  <c r="I59" i="10"/>
  <c r="H59" i="10"/>
  <c r="G59" i="10"/>
  <c r="F59" i="10"/>
  <c r="E59" i="10"/>
  <c r="D59" i="10"/>
  <c r="C59" i="10"/>
  <c r="B59" i="10"/>
  <c r="A59" i="10"/>
  <c r="R58" i="10"/>
  <c r="Q58" i="10"/>
  <c r="P58" i="10"/>
  <c r="O58" i="10"/>
  <c r="N58" i="10"/>
  <c r="M58" i="10"/>
  <c r="L58" i="10"/>
  <c r="K58" i="10"/>
  <c r="J58" i="10"/>
  <c r="I58" i="10"/>
  <c r="H58" i="10"/>
  <c r="G58" i="10"/>
  <c r="F58" i="10"/>
  <c r="E58" i="10"/>
  <c r="D58" i="10"/>
  <c r="C58" i="10"/>
  <c r="B58" i="10"/>
  <c r="A58" i="10"/>
  <c r="R57" i="10"/>
  <c r="Q57" i="10"/>
  <c r="P57" i="10"/>
  <c r="O57" i="10"/>
  <c r="N57" i="10"/>
  <c r="M57" i="10"/>
  <c r="L57" i="10"/>
  <c r="K57" i="10"/>
  <c r="J57" i="10"/>
  <c r="I57" i="10"/>
  <c r="H57" i="10"/>
  <c r="G57" i="10"/>
  <c r="F57" i="10"/>
  <c r="E57" i="10"/>
  <c r="D57" i="10"/>
  <c r="C57" i="10"/>
  <c r="B57" i="10"/>
  <c r="A57" i="10"/>
  <c r="R56" i="10"/>
  <c r="Q56" i="10"/>
  <c r="P56" i="10"/>
  <c r="O56" i="10"/>
  <c r="N56" i="10"/>
  <c r="M56" i="10"/>
  <c r="L56" i="10"/>
  <c r="K56" i="10"/>
  <c r="J56" i="10"/>
  <c r="I56" i="10"/>
  <c r="H56" i="10"/>
  <c r="G56" i="10"/>
  <c r="F56" i="10"/>
  <c r="E56" i="10"/>
  <c r="D56" i="10"/>
  <c r="C56" i="10"/>
  <c r="B56" i="10"/>
  <c r="A56" i="10"/>
  <c r="R55" i="10"/>
  <c r="Q55" i="10"/>
  <c r="P55" i="10"/>
  <c r="O55" i="10"/>
  <c r="N55" i="10"/>
  <c r="M55" i="10"/>
  <c r="L55" i="10"/>
  <c r="K55" i="10"/>
  <c r="J55" i="10"/>
  <c r="I55" i="10"/>
  <c r="H55" i="10"/>
  <c r="G55" i="10"/>
  <c r="F55" i="10"/>
  <c r="E55" i="10"/>
  <c r="D55" i="10"/>
  <c r="C55" i="10"/>
  <c r="B55" i="10"/>
  <c r="A55" i="10"/>
  <c r="R54" i="10"/>
  <c r="Q54" i="10"/>
  <c r="P54" i="10"/>
  <c r="O54" i="10"/>
  <c r="N54" i="10"/>
  <c r="M54" i="10"/>
  <c r="L54" i="10"/>
  <c r="K54" i="10"/>
  <c r="J54" i="10"/>
  <c r="I54" i="10"/>
  <c r="H54" i="10"/>
  <c r="G54" i="10"/>
  <c r="F54" i="10"/>
  <c r="E54" i="10"/>
  <c r="D54" i="10"/>
  <c r="C54" i="10"/>
  <c r="B54" i="10"/>
  <c r="A54" i="10"/>
  <c r="R53" i="10"/>
  <c r="Q53" i="10"/>
  <c r="P53" i="10"/>
  <c r="O53" i="10"/>
  <c r="N53" i="10"/>
  <c r="M53" i="10"/>
  <c r="L53" i="10"/>
  <c r="K53" i="10"/>
  <c r="J53" i="10"/>
  <c r="I53" i="10"/>
  <c r="H53" i="10"/>
  <c r="G53" i="10"/>
  <c r="F53" i="10"/>
  <c r="E53" i="10"/>
  <c r="D53" i="10"/>
  <c r="C53" i="10"/>
  <c r="B53" i="10"/>
  <c r="A53" i="10"/>
  <c r="R52" i="10"/>
  <c r="Q52" i="10"/>
  <c r="P52" i="10"/>
  <c r="O52" i="10"/>
  <c r="N52" i="10"/>
  <c r="M52" i="10"/>
  <c r="L52" i="10"/>
  <c r="K52" i="10"/>
  <c r="J52" i="10"/>
  <c r="I52" i="10"/>
  <c r="H52" i="10"/>
  <c r="G52" i="10"/>
  <c r="F52" i="10"/>
  <c r="E52" i="10"/>
  <c r="D52" i="10"/>
  <c r="C52" i="10"/>
  <c r="B52" i="10"/>
  <c r="A52" i="10"/>
  <c r="R51" i="10"/>
  <c r="Q51" i="10"/>
  <c r="P51" i="10"/>
  <c r="O51" i="10"/>
  <c r="N51" i="10"/>
  <c r="M51" i="10"/>
  <c r="L51" i="10"/>
  <c r="K51" i="10"/>
  <c r="J51" i="10"/>
  <c r="I51" i="10"/>
  <c r="H51" i="10"/>
  <c r="G51" i="10"/>
  <c r="F51" i="10"/>
  <c r="E51" i="10"/>
  <c r="D51" i="10"/>
  <c r="C51" i="10"/>
  <c r="B51" i="10"/>
  <c r="A51" i="10"/>
  <c r="R50" i="10"/>
  <c r="Q50" i="10"/>
  <c r="P50" i="10"/>
  <c r="O50" i="10"/>
  <c r="N50" i="10"/>
  <c r="M50" i="10"/>
  <c r="L50" i="10"/>
  <c r="K50" i="10"/>
  <c r="J50" i="10"/>
  <c r="I50" i="10"/>
  <c r="H50" i="10"/>
  <c r="G50" i="10"/>
  <c r="F50" i="10"/>
  <c r="E50" i="10"/>
  <c r="D50" i="10"/>
  <c r="C50" i="10"/>
  <c r="B50" i="10"/>
  <c r="A50" i="10"/>
  <c r="R49" i="10"/>
  <c r="Q49" i="10"/>
  <c r="P49" i="10"/>
  <c r="O49" i="10"/>
  <c r="N49" i="10"/>
  <c r="M49" i="10"/>
  <c r="L49" i="10"/>
  <c r="K49" i="10"/>
  <c r="J49" i="10"/>
  <c r="I49" i="10"/>
  <c r="H49" i="10"/>
  <c r="G49" i="10"/>
  <c r="F49" i="10"/>
  <c r="E49" i="10"/>
  <c r="D49" i="10"/>
  <c r="C49" i="10"/>
  <c r="B49" i="10"/>
  <c r="A49" i="10"/>
  <c r="R48" i="10"/>
  <c r="Q48" i="10"/>
  <c r="P48" i="10"/>
  <c r="O48" i="10"/>
  <c r="N48" i="10"/>
  <c r="M48" i="10"/>
  <c r="L48" i="10"/>
  <c r="K48" i="10"/>
  <c r="J48" i="10"/>
  <c r="I48" i="10"/>
  <c r="H48" i="10"/>
  <c r="G48" i="10"/>
  <c r="F48" i="10"/>
  <c r="E48" i="10"/>
  <c r="D48" i="10"/>
  <c r="C48" i="10"/>
  <c r="B48" i="10"/>
  <c r="A48" i="10"/>
  <c r="R47" i="10"/>
  <c r="Q47" i="10"/>
  <c r="P47" i="10"/>
  <c r="O47" i="10"/>
  <c r="N47" i="10"/>
  <c r="M47" i="10"/>
  <c r="L47" i="10"/>
  <c r="K47" i="10"/>
  <c r="J47" i="10"/>
  <c r="I47" i="10"/>
  <c r="H47" i="10"/>
  <c r="G47" i="10"/>
  <c r="F47" i="10"/>
  <c r="E47" i="10"/>
  <c r="D47" i="10"/>
  <c r="C47" i="10"/>
  <c r="B47" i="10"/>
  <c r="A47" i="10"/>
  <c r="R46" i="10"/>
  <c r="Q46" i="10"/>
  <c r="P46" i="10"/>
  <c r="O46" i="10"/>
  <c r="N46" i="10"/>
  <c r="M46" i="10"/>
  <c r="L46" i="10"/>
  <c r="K46" i="10"/>
  <c r="J46" i="10"/>
  <c r="I46" i="10"/>
  <c r="H46" i="10"/>
  <c r="G46" i="10"/>
  <c r="F46" i="10"/>
  <c r="E46" i="10"/>
  <c r="D46" i="10"/>
  <c r="C46" i="10"/>
  <c r="B46" i="10"/>
  <c r="A46" i="10"/>
  <c r="R45" i="10"/>
  <c r="Q45" i="10"/>
  <c r="P45" i="10"/>
  <c r="O45" i="10"/>
  <c r="N45" i="10"/>
  <c r="M45" i="10"/>
  <c r="L45" i="10"/>
  <c r="K45" i="10"/>
  <c r="J45" i="10"/>
  <c r="I45" i="10"/>
  <c r="H45" i="10"/>
  <c r="G45" i="10"/>
  <c r="F45" i="10"/>
  <c r="E45" i="10"/>
  <c r="D45" i="10"/>
  <c r="C45" i="10"/>
  <c r="B45" i="10"/>
  <c r="A45" i="10"/>
  <c r="R44" i="10"/>
  <c r="Q44" i="10"/>
  <c r="P44" i="10"/>
  <c r="O44" i="10"/>
  <c r="N44" i="10"/>
  <c r="M44" i="10"/>
  <c r="L44" i="10"/>
  <c r="K44" i="10"/>
  <c r="J44" i="10"/>
  <c r="I44" i="10"/>
  <c r="H44" i="10"/>
  <c r="G44" i="10"/>
  <c r="F44" i="10"/>
  <c r="E44" i="10"/>
  <c r="D44" i="10"/>
  <c r="C44" i="10"/>
  <c r="B44" i="10"/>
  <c r="A44" i="10"/>
  <c r="R43" i="10"/>
  <c r="Q43" i="10"/>
  <c r="P43" i="10"/>
  <c r="O43" i="10"/>
  <c r="N43" i="10"/>
  <c r="M43" i="10"/>
  <c r="L43" i="10"/>
  <c r="K43" i="10"/>
  <c r="J43" i="10"/>
  <c r="I43" i="10"/>
  <c r="H43" i="10"/>
  <c r="G43" i="10"/>
  <c r="F43" i="10"/>
  <c r="E43" i="10"/>
  <c r="D43" i="10"/>
  <c r="C43" i="10"/>
  <c r="B43" i="10"/>
  <c r="A43" i="10"/>
  <c r="R42" i="10"/>
  <c r="Q42" i="10"/>
  <c r="P42" i="10"/>
  <c r="O42" i="10"/>
  <c r="N42" i="10"/>
  <c r="M42" i="10"/>
  <c r="L42" i="10"/>
  <c r="K42" i="10"/>
  <c r="J42" i="10"/>
  <c r="I42" i="10"/>
  <c r="H42" i="10"/>
  <c r="G42" i="10"/>
  <c r="F42" i="10"/>
  <c r="E42" i="10"/>
  <c r="D42" i="10"/>
  <c r="C42" i="10"/>
  <c r="B42" i="10"/>
  <c r="A42" i="10"/>
  <c r="R41" i="10"/>
  <c r="Q41" i="10"/>
  <c r="P41" i="10"/>
  <c r="O41" i="10"/>
  <c r="N41" i="10"/>
  <c r="M41" i="10"/>
  <c r="L41" i="10"/>
  <c r="K41" i="10"/>
  <c r="J41" i="10"/>
  <c r="I41" i="10"/>
  <c r="H41" i="10"/>
  <c r="G41" i="10"/>
  <c r="F41" i="10"/>
  <c r="E41" i="10"/>
  <c r="D41" i="10"/>
  <c r="C41" i="10"/>
  <c r="B41" i="10"/>
  <c r="A41" i="10"/>
  <c r="R40" i="10"/>
  <c r="Q40" i="10"/>
  <c r="P40" i="10"/>
  <c r="O40" i="10"/>
  <c r="N40" i="10"/>
  <c r="M40" i="10"/>
  <c r="L40" i="10"/>
  <c r="K40" i="10"/>
  <c r="J40" i="10"/>
  <c r="I40" i="10"/>
  <c r="H40" i="10"/>
  <c r="G40" i="10"/>
  <c r="F40" i="10"/>
  <c r="E40" i="10"/>
  <c r="D40" i="10"/>
  <c r="C40" i="10"/>
  <c r="B40" i="10"/>
  <c r="A40" i="10"/>
  <c r="R39" i="10"/>
  <c r="Q39" i="10"/>
  <c r="P39" i="10"/>
  <c r="O39" i="10"/>
  <c r="N39" i="10"/>
  <c r="M39" i="10"/>
  <c r="L39" i="10"/>
  <c r="K39" i="10"/>
  <c r="J39" i="10"/>
  <c r="I39" i="10"/>
  <c r="H39" i="10"/>
  <c r="G39" i="10"/>
  <c r="F39" i="10"/>
  <c r="E39" i="10"/>
  <c r="D39" i="10"/>
  <c r="C39" i="10"/>
  <c r="B39" i="10"/>
  <c r="A39" i="10"/>
  <c r="R38" i="10"/>
  <c r="Q38" i="10"/>
  <c r="P38" i="10"/>
  <c r="O38" i="10"/>
  <c r="N38" i="10"/>
  <c r="M38" i="10"/>
  <c r="L38" i="10"/>
  <c r="K38" i="10"/>
  <c r="J38" i="10"/>
  <c r="I38" i="10"/>
  <c r="H38" i="10"/>
  <c r="G38" i="10"/>
  <c r="F38" i="10"/>
  <c r="E38" i="10"/>
  <c r="D38" i="10"/>
  <c r="C38" i="10"/>
  <c r="B38" i="10"/>
  <c r="A38" i="10"/>
  <c r="R37" i="10"/>
  <c r="Q37" i="10"/>
  <c r="P37" i="10"/>
  <c r="O37" i="10"/>
  <c r="N37" i="10"/>
  <c r="M37" i="10"/>
  <c r="L37" i="10"/>
  <c r="K37" i="10"/>
  <c r="J37" i="10"/>
  <c r="I37" i="10"/>
  <c r="H37" i="10"/>
  <c r="G37" i="10"/>
  <c r="F37" i="10"/>
  <c r="E37" i="10"/>
  <c r="D37" i="10"/>
  <c r="C37" i="10"/>
  <c r="B37" i="10"/>
  <c r="A37" i="10"/>
  <c r="R36" i="10"/>
  <c r="Q36" i="10"/>
  <c r="P36" i="10"/>
  <c r="O36" i="10"/>
  <c r="N36" i="10"/>
  <c r="M36" i="10"/>
  <c r="L36" i="10"/>
  <c r="K36" i="10"/>
  <c r="J36" i="10"/>
  <c r="I36" i="10"/>
  <c r="H36" i="10"/>
  <c r="G36" i="10"/>
  <c r="F36" i="10"/>
  <c r="E36" i="10"/>
  <c r="D36" i="10"/>
  <c r="C36" i="10"/>
  <c r="B36" i="10"/>
  <c r="A36" i="10"/>
  <c r="R35" i="10"/>
  <c r="Q35" i="10"/>
  <c r="P35" i="10"/>
  <c r="O35" i="10"/>
  <c r="N35" i="10"/>
  <c r="M35" i="10"/>
  <c r="L35" i="10"/>
  <c r="K35" i="10"/>
  <c r="J35" i="10"/>
  <c r="I35" i="10"/>
  <c r="H35" i="10"/>
  <c r="G35" i="10"/>
  <c r="F35" i="10"/>
  <c r="E35" i="10"/>
  <c r="D35" i="10"/>
  <c r="C35" i="10"/>
  <c r="B35" i="10"/>
  <c r="A35" i="10"/>
  <c r="R34" i="10"/>
  <c r="Q34" i="10"/>
  <c r="P34" i="10"/>
  <c r="O34" i="10"/>
  <c r="N34" i="10"/>
  <c r="M34" i="10"/>
  <c r="L34" i="10"/>
  <c r="K34" i="10"/>
  <c r="J34" i="10"/>
  <c r="I34" i="10"/>
  <c r="H34" i="10"/>
  <c r="G34" i="10"/>
  <c r="F34" i="10"/>
  <c r="E34" i="10"/>
  <c r="D34" i="10"/>
  <c r="C34" i="10"/>
  <c r="B34" i="10"/>
  <c r="A34" i="10"/>
  <c r="R33" i="10"/>
  <c r="Q33" i="10"/>
  <c r="P33" i="10"/>
  <c r="O33" i="10"/>
  <c r="N33" i="10"/>
  <c r="M33" i="10"/>
  <c r="L33" i="10"/>
  <c r="K33" i="10"/>
  <c r="J33" i="10"/>
  <c r="I33" i="10"/>
  <c r="H33" i="10"/>
  <c r="G33" i="10"/>
  <c r="F33" i="10"/>
  <c r="E33" i="10"/>
  <c r="D33" i="10"/>
  <c r="C33" i="10"/>
  <c r="B33" i="10"/>
  <c r="A33" i="10"/>
  <c r="R32" i="10"/>
  <c r="Q32" i="10"/>
  <c r="P32" i="10"/>
  <c r="O32" i="10"/>
  <c r="N32" i="10"/>
  <c r="M32" i="10"/>
  <c r="L32" i="10"/>
  <c r="K32" i="10"/>
  <c r="J32" i="10"/>
  <c r="I32" i="10"/>
  <c r="H32" i="10"/>
  <c r="G32" i="10"/>
  <c r="F32" i="10"/>
  <c r="E32" i="10"/>
  <c r="D32" i="10"/>
  <c r="C32" i="10"/>
  <c r="B32" i="10"/>
  <c r="A32" i="10"/>
  <c r="R31" i="10"/>
  <c r="Q31" i="10"/>
  <c r="P31" i="10"/>
  <c r="O31" i="10"/>
  <c r="N31" i="10"/>
  <c r="M31" i="10"/>
  <c r="L31" i="10"/>
  <c r="K31" i="10"/>
  <c r="J31" i="10"/>
  <c r="I31" i="10"/>
  <c r="H31" i="10"/>
  <c r="G31" i="10"/>
  <c r="F31" i="10"/>
  <c r="E31" i="10"/>
  <c r="D31" i="10"/>
  <c r="C31" i="10"/>
  <c r="B31" i="10"/>
  <c r="A31" i="10"/>
  <c r="R30" i="10"/>
  <c r="Q30" i="10"/>
  <c r="P30" i="10"/>
  <c r="O30" i="10"/>
  <c r="N30" i="10"/>
  <c r="M30" i="10"/>
  <c r="L30" i="10"/>
  <c r="K30" i="10"/>
  <c r="J30" i="10"/>
  <c r="I30" i="10"/>
  <c r="H30" i="10"/>
  <c r="G30" i="10"/>
  <c r="F30" i="10"/>
  <c r="E30" i="10"/>
  <c r="D30" i="10"/>
  <c r="C30" i="10"/>
  <c r="B30" i="10"/>
  <c r="A30" i="10"/>
  <c r="R29" i="10"/>
  <c r="Q29" i="10"/>
  <c r="P29" i="10"/>
  <c r="O29" i="10"/>
  <c r="N29" i="10"/>
  <c r="M29" i="10"/>
  <c r="L29" i="10"/>
  <c r="K29" i="10"/>
  <c r="J29" i="10"/>
  <c r="I29" i="10"/>
  <c r="H29" i="10"/>
  <c r="G29" i="10"/>
  <c r="F29" i="10"/>
  <c r="E29" i="10"/>
  <c r="D29" i="10"/>
  <c r="C29" i="10"/>
  <c r="B29" i="10"/>
  <c r="A29" i="10"/>
  <c r="R28" i="10"/>
  <c r="Q28" i="10"/>
  <c r="P28" i="10"/>
  <c r="O28" i="10"/>
  <c r="N28" i="10"/>
  <c r="M28" i="10"/>
  <c r="L28" i="10"/>
  <c r="K28" i="10"/>
  <c r="J28" i="10"/>
  <c r="I28" i="10"/>
  <c r="H28" i="10"/>
  <c r="G28" i="10"/>
  <c r="F28" i="10"/>
  <c r="E28" i="10"/>
  <c r="D28" i="10"/>
  <c r="C28" i="10"/>
  <c r="B28" i="10"/>
  <c r="A28" i="10"/>
  <c r="R27" i="10"/>
  <c r="Q27" i="10"/>
  <c r="P27" i="10"/>
  <c r="O27" i="10"/>
  <c r="N27" i="10"/>
  <c r="M27" i="10"/>
  <c r="L27" i="10"/>
  <c r="K27" i="10"/>
  <c r="J27" i="10"/>
  <c r="I27" i="10"/>
  <c r="H27" i="10"/>
  <c r="G27" i="10"/>
  <c r="F27" i="10"/>
  <c r="E27" i="10"/>
  <c r="D27" i="10"/>
  <c r="C27" i="10"/>
  <c r="B27" i="10"/>
  <c r="A27" i="10"/>
  <c r="R26" i="10"/>
  <c r="Q26" i="10"/>
  <c r="P26" i="10"/>
  <c r="O26" i="10"/>
  <c r="N26" i="10"/>
  <c r="M26" i="10"/>
  <c r="L26" i="10"/>
  <c r="K26" i="10"/>
  <c r="J26" i="10"/>
  <c r="I26" i="10"/>
  <c r="H26" i="10"/>
  <c r="G26" i="10"/>
  <c r="F26" i="10"/>
  <c r="E26" i="10"/>
  <c r="D26" i="10"/>
  <c r="C26" i="10"/>
  <c r="B26" i="10"/>
  <c r="A26" i="10"/>
  <c r="R25" i="10"/>
  <c r="Q25" i="10"/>
  <c r="P25" i="10"/>
  <c r="O25" i="10"/>
  <c r="N25" i="10"/>
  <c r="M25" i="10"/>
  <c r="L25" i="10"/>
  <c r="K25" i="10"/>
  <c r="J25" i="10"/>
  <c r="I25" i="10"/>
  <c r="H25" i="10"/>
  <c r="G25" i="10"/>
  <c r="F25" i="10"/>
  <c r="E25" i="10"/>
  <c r="D25" i="10"/>
  <c r="C25" i="10"/>
  <c r="B25" i="10"/>
  <c r="A25" i="10"/>
  <c r="R24" i="10"/>
  <c r="Q24" i="10"/>
  <c r="P24" i="10"/>
  <c r="O24" i="10"/>
  <c r="N24" i="10"/>
  <c r="M24" i="10"/>
  <c r="L24" i="10"/>
  <c r="K24" i="10"/>
  <c r="J24" i="10"/>
  <c r="I24" i="10"/>
  <c r="H24" i="10"/>
  <c r="G24" i="10"/>
  <c r="F24" i="10"/>
  <c r="E24" i="10"/>
  <c r="D24" i="10"/>
  <c r="C24" i="10"/>
  <c r="B24" i="10"/>
  <c r="A24" i="10"/>
  <c r="R23" i="10"/>
  <c r="Q23" i="10"/>
  <c r="P23" i="10"/>
  <c r="O23" i="10"/>
  <c r="N23" i="10"/>
  <c r="M23" i="10"/>
  <c r="L23" i="10"/>
  <c r="K23" i="10"/>
  <c r="J23" i="10"/>
  <c r="I23" i="10"/>
  <c r="H23" i="10"/>
  <c r="G23" i="10"/>
  <c r="F23" i="10"/>
  <c r="E23" i="10"/>
  <c r="D23" i="10"/>
  <c r="C23" i="10"/>
  <c r="B23" i="10"/>
  <c r="A23" i="10"/>
  <c r="R22" i="10"/>
  <c r="Q22" i="10"/>
  <c r="P22" i="10"/>
  <c r="O22" i="10"/>
  <c r="N22" i="10"/>
  <c r="M22" i="10"/>
  <c r="L22" i="10"/>
  <c r="K22" i="10"/>
  <c r="J22" i="10"/>
  <c r="I22" i="10"/>
  <c r="H22" i="10"/>
  <c r="G22" i="10"/>
  <c r="F22" i="10"/>
  <c r="E22" i="10"/>
  <c r="D22" i="10"/>
  <c r="C22" i="10"/>
  <c r="B22" i="10"/>
  <c r="A22" i="10"/>
  <c r="R21" i="10"/>
  <c r="Q21" i="10"/>
  <c r="P21" i="10"/>
  <c r="O21" i="10"/>
  <c r="N21" i="10"/>
  <c r="M21" i="10"/>
  <c r="L21" i="10"/>
  <c r="K21" i="10"/>
  <c r="J21" i="10"/>
  <c r="I21" i="10"/>
  <c r="H21" i="10"/>
  <c r="G21" i="10"/>
  <c r="F21" i="10"/>
  <c r="E21" i="10"/>
  <c r="D21" i="10"/>
  <c r="C21" i="10"/>
  <c r="B21" i="10"/>
  <c r="A21" i="10"/>
  <c r="R20" i="10"/>
  <c r="Q20" i="10"/>
  <c r="P20" i="10"/>
  <c r="O20" i="10"/>
  <c r="N20" i="10"/>
  <c r="M20" i="10"/>
  <c r="L20" i="10"/>
  <c r="K20" i="10"/>
  <c r="J20" i="10"/>
  <c r="I20" i="10"/>
  <c r="H20" i="10"/>
  <c r="G20" i="10"/>
  <c r="F20" i="10"/>
  <c r="E20" i="10"/>
  <c r="D20" i="10"/>
  <c r="C20" i="10"/>
  <c r="B20" i="10"/>
  <c r="A20" i="10"/>
  <c r="R19" i="10"/>
  <c r="Q19" i="10"/>
  <c r="P19" i="10"/>
  <c r="O19" i="10"/>
  <c r="N19" i="10"/>
  <c r="M19" i="10"/>
  <c r="L19" i="10"/>
  <c r="K19" i="10"/>
  <c r="J19" i="10"/>
  <c r="I19" i="10"/>
  <c r="H19" i="10"/>
  <c r="G19" i="10"/>
  <c r="F19" i="10"/>
  <c r="E19" i="10"/>
  <c r="D19" i="10"/>
  <c r="C19" i="10"/>
  <c r="B19" i="10"/>
  <c r="A19" i="10"/>
  <c r="R18" i="10"/>
  <c r="Q18" i="10"/>
  <c r="P18" i="10"/>
  <c r="O18" i="10"/>
  <c r="N18" i="10"/>
  <c r="M18" i="10"/>
  <c r="L18" i="10"/>
  <c r="K18" i="10"/>
  <c r="J18" i="10"/>
  <c r="I18" i="10"/>
  <c r="H18" i="10"/>
  <c r="G18" i="10"/>
  <c r="F18" i="10"/>
  <c r="E18" i="10"/>
  <c r="D18" i="10"/>
  <c r="C18" i="10"/>
  <c r="B18" i="10"/>
  <c r="A18" i="10"/>
  <c r="R17" i="10"/>
  <c r="Q17" i="10"/>
  <c r="P17" i="10"/>
  <c r="O17" i="10"/>
  <c r="N17" i="10"/>
  <c r="M17" i="10"/>
  <c r="L17" i="10"/>
  <c r="K17" i="10"/>
  <c r="J17" i="10"/>
  <c r="I17" i="10"/>
  <c r="H17" i="10"/>
  <c r="G17" i="10"/>
  <c r="F17" i="10"/>
  <c r="E17" i="10"/>
  <c r="D17" i="10"/>
  <c r="C17" i="10"/>
  <c r="B17" i="10"/>
  <c r="A17" i="10"/>
  <c r="R16" i="10"/>
  <c r="Q16" i="10"/>
  <c r="P16" i="10"/>
  <c r="O16" i="10"/>
  <c r="N16" i="10"/>
  <c r="M16" i="10"/>
  <c r="L16" i="10"/>
  <c r="K16" i="10"/>
  <c r="J16" i="10"/>
  <c r="I16" i="10"/>
  <c r="H16" i="10"/>
  <c r="G16" i="10"/>
  <c r="F16" i="10"/>
  <c r="E16" i="10"/>
  <c r="D16" i="10"/>
  <c r="C16" i="10"/>
  <c r="B16" i="10"/>
  <c r="A16" i="10"/>
  <c r="R15" i="10"/>
  <c r="Q15" i="10"/>
  <c r="P15" i="10"/>
  <c r="O15" i="10"/>
  <c r="N15" i="10"/>
  <c r="M15" i="10"/>
  <c r="L15" i="10"/>
  <c r="K15" i="10"/>
  <c r="J15" i="10"/>
  <c r="I15" i="10"/>
  <c r="H15" i="10"/>
  <c r="G15" i="10"/>
  <c r="F15" i="10"/>
  <c r="E15" i="10"/>
  <c r="D15" i="10"/>
  <c r="C15" i="10"/>
  <c r="B15" i="10"/>
  <c r="A15" i="10"/>
  <c r="R14" i="10"/>
  <c r="Q14" i="10"/>
  <c r="P14" i="10"/>
  <c r="O14" i="10"/>
  <c r="N14" i="10"/>
  <c r="M14" i="10"/>
  <c r="L14" i="10"/>
  <c r="K14" i="10"/>
  <c r="J14" i="10"/>
  <c r="I14" i="10"/>
  <c r="H14" i="10"/>
  <c r="G14" i="10"/>
  <c r="F14" i="10"/>
  <c r="E14" i="10"/>
  <c r="D14" i="10"/>
  <c r="C14" i="10"/>
  <c r="B14" i="10"/>
  <c r="A14" i="10"/>
  <c r="R13" i="10"/>
  <c r="Q13" i="10"/>
  <c r="P13" i="10"/>
  <c r="O13" i="10"/>
  <c r="N13" i="10"/>
  <c r="M13" i="10"/>
  <c r="L13" i="10"/>
  <c r="K13" i="10"/>
  <c r="J13" i="10"/>
  <c r="I13" i="10"/>
  <c r="H13" i="10"/>
  <c r="G13" i="10"/>
  <c r="F13" i="10"/>
  <c r="E13" i="10"/>
  <c r="D13" i="10"/>
  <c r="C13" i="10"/>
  <c r="B13" i="10"/>
  <c r="A13" i="10"/>
  <c r="R12" i="10"/>
  <c r="Q12" i="10"/>
  <c r="P12" i="10"/>
  <c r="O12" i="10"/>
  <c r="N12" i="10"/>
  <c r="M12" i="10"/>
  <c r="L12" i="10"/>
  <c r="K12" i="10"/>
  <c r="J12" i="10"/>
  <c r="I12" i="10"/>
  <c r="H12" i="10"/>
  <c r="G12" i="10"/>
  <c r="F12" i="10"/>
  <c r="E12" i="10"/>
  <c r="D12" i="10"/>
  <c r="C12" i="10"/>
  <c r="B12" i="10"/>
  <c r="A12" i="10"/>
  <c r="R11" i="10"/>
  <c r="Q11" i="10"/>
  <c r="P11" i="10"/>
  <c r="O11" i="10"/>
  <c r="N11" i="10"/>
  <c r="M11" i="10"/>
  <c r="L11" i="10"/>
  <c r="K11" i="10"/>
  <c r="J11" i="10"/>
  <c r="I11" i="10"/>
  <c r="H11" i="10"/>
  <c r="G11" i="10"/>
  <c r="F11" i="10"/>
  <c r="E11" i="10"/>
  <c r="D11" i="10"/>
  <c r="C11" i="10"/>
  <c r="B11" i="10"/>
  <c r="A11" i="10"/>
  <c r="R10" i="10"/>
  <c r="Q10" i="10"/>
  <c r="P10" i="10"/>
  <c r="O10" i="10"/>
  <c r="N10" i="10"/>
  <c r="M10" i="10"/>
  <c r="L10" i="10"/>
  <c r="K10" i="10"/>
  <c r="J10" i="10"/>
  <c r="I10" i="10"/>
  <c r="H10" i="10"/>
  <c r="G10" i="10"/>
  <c r="F10" i="10"/>
  <c r="E10" i="10"/>
  <c r="D10" i="10"/>
  <c r="C10" i="10"/>
  <c r="B10" i="10"/>
  <c r="A10" i="10"/>
  <c r="R9" i="10"/>
  <c r="Q9" i="10"/>
  <c r="P9" i="10"/>
  <c r="O9" i="10"/>
  <c r="N9" i="10"/>
  <c r="M9" i="10"/>
  <c r="L9" i="10"/>
  <c r="K9" i="10"/>
  <c r="J9" i="10"/>
  <c r="I9" i="10"/>
  <c r="H9" i="10"/>
  <c r="G9" i="10"/>
  <c r="F9" i="10"/>
  <c r="E9" i="10"/>
  <c r="D9" i="10"/>
  <c r="C9" i="10"/>
  <c r="B9" i="10"/>
  <c r="A9" i="10"/>
  <c r="R8" i="10"/>
  <c r="Q8" i="10"/>
  <c r="P8" i="10"/>
  <c r="O8" i="10"/>
  <c r="N8" i="10"/>
  <c r="M8" i="10"/>
  <c r="L8" i="10"/>
  <c r="K8" i="10"/>
  <c r="J8" i="10"/>
  <c r="I8" i="10"/>
  <c r="H8" i="10"/>
  <c r="G8" i="10"/>
  <c r="F8" i="10"/>
  <c r="E8" i="10"/>
  <c r="D8" i="10"/>
  <c r="C8" i="10"/>
  <c r="B8" i="10"/>
  <c r="A8" i="10"/>
  <c r="R7" i="10"/>
  <c r="Q7" i="10"/>
  <c r="P7" i="10"/>
  <c r="O7" i="10"/>
  <c r="N7" i="10"/>
  <c r="M7" i="10"/>
  <c r="L7" i="10"/>
  <c r="K7" i="10"/>
  <c r="J7" i="10"/>
  <c r="I7" i="10"/>
  <c r="H7" i="10"/>
  <c r="G7" i="10"/>
  <c r="F7" i="10"/>
  <c r="E7" i="10"/>
  <c r="D7" i="10"/>
  <c r="C7" i="10"/>
  <c r="B7" i="10"/>
  <c r="A7" i="10"/>
  <c r="R6" i="10"/>
  <c r="Q6" i="10"/>
  <c r="P6" i="10"/>
  <c r="O6" i="10"/>
  <c r="N6" i="10"/>
  <c r="M6" i="10"/>
  <c r="L6" i="10"/>
  <c r="K6" i="10"/>
  <c r="J6" i="10"/>
  <c r="I6" i="10"/>
  <c r="H6" i="10"/>
  <c r="G6" i="10"/>
  <c r="F6" i="10"/>
  <c r="E6" i="10"/>
  <c r="D6" i="10"/>
  <c r="C6" i="10"/>
  <c r="B6" i="10"/>
  <c r="A6" i="10"/>
  <c r="R5" i="10"/>
  <c r="Q5" i="10"/>
  <c r="P5" i="10"/>
  <c r="O5" i="10"/>
  <c r="N5" i="10"/>
  <c r="M5" i="10"/>
  <c r="L5" i="10"/>
  <c r="K5" i="10"/>
  <c r="J5" i="10"/>
  <c r="I5" i="10"/>
  <c r="H5" i="10"/>
  <c r="G5" i="10"/>
  <c r="F5" i="10"/>
  <c r="E5" i="10"/>
  <c r="D5" i="10"/>
  <c r="C5" i="10"/>
  <c r="B5" i="10"/>
  <c r="A5" i="10"/>
  <c r="R4" i="10"/>
  <c r="Q4" i="10"/>
  <c r="P4" i="10"/>
  <c r="O4" i="10"/>
  <c r="N4" i="10"/>
  <c r="M4" i="10"/>
  <c r="L4" i="10"/>
  <c r="K4" i="10"/>
  <c r="J4" i="10"/>
  <c r="I4" i="10"/>
  <c r="H4" i="10"/>
  <c r="G4" i="10"/>
  <c r="F4" i="10"/>
  <c r="E4" i="10"/>
  <c r="D4" i="10"/>
  <c r="C4" i="10"/>
  <c r="B4" i="10"/>
  <c r="A4" i="10"/>
  <c r="R3" i="10"/>
  <c r="Q3" i="10"/>
  <c r="P3" i="10"/>
  <c r="O3" i="10"/>
  <c r="N3" i="10"/>
  <c r="M3" i="10"/>
  <c r="L3" i="10"/>
  <c r="K3" i="10"/>
  <c r="J3" i="10"/>
  <c r="I3" i="10"/>
  <c r="H3" i="10"/>
  <c r="G3" i="10"/>
  <c r="F3" i="10"/>
  <c r="E3" i="10"/>
  <c r="D3" i="10"/>
  <c r="C3" i="10"/>
  <c r="B3" i="10"/>
  <c r="A3" i="10"/>
  <c r="R2" i="10"/>
  <c r="Q2" i="10"/>
  <c r="P2" i="10"/>
  <c r="O2" i="10"/>
  <c r="N2" i="10"/>
  <c r="M2" i="10"/>
  <c r="L2" i="10"/>
  <c r="K2" i="10"/>
  <c r="J2" i="10"/>
  <c r="I2" i="10"/>
  <c r="H2" i="10"/>
  <c r="G2" i="10"/>
  <c r="F2" i="10"/>
  <c r="E2" i="10"/>
  <c r="D2" i="10"/>
  <c r="C2" i="10"/>
  <c r="B2" i="10"/>
  <c r="A2" i="10"/>
  <c r="R1" i="10"/>
  <c r="Q1" i="10"/>
  <c r="P1" i="10"/>
  <c r="O1" i="10"/>
  <c r="N1" i="10"/>
  <c r="M1" i="10"/>
  <c r="L1" i="10"/>
  <c r="K1" i="10"/>
  <c r="J1" i="10"/>
  <c r="I1" i="10"/>
  <c r="H1" i="10"/>
  <c r="G1" i="10"/>
  <c r="F1" i="10"/>
  <c r="E1" i="10"/>
  <c r="D1" i="10"/>
  <c r="C1" i="10"/>
  <c r="B1" i="10"/>
  <c r="A1" i="10"/>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E47" i="9"/>
  <c r="D47" i="9"/>
  <c r="C47" i="9"/>
  <c r="B47" i="9"/>
  <c r="A47" i="9"/>
  <c r="AJ46" i="9"/>
  <c r="AI46" i="9"/>
  <c r="AH46" i="9"/>
  <c r="AG46" i="9"/>
  <c r="AF46" i="9"/>
  <c r="AE46" i="9"/>
  <c r="AD46" i="9"/>
  <c r="AC46" i="9"/>
  <c r="AB46" i="9"/>
  <c r="AA46" i="9"/>
  <c r="Z46" i="9"/>
  <c r="Y46" i="9"/>
  <c r="X46" i="9"/>
  <c r="W46" i="9"/>
  <c r="V46" i="9"/>
  <c r="U46" i="9"/>
  <c r="T46" i="9"/>
  <c r="S46" i="9"/>
  <c r="R46" i="9"/>
  <c r="Q46" i="9"/>
  <c r="P46" i="9"/>
  <c r="O46" i="9"/>
  <c r="N46" i="9"/>
  <c r="M46" i="9"/>
  <c r="L46" i="9"/>
  <c r="K46" i="9"/>
  <c r="J46" i="9"/>
  <c r="I46" i="9"/>
  <c r="H46" i="9"/>
  <c r="G46" i="9"/>
  <c r="F46" i="9"/>
  <c r="E46" i="9"/>
  <c r="D46" i="9"/>
  <c r="C46" i="9"/>
  <c r="B46" i="9"/>
  <c r="A46"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E45" i="9"/>
  <c r="D45" i="9"/>
  <c r="C45" i="9"/>
  <c r="B45" i="9"/>
  <c r="A45" i="9"/>
  <c r="AJ44" i="9"/>
  <c r="AI44" i="9"/>
  <c r="AH44" i="9"/>
  <c r="AG44" i="9"/>
  <c r="AF44" i="9"/>
  <c r="AE44" i="9"/>
  <c r="AD44" i="9"/>
  <c r="AC44" i="9"/>
  <c r="AB44" i="9"/>
  <c r="AA44" i="9"/>
  <c r="Z44" i="9"/>
  <c r="Y44" i="9"/>
  <c r="X44" i="9"/>
  <c r="W44" i="9"/>
  <c r="V44" i="9"/>
  <c r="U44" i="9"/>
  <c r="T44" i="9"/>
  <c r="S44" i="9"/>
  <c r="R44" i="9"/>
  <c r="Q44" i="9"/>
  <c r="P44" i="9"/>
  <c r="O44" i="9"/>
  <c r="N44" i="9"/>
  <c r="M44" i="9"/>
  <c r="L44" i="9"/>
  <c r="K44" i="9"/>
  <c r="J44" i="9"/>
  <c r="I44" i="9"/>
  <c r="H44" i="9"/>
  <c r="G44" i="9"/>
  <c r="F44" i="9"/>
  <c r="E44" i="9"/>
  <c r="D44" i="9"/>
  <c r="C44" i="9"/>
  <c r="B44" i="9"/>
  <c r="A44"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E43" i="9"/>
  <c r="D43" i="9"/>
  <c r="C43" i="9"/>
  <c r="B43" i="9"/>
  <c r="A43" i="9"/>
  <c r="AJ42"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E42" i="9"/>
  <c r="D42" i="9"/>
  <c r="C42" i="9"/>
  <c r="B42" i="9"/>
  <c r="A42" i="9"/>
  <c r="AJ41"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E41" i="9"/>
  <c r="D41" i="9"/>
  <c r="C41" i="9"/>
  <c r="B41" i="9"/>
  <c r="A41" i="9"/>
  <c r="AJ40" i="9"/>
  <c r="AI40" i="9"/>
  <c r="AH40" i="9"/>
  <c r="AG40" i="9"/>
  <c r="AF40" i="9"/>
  <c r="AE40" i="9"/>
  <c r="AD40" i="9"/>
  <c r="AC40" i="9"/>
  <c r="AB40" i="9"/>
  <c r="AA40" i="9"/>
  <c r="Z40" i="9"/>
  <c r="Y40" i="9"/>
  <c r="X40" i="9"/>
  <c r="W40" i="9"/>
  <c r="V40" i="9"/>
  <c r="U40" i="9"/>
  <c r="T40" i="9"/>
  <c r="S40" i="9"/>
  <c r="R40" i="9"/>
  <c r="Q40" i="9"/>
  <c r="P40" i="9"/>
  <c r="O40" i="9"/>
  <c r="N40" i="9"/>
  <c r="M40" i="9"/>
  <c r="L40" i="9"/>
  <c r="K40" i="9"/>
  <c r="J40" i="9"/>
  <c r="I40" i="9"/>
  <c r="H40" i="9"/>
  <c r="G40" i="9"/>
  <c r="F40" i="9"/>
  <c r="E40" i="9"/>
  <c r="D40" i="9"/>
  <c r="C40" i="9"/>
  <c r="B40" i="9"/>
  <c r="A40" i="9"/>
  <c r="AJ39"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E39" i="9"/>
  <c r="D39" i="9"/>
  <c r="C39" i="9"/>
  <c r="B39" i="9"/>
  <c r="A39" i="9"/>
  <c r="AJ38"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E38" i="9"/>
  <c r="D38" i="9"/>
  <c r="C38" i="9"/>
  <c r="B38" i="9"/>
  <c r="A38" i="9"/>
  <c r="AJ37" i="9"/>
  <c r="AI37" i="9"/>
  <c r="AH37" i="9"/>
  <c r="AG37" i="9"/>
  <c r="AF37" i="9"/>
  <c r="AE37" i="9"/>
  <c r="AD37" i="9"/>
  <c r="AC37" i="9"/>
  <c r="AB37" i="9"/>
  <c r="AA37" i="9"/>
  <c r="Z37" i="9"/>
  <c r="Y37" i="9"/>
  <c r="X37" i="9"/>
  <c r="W37" i="9"/>
  <c r="V37" i="9"/>
  <c r="U37" i="9"/>
  <c r="T37" i="9"/>
  <c r="S37" i="9"/>
  <c r="R37" i="9"/>
  <c r="Q37" i="9"/>
  <c r="P37" i="9"/>
  <c r="O37" i="9"/>
  <c r="N37" i="9"/>
  <c r="M37" i="9"/>
  <c r="L37" i="9"/>
  <c r="K37" i="9"/>
  <c r="J37" i="9"/>
  <c r="I37" i="9"/>
  <c r="H37" i="9"/>
  <c r="G37" i="9"/>
  <c r="F37" i="9"/>
  <c r="E37" i="9"/>
  <c r="D37" i="9"/>
  <c r="C37" i="9"/>
  <c r="B37" i="9"/>
  <c r="A37" i="9"/>
  <c r="AJ36" i="9"/>
  <c r="AI36" i="9"/>
  <c r="AH36" i="9"/>
  <c r="AG36" i="9"/>
  <c r="AF36" i="9"/>
  <c r="AE36" i="9"/>
  <c r="AD36" i="9"/>
  <c r="AC36" i="9"/>
  <c r="AB36" i="9"/>
  <c r="AA36" i="9"/>
  <c r="Z36" i="9"/>
  <c r="Y36" i="9"/>
  <c r="X36" i="9"/>
  <c r="W36" i="9"/>
  <c r="V36" i="9"/>
  <c r="U36" i="9"/>
  <c r="T36" i="9"/>
  <c r="S36" i="9"/>
  <c r="R36" i="9"/>
  <c r="Q36" i="9"/>
  <c r="P36" i="9"/>
  <c r="O36" i="9"/>
  <c r="N36" i="9"/>
  <c r="M36" i="9"/>
  <c r="L36" i="9"/>
  <c r="K36" i="9"/>
  <c r="J36" i="9"/>
  <c r="I36" i="9"/>
  <c r="H36" i="9"/>
  <c r="G36" i="9"/>
  <c r="F36" i="9"/>
  <c r="E36" i="9"/>
  <c r="D36" i="9"/>
  <c r="C36" i="9"/>
  <c r="B36" i="9"/>
  <c r="A36" i="9"/>
  <c r="AJ35" i="9"/>
  <c r="AI35" i="9"/>
  <c r="AH35" i="9"/>
  <c r="AG35" i="9"/>
  <c r="AF35" i="9"/>
  <c r="AE35" i="9"/>
  <c r="AD35" i="9"/>
  <c r="AC35" i="9"/>
  <c r="AB35" i="9"/>
  <c r="AA35" i="9"/>
  <c r="Z35" i="9"/>
  <c r="Y35" i="9"/>
  <c r="X35" i="9"/>
  <c r="W35" i="9"/>
  <c r="V35" i="9"/>
  <c r="U35" i="9"/>
  <c r="T35" i="9"/>
  <c r="S35" i="9"/>
  <c r="R35" i="9"/>
  <c r="Q35" i="9"/>
  <c r="P35" i="9"/>
  <c r="O35" i="9"/>
  <c r="N35" i="9"/>
  <c r="M35" i="9"/>
  <c r="L35" i="9"/>
  <c r="K35" i="9"/>
  <c r="J35" i="9"/>
  <c r="I35" i="9"/>
  <c r="H35" i="9"/>
  <c r="G35" i="9"/>
  <c r="F35" i="9"/>
  <c r="E35" i="9"/>
  <c r="D35" i="9"/>
  <c r="C35" i="9"/>
  <c r="B35" i="9"/>
  <c r="A35" i="9"/>
  <c r="AJ34" i="9"/>
  <c r="AI34" i="9"/>
  <c r="AH34" i="9"/>
  <c r="AG34" i="9"/>
  <c r="AF34" i="9"/>
  <c r="AE34" i="9"/>
  <c r="AD34" i="9"/>
  <c r="AC34" i="9"/>
  <c r="AB34" i="9"/>
  <c r="AA34" i="9"/>
  <c r="Z34" i="9"/>
  <c r="Y34" i="9"/>
  <c r="X34" i="9"/>
  <c r="W34" i="9"/>
  <c r="V34" i="9"/>
  <c r="U34" i="9"/>
  <c r="T34" i="9"/>
  <c r="S34" i="9"/>
  <c r="R34" i="9"/>
  <c r="Q34" i="9"/>
  <c r="P34" i="9"/>
  <c r="O34" i="9"/>
  <c r="N34" i="9"/>
  <c r="M34" i="9"/>
  <c r="L34" i="9"/>
  <c r="K34" i="9"/>
  <c r="J34" i="9"/>
  <c r="I34" i="9"/>
  <c r="H34" i="9"/>
  <c r="G34" i="9"/>
  <c r="F34" i="9"/>
  <c r="E34" i="9"/>
  <c r="D34" i="9"/>
  <c r="C34" i="9"/>
  <c r="B34" i="9"/>
  <c r="A34" i="9"/>
  <c r="AJ33" i="9"/>
  <c r="AI33" i="9"/>
  <c r="AH33" i="9"/>
  <c r="AG33" i="9"/>
  <c r="AF33" i="9"/>
  <c r="AE33" i="9"/>
  <c r="AD33" i="9"/>
  <c r="AC33" i="9"/>
  <c r="AB33" i="9"/>
  <c r="AA33" i="9"/>
  <c r="Z33" i="9"/>
  <c r="Y33" i="9"/>
  <c r="X33" i="9"/>
  <c r="W33" i="9"/>
  <c r="V33" i="9"/>
  <c r="U33" i="9"/>
  <c r="T33" i="9"/>
  <c r="S33" i="9"/>
  <c r="R33" i="9"/>
  <c r="Q33" i="9"/>
  <c r="P33" i="9"/>
  <c r="O33" i="9"/>
  <c r="N33" i="9"/>
  <c r="M33" i="9"/>
  <c r="L33" i="9"/>
  <c r="K33" i="9"/>
  <c r="J33" i="9"/>
  <c r="I33" i="9"/>
  <c r="H33" i="9"/>
  <c r="G33" i="9"/>
  <c r="F33" i="9"/>
  <c r="E33" i="9"/>
  <c r="D33" i="9"/>
  <c r="C33" i="9"/>
  <c r="B33" i="9"/>
  <c r="A33" i="9"/>
  <c r="AJ32" i="9"/>
  <c r="AI32" i="9"/>
  <c r="AH32" i="9"/>
  <c r="AG32" i="9"/>
  <c r="AF32" i="9"/>
  <c r="AE32" i="9"/>
  <c r="AD32" i="9"/>
  <c r="AC32" i="9"/>
  <c r="AB32" i="9"/>
  <c r="AA32" i="9"/>
  <c r="Z32" i="9"/>
  <c r="Y32" i="9"/>
  <c r="X32" i="9"/>
  <c r="W32" i="9"/>
  <c r="V32" i="9"/>
  <c r="U32" i="9"/>
  <c r="T32" i="9"/>
  <c r="S32" i="9"/>
  <c r="R32" i="9"/>
  <c r="Q32" i="9"/>
  <c r="P32" i="9"/>
  <c r="O32" i="9"/>
  <c r="N32" i="9"/>
  <c r="M32" i="9"/>
  <c r="L32" i="9"/>
  <c r="K32" i="9"/>
  <c r="J32" i="9"/>
  <c r="I32" i="9"/>
  <c r="H32" i="9"/>
  <c r="G32" i="9"/>
  <c r="F32" i="9"/>
  <c r="E32" i="9"/>
  <c r="D32" i="9"/>
  <c r="C32" i="9"/>
  <c r="B32" i="9"/>
  <c r="A32" i="9"/>
  <c r="AJ31" i="9"/>
  <c r="AI31" i="9"/>
  <c r="AH31" i="9"/>
  <c r="AG31" i="9"/>
  <c r="AF31" i="9"/>
  <c r="AE31" i="9"/>
  <c r="AD31" i="9"/>
  <c r="AC31" i="9"/>
  <c r="AB31" i="9"/>
  <c r="AA31" i="9"/>
  <c r="Z31" i="9"/>
  <c r="Y31" i="9"/>
  <c r="X31" i="9"/>
  <c r="W31" i="9"/>
  <c r="V31" i="9"/>
  <c r="U31" i="9"/>
  <c r="T31" i="9"/>
  <c r="S31" i="9"/>
  <c r="R31" i="9"/>
  <c r="Q31" i="9"/>
  <c r="P31" i="9"/>
  <c r="O31" i="9"/>
  <c r="N31" i="9"/>
  <c r="M31" i="9"/>
  <c r="L31" i="9"/>
  <c r="K31" i="9"/>
  <c r="J31" i="9"/>
  <c r="I31" i="9"/>
  <c r="H31" i="9"/>
  <c r="G31" i="9"/>
  <c r="F31" i="9"/>
  <c r="E31" i="9"/>
  <c r="D31" i="9"/>
  <c r="C31" i="9"/>
  <c r="B31" i="9"/>
  <c r="A31" i="9"/>
  <c r="AJ30" i="9"/>
  <c r="AI30" i="9"/>
  <c r="AH30" i="9"/>
  <c r="AG30" i="9"/>
  <c r="AF30" i="9"/>
  <c r="AE30" i="9"/>
  <c r="AD30" i="9"/>
  <c r="AC30" i="9"/>
  <c r="AB30" i="9"/>
  <c r="AA30" i="9"/>
  <c r="Z30" i="9"/>
  <c r="Y30" i="9"/>
  <c r="X30" i="9"/>
  <c r="W30" i="9"/>
  <c r="V30" i="9"/>
  <c r="U30" i="9"/>
  <c r="T30" i="9"/>
  <c r="S30" i="9"/>
  <c r="R30" i="9"/>
  <c r="Q30" i="9"/>
  <c r="P30" i="9"/>
  <c r="O30" i="9"/>
  <c r="N30" i="9"/>
  <c r="M30" i="9"/>
  <c r="L30" i="9"/>
  <c r="K30" i="9"/>
  <c r="J30" i="9"/>
  <c r="I30" i="9"/>
  <c r="H30" i="9"/>
  <c r="G30" i="9"/>
  <c r="F30" i="9"/>
  <c r="E30" i="9"/>
  <c r="D30" i="9"/>
  <c r="C30" i="9"/>
  <c r="B30" i="9"/>
  <c r="A30" i="9"/>
  <c r="AJ29" i="9"/>
  <c r="AI29" i="9"/>
  <c r="AH29" i="9"/>
  <c r="AG29" i="9"/>
  <c r="AF29" i="9"/>
  <c r="AE29" i="9"/>
  <c r="AD29" i="9"/>
  <c r="AC29" i="9"/>
  <c r="AB29" i="9"/>
  <c r="AA29" i="9"/>
  <c r="Z29" i="9"/>
  <c r="Y29" i="9"/>
  <c r="X29" i="9"/>
  <c r="W29" i="9"/>
  <c r="V29" i="9"/>
  <c r="U29" i="9"/>
  <c r="T29" i="9"/>
  <c r="S29" i="9"/>
  <c r="R29" i="9"/>
  <c r="Q29" i="9"/>
  <c r="P29" i="9"/>
  <c r="O29" i="9"/>
  <c r="N29" i="9"/>
  <c r="M29" i="9"/>
  <c r="L29" i="9"/>
  <c r="K29" i="9"/>
  <c r="J29" i="9"/>
  <c r="I29" i="9"/>
  <c r="H29" i="9"/>
  <c r="G29" i="9"/>
  <c r="F29" i="9"/>
  <c r="E29" i="9"/>
  <c r="D29" i="9"/>
  <c r="C29" i="9"/>
  <c r="B29" i="9"/>
  <c r="A29" i="9"/>
  <c r="AJ28" i="9"/>
  <c r="AI28" i="9"/>
  <c r="AH28" i="9"/>
  <c r="AG28" i="9"/>
  <c r="AF28" i="9"/>
  <c r="AE28" i="9"/>
  <c r="AD28" i="9"/>
  <c r="AC28" i="9"/>
  <c r="AB28" i="9"/>
  <c r="AA28" i="9"/>
  <c r="Z28" i="9"/>
  <c r="Y28" i="9"/>
  <c r="X28" i="9"/>
  <c r="W28" i="9"/>
  <c r="V28" i="9"/>
  <c r="U28" i="9"/>
  <c r="T28" i="9"/>
  <c r="S28" i="9"/>
  <c r="R28" i="9"/>
  <c r="Q28" i="9"/>
  <c r="P28" i="9"/>
  <c r="O28" i="9"/>
  <c r="N28" i="9"/>
  <c r="M28" i="9"/>
  <c r="L28" i="9"/>
  <c r="K28" i="9"/>
  <c r="J28" i="9"/>
  <c r="I28" i="9"/>
  <c r="H28" i="9"/>
  <c r="G28" i="9"/>
  <c r="F28" i="9"/>
  <c r="E28" i="9"/>
  <c r="D28" i="9"/>
  <c r="C28" i="9"/>
  <c r="B28" i="9"/>
  <c r="A28" i="9"/>
  <c r="AJ27" i="9"/>
  <c r="AI27" i="9"/>
  <c r="AH27" i="9"/>
  <c r="AG27" i="9"/>
  <c r="AF27" i="9"/>
  <c r="AE27" i="9"/>
  <c r="AD27" i="9"/>
  <c r="AC27" i="9"/>
  <c r="AB27" i="9"/>
  <c r="AA27" i="9"/>
  <c r="Z27" i="9"/>
  <c r="Y27" i="9"/>
  <c r="X27" i="9"/>
  <c r="W27" i="9"/>
  <c r="V27" i="9"/>
  <c r="U27" i="9"/>
  <c r="T27" i="9"/>
  <c r="S27" i="9"/>
  <c r="R27" i="9"/>
  <c r="Q27" i="9"/>
  <c r="P27" i="9"/>
  <c r="O27" i="9"/>
  <c r="N27" i="9"/>
  <c r="M27" i="9"/>
  <c r="L27" i="9"/>
  <c r="K27" i="9"/>
  <c r="J27" i="9"/>
  <c r="I27" i="9"/>
  <c r="H27" i="9"/>
  <c r="G27" i="9"/>
  <c r="F27" i="9"/>
  <c r="E27" i="9"/>
  <c r="D27" i="9"/>
  <c r="C27" i="9"/>
  <c r="B27" i="9"/>
  <c r="A27" i="9"/>
  <c r="AJ26" i="9"/>
  <c r="AI26" i="9"/>
  <c r="AH26" i="9"/>
  <c r="AG26" i="9"/>
  <c r="AF26" i="9"/>
  <c r="AE26" i="9"/>
  <c r="AD26" i="9"/>
  <c r="AC26" i="9"/>
  <c r="AB26" i="9"/>
  <c r="AA26" i="9"/>
  <c r="Z26" i="9"/>
  <c r="Y26" i="9"/>
  <c r="X26" i="9"/>
  <c r="W26" i="9"/>
  <c r="V26" i="9"/>
  <c r="U26" i="9"/>
  <c r="T26" i="9"/>
  <c r="S26" i="9"/>
  <c r="R26" i="9"/>
  <c r="Q26" i="9"/>
  <c r="P26" i="9"/>
  <c r="O26" i="9"/>
  <c r="N26" i="9"/>
  <c r="M26" i="9"/>
  <c r="L26" i="9"/>
  <c r="K26" i="9"/>
  <c r="J26" i="9"/>
  <c r="I26" i="9"/>
  <c r="H26" i="9"/>
  <c r="G26" i="9"/>
  <c r="F26" i="9"/>
  <c r="E26" i="9"/>
  <c r="D26" i="9"/>
  <c r="C26" i="9"/>
  <c r="B26" i="9"/>
  <c r="A26" i="9"/>
  <c r="AJ25" i="9"/>
  <c r="AI25" i="9"/>
  <c r="AH25" i="9"/>
  <c r="AG25" i="9"/>
  <c r="AF25" i="9"/>
  <c r="AE25" i="9"/>
  <c r="AD25" i="9"/>
  <c r="AC25" i="9"/>
  <c r="AB25" i="9"/>
  <c r="AA25" i="9"/>
  <c r="Z25" i="9"/>
  <c r="Y25" i="9"/>
  <c r="X25" i="9"/>
  <c r="W25" i="9"/>
  <c r="V25" i="9"/>
  <c r="U25" i="9"/>
  <c r="T25" i="9"/>
  <c r="S25" i="9"/>
  <c r="R25" i="9"/>
  <c r="Q25" i="9"/>
  <c r="P25" i="9"/>
  <c r="O25" i="9"/>
  <c r="N25" i="9"/>
  <c r="M25" i="9"/>
  <c r="L25" i="9"/>
  <c r="K25" i="9"/>
  <c r="J25" i="9"/>
  <c r="I25" i="9"/>
  <c r="H25" i="9"/>
  <c r="G25" i="9"/>
  <c r="F25" i="9"/>
  <c r="E25" i="9"/>
  <c r="D25" i="9"/>
  <c r="C25" i="9"/>
  <c r="B25" i="9"/>
  <c r="A25"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B24" i="9"/>
  <c r="A24"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23"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22" i="9"/>
  <c r="C22" i="9"/>
  <c r="B22" i="9"/>
  <c r="A22"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21"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20"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19" i="9"/>
  <c r="C19" i="9"/>
  <c r="B19" i="9"/>
  <c r="A19"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D18" i="9"/>
  <c r="C18" i="9"/>
  <c r="B18" i="9"/>
  <c r="A18" i="9"/>
  <c r="AJ17" i="9"/>
  <c r="AI17" i="9"/>
  <c r="AH17" i="9"/>
  <c r="AG17" i="9"/>
  <c r="AF17" i="9"/>
  <c r="AE17" i="9"/>
  <c r="AD17" i="9"/>
  <c r="AC17" i="9"/>
  <c r="AB17" i="9"/>
  <c r="AA17" i="9"/>
  <c r="Z17" i="9"/>
  <c r="Y17" i="9"/>
  <c r="X17" i="9"/>
  <c r="W17" i="9"/>
  <c r="V17" i="9"/>
  <c r="U17" i="9"/>
  <c r="T17" i="9"/>
  <c r="S17" i="9"/>
  <c r="R17" i="9"/>
  <c r="Q17" i="9"/>
  <c r="P17" i="9"/>
  <c r="O17" i="9"/>
  <c r="N17" i="9"/>
  <c r="M17" i="9"/>
  <c r="L17" i="9"/>
  <c r="K17" i="9"/>
  <c r="J17" i="9"/>
  <c r="I17" i="9"/>
  <c r="H17" i="9"/>
  <c r="G17" i="9"/>
  <c r="F17" i="9"/>
  <c r="E17" i="9"/>
  <c r="D17" i="9"/>
  <c r="C17" i="9"/>
  <c r="B17" i="9"/>
  <c r="A17"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16" i="9"/>
  <c r="AJ15" i="9"/>
  <c r="AI15" i="9"/>
  <c r="AH15" i="9"/>
  <c r="AG15"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15" i="9"/>
  <c r="AJ14" i="9"/>
  <c r="AI14" i="9"/>
  <c r="AH14" i="9"/>
  <c r="AG14"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14" i="9"/>
  <c r="AJ13" i="9"/>
  <c r="AI13" i="9"/>
  <c r="AH13" i="9"/>
  <c r="AG13"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13" i="9"/>
  <c r="AJ12" i="9"/>
  <c r="AI12" i="9"/>
  <c r="AH12" i="9"/>
  <c r="AG12" i="9"/>
  <c r="AF12" i="9"/>
  <c r="AE12" i="9"/>
  <c r="AD12" i="9"/>
  <c r="AC12" i="9"/>
  <c r="AB12" i="9"/>
  <c r="AA12" i="9"/>
  <c r="Z12" i="9"/>
  <c r="Y12" i="9"/>
  <c r="X12" i="9"/>
  <c r="W12" i="9"/>
  <c r="V12" i="9"/>
  <c r="U12" i="9"/>
  <c r="T12" i="9"/>
  <c r="S12" i="9"/>
  <c r="R12" i="9"/>
  <c r="Q12" i="9"/>
  <c r="P12" i="9"/>
  <c r="O12" i="9"/>
  <c r="N12" i="9"/>
  <c r="M12" i="9"/>
  <c r="L12" i="9"/>
  <c r="K12" i="9"/>
  <c r="J12" i="9"/>
  <c r="I12" i="9"/>
  <c r="H12" i="9"/>
  <c r="G12" i="9"/>
  <c r="F12" i="9"/>
  <c r="E12" i="9"/>
  <c r="D12" i="9"/>
  <c r="C12" i="9"/>
  <c r="B12" i="9"/>
  <c r="A12"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11" i="9"/>
  <c r="AJ10" i="9"/>
  <c r="AI10" i="9"/>
  <c r="AH10"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10" i="9"/>
  <c r="AJ9" i="9"/>
  <c r="AI9" i="9"/>
  <c r="AH9"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9" i="9"/>
  <c r="AJ8" i="9"/>
  <c r="AI8" i="9"/>
  <c r="AH8"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8"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7" i="9"/>
  <c r="AJ6" i="9"/>
  <c r="AI6" i="9"/>
  <c r="AH6"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6" i="9"/>
  <c r="AJ5" i="9"/>
  <c r="AI5" i="9"/>
  <c r="AH5"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5" i="9"/>
  <c r="AJ4" i="9"/>
  <c r="AI4" i="9"/>
  <c r="AH4"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4" i="9"/>
  <c r="AJ3" i="9"/>
  <c r="AI3" i="9"/>
  <c r="AH3"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3" i="9"/>
  <c r="AJ2" i="9"/>
  <c r="AI2" i="9"/>
  <c r="AH2"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2" i="9"/>
  <c r="AJ1" i="9"/>
  <c r="AI1" i="9"/>
  <c r="AH1" i="9"/>
  <c r="AG1" i="9"/>
  <c r="AF1" i="9"/>
  <c r="AE1" i="9"/>
  <c r="AD1" i="9"/>
  <c r="AC1" i="9"/>
  <c r="AB1" i="9"/>
  <c r="AA1" i="9"/>
  <c r="Z1" i="9"/>
  <c r="Y1" i="9"/>
  <c r="X1" i="9"/>
  <c r="W1" i="9"/>
  <c r="V1" i="9"/>
  <c r="U1" i="9"/>
  <c r="T1" i="9"/>
  <c r="S1" i="9"/>
  <c r="R1" i="9"/>
  <c r="Q1" i="9"/>
  <c r="P1" i="9"/>
  <c r="O1" i="9"/>
  <c r="N1" i="9"/>
  <c r="M1" i="9"/>
  <c r="L1" i="9"/>
  <c r="K1" i="9"/>
  <c r="J1" i="9"/>
  <c r="I1" i="9"/>
  <c r="H1" i="9"/>
  <c r="G1" i="9"/>
  <c r="F1" i="9"/>
  <c r="E1" i="9"/>
  <c r="D1" i="9"/>
  <c r="C1" i="9"/>
  <c r="B1" i="9"/>
  <c r="A1" i="9"/>
  <c r="R34" i="8"/>
  <c r="Q34" i="8"/>
  <c r="P34" i="8"/>
  <c r="O34" i="8"/>
  <c r="N34" i="8"/>
  <c r="M34" i="8"/>
  <c r="L34" i="8"/>
  <c r="K34" i="8"/>
  <c r="J34" i="8"/>
  <c r="I34" i="8"/>
  <c r="H34" i="8"/>
  <c r="G34" i="8"/>
  <c r="F34" i="8"/>
  <c r="E34" i="8"/>
  <c r="D34" i="8"/>
  <c r="C34" i="8"/>
  <c r="B34" i="8"/>
  <c r="A34" i="8"/>
  <c r="R33" i="8"/>
  <c r="Q33" i="8"/>
  <c r="P33" i="8"/>
  <c r="O33" i="8"/>
  <c r="N33" i="8"/>
  <c r="M33" i="8"/>
  <c r="L33" i="8"/>
  <c r="K33" i="8"/>
  <c r="J33" i="8"/>
  <c r="I33" i="8"/>
  <c r="H33" i="8"/>
  <c r="G33" i="8"/>
  <c r="F33" i="8"/>
  <c r="E33" i="8"/>
  <c r="D33" i="8"/>
  <c r="C33" i="8"/>
  <c r="B33" i="8"/>
  <c r="A33" i="8"/>
  <c r="R32" i="8"/>
  <c r="Q32" i="8"/>
  <c r="P32" i="8"/>
  <c r="O32" i="8"/>
  <c r="N32" i="8"/>
  <c r="M32" i="8"/>
  <c r="L32" i="8"/>
  <c r="K32" i="8"/>
  <c r="J32" i="8"/>
  <c r="I32" i="8"/>
  <c r="H32" i="8"/>
  <c r="G32" i="8"/>
  <c r="F32" i="8"/>
  <c r="E32" i="8"/>
  <c r="D32" i="8"/>
  <c r="C32" i="8"/>
  <c r="B32" i="8"/>
  <c r="A32" i="8"/>
  <c r="R31" i="8"/>
  <c r="Q31" i="8"/>
  <c r="P31" i="8"/>
  <c r="O31" i="8"/>
  <c r="N31" i="8"/>
  <c r="M31" i="8"/>
  <c r="L31" i="8"/>
  <c r="K31" i="8"/>
  <c r="J31" i="8"/>
  <c r="I31" i="8"/>
  <c r="H31" i="8"/>
  <c r="G31" i="8"/>
  <c r="F31" i="8"/>
  <c r="E31" i="8"/>
  <c r="D31" i="8"/>
  <c r="C31" i="8"/>
  <c r="B31" i="8"/>
  <c r="A31" i="8"/>
  <c r="R30" i="8"/>
  <c r="Q30" i="8"/>
  <c r="P30" i="8"/>
  <c r="O30" i="8"/>
  <c r="N30" i="8"/>
  <c r="M30" i="8"/>
  <c r="L30" i="8"/>
  <c r="K30" i="8"/>
  <c r="J30" i="8"/>
  <c r="I30" i="8"/>
  <c r="H30" i="8"/>
  <c r="G30" i="8"/>
  <c r="F30" i="8"/>
  <c r="E30" i="8"/>
  <c r="D30" i="8"/>
  <c r="C30" i="8"/>
  <c r="B30" i="8"/>
  <c r="A30" i="8"/>
  <c r="R29" i="8"/>
  <c r="Q29" i="8"/>
  <c r="P29" i="8"/>
  <c r="O29" i="8"/>
  <c r="N29" i="8"/>
  <c r="M29" i="8"/>
  <c r="L29" i="8"/>
  <c r="K29" i="8"/>
  <c r="J29" i="8"/>
  <c r="I29" i="8"/>
  <c r="H29" i="8"/>
  <c r="G29" i="8"/>
  <c r="F29" i="8"/>
  <c r="E29" i="8"/>
  <c r="D29" i="8"/>
  <c r="C29" i="8"/>
  <c r="B29" i="8"/>
  <c r="A29" i="8"/>
  <c r="R28" i="8"/>
  <c r="Q28" i="8"/>
  <c r="P28" i="8"/>
  <c r="O28" i="8"/>
  <c r="N28" i="8"/>
  <c r="M28" i="8"/>
  <c r="L28" i="8"/>
  <c r="K28" i="8"/>
  <c r="J28" i="8"/>
  <c r="I28" i="8"/>
  <c r="H28" i="8"/>
  <c r="G28" i="8"/>
  <c r="F28" i="8"/>
  <c r="E28" i="8"/>
  <c r="D28" i="8"/>
  <c r="C28" i="8"/>
  <c r="B28" i="8"/>
  <c r="A28" i="8"/>
  <c r="R27" i="8"/>
  <c r="Q27" i="8"/>
  <c r="P27" i="8"/>
  <c r="O27" i="8"/>
  <c r="N27" i="8"/>
  <c r="M27" i="8"/>
  <c r="L27" i="8"/>
  <c r="K27" i="8"/>
  <c r="J27" i="8"/>
  <c r="I27" i="8"/>
  <c r="H27" i="8"/>
  <c r="G27" i="8"/>
  <c r="F27" i="8"/>
  <c r="E27" i="8"/>
  <c r="D27" i="8"/>
  <c r="C27" i="8"/>
  <c r="B27" i="8"/>
  <c r="A27" i="8"/>
  <c r="R26" i="8"/>
  <c r="Q26" i="8"/>
  <c r="P26" i="8"/>
  <c r="O26" i="8"/>
  <c r="N26" i="8"/>
  <c r="M26" i="8"/>
  <c r="L26" i="8"/>
  <c r="K26" i="8"/>
  <c r="J26" i="8"/>
  <c r="I26" i="8"/>
  <c r="H26" i="8"/>
  <c r="G26" i="8"/>
  <c r="F26" i="8"/>
  <c r="E26" i="8"/>
  <c r="D26" i="8"/>
  <c r="C26" i="8"/>
  <c r="B26" i="8"/>
  <c r="A26" i="8"/>
  <c r="R25" i="8"/>
  <c r="Q25" i="8"/>
  <c r="P25" i="8"/>
  <c r="O25" i="8"/>
  <c r="N25" i="8"/>
  <c r="M25" i="8"/>
  <c r="L25" i="8"/>
  <c r="K25" i="8"/>
  <c r="J25" i="8"/>
  <c r="I25" i="8"/>
  <c r="H25" i="8"/>
  <c r="G25" i="8"/>
  <c r="F25" i="8"/>
  <c r="E25" i="8"/>
  <c r="D25" i="8"/>
  <c r="C25" i="8"/>
  <c r="B25" i="8"/>
  <c r="A25" i="8"/>
  <c r="R24" i="8"/>
  <c r="Q24" i="8"/>
  <c r="P24" i="8"/>
  <c r="O24" i="8"/>
  <c r="N24" i="8"/>
  <c r="M24" i="8"/>
  <c r="L24" i="8"/>
  <c r="K24" i="8"/>
  <c r="J24" i="8"/>
  <c r="I24" i="8"/>
  <c r="H24" i="8"/>
  <c r="G24" i="8"/>
  <c r="F24" i="8"/>
  <c r="E24" i="8"/>
  <c r="D24" i="8"/>
  <c r="C24" i="8"/>
  <c r="B24" i="8"/>
  <c r="A24" i="8"/>
  <c r="R23" i="8"/>
  <c r="Q23" i="8"/>
  <c r="P23" i="8"/>
  <c r="O23" i="8"/>
  <c r="N23" i="8"/>
  <c r="M23" i="8"/>
  <c r="L23" i="8"/>
  <c r="K23" i="8"/>
  <c r="J23" i="8"/>
  <c r="I23" i="8"/>
  <c r="H23" i="8"/>
  <c r="G23" i="8"/>
  <c r="F23" i="8"/>
  <c r="E23" i="8"/>
  <c r="D23" i="8"/>
  <c r="C23" i="8"/>
  <c r="B23" i="8"/>
  <c r="A23" i="8"/>
  <c r="R22" i="8"/>
  <c r="Q22" i="8"/>
  <c r="P22" i="8"/>
  <c r="O22" i="8"/>
  <c r="N22" i="8"/>
  <c r="M22" i="8"/>
  <c r="L22" i="8"/>
  <c r="K22" i="8"/>
  <c r="J22" i="8"/>
  <c r="I22" i="8"/>
  <c r="H22" i="8"/>
  <c r="G22" i="8"/>
  <c r="F22" i="8"/>
  <c r="E22" i="8"/>
  <c r="D22" i="8"/>
  <c r="C22" i="8"/>
  <c r="B22" i="8"/>
  <c r="A22" i="8"/>
  <c r="R21" i="8"/>
  <c r="Q21" i="8"/>
  <c r="P21" i="8"/>
  <c r="O21" i="8"/>
  <c r="N21" i="8"/>
  <c r="M21" i="8"/>
  <c r="L21" i="8"/>
  <c r="K21" i="8"/>
  <c r="J21" i="8"/>
  <c r="I21" i="8"/>
  <c r="H21" i="8"/>
  <c r="G21" i="8"/>
  <c r="F21" i="8"/>
  <c r="E21" i="8"/>
  <c r="D21" i="8"/>
  <c r="C21" i="8"/>
  <c r="B21" i="8"/>
  <c r="A21" i="8"/>
  <c r="R20" i="8"/>
  <c r="Q20" i="8"/>
  <c r="P20" i="8"/>
  <c r="O20" i="8"/>
  <c r="N20" i="8"/>
  <c r="M20" i="8"/>
  <c r="L20" i="8"/>
  <c r="K20" i="8"/>
  <c r="J20" i="8"/>
  <c r="I20" i="8"/>
  <c r="H20" i="8"/>
  <c r="G20" i="8"/>
  <c r="F20" i="8"/>
  <c r="E20" i="8"/>
  <c r="D20" i="8"/>
  <c r="C20" i="8"/>
  <c r="B20" i="8"/>
  <c r="A20" i="8"/>
  <c r="R19" i="8"/>
  <c r="Q19" i="8"/>
  <c r="P19" i="8"/>
  <c r="O19" i="8"/>
  <c r="N19" i="8"/>
  <c r="M19" i="8"/>
  <c r="L19" i="8"/>
  <c r="K19" i="8"/>
  <c r="J19" i="8"/>
  <c r="I19" i="8"/>
  <c r="H19" i="8"/>
  <c r="G19" i="8"/>
  <c r="F19" i="8"/>
  <c r="E19" i="8"/>
  <c r="D19" i="8"/>
  <c r="C19" i="8"/>
  <c r="B19" i="8"/>
  <c r="A19" i="8"/>
  <c r="R18" i="8"/>
  <c r="Q18" i="8"/>
  <c r="P18" i="8"/>
  <c r="O18" i="8"/>
  <c r="N18" i="8"/>
  <c r="M18" i="8"/>
  <c r="L18" i="8"/>
  <c r="K18" i="8"/>
  <c r="J18" i="8"/>
  <c r="I18" i="8"/>
  <c r="H18" i="8"/>
  <c r="G18" i="8"/>
  <c r="F18" i="8"/>
  <c r="E18" i="8"/>
  <c r="D18" i="8"/>
  <c r="C18" i="8"/>
  <c r="B18" i="8"/>
  <c r="A18" i="8"/>
  <c r="R17" i="8"/>
  <c r="Q17" i="8"/>
  <c r="P17" i="8"/>
  <c r="O17" i="8"/>
  <c r="N17" i="8"/>
  <c r="M17" i="8"/>
  <c r="L17" i="8"/>
  <c r="K17" i="8"/>
  <c r="J17" i="8"/>
  <c r="I17" i="8"/>
  <c r="H17" i="8"/>
  <c r="G17" i="8"/>
  <c r="F17" i="8"/>
  <c r="E17" i="8"/>
  <c r="D17" i="8"/>
  <c r="C17" i="8"/>
  <c r="B17" i="8"/>
  <c r="A17" i="8"/>
  <c r="R16" i="8"/>
  <c r="Q16" i="8"/>
  <c r="P16" i="8"/>
  <c r="O16" i="8"/>
  <c r="N16" i="8"/>
  <c r="M16" i="8"/>
  <c r="L16" i="8"/>
  <c r="K16" i="8"/>
  <c r="J16" i="8"/>
  <c r="I16" i="8"/>
  <c r="H16" i="8"/>
  <c r="G16" i="8"/>
  <c r="F16" i="8"/>
  <c r="E16" i="8"/>
  <c r="D16" i="8"/>
  <c r="C16" i="8"/>
  <c r="B16" i="8"/>
  <c r="A16" i="8"/>
  <c r="R15" i="8"/>
  <c r="Q15" i="8"/>
  <c r="P15" i="8"/>
  <c r="O15" i="8"/>
  <c r="N15" i="8"/>
  <c r="M15" i="8"/>
  <c r="L15" i="8"/>
  <c r="K15" i="8"/>
  <c r="J15" i="8"/>
  <c r="I15" i="8"/>
  <c r="H15" i="8"/>
  <c r="G15" i="8"/>
  <c r="F15" i="8"/>
  <c r="E15" i="8"/>
  <c r="D15" i="8"/>
  <c r="C15" i="8"/>
  <c r="B15" i="8"/>
  <c r="A15" i="8"/>
  <c r="R14" i="8"/>
  <c r="Q14" i="8"/>
  <c r="P14" i="8"/>
  <c r="O14" i="8"/>
  <c r="N14" i="8"/>
  <c r="M14" i="8"/>
  <c r="L14" i="8"/>
  <c r="K14" i="8"/>
  <c r="J14" i="8"/>
  <c r="I14" i="8"/>
  <c r="H14" i="8"/>
  <c r="G14" i="8"/>
  <c r="F14" i="8"/>
  <c r="E14" i="8"/>
  <c r="D14" i="8"/>
  <c r="C14" i="8"/>
  <c r="B14" i="8"/>
  <c r="A14" i="8"/>
  <c r="R13" i="8"/>
  <c r="Q13" i="8"/>
  <c r="P13" i="8"/>
  <c r="O13" i="8"/>
  <c r="N13" i="8"/>
  <c r="M13" i="8"/>
  <c r="L13" i="8"/>
  <c r="K13" i="8"/>
  <c r="J13" i="8"/>
  <c r="I13" i="8"/>
  <c r="H13" i="8"/>
  <c r="G13" i="8"/>
  <c r="F13" i="8"/>
  <c r="E13" i="8"/>
  <c r="D13" i="8"/>
  <c r="C13" i="8"/>
  <c r="B13" i="8"/>
  <c r="A13" i="8"/>
  <c r="R12" i="8"/>
  <c r="Q12" i="8"/>
  <c r="P12" i="8"/>
  <c r="O12" i="8"/>
  <c r="N12" i="8"/>
  <c r="M12" i="8"/>
  <c r="L12" i="8"/>
  <c r="K12" i="8"/>
  <c r="J12" i="8"/>
  <c r="I12" i="8"/>
  <c r="H12" i="8"/>
  <c r="G12" i="8"/>
  <c r="F12" i="8"/>
  <c r="E12" i="8"/>
  <c r="D12" i="8"/>
  <c r="C12" i="8"/>
  <c r="B12" i="8"/>
  <c r="A12" i="8"/>
  <c r="R11" i="8"/>
  <c r="Q11" i="8"/>
  <c r="P11" i="8"/>
  <c r="O11" i="8"/>
  <c r="N11" i="8"/>
  <c r="M11" i="8"/>
  <c r="L11" i="8"/>
  <c r="K11" i="8"/>
  <c r="J11" i="8"/>
  <c r="I11" i="8"/>
  <c r="H11" i="8"/>
  <c r="G11" i="8"/>
  <c r="F11" i="8"/>
  <c r="E11" i="8"/>
  <c r="D11" i="8"/>
  <c r="C11" i="8"/>
  <c r="B11" i="8"/>
  <c r="A11" i="8"/>
  <c r="R10" i="8"/>
  <c r="Q10" i="8"/>
  <c r="P10" i="8"/>
  <c r="O10" i="8"/>
  <c r="N10" i="8"/>
  <c r="M10" i="8"/>
  <c r="L10" i="8"/>
  <c r="K10" i="8"/>
  <c r="J10" i="8"/>
  <c r="I10" i="8"/>
  <c r="H10" i="8"/>
  <c r="G10" i="8"/>
  <c r="F10" i="8"/>
  <c r="E10" i="8"/>
  <c r="D10" i="8"/>
  <c r="C10" i="8"/>
  <c r="B10" i="8"/>
  <c r="A10" i="8"/>
  <c r="R9" i="8"/>
  <c r="Q9" i="8"/>
  <c r="P9" i="8"/>
  <c r="O9" i="8"/>
  <c r="N9" i="8"/>
  <c r="M9" i="8"/>
  <c r="L9" i="8"/>
  <c r="K9" i="8"/>
  <c r="J9" i="8"/>
  <c r="I9" i="8"/>
  <c r="H9" i="8"/>
  <c r="G9" i="8"/>
  <c r="F9" i="8"/>
  <c r="E9" i="8"/>
  <c r="D9" i="8"/>
  <c r="C9" i="8"/>
  <c r="B9" i="8"/>
  <c r="A9" i="8"/>
  <c r="R8" i="8"/>
  <c r="Q8" i="8"/>
  <c r="P8" i="8"/>
  <c r="O8" i="8"/>
  <c r="N8" i="8"/>
  <c r="M8" i="8"/>
  <c r="L8" i="8"/>
  <c r="K8" i="8"/>
  <c r="J8" i="8"/>
  <c r="I8" i="8"/>
  <c r="H8" i="8"/>
  <c r="G8" i="8"/>
  <c r="F8" i="8"/>
  <c r="E8" i="8"/>
  <c r="D8" i="8"/>
  <c r="C8" i="8"/>
  <c r="B8" i="8"/>
  <c r="A8" i="8"/>
  <c r="R7" i="8"/>
  <c r="Q7" i="8"/>
  <c r="P7" i="8"/>
  <c r="O7" i="8"/>
  <c r="N7" i="8"/>
  <c r="M7" i="8"/>
  <c r="L7" i="8"/>
  <c r="K7" i="8"/>
  <c r="J7" i="8"/>
  <c r="I7" i="8"/>
  <c r="H7" i="8"/>
  <c r="G7" i="8"/>
  <c r="F7" i="8"/>
  <c r="E7" i="8"/>
  <c r="D7" i="8"/>
  <c r="C7" i="8"/>
  <c r="B7" i="8"/>
  <c r="A7" i="8"/>
  <c r="R6" i="8"/>
  <c r="Q6" i="8"/>
  <c r="P6" i="8"/>
  <c r="O6" i="8"/>
  <c r="N6" i="8"/>
  <c r="M6" i="8"/>
  <c r="L6" i="8"/>
  <c r="K6" i="8"/>
  <c r="J6" i="8"/>
  <c r="I6" i="8"/>
  <c r="H6" i="8"/>
  <c r="G6" i="8"/>
  <c r="F6" i="8"/>
  <c r="E6" i="8"/>
  <c r="D6" i="8"/>
  <c r="C6" i="8"/>
  <c r="B6" i="8"/>
  <c r="A6" i="8"/>
  <c r="R5" i="8"/>
  <c r="Q5" i="8"/>
  <c r="P5" i="8"/>
  <c r="O5" i="8"/>
  <c r="N5" i="8"/>
  <c r="M5" i="8"/>
  <c r="L5" i="8"/>
  <c r="K5" i="8"/>
  <c r="J5" i="8"/>
  <c r="I5" i="8"/>
  <c r="H5" i="8"/>
  <c r="G5" i="8"/>
  <c r="F5" i="8"/>
  <c r="E5" i="8"/>
  <c r="D5" i="8"/>
  <c r="C5" i="8"/>
  <c r="B5" i="8"/>
  <c r="A5" i="8"/>
  <c r="R4" i="8"/>
  <c r="Q4" i="8"/>
  <c r="P4" i="8"/>
  <c r="O4" i="8"/>
  <c r="N4" i="8"/>
  <c r="M4" i="8"/>
  <c r="L4" i="8"/>
  <c r="K4" i="8"/>
  <c r="J4" i="8"/>
  <c r="I4" i="8"/>
  <c r="H4" i="8"/>
  <c r="G4" i="8"/>
  <c r="F4" i="8"/>
  <c r="E4" i="8"/>
  <c r="D4" i="8"/>
  <c r="C4" i="8"/>
  <c r="B4" i="8"/>
  <c r="A4" i="8"/>
  <c r="R3" i="8"/>
  <c r="Q3" i="8"/>
  <c r="P3" i="8"/>
  <c r="O3" i="8"/>
  <c r="N3" i="8"/>
  <c r="M3" i="8"/>
  <c r="L3" i="8"/>
  <c r="K3" i="8"/>
  <c r="J3" i="8"/>
  <c r="I3" i="8"/>
  <c r="H3" i="8"/>
  <c r="G3" i="8"/>
  <c r="F3" i="8"/>
  <c r="E3" i="8"/>
  <c r="D3" i="8"/>
  <c r="C3" i="8"/>
  <c r="B3" i="8"/>
  <c r="A3" i="8"/>
  <c r="R2" i="8"/>
  <c r="Q2" i="8"/>
  <c r="P2" i="8"/>
  <c r="O2" i="8"/>
  <c r="N2" i="8"/>
  <c r="M2" i="8"/>
  <c r="L2" i="8"/>
  <c r="K2" i="8"/>
  <c r="J2" i="8"/>
  <c r="I2" i="8"/>
  <c r="H2" i="8"/>
  <c r="G2" i="8"/>
  <c r="F2" i="8"/>
  <c r="E2" i="8"/>
  <c r="D2" i="8"/>
  <c r="C2" i="8"/>
  <c r="B2" i="8"/>
  <c r="A2" i="8"/>
  <c r="R1" i="8"/>
  <c r="Q1" i="8"/>
  <c r="P1" i="8"/>
  <c r="O1" i="8"/>
  <c r="N1" i="8"/>
  <c r="M1" i="8"/>
  <c r="L1" i="8"/>
  <c r="K1" i="8"/>
  <c r="J1" i="8"/>
  <c r="I1" i="8"/>
  <c r="H1" i="8"/>
  <c r="G1" i="8"/>
  <c r="F1" i="8"/>
  <c r="E1" i="8"/>
  <c r="D1" i="8"/>
  <c r="C1" i="8"/>
  <c r="B1" i="8"/>
  <c r="A1" i="8"/>
  <c r="R90" i="7"/>
  <c r="Q90" i="7"/>
  <c r="P90" i="7"/>
  <c r="O90" i="7"/>
  <c r="N90" i="7"/>
  <c r="M90" i="7"/>
  <c r="L90" i="7"/>
  <c r="K90" i="7"/>
  <c r="J90" i="7"/>
  <c r="I90" i="7"/>
  <c r="H90" i="7"/>
  <c r="G90" i="7"/>
  <c r="F90" i="7"/>
  <c r="E90" i="7"/>
  <c r="D90" i="7"/>
  <c r="C90" i="7"/>
  <c r="B90" i="7"/>
  <c r="A90" i="7"/>
  <c r="R89" i="7"/>
  <c r="Q89" i="7"/>
  <c r="P89" i="7"/>
  <c r="O89" i="7"/>
  <c r="N89" i="7"/>
  <c r="M89" i="7"/>
  <c r="L89" i="7"/>
  <c r="K89" i="7"/>
  <c r="J89" i="7"/>
  <c r="I89" i="7"/>
  <c r="H89" i="7"/>
  <c r="G89" i="7"/>
  <c r="F89" i="7"/>
  <c r="E89" i="7"/>
  <c r="D89" i="7"/>
  <c r="C89" i="7"/>
  <c r="B89" i="7"/>
  <c r="A89" i="7"/>
  <c r="R88" i="7"/>
  <c r="Q88" i="7"/>
  <c r="P88" i="7"/>
  <c r="O88" i="7"/>
  <c r="N88" i="7"/>
  <c r="M88" i="7"/>
  <c r="L88" i="7"/>
  <c r="K88" i="7"/>
  <c r="J88" i="7"/>
  <c r="I88" i="7"/>
  <c r="H88" i="7"/>
  <c r="G88" i="7"/>
  <c r="F88" i="7"/>
  <c r="E88" i="7"/>
  <c r="D88" i="7"/>
  <c r="C88" i="7"/>
  <c r="B88" i="7"/>
  <c r="A88" i="7"/>
  <c r="R87" i="7"/>
  <c r="Q87" i="7"/>
  <c r="P87" i="7"/>
  <c r="O87" i="7"/>
  <c r="N87" i="7"/>
  <c r="M87" i="7"/>
  <c r="L87" i="7"/>
  <c r="K87" i="7"/>
  <c r="J87" i="7"/>
  <c r="I87" i="7"/>
  <c r="H87" i="7"/>
  <c r="G87" i="7"/>
  <c r="F87" i="7"/>
  <c r="E87" i="7"/>
  <c r="D87" i="7"/>
  <c r="C87" i="7"/>
  <c r="B87" i="7"/>
  <c r="A87" i="7"/>
  <c r="R86" i="7"/>
  <c r="Q86" i="7"/>
  <c r="P86" i="7"/>
  <c r="O86" i="7"/>
  <c r="N86" i="7"/>
  <c r="M86" i="7"/>
  <c r="L86" i="7"/>
  <c r="K86" i="7"/>
  <c r="J86" i="7"/>
  <c r="I86" i="7"/>
  <c r="H86" i="7"/>
  <c r="G86" i="7"/>
  <c r="F86" i="7"/>
  <c r="E86" i="7"/>
  <c r="D86" i="7"/>
  <c r="C86" i="7"/>
  <c r="B86" i="7"/>
  <c r="A86" i="7"/>
  <c r="R85" i="7"/>
  <c r="Q85" i="7"/>
  <c r="P85" i="7"/>
  <c r="O85" i="7"/>
  <c r="N85" i="7"/>
  <c r="M85" i="7"/>
  <c r="L85" i="7"/>
  <c r="K85" i="7"/>
  <c r="J85" i="7"/>
  <c r="I85" i="7"/>
  <c r="H85" i="7"/>
  <c r="G85" i="7"/>
  <c r="F85" i="7"/>
  <c r="E85" i="7"/>
  <c r="D85" i="7"/>
  <c r="C85" i="7"/>
  <c r="B85" i="7"/>
  <c r="A85" i="7"/>
  <c r="R84" i="7"/>
  <c r="Q84" i="7"/>
  <c r="P84" i="7"/>
  <c r="O84" i="7"/>
  <c r="N84" i="7"/>
  <c r="M84" i="7"/>
  <c r="L84" i="7"/>
  <c r="K84" i="7"/>
  <c r="J84" i="7"/>
  <c r="I84" i="7"/>
  <c r="H84" i="7"/>
  <c r="G84" i="7"/>
  <c r="F84" i="7"/>
  <c r="E84" i="7"/>
  <c r="D84" i="7"/>
  <c r="C84" i="7"/>
  <c r="B84" i="7"/>
  <c r="A84" i="7"/>
  <c r="R83" i="7"/>
  <c r="Q83" i="7"/>
  <c r="P83" i="7"/>
  <c r="O83" i="7"/>
  <c r="N83" i="7"/>
  <c r="M83" i="7"/>
  <c r="L83" i="7"/>
  <c r="K83" i="7"/>
  <c r="J83" i="7"/>
  <c r="I83" i="7"/>
  <c r="H83" i="7"/>
  <c r="G83" i="7"/>
  <c r="F83" i="7"/>
  <c r="E83" i="7"/>
  <c r="D83" i="7"/>
  <c r="C83" i="7"/>
  <c r="B83" i="7"/>
  <c r="A83" i="7"/>
  <c r="R82" i="7"/>
  <c r="Q82" i="7"/>
  <c r="P82" i="7"/>
  <c r="O82" i="7"/>
  <c r="N82" i="7"/>
  <c r="M82" i="7"/>
  <c r="L82" i="7"/>
  <c r="K82" i="7"/>
  <c r="J82" i="7"/>
  <c r="I82" i="7"/>
  <c r="H82" i="7"/>
  <c r="G82" i="7"/>
  <c r="F82" i="7"/>
  <c r="E82" i="7"/>
  <c r="D82" i="7"/>
  <c r="C82" i="7"/>
  <c r="B82" i="7"/>
  <c r="A82" i="7"/>
  <c r="R81" i="7"/>
  <c r="Q81" i="7"/>
  <c r="P81" i="7"/>
  <c r="O81" i="7"/>
  <c r="N81" i="7"/>
  <c r="M81" i="7"/>
  <c r="L81" i="7"/>
  <c r="K81" i="7"/>
  <c r="J81" i="7"/>
  <c r="I81" i="7"/>
  <c r="H81" i="7"/>
  <c r="G81" i="7"/>
  <c r="F81" i="7"/>
  <c r="E81" i="7"/>
  <c r="D81" i="7"/>
  <c r="C81" i="7"/>
  <c r="B81" i="7"/>
  <c r="A81" i="7"/>
  <c r="R80" i="7"/>
  <c r="Q80" i="7"/>
  <c r="P80" i="7"/>
  <c r="O80" i="7"/>
  <c r="N80" i="7"/>
  <c r="M80" i="7"/>
  <c r="L80" i="7"/>
  <c r="K80" i="7"/>
  <c r="J80" i="7"/>
  <c r="I80" i="7"/>
  <c r="H80" i="7"/>
  <c r="G80" i="7"/>
  <c r="F80" i="7"/>
  <c r="E80" i="7"/>
  <c r="D80" i="7"/>
  <c r="C80" i="7"/>
  <c r="B80" i="7"/>
  <c r="A80" i="7"/>
  <c r="R79" i="7"/>
  <c r="Q79" i="7"/>
  <c r="P79" i="7"/>
  <c r="O79" i="7"/>
  <c r="N79" i="7"/>
  <c r="M79" i="7"/>
  <c r="L79" i="7"/>
  <c r="K79" i="7"/>
  <c r="J79" i="7"/>
  <c r="I79" i="7"/>
  <c r="H79" i="7"/>
  <c r="G79" i="7"/>
  <c r="F79" i="7"/>
  <c r="E79" i="7"/>
  <c r="D79" i="7"/>
  <c r="C79" i="7"/>
  <c r="B79" i="7"/>
  <c r="A79" i="7"/>
  <c r="R78" i="7"/>
  <c r="Q78" i="7"/>
  <c r="P78" i="7"/>
  <c r="O78" i="7"/>
  <c r="N78" i="7"/>
  <c r="M78" i="7"/>
  <c r="L78" i="7"/>
  <c r="K78" i="7"/>
  <c r="J78" i="7"/>
  <c r="I78" i="7"/>
  <c r="H78" i="7"/>
  <c r="G78" i="7"/>
  <c r="F78" i="7"/>
  <c r="E78" i="7"/>
  <c r="D78" i="7"/>
  <c r="C78" i="7"/>
  <c r="B78" i="7"/>
  <c r="A78" i="7"/>
  <c r="R77" i="7"/>
  <c r="Q77" i="7"/>
  <c r="P77" i="7"/>
  <c r="O77" i="7"/>
  <c r="N77" i="7"/>
  <c r="M77" i="7"/>
  <c r="L77" i="7"/>
  <c r="K77" i="7"/>
  <c r="J77" i="7"/>
  <c r="I77" i="7"/>
  <c r="H77" i="7"/>
  <c r="G77" i="7"/>
  <c r="F77" i="7"/>
  <c r="E77" i="7"/>
  <c r="D77" i="7"/>
  <c r="C77" i="7"/>
  <c r="B77" i="7"/>
  <c r="A77" i="7"/>
  <c r="R76" i="7"/>
  <c r="Q76" i="7"/>
  <c r="P76" i="7"/>
  <c r="O76" i="7"/>
  <c r="N76" i="7"/>
  <c r="M76" i="7"/>
  <c r="L76" i="7"/>
  <c r="K76" i="7"/>
  <c r="J76" i="7"/>
  <c r="I76" i="7"/>
  <c r="H76" i="7"/>
  <c r="G76" i="7"/>
  <c r="F76" i="7"/>
  <c r="E76" i="7"/>
  <c r="D76" i="7"/>
  <c r="C76" i="7"/>
  <c r="B76" i="7"/>
  <c r="A76" i="7"/>
  <c r="R75" i="7"/>
  <c r="Q75" i="7"/>
  <c r="P75" i="7"/>
  <c r="O75" i="7"/>
  <c r="N75" i="7"/>
  <c r="M75" i="7"/>
  <c r="L75" i="7"/>
  <c r="K75" i="7"/>
  <c r="J75" i="7"/>
  <c r="I75" i="7"/>
  <c r="H75" i="7"/>
  <c r="G75" i="7"/>
  <c r="F75" i="7"/>
  <c r="E75" i="7"/>
  <c r="D75" i="7"/>
  <c r="C75" i="7"/>
  <c r="B75" i="7"/>
  <c r="A75" i="7"/>
  <c r="R74" i="7"/>
  <c r="Q74" i="7"/>
  <c r="P74" i="7"/>
  <c r="O74" i="7"/>
  <c r="N74" i="7"/>
  <c r="M74" i="7"/>
  <c r="L74" i="7"/>
  <c r="K74" i="7"/>
  <c r="J74" i="7"/>
  <c r="I74" i="7"/>
  <c r="H74" i="7"/>
  <c r="G74" i="7"/>
  <c r="F74" i="7"/>
  <c r="E74" i="7"/>
  <c r="D74" i="7"/>
  <c r="C74" i="7"/>
  <c r="B74" i="7"/>
  <c r="A74" i="7"/>
  <c r="R73" i="7"/>
  <c r="Q73" i="7"/>
  <c r="P73" i="7"/>
  <c r="O73" i="7"/>
  <c r="N73" i="7"/>
  <c r="M73" i="7"/>
  <c r="L73" i="7"/>
  <c r="K73" i="7"/>
  <c r="J73" i="7"/>
  <c r="I73" i="7"/>
  <c r="H73" i="7"/>
  <c r="G73" i="7"/>
  <c r="F73" i="7"/>
  <c r="E73" i="7"/>
  <c r="D73" i="7"/>
  <c r="C73" i="7"/>
  <c r="B73" i="7"/>
  <c r="A73" i="7"/>
  <c r="R72" i="7"/>
  <c r="Q72" i="7"/>
  <c r="P72" i="7"/>
  <c r="O72" i="7"/>
  <c r="N72" i="7"/>
  <c r="M72" i="7"/>
  <c r="L72" i="7"/>
  <c r="K72" i="7"/>
  <c r="J72" i="7"/>
  <c r="I72" i="7"/>
  <c r="H72" i="7"/>
  <c r="G72" i="7"/>
  <c r="F72" i="7"/>
  <c r="E72" i="7"/>
  <c r="D72" i="7"/>
  <c r="C72" i="7"/>
  <c r="B72" i="7"/>
  <c r="A72" i="7"/>
  <c r="R71" i="7"/>
  <c r="Q71" i="7"/>
  <c r="P71" i="7"/>
  <c r="O71" i="7"/>
  <c r="N71" i="7"/>
  <c r="M71" i="7"/>
  <c r="L71" i="7"/>
  <c r="K71" i="7"/>
  <c r="J71" i="7"/>
  <c r="I71" i="7"/>
  <c r="H71" i="7"/>
  <c r="G71" i="7"/>
  <c r="F71" i="7"/>
  <c r="E71" i="7"/>
  <c r="D71" i="7"/>
  <c r="C71" i="7"/>
  <c r="B71" i="7"/>
  <c r="A71" i="7"/>
  <c r="R70" i="7"/>
  <c r="Q70" i="7"/>
  <c r="P70" i="7"/>
  <c r="O70" i="7"/>
  <c r="N70" i="7"/>
  <c r="M70" i="7"/>
  <c r="L70" i="7"/>
  <c r="K70" i="7"/>
  <c r="J70" i="7"/>
  <c r="I70" i="7"/>
  <c r="H70" i="7"/>
  <c r="G70" i="7"/>
  <c r="F70" i="7"/>
  <c r="E70" i="7"/>
  <c r="D70" i="7"/>
  <c r="C70" i="7"/>
  <c r="B70" i="7"/>
  <c r="A70" i="7"/>
  <c r="R69" i="7"/>
  <c r="Q69" i="7"/>
  <c r="P69" i="7"/>
  <c r="O69" i="7"/>
  <c r="N69" i="7"/>
  <c r="M69" i="7"/>
  <c r="L69" i="7"/>
  <c r="K69" i="7"/>
  <c r="J69" i="7"/>
  <c r="I69" i="7"/>
  <c r="H69" i="7"/>
  <c r="G69" i="7"/>
  <c r="F69" i="7"/>
  <c r="E69" i="7"/>
  <c r="D69" i="7"/>
  <c r="C69" i="7"/>
  <c r="B69" i="7"/>
  <c r="A69" i="7"/>
  <c r="R68" i="7"/>
  <c r="Q68" i="7"/>
  <c r="P68" i="7"/>
  <c r="O68" i="7"/>
  <c r="N68" i="7"/>
  <c r="M68" i="7"/>
  <c r="L68" i="7"/>
  <c r="K68" i="7"/>
  <c r="J68" i="7"/>
  <c r="I68" i="7"/>
  <c r="H68" i="7"/>
  <c r="G68" i="7"/>
  <c r="F68" i="7"/>
  <c r="E68" i="7"/>
  <c r="D68" i="7"/>
  <c r="C68" i="7"/>
  <c r="B68" i="7"/>
  <c r="A68" i="7"/>
  <c r="R67" i="7"/>
  <c r="Q67" i="7"/>
  <c r="P67" i="7"/>
  <c r="O67" i="7"/>
  <c r="N67" i="7"/>
  <c r="M67" i="7"/>
  <c r="L67" i="7"/>
  <c r="K67" i="7"/>
  <c r="J67" i="7"/>
  <c r="I67" i="7"/>
  <c r="H67" i="7"/>
  <c r="G67" i="7"/>
  <c r="F67" i="7"/>
  <c r="E67" i="7"/>
  <c r="D67" i="7"/>
  <c r="C67" i="7"/>
  <c r="B67" i="7"/>
  <c r="A67" i="7"/>
  <c r="R66" i="7"/>
  <c r="Q66" i="7"/>
  <c r="P66" i="7"/>
  <c r="O66" i="7"/>
  <c r="N66" i="7"/>
  <c r="M66" i="7"/>
  <c r="L66" i="7"/>
  <c r="K66" i="7"/>
  <c r="J66" i="7"/>
  <c r="I66" i="7"/>
  <c r="H66" i="7"/>
  <c r="G66" i="7"/>
  <c r="F66" i="7"/>
  <c r="E66" i="7"/>
  <c r="D66" i="7"/>
  <c r="C66" i="7"/>
  <c r="B66" i="7"/>
  <c r="A66" i="7"/>
  <c r="R65" i="7"/>
  <c r="Q65" i="7"/>
  <c r="P65" i="7"/>
  <c r="O65" i="7"/>
  <c r="N65" i="7"/>
  <c r="M65" i="7"/>
  <c r="L65" i="7"/>
  <c r="K65" i="7"/>
  <c r="J65" i="7"/>
  <c r="I65" i="7"/>
  <c r="H65" i="7"/>
  <c r="G65" i="7"/>
  <c r="F65" i="7"/>
  <c r="E65" i="7"/>
  <c r="D65" i="7"/>
  <c r="C65" i="7"/>
  <c r="B65" i="7"/>
  <c r="A65" i="7"/>
  <c r="R64" i="7"/>
  <c r="Q64" i="7"/>
  <c r="P64" i="7"/>
  <c r="O64" i="7"/>
  <c r="N64" i="7"/>
  <c r="M64" i="7"/>
  <c r="L64" i="7"/>
  <c r="K64" i="7"/>
  <c r="J64" i="7"/>
  <c r="I64" i="7"/>
  <c r="H64" i="7"/>
  <c r="G64" i="7"/>
  <c r="F64" i="7"/>
  <c r="E64" i="7"/>
  <c r="D64" i="7"/>
  <c r="C64" i="7"/>
  <c r="B64" i="7"/>
  <c r="A64" i="7"/>
  <c r="R63" i="7"/>
  <c r="Q63" i="7"/>
  <c r="P63" i="7"/>
  <c r="O63" i="7"/>
  <c r="N63" i="7"/>
  <c r="M63" i="7"/>
  <c r="L63" i="7"/>
  <c r="K63" i="7"/>
  <c r="J63" i="7"/>
  <c r="I63" i="7"/>
  <c r="H63" i="7"/>
  <c r="G63" i="7"/>
  <c r="F63" i="7"/>
  <c r="E63" i="7"/>
  <c r="D63" i="7"/>
  <c r="C63" i="7"/>
  <c r="B63" i="7"/>
  <c r="A63" i="7"/>
  <c r="R62" i="7"/>
  <c r="Q62" i="7"/>
  <c r="P62" i="7"/>
  <c r="O62" i="7"/>
  <c r="N62" i="7"/>
  <c r="M62" i="7"/>
  <c r="L62" i="7"/>
  <c r="K62" i="7"/>
  <c r="J62" i="7"/>
  <c r="I62" i="7"/>
  <c r="H62" i="7"/>
  <c r="G62" i="7"/>
  <c r="F62" i="7"/>
  <c r="E62" i="7"/>
  <c r="D62" i="7"/>
  <c r="C62" i="7"/>
  <c r="B62" i="7"/>
  <c r="A62" i="7"/>
  <c r="R61" i="7"/>
  <c r="Q61" i="7"/>
  <c r="P61" i="7"/>
  <c r="O61" i="7"/>
  <c r="N61" i="7"/>
  <c r="M61" i="7"/>
  <c r="L61" i="7"/>
  <c r="K61" i="7"/>
  <c r="J61" i="7"/>
  <c r="I61" i="7"/>
  <c r="H61" i="7"/>
  <c r="G61" i="7"/>
  <c r="F61" i="7"/>
  <c r="E61" i="7"/>
  <c r="D61" i="7"/>
  <c r="C61" i="7"/>
  <c r="B61" i="7"/>
  <c r="A61" i="7"/>
  <c r="R60" i="7"/>
  <c r="Q60" i="7"/>
  <c r="P60" i="7"/>
  <c r="O60" i="7"/>
  <c r="N60" i="7"/>
  <c r="M60" i="7"/>
  <c r="L60" i="7"/>
  <c r="K60" i="7"/>
  <c r="J60" i="7"/>
  <c r="I60" i="7"/>
  <c r="H60" i="7"/>
  <c r="G60" i="7"/>
  <c r="F60" i="7"/>
  <c r="E60" i="7"/>
  <c r="D60" i="7"/>
  <c r="C60" i="7"/>
  <c r="B60" i="7"/>
  <c r="A60" i="7"/>
  <c r="R59" i="7"/>
  <c r="Q59" i="7"/>
  <c r="P59" i="7"/>
  <c r="O59" i="7"/>
  <c r="N59" i="7"/>
  <c r="M59" i="7"/>
  <c r="L59" i="7"/>
  <c r="K59" i="7"/>
  <c r="J59" i="7"/>
  <c r="I59" i="7"/>
  <c r="H59" i="7"/>
  <c r="G59" i="7"/>
  <c r="F59" i="7"/>
  <c r="E59" i="7"/>
  <c r="D59" i="7"/>
  <c r="C59" i="7"/>
  <c r="B59" i="7"/>
  <c r="A59" i="7"/>
  <c r="R58" i="7"/>
  <c r="Q58" i="7"/>
  <c r="P58" i="7"/>
  <c r="O58" i="7"/>
  <c r="N58" i="7"/>
  <c r="M58" i="7"/>
  <c r="L58" i="7"/>
  <c r="K58" i="7"/>
  <c r="J58" i="7"/>
  <c r="I58" i="7"/>
  <c r="H58" i="7"/>
  <c r="G58" i="7"/>
  <c r="F58" i="7"/>
  <c r="E58" i="7"/>
  <c r="D58" i="7"/>
  <c r="C58" i="7"/>
  <c r="B58" i="7"/>
  <c r="A58" i="7"/>
  <c r="R57" i="7"/>
  <c r="Q57" i="7"/>
  <c r="P57" i="7"/>
  <c r="O57" i="7"/>
  <c r="N57" i="7"/>
  <c r="M57" i="7"/>
  <c r="L57" i="7"/>
  <c r="K57" i="7"/>
  <c r="J57" i="7"/>
  <c r="I57" i="7"/>
  <c r="H57" i="7"/>
  <c r="G57" i="7"/>
  <c r="F57" i="7"/>
  <c r="E57" i="7"/>
  <c r="D57" i="7"/>
  <c r="C57" i="7"/>
  <c r="B57" i="7"/>
  <c r="A57" i="7"/>
  <c r="R56" i="7"/>
  <c r="Q56" i="7"/>
  <c r="P56" i="7"/>
  <c r="O56" i="7"/>
  <c r="N56" i="7"/>
  <c r="M56" i="7"/>
  <c r="L56" i="7"/>
  <c r="K56" i="7"/>
  <c r="J56" i="7"/>
  <c r="I56" i="7"/>
  <c r="H56" i="7"/>
  <c r="G56" i="7"/>
  <c r="F56" i="7"/>
  <c r="E56" i="7"/>
  <c r="D56" i="7"/>
  <c r="C56" i="7"/>
  <c r="B56" i="7"/>
  <c r="A56" i="7"/>
  <c r="R55" i="7"/>
  <c r="Q55" i="7"/>
  <c r="P55" i="7"/>
  <c r="O55" i="7"/>
  <c r="N55" i="7"/>
  <c r="M55" i="7"/>
  <c r="L55" i="7"/>
  <c r="K55" i="7"/>
  <c r="J55" i="7"/>
  <c r="I55" i="7"/>
  <c r="H55" i="7"/>
  <c r="G55" i="7"/>
  <c r="F55" i="7"/>
  <c r="E55" i="7"/>
  <c r="D55" i="7"/>
  <c r="C55" i="7"/>
  <c r="B55" i="7"/>
  <c r="A55" i="7"/>
  <c r="R54" i="7"/>
  <c r="Q54" i="7"/>
  <c r="P54" i="7"/>
  <c r="O54" i="7"/>
  <c r="N54" i="7"/>
  <c r="M54" i="7"/>
  <c r="L54" i="7"/>
  <c r="K54" i="7"/>
  <c r="J54" i="7"/>
  <c r="I54" i="7"/>
  <c r="H54" i="7"/>
  <c r="G54" i="7"/>
  <c r="F54" i="7"/>
  <c r="E54" i="7"/>
  <c r="D54" i="7"/>
  <c r="C54" i="7"/>
  <c r="B54" i="7"/>
  <c r="A54" i="7"/>
  <c r="R53" i="7"/>
  <c r="Q53" i="7"/>
  <c r="P53" i="7"/>
  <c r="O53" i="7"/>
  <c r="N53" i="7"/>
  <c r="M53" i="7"/>
  <c r="L53" i="7"/>
  <c r="K53" i="7"/>
  <c r="J53" i="7"/>
  <c r="I53" i="7"/>
  <c r="H53" i="7"/>
  <c r="G53" i="7"/>
  <c r="F53" i="7"/>
  <c r="E53" i="7"/>
  <c r="D53" i="7"/>
  <c r="C53" i="7"/>
  <c r="B53" i="7"/>
  <c r="A53" i="7"/>
  <c r="R52" i="7"/>
  <c r="Q52" i="7"/>
  <c r="P52" i="7"/>
  <c r="O52" i="7"/>
  <c r="N52" i="7"/>
  <c r="M52" i="7"/>
  <c r="L52" i="7"/>
  <c r="K52" i="7"/>
  <c r="J52" i="7"/>
  <c r="I52" i="7"/>
  <c r="H52" i="7"/>
  <c r="G52" i="7"/>
  <c r="F52" i="7"/>
  <c r="E52" i="7"/>
  <c r="D52" i="7"/>
  <c r="C52" i="7"/>
  <c r="B52" i="7"/>
  <c r="A52" i="7"/>
  <c r="R51" i="7"/>
  <c r="Q51" i="7"/>
  <c r="P51" i="7"/>
  <c r="O51" i="7"/>
  <c r="N51" i="7"/>
  <c r="M51" i="7"/>
  <c r="L51" i="7"/>
  <c r="K51" i="7"/>
  <c r="J51" i="7"/>
  <c r="I51" i="7"/>
  <c r="H51" i="7"/>
  <c r="G51" i="7"/>
  <c r="F51" i="7"/>
  <c r="E51" i="7"/>
  <c r="D51" i="7"/>
  <c r="C51" i="7"/>
  <c r="B51" i="7"/>
  <c r="A51" i="7"/>
  <c r="R50" i="7"/>
  <c r="Q50" i="7"/>
  <c r="P50" i="7"/>
  <c r="O50" i="7"/>
  <c r="N50" i="7"/>
  <c r="M50" i="7"/>
  <c r="L50" i="7"/>
  <c r="K50" i="7"/>
  <c r="J50" i="7"/>
  <c r="I50" i="7"/>
  <c r="H50" i="7"/>
  <c r="G50" i="7"/>
  <c r="F50" i="7"/>
  <c r="E50" i="7"/>
  <c r="D50" i="7"/>
  <c r="C50" i="7"/>
  <c r="B50" i="7"/>
  <c r="A50" i="7"/>
  <c r="R49" i="7"/>
  <c r="Q49" i="7"/>
  <c r="P49" i="7"/>
  <c r="O49" i="7"/>
  <c r="N49" i="7"/>
  <c r="M49" i="7"/>
  <c r="L49" i="7"/>
  <c r="K49" i="7"/>
  <c r="J49" i="7"/>
  <c r="I49" i="7"/>
  <c r="H49" i="7"/>
  <c r="G49" i="7"/>
  <c r="F49" i="7"/>
  <c r="E49" i="7"/>
  <c r="D49" i="7"/>
  <c r="C49" i="7"/>
  <c r="B49" i="7"/>
  <c r="A49" i="7"/>
  <c r="R48" i="7"/>
  <c r="Q48" i="7"/>
  <c r="P48" i="7"/>
  <c r="O48" i="7"/>
  <c r="N48" i="7"/>
  <c r="M48" i="7"/>
  <c r="L48" i="7"/>
  <c r="K48" i="7"/>
  <c r="J48" i="7"/>
  <c r="I48" i="7"/>
  <c r="H48" i="7"/>
  <c r="G48" i="7"/>
  <c r="F48" i="7"/>
  <c r="E48" i="7"/>
  <c r="D48" i="7"/>
  <c r="C48" i="7"/>
  <c r="B48" i="7"/>
  <c r="A48" i="7"/>
  <c r="R47" i="7"/>
  <c r="Q47" i="7"/>
  <c r="P47" i="7"/>
  <c r="O47" i="7"/>
  <c r="N47" i="7"/>
  <c r="M47" i="7"/>
  <c r="L47" i="7"/>
  <c r="K47" i="7"/>
  <c r="J47" i="7"/>
  <c r="I47" i="7"/>
  <c r="H47" i="7"/>
  <c r="G47" i="7"/>
  <c r="F47" i="7"/>
  <c r="E47" i="7"/>
  <c r="D47" i="7"/>
  <c r="C47" i="7"/>
  <c r="B47" i="7"/>
  <c r="A47" i="7"/>
  <c r="R46" i="7"/>
  <c r="Q46" i="7"/>
  <c r="P46" i="7"/>
  <c r="O46" i="7"/>
  <c r="N46" i="7"/>
  <c r="M46" i="7"/>
  <c r="L46" i="7"/>
  <c r="K46" i="7"/>
  <c r="J46" i="7"/>
  <c r="I46" i="7"/>
  <c r="H46" i="7"/>
  <c r="G46" i="7"/>
  <c r="F46" i="7"/>
  <c r="E46" i="7"/>
  <c r="D46" i="7"/>
  <c r="C46" i="7"/>
  <c r="B46" i="7"/>
  <c r="A46" i="7"/>
  <c r="R45" i="7"/>
  <c r="Q45" i="7"/>
  <c r="P45" i="7"/>
  <c r="O45" i="7"/>
  <c r="N45" i="7"/>
  <c r="M45" i="7"/>
  <c r="L45" i="7"/>
  <c r="K45" i="7"/>
  <c r="J45" i="7"/>
  <c r="I45" i="7"/>
  <c r="H45" i="7"/>
  <c r="G45" i="7"/>
  <c r="F45" i="7"/>
  <c r="E45" i="7"/>
  <c r="D45" i="7"/>
  <c r="C45" i="7"/>
  <c r="B45" i="7"/>
  <c r="A45" i="7"/>
  <c r="R44" i="7"/>
  <c r="Q44" i="7"/>
  <c r="P44" i="7"/>
  <c r="O44" i="7"/>
  <c r="N44" i="7"/>
  <c r="M44" i="7"/>
  <c r="L44" i="7"/>
  <c r="K44" i="7"/>
  <c r="J44" i="7"/>
  <c r="I44" i="7"/>
  <c r="H44" i="7"/>
  <c r="G44" i="7"/>
  <c r="F44" i="7"/>
  <c r="E44" i="7"/>
  <c r="D44" i="7"/>
  <c r="C44" i="7"/>
  <c r="B44" i="7"/>
  <c r="A44" i="7"/>
  <c r="R43" i="7"/>
  <c r="Q43" i="7"/>
  <c r="P43" i="7"/>
  <c r="O43" i="7"/>
  <c r="N43" i="7"/>
  <c r="M43" i="7"/>
  <c r="L43" i="7"/>
  <c r="K43" i="7"/>
  <c r="J43" i="7"/>
  <c r="I43" i="7"/>
  <c r="H43" i="7"/>
  <c r="G43" i="7"/>
  <c r="F43" i="7"/>
  <c r="E43" i="7"/>
  <c r="D43" i="7"/>
  <c r="C43" i="7"/>
  <c r="B43" i="7"/>
  <c r="A43" i="7"/>
  <c r="R42" i="7"/>
  <c r="Q42" i="7"/>
  <c r="P42" i="7"/>
  <c r="O42" i="7"/>
  <c r="N42" i="7"/>
  <c r="M42" i="7"/>
  <c r="L42" i="7"/>
  <c r="K42" i="7"/>
  <c r="J42" i="7"/>
  <c r="I42" i="7"/>
  <c r="H42" i="7"/>
  <c r="G42" i="7"/>
  <c r="F42" i="7"/>
  <c r="E42" i="7"/>
  <c r="D42" i="7"/>
  <c r="C42" i="7"/>
  <c r="B42" i="7"/>
  <c r="A42" i="7"/>
  <c r="R41" i="7"/>
  <c r="Q41" i="7"/>
  <c r="P41" i="7"/>
  <c r="O41" i="7"/>
  <c r="N41" i="7"/>
  <c r="M41" i="7"/>
  <c r="L41" i="7"/>
  <c r="K41" i="7"/>
  <c r="J41" i="7"/>
  <c r="I41" i="7"/>
  <c r="H41" i="7"/>
  <c r="G41" i="7"/>
  <c r="F41" i="7"/>
  <c r="E41" i="7"/>
  <c r="D41" i="7"/>
  <c r="C41" i="7"/>
  <c r="B41" i="7"/>
  <c r="A41" i="7"/>
  <c r="R40" i="7"/>
  <c r="Q40" i="7"/>
  <c r="P40" i="7"/>
  <c r="O40" i="7"/>
  <c r="N40" i="7"/>
  <c r="M40" i="7"/>
  <c r="L40" i="7"/>
  <c r="K40" i="7"/>
  <c r="J40" i="7"/>
  <c r="I40" i="7"/>
  <c r="H40" i="7"/>
  <c r="G40" i="7"/>
  <c r="F40" i="7"/>
  <c r="E40" i="7"/>
  <c r="D40" i="7"/>
  <c r="C40" i="7"/>
  <c r="B40" i="7"/>
  <c r="A40" i="7"/>
  <c r="R39" i="7"/>
  <c r="Q39" i="7"/>
  <c r="P39" i="7"/>
  <c r="O39" i="7"/>
  <c r="N39" i="7"/>
  <c r="M39" i="7"/>
  <c r="L39" i="7"/>
  <c r="K39" i="7"/>
  <c r="J39" i="7"/>
  <c r="I39" i="7"/>
  <c r="H39" i="7"/>
  <c r="G39" i="7"/>
  <c r="F39" i="7"/>
  <c r="E39" i="7"/>
  <c r="D39" i="7"/>
  <c r="C39" i="7"/>
  <c r="B39" i="7"/>
  <c r="A39" i="7"/>
  <c r="R38" i="7"/>
  <c r="Q38" i="7"/>
  <c r="P38" i="7"/>
  <c r="O38" i="7"/>
  <c r="N38" i="7"/>
  <c r="M38" i="7"/>
  <c r="L38" i="7"/>
  <c r="K38" i="7"/>
  <c r="J38" i="7"/>
  <c r="I38" i="7"/>
  <c r="H38" i="7"/>
  <c r="G38" i="7"/>
  <c r="F38" i="7"/>
  <c r="E38" i="7"/>
  <c r="D38" i="7"/>
  <c r="C38" i="7"/>
  <c r="B38" i="7"/>
  <c r="A38" i="7"/>
  <c r="R37" i="7"/>
  <c r="Q37" i="7"/>
  <c r="P37" i="7"/>
  <c r="O37" i="7"/>
  <c r="N37" i="7"/>
  <c r="M37" i="7"/>
  <c r="L37" i="7"/>
  <c r="K37" i="7"/>
  <c r="J37" i="7"/>
  <c r="I37" i="7"/>
  <c r="H37" i="7"/>
  <c r="G37" i="7"/>
  <c r="F37" i="7"/>
  <c r="E37" i="7"/>
  <c r="D37" i="7"/>
  <c r="C37" i="7"/>
  <c r="B37" i="7"/>
  <c r="A37" i="7"/>
  <c r="R36" i="7"/>
  <c r="Q36" i="7"/>
  <c r="P36" i="7"/>
  <c r="O36" i="7"/>
  <c r="N36" i="7"/>
  <c r="M36" i="7"/>
  <c r="L36" i="7"/>
  <c r="K36" i="7"/>
  <c r="J36" i="7"/>
  <c r="I36" i="7"/>
  <c r="H36" i="7"/>
  <c r="G36" i="7"/>
  <c r="F36" i="7"/>
  <c r="E36" i="7"/>
  <c r="D36" i="7"/>
  <c r="C36" i="7"/>
  <c r="B36" i="7"/>
  <c r="A36" i="7"/>
  <c r="R35" i="7"/>
  <c r="Q35" i="7"/>
  <c r="P35" i="7"/>
  <c r="O35" i="7"/>
  <c r="N35" i="7"/>
  <c r="M35" i="7"/>
  <c r="L35" i="7"/>
  <c r="K35" i="7"/>
  <c r="J35" i="7"/>
  <c r="I35" i="7"/>
  <c r="H35" i="7"/>
  <c r="G35" i="7"/>
  <c r="F35" i="7"/>
  <c r="E35" i="7"/>
  <c r="D35" i="7"/>
  <c r="C35" i="7"/>
  <c r="B35" i="7"/>
  <c r="A35" i="7"/>
  <c r="R34" i="7"/>
  <c r="Q34" i="7"/>
  <c r="P34" i="7"/>
  <c r="O34" i="7"/>
  <c r="N34" i="7"/>
  <c r="M34" i="7"/>
  <c r="L34" i="7"/>
  <c r="K34" i="7"/>
  <c r="J34" i="7"/>
  <c r="I34" i="7"/>
  <c r="H34" i="7"/>
  <c r="G34" i="7"/>
  <c r="F34" i="7"/>
  <c r="E34" i="7"/>
  <c r="D34" i="7"/>
  <c r="C34" i="7"/>
  <c r="B34" i="7"/>
  <c r="A34" i="7"/>
  <c r="R33" i="7"/>
  <c r="Q33" i="7"/>
  <c r="P33" i="7"/>
  <c r="O33" i="7"/>
  <c r="N33" i="7"/>
  <c r="M33" i="7"/>
  <c r="L33" i="7"/>
  <c r="K33" i="7"/>
  <c r="J33" i="7"/>
  <c r="I33" i="7"/>
  <c r="H33" i="7"/>
  <c r="G33" i="7"/>
  <c r="F33" i="7"/>
  <c r="E33" i="7"/>
  <c r="D33" i="7"/>
  <c r="C33" i="7"/>
  <c r="B33" i="7"/>
  <c r="A33" i="7"/>
  <c r="R32" i="7"/>
  <c r="Q32" i="7"/>
  <c r="P32" i="7"/>
  <c r="O32" i="7"/>
  <c r="N32" i="7"/>
  <c r="M32" i="7"/>
  <c r="L32" i="7"/>
  <c r="K32" i="7"/>
  <c r="J32" i="7"/>
  <c r="I32" i="7"/>
  <c r="H32" i="7"/>
  <c r="G32" i="7"/>
  <c r="F32" i="7"/>
  <c r="E32" i="7"/>
  <c r="D32" i="7"/>
  <c r="C32" i="7"/>
  <c r="B32" i="7"/>
  <c r="A32" i="7"/>
  <c r="R31" i="7"/>
  <c r="Q31" i="7"/>
  <c r="P31" i="7"/>
  <c r="O31" i="7"/>
  <c r="N31" i="7"/>
  <c r="M31" i="7"/>
  <c r="L31" i="7"/>
  <c r="K31" i="7"/>
  <c r="J31" i="7"/>
  <c r="I31" i="7"/>
  <c r="H31" i="7"/>
  <c r="G31" i="7"/>
  <c r="F31" i="7"/>
  <c r="E31" i="7"/>
  <c r="D31" i="7"/>
  <c r="C31" i="7"/>
  <c r="B31" i="7"/>
  <c r="A31" i="7"/>
  <c r="R30" i="7"/>
  <c r="Q30" i="7"/>
  <c r="P30" i="7"/>
  <c r="O30" i="7"/>
  <c r="N30" i="7"/>
  <c r="M30" i="7"/>
  <c r="L30" i="7"/>
  <c r="K30" i="7"/>
  <c r="J30" i="7"/>
  <c r="I30" i="7"/>
  <c r="H30" i="7"/>
  <c r="G30" i="7"/>
  <c r="F30" i="7"/>
  <c r="E30" i="7"/>
  <c r="D30" i="7"/>
  <c r="C30" i="7"/>
  <c r="B30" i="7"/>
  <c r="A30" i="7"/>
  <c r="R29" i="7"/>
  <c r="Q29" i="7"/>
  <c r="P29" i="7"/>
  <c r="O29" i="7"/>
  <c r="N29" i="7"/>
  <c r="M29" i="7"/>
  <c r="L29" i="7"/>
  <c r="K29" i="7"/>
  <c r="J29" i="7"/>
  <c r="I29" i="7"/>
  <c r="H29" i="7"/>
  <c r="G29" i="7"/>
  <c r="F29" i="7"/>
  <c r="E29" i="7"/>
  <c r="D29" i="7"/>
  <c r="C29" i="7"/>
  <c r="B29" i="7"/>
  <c r="A29" i="7"/>
  <c r="R28" i="7"/>
  <c r="Q28" i="7"/>
  <c r="P28" i="7"/>
  <c r="O28" i="7"/>
  <c r="N28" i="7"/>
  <c r="M28" i="7"/>
  <c r="L28" i="7"/>
  <c r="K28" i="7"/>
  <c r="J28" i="7"/>
  <c r="I28" i="7"/>
  <c r="H28" i="7"/>
  <c r="G28" i="7"/>
  <c r="F28" i="7"/>
  <c r="E28" i="7"/>
  <c r="D28" i="7"/>
  <c r="C28" i="7"/>
  <c r="B28" i="7"/>
  <c r="A28" i="7"/>
  <c r="R27" i="7"/>
  <c r="Q27" i="7"/>
  <c r="P27" i="7"/>
  <c r="O27" i="7"/>
  <c r="N27" i="7"/>
  <c r="M27" i="7"/>
  <c r="L27" i="7"/>
  <c r="K27" i="7"/>
  <c r="J27" i="7"/>
  <c r="I27" i="7"/>
  <c r="H27" i="7"/>
  <c r="G27" i="7"/>
  <c r="F27" i="7"/>
  <c r="E27" i="7"/>
  <c r="D27" i="7"/>
  <c r="C27" i="7"/>
  <c r="B27" i="7"/>
  <c r="A27" i="7"/>
  <c r="R26" i="7"/>
  <c r="Q26" i="7"/>
  <c r="P26" i="7"/>
  <c r="O26" i="7"/>
  <c r="N26" i="7"/>
  <c r="M26" i="7"/>
  <c r="L26" i="7"/>
  <c r="K26" i="7"/>
  <c r="J26" i="7"/>
  <c r="I26" i="7"/>
  <c r="H26" i="7"/>
  <c r="G26" i="7"/>
  <c r="F26" i="7"/>
  <c r="E26" i="7"/>
  <c r="D26" i="7"/>
  <c r="C26" i="7"/>
  <c r="B26" i="7"/>
  <c r="A26" i="7"/>
  <c r="R25" i="7"/>
  <c r="Q25" i="7"/>
  <c r="P25" i="7"/>
  <c r="O25" i="7"/>
  <c r="N25" i="7"/>
  <c r="M25" i="7"/>
  <c r="L25" i="7"/>
  <c r="K25" i="7"/>
  <c r="J25" i="7"/>
  <c r="I25" i="7"/>
  <c r="H25" i="7"/>
  <c r="G25" i="7"/>
  <c r="F25" i="7"/>
  <c r="E25" i="7"/>
  <c r="D25" i="7"/>
  <c r="C25" i="7"/>
  <c r="B25" i="7"/>
  <c r="A25" i="7"/>
  <c r="R24" i="7"/>
  <c r="Q24" i="7"/>
  <c r="P24" i="7"/>
  <c r="O24" i="7"/>
  <c r="N24" i="7"/>
  <c r="M24" i="7"/>
  <c r="L24" i="7"/>
  <c r="K24" i="7"/>
  <c r="J24" i="7"/>
  <c r="I24" i="7"/>
  <c r="H24" i="7"/>
  <c r="G24" i="7"/>
  <c r="F24" i="7"/>
  <c r="E24" i="7"/>
  <c r="D24" i="7"/>
  <c r="C24" i="7"/>
  <c r="B24" i="7"/>
  <c r="A24" i="7"/>
  <c r="R23" i="7"/>
  <c r="Q23" i="7"/>
  <c r="P23" i="7"/>
  <c r="O23" i="7"/>
  <c r="N23" i="7"/>
  <c r="M23" i="7"/>
  <c r="L23" i="7"/>
  <c r="K23" i="7"/>
  <c r="J23" i="7"/>
  <c r="I23" i="7"/>
  <c r="H23" i="7"/>
  <c r="G23" i="7"/>
  <c r="F23" i="7"/>
  <c r="E23" i="7"/>
  <c r="D23" i="7"/>
  <c r="C23" i="7"/>
  <c r="B23" i="7"/>
  <c r="A23" i="7"/>
  <c r="R22" i="7"/>
  <c r="Q22" i="7"/>
  <c r="P22" i="7"/>
  <c r="O22" i="7"/>
  <c r="N22" i="7"/>
  <c r="M22" i="7"/>
  <c r="L22" i="7"/>
  <c r="K22" i="7"/>
  <c r="J22" i="7"/>
  <c r="I22" i="7"/>
  <c r="H22" i="7"/>
  <c r="G22" i="7"/>
  <c r="F22" i="7"/>
  <c r="E22" i="7"/>
  <c r="D22" i="7"/>
  <c r="C22" i="7"/>
  <c r="B22" i="7"/>
  <c r="A22" i="7"/>
  <c r="R21" i="7"/>
  <c r="Q21" i="7"/>
  <c r="P21" i="7"/>
  <c r="O21" i="7"/>
  <c r="N21" i="7"/>
  <c r="M21" i="7"/>
  <c r="L21" i="7"/>
  <c r="K21" i="7"/>
  <c r="J21" i="7"/>
  <c r="I21" i="7"/>
  <c r="H21" i="7"/>
  <c r="G21" i="7"/>
  <c r="F21" i="7"/>
  <c r="E21" i="7"/>
  <c r="D21" i="7"/>
  <c r="C21" i="7"/>
  <c r="B21" i="7"/>
  <c r="A21" i="7"/>
  <c r="R20" i="7"/>
  <c r="Q20" i="7"/>
  <c r="P20" i="7"/>
  <c r="O20" i="7"/>
  <c r="N20" i="7"/>
  <c r="M20" i="7"/>
  <c r="L20" i="7"/>
  <c r="K20" i="7"/>
  <c r="J20" i="7"/>
  <c r="I20" i="7"/>
  <c r="H20" i="7"/>
  <c r="G20" i="7"/>
  <c r="F20" i="7"/>
  <c r="E20" i="7"/>
  <c r="D20" i="7"/>
  <c r="C20" i="7"/>
  <c r="B20" i="7"/>
  <c r="A20" i="7"/>
  <c r="R19" i="7"/>
  <c r="Q19" i="7"/>
  <c r="P19" i="7"/>
  <c r="O19" i="7"/>
  <c r="N19" i="7"/>
  <c r="M19" i="7"/>
  <c r="L19" i="7"/>
  <c r="K19" i="7"/>
  <c r="J19" i="7"/>
  <c r="I19" i="7"/>
  <c r="H19" i="7"/>
  <c r="G19" i="7"/>
  <c r="F19" i="7"/>
  <c r="E19" i="7"/>
  <c r="D19" i="7"/>
  <c r="C19" i="7"/>
  <c r="B19" i="7"/>
  <c r="A19" i="7"/>
  <c r="R18" i="7"/>
  <c r="Q18" i="7"/>
  <c r="P18" i="7"/>
  <c r="O18" i="7"/>
  <c r="N18" i="7"/>
  <c r="M18" i="7"/>
  <c r="L18" i="7"/>
  <c r="K18" i="7"/>
  <c r="J18" i="7"/>
  <c r="I18" i="7"/>
  <c r="H18" i="7"/>
  <c r="G18" i="7"/>
  <c r="F18" i="7"/>
  <c r="E18" i="7"/>
  <c r="D18" i="7"/>
  <c r="C18" i="7"/>
  <c r="B18" i="7"/>
  <c r="A18" i="7"/>
  <c r="R17" i="7"/>
  <c r="Q17" i="7"/>
  <c r="P17" i="7"/>
  <c r="O17" i="7"/>
  <c r="N17" i="7"/>
  <c r="M17" i="7"/>
  <c r="L17" i="7"/>
  <c r="K17" i="7"/>
  <c r="J17" i="7"/>
  <c r="I17" i="7"/>
  <c r="H17" i="7"/>
  <c r="G17" i="7"/>
  <c r="F17" i="7"/>
  <c r="E17" i="7"/>
  <c r="D17" i="7"/>
  <c r="C17" i="7"/>
  <c r="B17" i="7"/>
  <c r="A17" i="7"/>
  <c r="R16" i="7"/>
  <c r="Q16" i="7"/>
  <c r="P16" i="7"/>
  <c r="O16" i="7"/>
  <c r="N16" i="7"/>
  <c r="M16" i="7"/>
  <c r="L16" i="7"/>
  <c r="K16" i="7"/>
  <c r="J16" i="7"/>
  <c r="I16" i="7"/>
  <c r="H16" i="7"/>
  <c r="G16" i="7"/>
  <c r="F16" i="7"/>
  <c r="E16" i="7"/>
  <c r="D16" i="7"/>
  <c r="C16" i="7"/>
  <c r="B16" i="7"/>
  <c r="A16" i="7"/>
  <c r="R15" i="7"/>
  <c r="Q15" i="7"/>
  <c r="P15" i="7"/>
  <c r="O15" i="7"/>
  <c r="N15" i="7"/>
  <c r="M15" i="7"/>
  <c r="L15" i="7"/>
  <c r="K15" i="7"/>
  <c r="J15" i="7"/>
  <c r="I15" i="7"/>
  <c r="H15" i="7"/>
  <c r="G15" i="7"/>
  <c r="F15" i="7"/>
  <c r="E15" i="7"/>
  <c r="D15" i="7"/>
  <c r="C15" i="7"/>
  <c r="B15" i="7"/>
  <c r="A15" i="7"/>
  <c r="R14" i="7"/>
  <c r="Q14" i="7"/>
  <c r="P14" i="7"/>
  <c r="O14" i="7"/>
  <c r="N14" i="7"/>
  <c r="M14" i="7"/>
  <c r="L14" i="7"/>
  <c r="K14" i="7"/>
  <c r="J14" i="7"/>
  <c r="I14" i="7"/>
  <c r="H14" i="7"/>
  <c r="G14" i="7"/>
  <c r="F14" i="7"/>
  <c r="E14" i="7"/>
  <c r="D14" i="7"/>
  <c r="C14" i="7"/>
  <c r="B14" i="7"/>
  <c r="A14" i="7"/>
  <c r="R13" i="7"/>
  <c r="Q13" i="7"/>
  <c r="P13" i="7"/>
  <c r="O13" i="7"/>
  <c r="N13" i="7"/>
  <c r="M13" i="7"/>
  <c r="L13" i="7"/>
  <c r="K13" i="7"/>
  <c r="J13" i="7"/>
  <c r="I13" i="7"/>
  <c r="H13" i="7"/>
  <c r="G13" i="7"/>
  <c r="F13" i="7"/>
  <c r="E13" i="7"/>
  <c r="D13" i="7"/>
  <c r="C13" i="7"/>
  <c r="B13" i="7"/>
  <c r="A13" i="7"/>
  <c r="R12" i="7"/>
  <c r="Q12" i="7"/>
  <c r="P12" i="7"/>
  <c r="O12" i="7"/>
  <c r="N12" i="7"/>
  <c r="M12" i="7"/>
  <c r="L12" i="7"/>
  <c r="K12" i="7"/>
  <c r="J12" i="7"/>
  <c r="I12" i="7"/>
  <c r="H12" i="7"/>
  <c r="G12" i="7"/>
  <c r="F12" i="7"/>
  <c r="E12" i="7"/>
  <c r="D12" i="7"/>
  <c r="C12" i="7"/>
  <c r="B12" i="7"/>
  <c r="A12" i="7"/>
  <c r="R11" i="7"/>
  <c r="Q11" i="7"/>
  <c r="P11" i="7"/>
  <c r="O11" i="7"/>
  <c r="N11" i="7"/>
  <c r="M11" i="7"/>
  <c r="L11" i="7"/>
  <c r="K11" i="7"/>
  <c r="J11" i="7"/>
  <c r="I11" i="7"/>
  <c r="H11" i="7"/>
  <c r="G11" i="7"/>
  <c r="F11" i="7"/>
  <c r="E11" i="7"/>
  <c r="D11" i="7"/>
  <c r="C11" i="7"/>
  <c r="B11" i="7"/>
  <c r="A11" i="7"/>
  <c r="R10" i="7"/>
  <c r="Q10" i="7"/>
  <c r="P10" i="7"/>
  <c r="O10" i="7"/>
  <c r="N10" i="7"/>
  <c r="M10" i="7"/>
  <c r="L10" i="7"/>
  <c r="K10" i="7"/>
  <c r="J10" i="7"/>
  <c r="I10" i="7"/>
  <c r="H10" i="7"/>
  <c r="G10" i="7"/>
  <c r="F10" i="7"/>
  <c r="E10" i="7"/>
  <c r="D10" i="7"/>
  <c r="C10" i="7"/>
  <c r="B10" i="7"/>
  <c r="A10" i="7"/>
  <c r="R9" i="7"/>
  <c r="Q9" i="7"/>
  <c r="P9" i="7"/>
  <c r="O9" i="7"/>
  <c r="N9" i="7"/>
  <c r="M9" i="7"/>
  <c r="L9" i="7"/>
  <c r="K9" i="7"/>
  <c r="J9" i="7"/>
  <c r="I9" i="7"/>
  <c r="H9" i="7"/>
  <c r="G9" i="7"/>
  <c r="F9" i="7"/>
  <c r="E9" i="7"/>
  <c r="D9" i="7"/>
  <c r="C9" i="7"/>
  <c r="B9" i="7"/>
  <c r="A9" i="7"/>
  <c r="R8" i="7"/>
  <c r="Q8" i="7"/>
  <c r="P8" i="7"/>
  <c r="O8" i="7"/>
  <c r="N8" i="7"/>
  <c r="M8" i="7"/>
  <c r="L8" i="7"/>
  <c r="K8" i="7"/>
  <c r="J8" i="7"/>
  <c r="I8" i="7"/>
  <c r="H8" i="7"/>
  <c r="G8" i="7"/>
  <c r="F8" i="7"/>
  <c r="E8" i="7"/>
  <c r="D8" i="7"/>
  <c r="C8" i="7"/>
  <c r="B8" i="7"/>
  <c r="A8" i="7"/>
  <c r="R7" i="7"/>
  <c r="Q7" i="7"/>
  <c r="P7" i="7"/>
  <c r="O7" i="7"/>
  <c r="N7" i="7"/>
  <c r="M7" i="7"/>
  <c r="L7" i="7"/>
  <c r="K7" i="7"/>
  <c r="J7" i="7"/>
  <c r="I7" i="7"/>
  <c r="H7" i="7"/>
  <c r="G7" i="7"/>
  <c r="F7" i="7"/>
  <c r="E7" i="7"/>
  <c r="D7" i="7"/>
  <c r="C7" i="7"/>
  <c r="B7" i="7"/>
  <c r="A7" i="7"/>
  <c r="R6" i="7"/>
  <c r="Q6" i="7"/>
  <c r="P6" i="7"/>
  <c r="O6" i="7"/>
  <c r="N6" i="7"/>
  <c r="M6" i="7"/>
  <c r="L6" i="7"/>
  <c r="K6" i="7"/>
  <c r="J6" i="7"/>
  <c r="I6" i="7"/>
  <c r="H6" i="7"/>
  <c r="G6" i="7"/>
  <c r="F6" i="7"/>
  <c r="E6" i="7"/>
  <c r="D6" i="7"/>
  <c r="C6" i="7"/>
  <c r="B6" i="7"/>
  <c r="A6" i="7"/>
  <c r="R5" i="7"/>
  <c r="Q5" i="7"/>
  <c r="P5" i="7"/>
  <c r="O5" i="7"/>
  <c r="N5" i="7"/>
  <c r="M5" i="7"/>
  <c r="L5" i="7"/>
  <c r="K5" i="7"/>
  <c r="J5" i="7"/>
  <c r="I5" i="7"/>
  <c r="H5" i="7"/>
  <c r="G5" i="7"/>
  <c r="F5" i="7"/>
  <c r="E5" i="7"/>
  <c r="D5" i="7"/>
  <c r="C5" i="7"/>
  <c r="B5" i="7"/>
  <c r="A5" i="7"/>
  <c r="R4" i="7"/>
  <c r="Q4" i="7"/>
  <c r="P4" i="7"/>
  <c r="O4" i="7"/>
  <c r="N4" i="7"/>
  <c r="M4" i="7"/>
  <c r="L4" i="7"/>
  <c r="K4" i="7"/>
  <c r="J4" i="7"/>
  <c r="I4" i="7"/>
  <c r="H4" i="7"/>
  <c r="G4" i="7"/>
  <c r="F4" i="7"/>
  <c r="E4" i="7"/>
  <c r="D4" i="7"/>
  <c r="C4" i="7"/>
  <c r="B4" i="7"/>
  <c r="A4" i="7"/>
  <c r="R3" i="7"/>
  <c r="Q3" i="7"/>
  <c r="P3" i="7"/>
  <c r="O3" i="7"/>
  <c r="N3" i="7"/>
  <c r="M3" i="7"/>
  <c r="L3" i="7"/>
  <c r="K3" i="7"/>
  <c r="J3" i="7"/>
  <c r="I3" i="7"/>
  <c r="H3" i="7"/>
  <c r="G3" i="7"/>
  <c r="F3" i="7"/>
  <c r="E3" i="7"/>
  <c r="D3" i="7"/>
  <c r="C3" i="7"/>
  <c r="B3" i="7"/>
  <c r="A3" i="7"/>
  <c r="R2" i="7"/>
  <c r="Q2" i="7"/>
  <c r="P2" i="7"/>
  <c r="O2" i="7"/>
  <c r="N2" i="7"/>
  <c r="M2" i="7"/>
  <c r="L2" i="7"/>
  <c r="K2" i="7"/>
  <c r="J2" i="7"/>
  <c r="I2" i="7"/>
  <c r="H2" i="7"/>
  <c r="G2" i="7"/>
  <c r="F2" i="7"/>
  <c r="E2" i="7"/>
  <c r="D2" i="7"/>
  <c r="C2" i="7"/>
  <c r="B2" i="7"/>
  <c r="A2" i="7"/>
  <c r="R1" i="7"/>
  <c r="Q1" i="7"/>
  <c r="P1" i="7"/>
  <c r="O1" i="7"/>
  <c r="N1" i="7"/>
  <c r="M1" i="7"/>
  <c r="L1" i="7"/>
  <c r="K1" i="7"/>
  <c r="J1" i="7"/>
  <c r="I1" i="7"/>
  <c r="H1" i="7"/>
  <c r="G1" i="7"/>
  <c r="F1" i="7"/>
  <c r="E1" i="7"/>
  <c r="D1" i="7"/>
  <c r="C1" i="7"/>
  <c r="B1" i="7"/>
  <c r="A1" i="7"/>
  <c r="S104" i="6"/>
  <c r="R104" i="6"/>
  <c r="Q104" i="6"/>
  <c r="P104" i="6"/>
  <c r="O104" i="6"/>
  <c r="N104" i="6"/>
  <c r="M104" i="6"/>
  <c r="L104" i="6"/>
  <c r="K104" i="6"/>
  <c r="J104" i="6"/>
  <c r="I104" i="6"/>
  <c r="H104" i="6"/>
  <c r="G104" i="6"/>
  <c r="F104" i="6"/>
  <c r="E104" i="6"/>
  <c r="D104" i="6"/>
  <c r="C104" i="6"/>
  <c r="B104" i="6"/>
  <c r="A104" i="6"/>
  <c r="S103" i="6"/>
  <c r="R103" i="6"/>
  <c r="Q103" i="6"/>
  <c r="P103" i="6"/>
  <c r="O103" i="6"/>
  <c r="N103" i="6"/>
  <c r="M103" i="6"/>
  <c r="L103" i="6"/>
  <c r="K103" i="6"/>
  <c r="J103" i="6"/>
  <c r="I103" i="6"/>
  <c r="H103" i="6"/>
  <c r="G103" i="6"/>
  <c r="F103" i="6"/>
  <c r="E103" i="6"/>
  <c r="D103" i="6"/>
  <c r="C103" i="6"/>
  <c r="B103" i="6"/>
  <c r="A103" i="6"/>
  <c r="S102" i="6"/>
  <c r="R102" i="6"/>
  <c r="Q102" i="6"/>
  <c r="P102" i="6"/>
  <c r="O102" i="6"/>
  <c r="N102" i="6"/>
  <c r="M102" i="6"/>
  <c r="L102" i="6"/>
  <c r="K102" i="6"/>
  <c r="J102" i="6"/>
  <c r="I102" i="6"/>
  <c r="H102" i="6"/>
  <c r="G102" i="6"/>
  <c r="F102" i="6"/>
  <c r="E102" i="6"/>
  <c r="D102" i="6"/>
  <c r="C102" i="6"/>
  <c r="B102" i="6"/>
  <c r="A102" i="6"/>
  <c r="S101" i="6"/>
  <c r="R101" i="6"/>
  <c r="Q101" i="6"/>
  <c r="P101" i="6"/>
  <c r="O101" i="6"/>
  <c r="N101" i="6"/>
  <c r="M101" i="6"/>
  <c r="L101" i="6"/>
  <c r="K101" i="6"/>
  <c r="J101" i="6"/>
  <c r="I101" i="6"/>
  <c r="H101" i="6"/>
  <c r="G101" i="6"/>
  <c r="F101" i="6"/>
  <c r="E101" i="6"/>
  <c r="D101" i="6"/>
  <c r="C101" i="6"/>
  <c r="B101" i="6"/>
  <c r="A101" i="6"/>
  <c r="S100" i="6"/>
  <c r="R100" i="6"/>
  <c r="Q100" i="6"/>
  <c r="P100" i="6"/>
  <c r="O100" i="6"/>
  <c r="N100" i="6"/>
  <c r="M100" i="6"/>
  <c r="L100" i="6"/>
  <c r="K100" i="6"/>
  <c r="J100" i="6"/>
  <c r="I100" i="6"/>
  <c r="H100" i="6"/>
  <c r="G100" i="6"/>
  <c r="F100" i="6"/>
  <c r="E100" i="6"/>
  <c r="D100" i="6"/>
  <c r="C100" i="6"/>
  <c r="B100" i="6"/>
  <c r="A100" i="6"/>
  <c r="S99" i="6"/>
  <c r="R99" i="6"/>
  <c r="Q99" i="6"/>
  <c r="P99" i="6"/>
  <c r="O99" i="6"/>
  <c r="N99" i="6"/>
  <c r="M99" i="6"/>
  <c r="L99" i="6"/>
  <c r="K99" i="6"/>
  <c r="J99" i="6"/>
  <c r="I99" i="6"/>
  <c r="H99" i="6"/>
  <c r="G99" i="6"/>
  <c r="F99" i="6"/>
  <c r="E99" i="6"/>
  <c r="D99" i="6"/>
  <c r="C99" i="6"/>
  <c r="B99" i="6"/>
  <c r="A99" i="6"/>
  <c r="S98" i="6"/>
  <c r="R98" i="6"/>
  <c r="Q98" i="6"/>
  <c r="P98" i="6"/>
  <c r="O98" i="6"/>
  <c r="N98" i="6"/>
  <c r="M98" i="6"/>
  <c r="L98" i="6"/>
  <c r="K98" i="6"/>
  <c r="J98" i="6"/>
  <c r="I98" i="6"/>
  <c r="H98" i="6"/>
  <c r="G98" i="6"/>
  <c r="F98" i="6"/>
  <c r="E98" i="6"/>
  <c r="D98" i="6"/>
  <c r="C98" i="6"/>
  <c r="B98" i="6"/>
  <c r="A98" i="6"/>
  <c r="S97" i="6"/>
  <c r="R97" i="6"/>
  <c r="Q97" i="6"/>
  <c r="P97" i="6"/>
  <c r="O97" i="6"/>
  <c r="N97" i="6"/>
  <c r="M97" i="6"/>
  <c r="L97" i="6"/>
  <c r="K97" i="6"/>
  <c r="J97" i="6"/>
  <c r="I97" i="6"/>
  <c r="H97" i="6"/>
  <c r="G97" i="6"/>
  <c r="F97" i="6"/>
  <c r="E97" i="6"/>
  <c r="D97" i="6"/>
  <c r="C97" i="6"/>
  <c r="B97" i="6"/>
  <c r="A97" i="6"/>
  <c r="S96" i="6"/>
  <c r="R96" i="6"/>
  <c r="Q96" i="6"/>
  <c r="P96" i="6"/>
  <c r="O96" i="6"/>
  <c r="N96" i="6"/>
  <c r="M96" i="6"/>
  <c r="L96" i="6"/>
  <c r="K96" i="6"/>
  <c r="J96" i="6"/>
  <c r="I96" i="6"/>
  <c r="H96" i="6"/>
  <c r="G96" i="6"/>
  <c r="F96" i="6"/>
  <c r="E96" i="6"/>
  <c r="D96" i="6"/>
  <c r="C96" i="6"/>
  <c r="B96" i="6"/>
  <c r="A96" i="6"/>
  <c r="S95" i="6"/>
  <c r="R95" i="6"/>
  <c r="Q95" i="6"/>
  <c r="P95" i="6"/>
  <c r="O95" i="6"/>
  <c r="N95" i="6"/>
  <c r="M95" i="6"/>
  <c r="L95" i="6"/>
  <c r="K95" i="6"/>
  <c r="J95" i="6"/>
  <c r="I95" i="6"/>
  <c r="H95" i="6"/>
  <c r="G95" i="6"/>
  <c r="F95" i="6"/>
  <c r="E95" i="6"/>
  <c r="D95" i="6"/>
  <c r="C95" i="6"/>
  <c r="B95" i="6"/>
  <c r="A95" i="6"/>
  <c r="S94" i="6"/>
  <c r="R94" i="6"/>
  <c r="Q94" i="6"/>
  <c r="P94" i="6"/>
  <c r="O94" i="6"/>
  <c r="N94" i="6"/>
  <c r="M94" i="6"/>
  <c r="L94" i="6"/>
  <c r="K94" i="6"/>
  <c r="J94" i="6"/>
  <c r="I94" i="6"/>
  <c r="H94" i="6"/>
  <c r="G94" i="6"/>
  <c r="F94" i="6"/>
  <c r="E94" i="6"/>
  <c r="D94" i="6"/>
  <c r="C94" i="6"/>
  <c r="B94" i="6"/>
  <c r="A94" i="6"/>
  <c r="S93" i="6"/>
  <c r="R93" i="6"/>
  <c r="Q93" i="6"/>
  <c r="P93" i="6"/>
  <c r="O93" i="6"/>
  <c r="N93" i="6"/>
  <c r="M93" i="6"/>
  <c r="L93" i="6"/>
  <c r="K93" i="6"/>
  <c r="J93" i="6"/>
  <c r="I93" i="6"/>
  <c r="H93" i="6"/>
  <c r="G93" i="6"/>
  <c r="F93" i="6"/>
  <c r="E93" i="6"/>
  <c r="D93" i="6"/>
  <c r="C93" i="6"/>
  <c r="B93" i="6"/>
  <c r="A93" i="6"/>
  <c r="S92" i="6"/>
  <c r="R92" i="6"/>
  <c r="Q92" i="6"/>
  <c r="P92" i="6"/>
  <c r="O92" i="6"/>
  <c r="N92" i="6"/>
  <c r="M92" i="6"/>
  <c r="L92" i="6"/>
  <c r="K92" i="6"/>
  <c r="J92" i="6"/>
  <c r="I92" i="6"/>
  <c r="H92" i="6"/>
  <c r="G92" i="6"/>
  <c r="F92" i="6"/>
  <c r="E92" i="6"/>
  <c r="D92" i="6"/>
  <c r="C92" i="6"/>
  <c r="B92" i="6"/>
  <c r="A92" i="6"/>
  <c r="S91" i="6"/>
  <c r="R91" i="6"/>
  <c r="Q91" i="6"/>
  <c r="P91" i="6"/>
  <c r="O91" i="6"/>
  <c r="N91" i="6"/>
  <c r="M91" i="6"/>
  <c r="L91" i="6"/>
  <c r="K91" i="6"/>
  <c r="J91" i="6"/>
  <c r="I91" i="6"/>
  <c r="H91" i="6"/>
  <c r="G91" i="6"/>
  <c r="F91" i="6"/>
  <c r="E91" i="6"/>
  <c r="D91" i="6"/>
  <c r="C91" i="6"/>
  <c r="B91" i="6"/>
  <c r="A91" i="6"/>
  <c r="S90" i="6"/>
  <c r="R90" i="6"/>
  <c r="Q90" i="6"/>
  <c r="P90" i="6"/>
  <c r="O90" i="6"/>
  <c r="N90" i="6"/>
  <c r="M90" i="6"/>
  <c r="L90" i="6"/>
  <c r="K90" i="6"/>
  <c r="J90" i="6"/>
  <c r="I90" i="6"/>
  <c r="H90" i="6"/>
  <c r="G90" i="6"/>
  <c r="F90" i="6"/>
  <c r="E90" i="6"/>
  <c r="D90" i="6"/>
  <c r="C90" i="6"/>
  <c r="B90" i="6"/>
  <c r="A90" i="6"/>
  <c r="S89" i="6"/>
  <c r="R89" i="6"/>
  <c r="Q89" i="6"/>
  <c r="P89" i="6"/>
  <c r="O89" i="6"/>
  <c r="N89" i="6"/>
  <c r="M89" i="6"/>
  <c r="L89" i="6"/>
  <c r="K89" i="6"/>
  <c r="J89" i="6"/>
  <c r="I89" i="6"/>
  <c r="H89" i="6"/>
  <c r="G89" i="6"/>
  <c r="F89" i="6"/>
  <c r="E89" i="6"/>
  <c r="D89" i="6"/>
  <c r="C89" i="6"/>
  <c r="B89" i="6"/>
  <c r="A89" i="6"/>
  <c r="S88" i="6"/>
  <c r="R88" i="6"/>
  <c r="Q88" i="6"/>
  <c r="P88" i="6"/>
  <c r="O88" i="6"/>
  <c r="N88" i="6"/>
  <c r="M88" i="6"/>
  <c r="L88" i="6"/>
  <c r="K88" i="6"/>
  <c r="J88" i="6"/>
  <c r="I88" i="6"/>
  <c r="H88" i="6"/>
  <c r="G88" i="6"/>
  <c r="F88" i="6"/>
  <c r="E88" i="6"/>
  <c r="D88" i="6"/>
  <c r="C88" i="6"/>
  <c r="B88" i="6"/>
  <c r="A88" i="6"/>
  <c r="S87" i="6"/>
  <c r="R87" i="6"/>
  <c r="Q87" i="6"/>
  <c r="P87" i="6"/>
  <c r="O87" i="6"/>
  <c r="N87" i="6"/>
  <c r="M87" i="6"/>
  <c r="L87" i="6"/>
  <c r="K87" i="6"/>
  <c r="J87" i="6"/>
  <c r="I87" i="6"/>
  <c r="H87" i="6"/>
  <c r="G87" i="6"/>
  <c r="F87" i="6"/>
  <c r="E87" i="6"/>
  <c r="D87" i="6"/>
  <c r="C87" i="6"/>
  <c r="B87" i="6"/>
  <c r="A87" i="6"/>
  <c r="S86" i="6"/>
  <c r="R86" i="6"/>
  <c r="Q86" i="6"/>
  <c r="P86" i="6"/>
  <c r="O86" i="6"/>
  <c r="N86" i="6"/>
  <c r="M86" i="6"/>
  <c r="L86" i="6"/>
  <c r="K86" i="6"/>
  <c r="J86" i="6"/>
  <c r="I86" i="6"/>
  <c r="H86" i="6"/>
  <c r="G86" i="6"/>
  <c r="F86" i="6"/>
  <c r="E86" i="6"/>
  <c r="D86" i="6"/>
  <c r="C86" i="6"/>
  <c r="B86" i="6"/>
  <c r="A86" i="6"/>
  <c r="S85" i="6"/>
  <c r="R85" i="6"/>
  <c r="Q85" i="6"/>
  <c r="P85" i="6"/>
  <c r="O85" i="6"/>
  <c r="N85" i="6"/>
  <c r="M85" i="6"/>
  <c r="L85" i="6"/>
  <c r="K85" i="6"/>
  <c r="J85" i="6"/>
  <c r="I85" i="6"/>
  <c r="H85" i="6"/>
  <c r="G85" i="6"/>
  <c r="F85" i="6"/>
  <c r="E85" i="6"/>
  <c r="D85" i="6"/>
  <c r="C85" i="6"/>
  <c r="B85" i="6"/>
  <c r="A85" i="6"/>
  <c r="S84" i="6"/>
  <c r="R84" i="6"/>
  <c r="Q84" i="6"/>
  <c r="P84" i="6"/>
  <c r="O84" i="6"/>
  <c r="N84" i="6"/>
  <c r="M84" i="6"/>
  <c r="L84" i="6"/>
  <c r="K84" i="6"/>
  <c r="J84" i="6"/>
  <c r="I84" i="6"/>
  <c r="H84" i="6"/>
  <c r="G84" i="6"/>
  <c r="F84" i="6"/>
  <c r="E84" i="6"/>
  <c r="D84" i="6"/>
  <c r="C84" i="6"/>
  <c r="B84" i="6"/>
  <c r="A84" i="6"/>
  <c r="S83" i="6"/>
  <c r="R83" i="6"/>
  <c r="Q83" i="6"/>
  <c r="P83" i="6"/>
  <c r="O83" i="6"/>
  <c r="N83" i="6"/>
  <c r="M83" i="6"/>
  <c r="L83" i="6"/>
  <c r="K83" i="6"/>
  <c r="J83" i="6"/>
  <c r="I83" i="6"/>
  <c r="H83" i="6"/>
  <c r="G83" i="6"/>
  <c r="F83" i="6"/>
  <c r="E83" i="6"/>
  <c r="D83" i="6"/>
  <c r="C83" i="6"/>
  <c r="B83" i="6"/>
  <c r="A83" i="6"/>
  <c r="S82" i="6"/>
  <c r="R82" i="6"/>
  <c r="Q82" i="6"/>
  <c r="P82" i="6"/>
  <c r="O82" i="6"/>
  <c r="N82" i="6"/>
  <c r="M82" i="6"/>
  <c r="L82" i="6"/>
  <c r="K82" i="6"/>
  <c r="J82" i="6"/>
  <c r="I82" i="6"/>
  <c r="H82" i="6"/>
  <c r="G82" i="6"/>
  <c r="F82" i="6"/>
  <c r="E82" i="6"/>
  <c r="D82" i="6"/>
  <c r="C82" i="6"/>
  <c r="B82" i="6"/>
  <c r="A82" i="6"/>
  <c r="S81" i="6"/>
  <c r="R81" i="6"/>
  <c r="Q81" i="6"/>
  <c r="P81" i="6"/>
  <c r="O81" i="6"/>
  <c r="N81" i="6"/>
  <c r="M81" i="6"/>
  <c r="L81" i="6"/>
  <c r="K81" i="6"/>
  <c r="J81" i="6"/>
  <c r="I81" i="6"/>
  <c r="H81" i="6"/>
  <c r="G81" i="6"/>
  <c r="F81" i="6"/>
  <c r="E81" i="6"/>
  <c r="D81" i="6"/>
  <c r="C81" i="6"/>
  <c r="B81" i="6"/>
  <c r="A81" i="6"/>
  <c r="S80" i="6"/>
  <c r="R80" i="6"/>
  <c r="Q80" i="6"/>
  <c r="P80" i="6"/>
  <c r="O80" i="6"/>
  <c r="N80" i="6"/>
  <c r="M80" i="6"/>
  <c r="L80" i="6"/>
  <c r="K80" i="6"/>
  <c r="J80" i="6"/>
  <c r="I80" i="6"/>
  <c r="H80" i="6"/>
  <c r="G80" i="6"/>
  <c r="F80" i="6"/>
  <c r="E80" i="6"/>
  <c r="D80" i="6"/>
  <c r="C80" i="6"/>
  <c r="B80" i="6"/>
  <c r="A80" i="6"/>
  <c r="S79" i="6"/>
  <c r="R79" i="6"/>
  <c r="Q79" i="6"/>
  <c r="P79" i="6"/>
  <c r="O79" i="6"/>
  <c r="N79" i="6"/>
  <c r="M79" i="6"/>
  <c r="L79" i="6"/>
  <c r="K79" i="6"/>
  <c r="J79" i="6"/>
  <c r="I79" i="6"/>
  <c r="H79" i="6"/>
  <c r="G79" i="6"/>
  <c r="F79" i="6"/>
  <c r="E79" i="6"/>
  <c r="D79" i="6"/>
  <c r="C79" i="6"/>
  <c r="B79" i="6"/>
  <c r="A79" i="6"/>
  <c r="S78" i="6"/>
  <c r="R78" i="6"/>
  <c r="Q78" i="6"/>
  <c r="P78" i="6"/>
  <c r="O78" i="6"/>
  <c r="N78" i="6"/>
  <c r="M78" i="6"/>
  <c r="L78" i="6"/>
  <c r="K78" i="6"/>
  <c r="J78" i="6"/>
  <c r="I78" i="6"/>
  <c r="H78" i="6"/>
  <c r="G78" i="6"/>
  <c r="F78" i="6"/>
  <c r="E78" i="6"/>
  <c r="D78" i="6"/>
  <c r="C78" i="6"/>
  <c r="B78" i="6"/>
  <c r="A78" i="6"/>
  <c r="S77" i="6"/>
  <c r="R77" i="6"/>
  <c r="Q77" i="6"/>
  <c r="P77" i="6"/>
  <c r="O77" i="6"/>
  <c r="N77" i="6"/>
  <c r="M77" i="6"/>
  <c r="L77" i="6"/>
  <c r="K77" i="6"/>
  <c r="J77" i="6"/>
  <c r="I77" i="6"/>
  <c r="H77" i="6"/>
  <c r="G77" i="6"/>
  <c r="F77" i="6"/>
  <c r="E77" i="6"/>
  <c r="D77" i="6"/>
  <c r="C77" i="6"/>
  <c r="B77" i="6"/>
  <c r="A77" i="6"/>
  <c r="S76" i="6"/>
  <c r="R76" i="6"/>
  <c r="Q76" i="6"/>
  <c r="P76" i="6"/>
  <c r="O76" i="6"/>
  <c r="N76" i="6"/>
  <c r="M76" i="6"/>
  <c r="L76" i="6"/>
  <c r="K76" i="6"/>
  <c r="J76" i="6"/>
  <c r="I76" i="6"/>
  <c r="H76" i="6"/>
  <c r="G76" i="6"/>
  <c r="F76" i="6"/>
  <c r="E76" i="6"/>
  <c r="D76" i="6"/>
  <c r="C76" i="6"/>
  <c r="B76" i="6"/>
  <c r="A76" i="6"/>
  <c r="S75" i="6"/>
  <c r="R75" i="6"/>
  <c r="Q75" i="6"/>
  <c r="P75" i="6"/>
  <c r="O75" i="6"/>
  <c r="N75" i="6"/>
  <c r="M75" i="6"/>
  <c r="L75" i="6"/>
  <c r="K75" i="6"/>
  <c r="J75" i="6"/>
  <c r="I75" i="6"/>
  <c r="H75" i="6"/>
  <c r="G75" i="6"/>
  <c r="F75" i="6"/>
  <c r="E75" i="6"/>
  <c r="D75" i="6"/>
  <c r="C75" i="6"/>
  <c r="B75" i="6"/>
  <c r="A75" i="6"/>
  <c r="S74" i="6"/>
  <c r="R74" i="6"/>
  <c r="Q74" i="6"/>
  <c r="P74" i="6"/>
  <c r="O74" i="6"/>
  <c r="N74" i="6"/>
  <c r="M74" i="6"/>
  <c r="L74" i="6"/>
  <c r="K74" i="6"/>
  <c r="J74" i="6"/>
  <c r="I74" i="6"/>
  <c r="H74" i="6"/>
  <c r="G74" i="6"/>
  <c r="F74" i="6"/>
  <c r="E74" i="6"/>
  <c r="D74" i="6"/>
  <c r="C74" i="6"/>
  <c r="B74" i="6"/>
  <c r="A74" i="6"/>
  <c r="S73" i="6"/>
  <c r="R73" i="6"/>
  <c r="Q73" i="6"/>
  <c r="P73" i="6"/>
  <c r="O73" i="6"/>
  <c r="N73" i="6"/>
  <c r="M73" i="6"/>
  <c r="L73" i="6"/>
  <c r="K73" i="6"/>
  <c r="J73" i="6"/>
  <c r="I73" i="6"/>
  <c r="H73" i="6"/>
  <c r="G73" i="6"/>
  <c r="F73" i="6"/>
  <c r="E73" i="6"/>
  <c r="D73" i="6"/>
  <c r="C73" i="6"/>
  <c r="B73" i="6"/>
  <c r="A73" i="6"/>
  <c r="S72" i="6"/>
  <c r="R72" i="6"/>
  <c r="Q72" i="6"/>
  <c r="P72" i="6"/>
  <c r="O72" i="6"/>
  <c r="N72" i="6"/>
  <c r="M72" i="6"/>
  <c r="L72" i="6"/>
  <c r="K72" i="6"/>
  <c r="J72" i="6"/>
  <c r="I72" i="6"/>
  <c r="H72" i="6"/>
  <c r="G72" i="6"/>
  <c r="F72" i="6"/>
  <c r="E72" i="6"/>
  <c r="D72" i="6"/>
  <c r="C72" i="6"/>
  <c r="B72" i="6"/>
  <c r="A72" i="6"/>
  <c r="S71" i="6"/>
  <c r="R71" i="6"/>
  <c r="Q71" i="6"/>
  <c r="P71" i="6"/>
  <c r="O71" i="6"/>
  <c r="N71" i="6"/>
  <c r="M71" i="6"/>
  <c r="L71" i="6"/>
  <c r="K71" i="6"/>
  <c r="J71" i="6"/>
  <c r="I71" i="6"/>
  <c r="H71" i="6"/>
  <c r="G71" i="6"/>
  <c r="F71" i="6"/>
  <c r="E71" i="6"/>
  <c r="D71" i="6"/>
  <c r="C71" i="6"/>
  <c r="B71" i="6"/>
  <c r="A71" i="6"/>
  <c r="S70" i="6"/>
  <c r="R70" i="6"/>
  <c r="Q70" i="6"/>
  <c r="P70" i="6"/>
  <c r="O70" i="6"/>
  <c r="N70" i="6"/>
  <c r="M70" i="6"/>
  <c r="L70" i="6"/>
  <c r="K70" i="6"/>
  <c r="J70" i="6"/>
  <c r="I70" i="6"/>
  <c r="H70" i="6"/>
  <c r="G70" i="6"/>
  <c r="F70" i="6"/>
  <c r="E70" i="6"/>
  <c r="D70" i="6"/>
  <c r="C70" i="6"/>
  <c r="B70" i="6"/>
  <c r="A70" i="6"/>
  <c r="S69" i="6"/>
  <c r="R69" i="6"/>
  <c r="Q69" i="6"/>
  <c r="P69" i="6"/>
  <c r="O69" i="6"/>
  <c r="N69" i="6"/>
  <c r="M69" i="6"/>
  <c r="L69" i="6"/>
  <c r="K69" i="6"/>
  <c r="J69" i="6"/>
  <c r="I69" i="6"/>
  <c r="H69" i="6"/>
  <c r="G69" i="6"/>
  <c r="F69" i="6"/>
  <c r="E69" i="6"/>
  <c r="D69" i="6"/>
  <c r="C69" i="6"/>
  <c r="B69" i="6"/>
  <c r="A69" i="6"/>
  <c r="S68" i="6"/>
  <c r="R68" i="6"/>
  <c r="Q68" i="6"/>
  <c r="P68" i="6"/>
  <c r="O68" i="6"/>
  <c r="N68" i="6"/>
  <c r="M68" i="6"/>
  <c r="L68" i="6"/>
  <c r="K68" i="6"/>
  <c r="J68" i="6"/>
  <c r="I68" i="6"/>
  <c r="H68" i="6"/>
  <c r="G68" i="6"/>
  <c r="F68" i="6"/>
  <c r="E68" i="6"/>
  <c r="D68" i="6"/>
  <c r="C68" i="6"/>
  <c r="B68" i="6"/>
  <c r="A68" i="6"/>
  <c r="S67" i="6"/>
  <c r="R67" i="6"/>
  <c r="Q67" i="6"/>
  <c r="P67" i="6"/>
  <c r="O67" i="6"/>
  <c r="N67" i="6"/>
  <c r="M67" i="6"/>
  <c r="L67" i="6"/>
  <c r="K67" i="6"/>
  <c r="J67" i="6"/>
  <c r="I67" i="6"/>
  <c r="H67" i="6"/>
  <c r="G67" i="6"/>
  <c r="F67" i="6"/>
  <c r="E67" i="6"/>
  <c r="D67" i="6"/>
  <c r="C67" i="6"/>
  <c r="B67" i="6"/>
  <c r="A67" i="6"/>
  <c r="S66" i="6"/>
  <c r="R66" i="6"/>
  <c r="Q66" i="6"/>
  <c r="P66" i="6"/>
  <c r="O66" i="6"/>
  <c r="N66" i="6"/>
  <c r="M66" i="6"/>
  <c r="L66" i="6"/>
  <c r="K66" i="6"/>
  <c r="J66" i="6"/>
  <c r="I66" i="6"/>
  <c r="H66" i="6"/>
  <c r="G66" i="6"/>
  <c r="F66" i="6"/>
  <c r="E66" i="6"/>
  <c r="D66" i="6"/>
  <c r="C66" i="6"/>
  <c r="B66" i="6"/>
  <c r="A66" i="6"/>
  <c r="S65" i="6"/>
  <c r="R65" i="6"/>
  <c r="Q65" i="6"/>
  <c r="P65" i="6"/>
  <c r="O65" i="6"/>
  <c r="N65" i="6"/>
  <c r="M65" i="6"/>
  <c r="L65" i="6"/>
  <c r="K65" i="6"/>
  <c r="J65" i="6"/>
  <c r="I65" i="6"/>
  <c r="H65" i="6"/>
  <c r="G65" i="6"/>
  <c r="F65" i="6"/>
  <c r="E65" i="6"/>
  <c r="D65" i="6"/>
  <c r="C65" i="6"/>
  <c r="B65" i="6"/>
  <c r="A65" i="6"/>
  <c r="S64" i="6"/>
  <c r="R64" i="6"/>
  <c r="Q64" i="6"/>
  <c r="P64" i="6"/>
  <c r="O64" i="6"/>
  <c r="N64" i="6"/>
  <c r="M64" i="6"/>
  <c r="L64" i="6"/>
  <c r="K64" i="6"/>
  <c r="J64" i="6"/>
  <c r="I64" i="6"/>
  <c r="H64" i="6"/>
  <c r="G64" i="6"/>
  <c r="F64" i="6"/>
  <c r="E64" i="6"/>
  <c r="D64" i="6"/>
  <c r="C64" i="6"/>
  <c r="B64" i="6"/>
  <c r="A64" i="6"/>
  <c r="S63" i="6"/>
  <c r="R63" i="6"/>
  <c r="Q63" i="6"/>
  <c r="P63" i="6"/>
  <c r="O63" i="6"/>
  <c r="N63" i="6"/>
  <c r="M63" i="6"/>
  <c r="L63" i="6"/>
  <c r="K63" i="6"/>
  <c r="J63" i="6"/>
  <c r="I63" i="6"/>
  <c r="H63" i="6"/>
  <c r="G63" i="6"/>
  <c r="F63" i="6"/>
  <c r="E63" i="6"/>
  <c r="D63" i="6"/>
  <c r="C63" i="6"/>
  <c r="B63" i="6"/>
  <c r="A63" i="6"/>
  <c r="S62" i="6"/>
  <c r="R62" i="6"/>
  <c r="Q62" i="6"/>
  <c r="P62" i="6"/>
  <c r="O62" i="6"/>
  <c r="N62" i="6"/>
  <c r="M62" i="6"/>
  <c r="L62" i="6"/>
  <c r="K62" i="6"/>
  <c r="J62" i="6"/>
  <c r="I62" i="6"/>
  <c r="H62" i="6"/>
  <c r="G62" i="6"/>
  <c r="F62" i="6"/>
  <c r="E62" i="6"/>
  <c r="D62" i="6"/>
  <c r="C62" i="6"/>
  <c r="B62" i="6"/>
  <c r="A62" i="6"/>
  <c r="S61" i="6"/>
  <c r="R61" i="6"/>
  <c r="Q61" i="6"/>
  <c r="P61" i="6"/>
  <c r="O61" i="6"/>
  <c r="N61" i="6"/>
  <c r="M61" i="6"/>
  <c r="L61" i="6"/>
  <c r="K61" i="6"/>
  <c r="J61" i="6"/>
  <c r="I61" i="6"/>
  <c r="H61" i="6"/>
  <c r="G61" i="6"/>
  <c r="F61" i="6"/>
  <c r="E61" i="6"/>
  <c r="D61" i="6"/>
  <c r="C61" i="6"/>
  <c r="B61" i="6"/>
  <c r="A61" i="6"/>
  <c r="S60" i="6"/>
  <c r="R60" i="6"/>
  <c r="Q60" i="6"/>
  <c r="P60" i="6"/>
  <c r="O60" i="6"/>
  <c r="N60" i="6"/>
  <c r="M60" i="6"/>
  <c r="L60" i="6"/>
  <c r="K60" i="6"/>
  <c r="J60" i="6"/>
  <c r="I60" i="6"/>
  <c r="H60" i="6"/>
  <c r="G60" i="6"/>
  <c r="F60" i="6"/>
  <c r="E60" i="6"/>
  <c r="D60" i="6"/>
  <c r="C60" i="6"/>
  <c r="B60" i="6"/>
  <c r="A60" i="6"/>
  <c r="S59" i="6"/>
  <c r="R59" i="6"/>
  <c r="Q59" i="6"/>
  <c r="P59" i="6"/>
  <c r="O59" i="6"/>
  <c r="N59" i="6"/>
  <c r="M59" i="6"/>
  <c r="L59" i="6"/>
  <c r="K59" i="6"/>
  <c r="J59" i="6"/>
  <c r="I59" i="6"/>
  <c r="H59" i="6"/>
  <c r="G59" i="6"/>
  <c r="F59" i="6"/>
  <c r="E59" i="6"/>
  <c r="D59" i="6"/>
  <c r="C59" i="6"/>
  <c r="B59" i="6"/>
  <c r="A59" i="6"/>
  <c r="S58" i="6"/>
  <c r="R58" i="6"/>
  <c r="Q58" i="6"/>
  <c r="P58" i="6"/>
  <c r="O58" i="6"/>
  <c r="N58" i="6"/>
  <c r="M58" i="6"/>
  <c r="L58" i="6"/>
  <c r="K58" i="6"/>
  <c r="J58" i="6"/>
  <c r="I58" i="6"/>
  <c r="H58" i="6"/>
  <c r="G58" i="6"/>
  <c r="F58" i="6"/>
  <c r="E58" i="6"/>
  <c r="D58" i="6"/>
  <c r="C58" i="6"/>
  <c r="B58" i="6"/>
  <c r="A58" i="6"/>
  <c r="S57" i="6"/>
  <c r="R57" i="6"/>
  <c r="Q57" i="6"/>
  <c r="P57" i="6"/>
  <c r="O57" i="6"/>
  <c r="N57" i="6"/>
  <c r="M57" i="6"/>
  <c r="L57" i="6"/>
  <c r="K57" i="6"/>
  <c r="J57" i="6"/>
  <c r="I57" i="6"/>
  <c r="H57" i="6"/>
  <c r="G57" i="6"/>
  <c r="F57" i="6"/>
  <c r="E57" i="6"/>
  <c r="D57" i="6"/>
  <c r="C57" i="6"/>
  <c r="B57" i="6"/>
  <c r="A57" i="6"/>
  <c r="S56" i="6"/>
  <c r="R56" i="6"/>
  <c r="Q56" i="6"/>
  <c r="P56" i="6"/>
  <c r="O56" i="6"/>
  <c r="N56" i="6"/>
  <c r="M56" i="6"/>
  <c r="L56" i="6"/>
  <c r="K56" i="6"/>
  <c r="J56" i="6"/>
  <c r="I56" i="6"/>
  <c r="H56" i="6"/>
  <c r="G56" i="6"/>
  <c r="F56" i="6"/>
  <c r="E56" i="6"/>
  <c r="D56" i="6"/>
  <c r="C56" i="6"/>
  <c r="B56" i="6"/>
  <c r="A56" i="6"/>
  <c r="S55" i="6"/>
  <c r="R55" i="6"/>
  <c r="Q55" i="6"/>
  <c r="P55" i="6"/>
  <c r="O55" i="6"/>
  <c r="N55" i="6"/>
  <c r="M55" i="6"/>
  <c r="L55" i="6"/>
  <c r="K55" i="6"/>
  <c r="J55" i="6"/>
  <c r="I55" i="6"/>
  <c r="H55" i="6"/>
  <c r="G55" i="6"/>
  <c r="F55" i="6"/>
  <c r="E55" i="6"/>
  <c r="D55" i="6"/>
  <c r="C55" i="6"/>
  <c r="B55" i="6"/>
  <c r="A55" i="6"/>
  <c r="S54" i="6"/>
  <c r="R54" i="6"/>
  <c r="Q54" i="6"/>
  <c r="P54" i="6"/>
  <c r="O54" i="6"/>
  <c r="N54" i="6"/>
  <c r="M54" i="6"/>
  <c r="L54" i="6"/>
  <c r="K54" i="6"/>
  <c r="J54" i="6"/>
  <c r="I54" i="6"/>
  <c r="H54" i="6"/>
  <c r="G54" i="6"/>
  <c r="F54" i="6"/>
  <c r="E54" i="6"/>
  <c r="D54" i="6"/>
  <c r="C54" i="6"/>
  <c r="B54" i="6"/>
  <c r="A54" i="6"/>
  <c r="S53" i="6"/>
  <c r="R53" i="6"/>
  <c r="Q53" i="6"/>
  <c r="P53" i="6"/>
  <c r="O53" i="6"/>
  <c r="N53" i="6"/>
  <c r="M53" i="6"/>
  <c r="L53" i="6"/>
  <c r="K53" i="6"/>
  <c r="J53" i="6"/>
  <c r="I53" i="6"/>
  <c r="H53" i="6"/>
  <c r="G53" i="6"/>
  <c r="F53" i="6"/>
  <c r="E53" i="6"/>
  <c r="D53" i="6"/>
  <c r="C53" i="6"/>
  <c r="B53" i="6"/>
  <c r="A53" i="6"/>
  <c r="S52" i="6"/>
  <c r="R52" i="6"/>
  <c r="Q52" i="6"/>
  <c r="P52" i="6"/>
  <c r="O52" i="6"/>
  <c r="N52" i="6"/>
  <c r="M52" i="6"/>
  <c r="L52" i="6"/>
  <c r="K52" i="6"/>
  <c r="J52" i="6"/>
  <c r="I52" i="6"/>
  <c r="H52" i="6"/>
  <c r="G52" i="6"/>
  <c r="F52" i="6"/>
  <c r="E52" i="6"/>
  <c r="D52" i="6"/>
  <c r="C52" i="6"/>
  <c r="B52" i="6"/>
  <c r="A52" i="6"/>
  <c r="S51" i="6"/>
  <c r="R51" i="6"/>
  <c r="Q51" i="6"/>
  <c r="P51" i="6"/>
  <c r="O51" i="6"/>
  <c r="N51" i="6"/>
  <c r="M51" i="6"/>
  <c r="L51" i="6"/>
  <c r="K51" i="6"/>
  <c r="J51" i="6"/>
  <c r="I51" i="6"/>
  <c r="H51" i="6"/>
  <c r="G51" i="6"/>
  <c r="F51" i="6"/>
  <c r="E51" i="6"/>
  <c r="D51" i="6"/>
  <c r="C51" i="6"/>
  <c r="B51" i="6"/>
  <c r="A51" i="6"/>
  <c r="S50" i="6"/>
  <c r="R50" i="6"/>
  <c r="Q50" i="6"/>
  <c r="P50" i="6"/>
  <c r="O50" i="6"/>
  <c r="N50" i="6"/>
  <c r="M50" i="6"/>
  <c r="L50" i="6"/>
  <c r="K50" i="6"/>
  <c r="J50" i="6"/>
  <c r="I50" i="6"/>
  <c r="H50" i="6"/>
  <c r="G50" i="6"/>
  <c r="F50" i="6"/>
  <c r="E50" i="6"/>
  <c r="D50" i="6"/>
  <c r="C50" i="6"/>
  <c r="B50" i="6"/>
  <c r="A50" i="6"/>
  <c r="S49" i="6"/>
  <c r="R49" i="6"/>
  <c r="Q49" i="6"/>
  <c r="P49" i="6"/>
  <c r="O49" i="6"/>
  <c r="N49" i="6"/>
  <c r="M49" i="6"/>
  <c r="L49" i="6"/>
  <c r="K49" i="6"/>
  <c r="J49" i="6"/>
  <c r="I49" i="6"/>
  <c r="H49" i="6"/>
  <c r="G49" i="6"/>
  <c r="F49" i="6"/>
  <c r="E49" i="6"/>
  <c r="D49" i="6"/>
  <c r="C49" i="6"/>
  <c r="B49" i="6"/>
  <c r="A49" i="6"/>
  <c r="S48" i="6"/>
  <c r="R48" i="6"/>
  <c r="Q48" i="6"/>
  <c r="P48" i="6"/>
  <c r="O48" i="6"/>
  <c r="N48" i="6"/>
  <c r="M48" i="6"/>
  <c r="L48" i="6"/>
  <c r="K48" i="6"/>
  <c r="J48" i="6"/>
  <c r="I48" i="6"/>
  <c r="H48" i="6"/>
  <c r="G48" i="6"/>
  <c r="F48" i="6"/>
  <c r="E48" i="6"/>
  <c r="D48" i="6"/>
  <c r="C48" i="6"/>
  <c r="B48" i="6"/>
  <c r="A48" i="6"/>
  <c r="S47" i="6"/>
  <c r="R47" i="6"/>
  <c r="Q47" i="6"/>
  <c r="P47" i="6"/>
  <c r="O47" i="6"/>
  <c r="N47" i="6"/>
  <c r="M47" i="6"/>
  <c r="L47" i="6"/>
  <c r="K47" i="6"/>
  <c r="J47" i="6"/>
  <c r="I47" i="6"/>
  <c r="H47" i="6"/>
  <c r="G47" i="6"/>
  <c r="F47" i="6"/>
  <c r="E47" i="6"/>
  <c r="D47" i="6"/>
  <c r="C47" i="6"/>
  <c r="B47" i="6"/>
  <c r="A47" i="6"/>
  <c r="S46" i="6"/>
  <c r="R46" i="6"/>
  <c r="Q46" i="6"/>
  <c r="P46" i="6"/>
  <c r="O46" i="6"/>
  <c r="N46" i="6"/>
  <c r="M46" i="6"/>
  <c r="L46" i="6"/>
  <c r="K46" i="6"/>
  <c r="J46" i="6"/>
  <c r="I46" i="6"/>
  <c r="H46" i="6"/>
  <c r="G46" i="6"/>
  <c r="F46" i="6"/>
  <c r="E46" i="6"/>
  <c r="D46" i="6"/>
  <c r="C46" i="6"/>
  <c r="B46" i="6"/>
  <c r="A46" i="6"/>
  <c r="S45" i="6"/>
  <c r="R45" i="6"/>
  <c r="Q45" i="6"/>
  <c r="P45" i="6"/>
  <c r="O45" i="6"/>
  <c r="N45" i="6"/>
  <c r="M45" i="6"/>
  <c r="L45" i="6"/>
  <c r="K45" i="6"/>
  <c r="J45" i="6"/>
  <c r="I45" i="6"/>
  <c r="H45" i="6"/>
  <c r="G45" i="6"/>
  <c r="F45" i="6"/>
  <c r="E45" i="6"/>
  <c r="D45" i="6"/>
  <c r="C45" i="6"/>
  <c r="B45" i="6"/>
  <c r="A45" i="6"/>
  <c r="S44" i="6"/>
  <c r="R44" i="6"/>
  <c r="Q44" i="6"/>
  <c r="P44" i="6"/>
  <c r="O44" i="6"/>
  <c r="N44" i="6"/>
  <c r="M44" i="6"/>
  <c r="L44" i="6"/>
  <c r="K44" i="6"/>
  <c r="J44" i="6"/>
  <c r="I44" i="6"/>
  <c r="H44" i="6"/>
  <c r="G44" i="6"/>
  <c r="F44" i="6"/>
  <c r="E44" i="6"/>
  <c r="D44" i="6"/>
  <c r="C44" i="6"/>
  <c r="B44" i="6"/>
  <c r="A44" i="6"/>
  <c r="S43" i="6"/>
  <c r="R43" i="6"/>
  <c r="Q43" i="6"/>
  <c r="P43" i="6"/>
  <c r="O43" i="6"/>
  <c r="N43" i="6"/>
  <c r="M43" i="6"/>
  <c r="L43" i="6"/>
  <c r="K43" i="6"/>
  <c r="J43" i="6"/>
  <c r="I43" i="6"/>
  <c r="H43" i="6"/>
  <c r="G43" i="6"/>
  <c r="F43" i="6"/>
  <c r="E43" i="6"/>
  <c r="D43" i="6"/>
  <c r="C43" i="6"/>
  <c r="B43" i="6"/>
  <c r="A43" i="6"/>
  <c r="S42" i="6"/>
  <c r="R42" i="6"/>
  <c r="Q42" i="6"/>
  <c r="P42" i="6"/>
  <c r="O42" i="6"/>
  <c r="N42" i="6"/>
  <c r="M42" i="6"/>
  <c r="L42" i="6"/>
  <c r="K42" i="6"/>
  <c r="J42" i="6"/>
  <c r="I42" i="6"/>
  <c r="H42" i="6"/>
  <c r="G42" i="6"/>
  <c r="F42" i="6"/>
  <c r="E42" i="6"/>
  <c r="D42" i="6"/>
  <c r="C42" i="6"/>
  <c r="B42" i="6"/>
  <c r="A42" i="6"/>
  <c r="S41" i="6"/>
  <c r="R41" i="6"/>
  <c r="Q41" i="6"/>
  <c r="P41" i="6"/>
  <c r="O41" i="6"/>
  <c r="N41" i="6"/>
  <c r="M41" i="6"/>
  <c r="L41" i="6"/>
  <c r="K41" i="6"/>
  <c r="J41" i="6"/>
  <c r="I41" i="6"/>
  <c r="H41" i="6"/>
  <c r="G41" i="6"/>
  <c r="F41" i="6"/>
  <c r="E41" i="6"/>
  <c r="D41" i="6"/>
  <c r="C41" i="6"/>
  <c r="B41" i="6"/>
  <c r="A41" i="6"/>
  <c r="S40" i="6"/>
  <c r="R40" i="6"/>
  <c r="Q40" i="6"/>
  <c r="P40" i="6"/>
  <c r="O40" i="6"/>
  <c r="N40" i="6"/>
  <c r="M40" i="6"/>
  <c r="L40" i="6"/>
  <c r="K40" i="6"/>
  <c r="J40" i="6"/>
  <c r="I40" i="6"/>
  <c r="H40" i="6"/>
  <c r="G40" i="6"/>
  <c r="F40" i="6"/>
  <c r="E40" i="6"/>
  <c r="D40" i="6"/>
  <c r="C40" i="6"/>
  <c r="B40" i="6"/>
  <c r="A40" i="6"/>
  <c r="S39" i="6"/>
  <c r="R39" i="6"/>
  <c r="Q39" i="6"/>
  <c r="P39" i="6"/>
  <c r="O39" i="6"/>
  <c r="N39" i="6"/>
  <c r="M39" i="6"/>
  <c r="L39" i="6"/>
  <c r="K39" i="6"/>
  <c r="J39" i="6"/>
  <c r="I39" i="6"/>
  <c r="H39" i="6"/>
  <c r="G39" i="6"/>
  <c r="F39" i="6"/>
  <c r="E39" i="6"/>
  <c r="D39" i="6"/>
  <c r="C39" i="6"/>
  <c r="B39" i="6"/>
  <c r="A39" i="6"/>
  <c r="S38" i="6"/>
  <c r="R38" i="6"/>
  <c r="Q38" i="6"/>
  <c r="P38" i="6"/>
  <c r="O38" i="6"/>
  <c r="N38" i="6"/>
  <c r="M38" i="6"/>
  <c r="L38" i="6"/>
  <c r="K38" i="6"/>
  <c r="J38" i="6"/>
  <c r="I38" i="6"/>
  <c r="H38" i="6"/>
  <c r="G38" i="6"/>
  <c r="F38" i="6"/>
  <c r="E38" i="6"/>
  <c r="D38" i="6"/>
  <c r="C38" i="6"/>
  <c r="B38" i="6"/>
  <c r="A38" i="6"/>
  <c r="S37" i="6"/>
  <c r="R37" i="6"/>
  <c r="Q37" i="6"/>
  <c r="P37" i="6"/>
  <c r="O37" i="6"/>
  <c r="N37" i="6"/>
  <c r="M37" i="6"/>
  <c r="L37" i="6"/>
  <c r="K37" i="6"/>
  <c r="J37" i="6"/>
  <c r="I37" i="6"/>
  <c r="H37" i="6"/>
  <c r="G37" i="6"/>
  <c r="F37" i="6"/>
  <c r="E37" i="6"/>
  <c r="D37" i="6"/>
  <c r="C37" i="6"/>
  <c r="B37" i="6"/>
  <c r="A37" i="6"/>
  <c r="S36" i="6"/>
  <c r="R36" i="6"/>
  <c r="Q36" i="6"/>
  <c r="P36" i="6"/>
  <c r="O36" i="6"/>
  <c r="N36" i="6"/>
  <c r="M36" i="6"/>
  <c r="L36" i="6"/>
  <c r="K36" i="6"/>
  <c r="J36" i="6"/>
  <c r="I36" i="6"/>
  <c r="H36" i="6"/>
  <c r="G36" i="6"/>
  <c r="F36" i="6"/>
  <c r="E36" i="6"/>
  <c r="D36" i="6"/>
  <c r="C36" i="6"/>
  <c r="B36" i="6"/>
  <c r="A36" i="6"/>
  <c r="S35" i="6"/>
  <c r="R35" i="6"/>
  <c r="Q35" i="6"/>
  <c r="P35" i="6"/>
  <c r="O35" i="6"/>
  <c r="N35" i="6"/>
  <c r="M35" i="6"/>
  <c r="L35" i="6"/>
  <c r="K35" i="6"/>
  <c r="J35" i="6"/>
  <c r="I35" i="6"/>
  <c r="H35" i="6"/>
  <c r="G35" i="6"/>
  <c r="F35" i="6"/>
  <c r="E35" i="6"/>
  <c r="D35" i="6"/>
  <c r="C35" i="6"/>
  <c r="B35" i="6"/>
  <c r="A35" i="6"/>
  <c r="S34" i="6"/>
  <c r="R34" i="6"/>
  <c r="Q34" i="6"/>
  <c r="P34" i="6"/>
  <c r="O34" i="6"/>
  <c r="N34" i="6"/>
  <c r="M34" i="6"/>
  <c r="L34" i="6"/>
  <c r="K34" i="6"/>
  <c r="J34" i="6"/>
  <c r="I34" i="6"/>
  <c r="H34" i="6"/>
  <c r="G34" i="6"/>
  <c r="F34" i="6"/>
  <c r="E34" i="6"/>
  <c r="D34" i="6"/>
  <c r="C34" i="6"/>
  <c r="B34" i="6"/>
  <c r="A34" i="6"/>
  <c r="S33" i="6"/>
  <c r="R33" i="6"/>
  <c r="Q33" i="6"/>
  <c r="P33" i="6"/>
  <c r="O33" i="6"/>
  <c r="N33" i="6"/>
  <c r="M33" i="6"/>
  <c r="L33" i="6"/>
  <c r="K33" i="6"/>
  <c r="J33" i="6"/>
  <c r="I33" i="6"/>
  <c r="H33" i="6"/>
  <c r="G33" i="6"/>
  <c r="F33" i="6"/>
  <c r="E33" i="6"/>
  <c r="D33" i="6"/>
  <c r="C33" i="6"/>
  <c r="B33" i="6"/>
  <c r="A33" i="6"/>
  <c r="S32" i="6"/>
  <c r="R32" i="6"/>
  <c r="Q32" i="6"/>
  <c r="P32" i="6"/>
  <c r="O32" i="6"/>
  <c r="N32" i="6"/>
  <c r="M32" i="6"/>
  <c r="L32" i="6"/>
  <c r="K32" i="6"/>
  <c r="J32" i="6"/>
  <c r="I32" i="6"/>
  <c r="H32" i="6"/>
  <c r="G32" i="6"/>
  <c r="F32" i="6"/>
  <c r="E32" i="6"/>
  <c r="D32" i="6"/>
  <c r="C32" i="6"/>
  <c r="B32" i="6"/>
  <c r="A32" i="6"/>
  <c r="S31" i="6"/>
  <c r="R31" i="6"/>
  <c r="Q31" i="6"/>
  <c r="P31" i="6"/>
  <c r="O31" i="6"/>
  <c r="N31" i="6"/>
  <c r="M31" i="6"/>
  <c r="L31" i="6"/>
  <c r="K31" i="6"/>
  <c r="J31" i="6"/>
  <c r="I31" i="6"/>
  <c r="H31" i="6"/>
  <c r="G31" i="6"/>
  <c r="F31" i="6"/>
  <c r="E31" i="6"/>
  <c r="D31" i="6"/>
  <c r="C31" i="6"/>
  <c r="B31" i="6"/>
  <c r="A31" i="6"/>
  <c r="S30" i="6"/>
  <c r="R30" i="6"/>
  <c r="Q30" i="6"/>
  <c r="P30" i="6"/>
  <c r="O30" i="6"/>
  <c r="N30" i="6"/>
  <c r="M30" i="6"/>
  <c r="L30" i="6"/>
  <c r="K30" i="6"/>
  <c r="J30" i="6"/>
  <c r="I30" i="6"/>
  <c r="H30" i="6"/>
  <c r="G30" i="6"/>
  <c r="F30" i="6"/>
  <c r="E30" i="6"/>
  <c r="D30" i="6"/>
  <c r="C30" i="6"/>
  <c r="B30" i="6"/>
  <c r="A30" i="6"/>
  <c r="S29" i="6"/>
  <c r="R29" i="6"/>
  <c r="Q29" i="6"/>
  <c r="P29" i="6"/>
  <c r="O29" i="6"/>
  <c r="N29" i="6"/>
  <c r="M29" i="6"/>
  <c r="L29" i="6"/>
  <c r="K29" i="6"/>
  <c r="J29" i="6"/>
  <c r="I29" i="6"/>
  <c r="H29" i="6"/>
  <c r="G29" i="6"/>
  <c r="F29" i="6"/>
  <c r="E29" i="6"/>
  <c r="D29" i="6"/>
  <c r="C29" i="6"/>
  <c r="B29" i="6"/>
  <c r="A29" i="6"/>
  <c r="S28" i="6"/>
  <c r="R28" i="6"/>
  <c r="Q28" i="6"/>
  <c r="P28" i="6"/>
  <c r="O28" i="6"/>
  <c r="N28" i="6"/>
  <c r="M28" i="6"/>
  <c r="L28" i="6"/>
  <c r="K28" i="6"/>
  <c r="J28" i="6"/>
  <c r="I28" i="6"/>
  <c r="H28" i="6"/>
  <c r="G28" i="6"/>
  <c r="F28" i="6"/>
  <c r="E28" i="6"/>
  <c r="D28" i="6"/>
  <c r="C28" i="6"/>
  <c r="B28" i="6"/>
  <c r="A28" i="6"/>
  <c r="S27" i="6"/>
  <c r="R27" i="6"/>
  <c r="Q27" i="6"/>
  <c r="P27" i="6"/>
  <c r="O27" i="6"/>
  <c r="N27" i="6"/>
  <c r="M27" i="6"/>
  <c r="L27" i="6"/>
  <c r="K27" i="6"/>
  <c r="J27" i="6"/>
  <c r="I27" i="6"/>
  <c r="H27" i="6"/>
  <c r="G27" i="6"/>
  <c r="F27" i="6"/>
  <c r="E27" i="6"/>
  <c r="D27" i="6"/>
  <c r="C27" i="6"/>
  <c r="B27" i="6"/>
  <c r="A27" i="6"/>
  <c r="S26" i="6"/>
  <c r="R26" i="6"/>
  <c r="Q26" i="6"/>
  <c r="P26" i="6"/>
  <c r="O26" i="6"/>
  <c r="N26" i="6"/>
  <c r="M26" i="6"/>
  <c r="L26" i="6"/>
  <c r="K26" i="6"/>
  <c r="J26" i="6"/>
  <c r="I26" i="6"/>
  <c r="H26" i="6"/>
  <c r="G26" i="6"/>
  <c r="F26" i="6"/>
  <c r="E26" i="6"/>
  <c r="D26" i="6"/>
  <c r="C26" i="6"/>
  <c r="B26" i="6"/>
  <c r="A26" i="6"/>
  <c r="S25" i="6"/>
  <c r="R25" i="6"/>
  <c r="Q25" i="6"/>
  <c r="P25" i="6"/>
  <c r="O25" i="6"/>
  <c r="N25" i="6"/>
  <c r="M25" i="6"/>
  <c r="L25" i="6"/>
  <c r="K25" i="6"/>
  <c r="J25" i="6"/>
  <c r="I25" i="6"/>
  <c r="H25" i="6"/>
  <c r="G25" i="6"/>
  <c r="F25" i="6"/>
  <c r="E25" i="6"/>
  <c r="D25" i="6"/>
  <c r="C25" i="6"/>
  <c r="B25" i="6"/>
  <c r="A25" i="6"/>
  <c r="S24" i="6"/>
  <c r="R24" i="6"/>
  <c r="Q24" i="6"/>
  <c r="P24" i="6"/>
  <c r="O24" i="6"/>
  <c r="N24" i="6"/>
  <c r="M24" i="6"/>
  <c r="L24" i="6"/>
  <c r="K24" i="6"/>
  <c r="J24" i="6"/>
  <c r="I24" i="6"/>
  <c r="H24" i="6"/>
  <c r="G24" i="6"/>
  <c r="F24" i="6"/>
  <c r="E24" i="6"/>
  <c r="D24" i="6"/>
  <c r="C24" i="6"/>
  <c r="B24" i="6"/>
  <c r="A24" i="6"/>
  <c r="S23" i="6"/>
  <c r="R23" i="6"/>
  <c r="Q23" i="6"/>
  <c r="P23" i="6"/>
  <c r="O23" i="6"/>
  <c r="N23" i="6"/>
  <c r="M23" i="6"/>
  <c r="L23" i="6"/>
  <c r="K23" i="6"/>
  <c r="J23" i="6"/>
  <c r="I23" i="6"/>
  <c r="H23" i="6"/>
  <c r="G23" i="6"/>
  <c r="F23" i="6"/>
  <c r="E23" i="6"/>
  <c r="D23" i="6"/>
  <c r="C23" i="6"/>
  <c r="B23" i="6"/>
  <c r="A23" i="6"/>
  <c r="S22" i="6"/>
  <c r="R22" i="6"/>
  <c r="Q22" i="6"/>
  <c r="P22" i="6"/>
  <c r="O22" i="6"/>
  <c r="N22" i="6"/>
  <c r="M22" i="6"/>
  <c r="L22" i="6"/>
  <c r="K22" i="6"/>
  <c r="J22" i="6"/>
  <c r="I22" i="6"/>
  <c r="H22" i="6"/>
  <c r="G22" i="6"/>
  <c r="F22" i="6"/>
  <c r="E22" i="6"/>
  <c r="D22" i="6"/>
  <c r="C22" i="6"/>
  <c r="B22" i="6"/>
  <c r="A22" i="6"/>
  <c r="S21" i="6"/>
  <c r="R21" i="6"/>
  <c r="Q21" i="6"/>
  <c r="P21" i="6"/>
  <c r="O21" i="6"/>
  <c r="N21" i="6"/>
  <c r="M21" i="6"/>
  <c r="L21" i="6"/>
  <c r="K21" i="6"/>
  <c r="J21" i="6"/>
  <c r="I21" i="6"/>
  <c r="H21" i="6"/>
  <c r="G21" i="6"/>
  <c r="F21" i="6"/>
  <c r="E21" i="6"/>
  <c r="D21" i="6"/>
  <c r="C21" i="6"/>
  <c r="B21" i="6"/>
  <c r="A21" i="6"/>
  <c r="S20" i="6"/>
  <c r="R20" i="6"/>
  <c r="Q20" i="6"/>
  <c r="P20" i="6"/>
  <c r="O20" i="6"/>
  <c r="N20" i="6"/>
  <c r="M20" i="6"/>
  <c r="L20" i="6"/>
  <c r="K20" i="6"/>
  <c r="J20" i="6"/>
  <c r="I20" i="6"/>
  <c r="H20" i="6"/>
  <c r="G20" i="6"/>
  <c r="F20" i="6"/>
  <c r="E20" i="6"/>
  <c r="D20" i="6"/>
  <c r="C20" i="6"/>
  <c r="B20" i="6"/>
  <c r="A20" i="6"/>
  <c r="S19" i="6"/>
  <c r="R19" i="6"/>
  <c r="Q19" i="6"/>
  <c r="P19" i="6"/>
  <c r="O19" i="6"/>
  <c r="N19" i="6"/>
  <c r="M19" i="6"/>
  <c r="L19" i="6"/>
  <c r="K19" i="6"/>
  <c r="J19" i="6"/>
  <c r="I19" i="6"/>
  <c r="H19" i="6"/>
  <c r="G19" i="6"/>
  <c r="F19" i="6"/>
  <c r="E19" i="6"/>
  <c r="D19" i="6"/>
  <c r="C19" i="6"/>
  <c r="B19" i="6"/>
  <c r="A19" i="6"/>
  <c r="S18" i="6"/>
  <c r="R18" i="6"/>
  <c r="Q18" i="6"/>
  <c r="P18" i="6"/>
  <c r="O18" i="6"/>
  <c r="N18" i="6"/>
  <c r="M18" i="6"/>
  <c r="L18" i="6"/>
  <c r="K18" i="6"/>
  <c r="J18" i="6"/>
  <c r="I18" i="6"/>
  <c r="H18" i="6"/>
  <c r="G18" i="6"/>
  <c r="F18" i="6"/>
  <c r="E18" i="6"/>
  <c r="D18" i="6"/>
  <c r="C18" i="6"/>
  <c r="B18" i="6"/>
  <c r="A18" i="6"/>
  <c r="S17" i="6"/>
  <c r="R17" i="6"/>
  <c r="Q17" i="6"/>
  <c r="P17" i="6"/>
  <c r="O17" i="6"/>
  <c r="N17" i="6"/>
  <c r="M17" i="6"/>
  <c r="L17" i="6"/>
  <c r="K17" i="6"/>
  <c r="J17" i="6"/>
  <c r="I17" i="6"/>
  <c r="H17" i="6"/>
  <c r="G17" i="6"/>
  <c r="F17" i="6"/>
  <c r="E17" i="6"/>
  <c r="D17" i="6"/>
  <c r="C17" i="6"/>
  <c r="B17" i="6"/>
  <c r="A17" i="6"/>
  <c r="S16" i="6"/>
  <c r="R16" i="6"/>
  <c r="Q16" i="6"/>
  <c r="P16" i="6"/>
  <c r="O16" i="6"/>
  <c r="N16" i="6"/>
  <c r="M16" i="6"/>
  <c r="L16" i="6"/>
  <c r="K16" i="6"/>
  <c r="J16" i="6"/>
  <c r="I16" i="6"/>
  <c r="H16" i="6"/>
  <c r="G16" i="6"/>
  <c r="F16" i="6"/>
  <c r="E16" i="6"/>
  <c r="D16" i="6"/>
  <c r="C16" i="6"/>
  <c r="B16" i="6"/>
  <c r="A16" i="6"/>
  <c r="S15" i="6"/>
  <c r="R15" i="6"/>
  <c r="Q15" i="6"/>
  <c r="P15" i="6"/>
  <c r="O15" i="6"/>
  <c r="N15" i="6"/>
  <c r="M15" i="6"/>
  <c r="L15" i="6"/>
  <c r="K15" i="6"/>
  <c r="J15" i="6"/>
  <c r="I15" i="6"/>
  <c r="H15" i="6"/>
  <c r="G15" i="6"/>
  <c r="F15" i="6"/>
  <c r="E15" i="6"/>
  <c r="D15" i="6"/>
  <c r="C15" i="6"/>
  <c r="B15" i="6"/>
  <c r="A15" i="6"/>
  <c r="S14" i="6"/>
  <c r="R14" i="6"/>
  <c r="Q14" i="6"/>
  <c r="P14" i="6"/>
  <c r="O14" i="6"/>
  <c r="N14" i="6"/>
  <c r="M14" i="6"/>
  <c r="L14" i="6"/>
  <c r="K14" i="6"/>
  <c r="J14" i="6"/>
  <c r="I14" i="6"/>
  <c r="H14" i="6"/>
  <c r="G14" i="6"/>
  <c r="F14" i="6"/>
  <c r="E14" i="6"/>
  <c r="D14" i="6"/>
  <c r="C14" i="6"/>
  <c r="B14" i="6"/>
  <c r="A14" i="6"/>
  <c r="S13" i="6"/>
  <c r="R13" i="6"/>
  <c r="Q13" i="6"/>
  <c r="P13" i="6"/>
  <c r="O13" i="6"/>
  <c r="N13" i="6"/>
  <c r="M13" i="6"/>
  <c r="L13" i="6"/>
  <c r="K13" i="6"/>
  <c r="J13" i="6"/>
  <c r="I13" i="6"/>
  <c r="H13" i="6"/>
  <c r="G13" i="6"/>
  <c r="F13" i="6"/>
  <c r="E13" i="6"/>
  <c r="D13" i="6"/>
  <c r="C13" i="6"/>
  <c r="B13" i="6"/>
  <c r="A13" i="6"/>
  <c r="S12" i="6"/>
  <c r="R12" i="6"/>
  <c r="Q12" i="6"/>
  <c r="P12" i="6"/>
  <c r="O12" i="6"/>
  <c r="N12" i="6"/>
  <c r="M12" i="6"/>
  <c r="L12" i="6"/>
  <c r="K12" i="6"/>
  <c r="J12" i="6"/>
  <c r="I12" i="6"/>
  <c r="H12" i="6"/>
  <c r="G12" i="6"/>
  <c r="F12" i="6"/>
  <c r="E12" i="6"/>
  <c r="D12" i="6"/>
  <c r="C12" i="6"/>
  <c r="B12" i="6"/>
  <c r="A12" i="6"/>
  <c r="S11" i="6"/>
  <c r="R11" i="6"/>
  <c r="Q11" i="6"/>
  <c r="P11" i="6"/>
  <c r="O11" i="6"/>
  <c r="N11" i="6"/>
  <c r="M11" i="6"/>
  <c r="L11" i="6"/>
  <c r="K11" i="6"/>
  <c r="J11" i="6"/>
  <c r="I11" i="6"/>
  <c r="H11" i="6"/>
  <c r="G11" i="6"/>
  <c r="F11" i="6"/>
  <c r="E11" i="6"/>
  <c r="D11" i="6"/>
  <c r="C11" i="6"/>
  <c r="B11" i="6"/>
  <c r="A11" i="6"/>
  <c r="S10" i="6"/>
  <c r="R10" i="6"/>
  <c r="Q10" i="6"/>
  <c r="P10" i="6"/>
  <c r="O10" i="6"/>
  <c r="N10" i="6"/>
  <c r="M10" i="6"/>
  <c r="L10" i="6"/>
  <c r="K10" i="6"/>
  <c r="J10" i="6"/>
  <c r="I10" i="6"/>
  <c r="H10" i="6"/>
  <c r="G10" i="6"/>
  <c r="F10" i="6"/>
  <c r="E10" i="6"/>
  <c r="D10" i="6"/>
  <c r="C10" i="6"/>
  <c r="B10" i="6"/>
  <c r="A10" i="6"/>
  <c r="S9" i="6"/>
  <c r="R9" i="6"/>
  <c r="Q9" i="6"/>
  <c r="P9" i="6"/>
  <c r="O9" i="6"/>
  <c r="N9" i="6"/>
  <c r="M9" i="6"/>
  <c r="L9" i="6"/>
  <c r="K9" i="6"/>
  <c r="J9" i="6"/>
  <c r="I9" i="6"/>
  <c r="H9" i="6"/>
  <c r="G9" i="6"/>
  <c r="F9" i="6"/>
  <c r="E9" i="6"/>
  <c r="D9" i="6"/>
  <c r="C9" i="6"/>
  <c r="B9" i="6"/>
  <c r="A9" i="6"/>
  <c r="S8" i="6"/>
  <c r="R8" i="6"/>
  <c r="Q8" i="6"/>
  <c r="P8" i="6"/>
  <c r="O8" i="6"/>
  <c r="N8" i="6"/>
  <c r="M8" i="6"/>
  <c r="L8" i="6"/>
  <c r="K8" i="6"/>
  <c r="J8" i="6"/>
  <c r="I8" i="6"/>
  <c r="H8" i="6"/>
  <c r="G8" i="6"/>
  <c r="F8" i="6"/>
  <c r="E8" i="6"/>
  <c r="D8" i="6"/>
  <c r="C8" i="6"/>
  <c r="B8" i="6"/>
  <c r="A8" i="6"/>
  <c r="S7" i="6"/>
  <c r="R7" i="6"/>
  <c r="Q7" i="6"/>
  <c r="P7" i="6"/>
  <c r="O7" i="6"/>
  <c r="N7" i="6"/>
  <c r="M7" i="6"/>
  <c r="L7" i="6"/>
  <c r="K7" i="6"/>
  <c r="J7" i="6"/>
  <c r="I7" i="6"/>
  <c r="H7" i="6"/>
  <c r="G7" i="6"/>
  <c r="F7" i="6"/>
  <c r="E7" i="6"/>
  <c r="D7" i="6"/>
  <c r="C7" i="6"/>
  <c r="B7" i="6"/>
  <c r="A7" i="6"/>
  <c r="S6" i="6"/>
  <c r="R6" i="6"/>
  <c r="Q6" i="6"/>
  <c r="P6" i="6"/>
  <c r="O6" i="6"/>
  <c r="N6" i="6"/>
  <c r="M6" i="6"/>
  <c r="L6" i="6"/>
  <c r="K6" i="6"/>
  <c r="J6" i="6"/>
  <c r="I6" i="6"/>
  <c r="H6" i="6"/>
  <c r="G6" i="6"/>
  <c r="F6" i="6"/>
  <c r="E6" i="6"/>
  <c r="D6" i="6"/>
  <c r="C6" i="6"/>
  <c r="B6" i="6"/>
  <c r="A6" i="6"/>
  <c r="S5" i="6"/>
  <c r="R5" i="6"/>
  <c r="Q5" i="6"/>
  <c r="P5" i="6"/>
  <c r="O5" i="6"/>
  <c r="N5" i="6"/>
  <c r="M5" i="6"/>
  <c r="L5" i="6"/>
  <c r="K5" i="6"/>
  <c r="J5" i="6"/>
  <c r="I5" i="6"/>
  <c r="H5" i="6"/>
  <c r="G5" i="6"/>
  <c r="F5" i="6"/>
  <c r="E5" i="6"/>
  <c r="D5" i="6"/>
  <c r="C5" i="6"/>
  <c r="B5" i="6"/>
  <c r="A5" i="6"/>
  <c r="S4" i="6"/>
  <c r="R4" i="6"/>
  <c r="Q4" i="6"/>
  <c r="P4" i="6"/>
  <c r="O4" i="6"/>
  <c r="N4" i="6"/>
  <c r="M4" i="6"/>
  <c r="L4" i="6"/>
  <c r="K4" i="6"/>
  <c r="J4" i="6"/>
  <c r="I4" i="6"/>
  <c r="H4" i="6"/>
  <c r="G4" i="6"/>
  <c r="F4" i="6"/>
  <c r="E4" i="6"/>
  <c r="D4" i="6"/>
  <c r="C4" i="6"/>
  <c r="B4" i="6"/>
  <c r="A4" i="6"/>
  <c r="S3" i="6"/>
  <c r="R3" i="6"/>
  <c r="Q3" i="6"/>
  <c r="P3" i="6"/>
  <c r="O3" i="6"/>
  <c r="N3" i="6"/>
  <c r="M3" i="6"/>
  <c r="L3" i="6"/>
  <c r="K3" i="6"/>
  <c r="J3" i="6"/>
  <c r="I3" i="6"/>
  <c r="H3" i="6"/>
  <c r="G3" i="6"/>
  <c r="F3" i="6"/>
  <c r="E3" i="6"/>
  <c r="D3" i="6"/>
  <c r="C3" i="6"/>
  <c r="B3" i="6"/>
  <c r="A3" i="6"/>
  <c r="S2" i="6"/>
  <c r="R2" i="6"/>
  <c r="Q2" i="6"/>
  <c r="P2" i="6"/>
  <c r="O2" i="6"/>
  <c r="N2" i="6"/>
  <c r="M2" i="6"/>
  <c r="L2" i="6"/>
  <c r="K2" i="6"/>
  <c r="J2" i="6"/>
  <c r="I2" i="6"/>
  <c r="H2" i="6"/>
  <c r="G2" i="6"/>
  <c r="F2" i="6"/>
  <c r="E2" i="6"/>
  <c r="D2" i="6"/>
  <c r="C2" i="6"/>
  <c r="B2" i="6"/>
  <c r="A2" i="6"/>
  <c r="S1" i="6"/>
  <c r="R1" i="6"/>
  <c r="Q1" i="6"/>
  <c r="P1" i="6"/>
  <c r="O1" i="6"/>
  <c r="N1" i="6"/>
  <c r="M1" i="6"/>
  <c r="L1" i="6"/>
  <c r="K1" i="6"/>
  <c r="J1" i="6"/>
  <c r="I1" i="6"/>
  <c r="H1" i="6"/>
  <c r="G1" i="6"/>
  <c r="F1" i="6"/>
  <c r="E1" i="6"/>
  <c r="D1" i="6"/>
  <c r="C1" i="6"/>
  <c r="B1" i="6"/>
  <c r="A1" i="6"/>
  <c r="AU107" i="3"/>
  <c r="AT107" i="3"/>
  <c r="AS107" i="3"/>
  <c r="AR107" i="3"/>
  <c r="AQ107" i="3"/>
  <c r="AP107" i="3"/>
  <c r="AO107" i="3"/>
  <c r="AN107" i="3"/>
  <c r="AM107" i="3"/>
  <c r="AL107" i="3"/>
  <c r="AJ107" i="3"/>
  <c r="AI107" i="3"/>
  <c r="AH107" i="3"/>
  <c r="AG107" i="3"/>
  <c r="AF107" i="3"/>
  <c r="AE107" i="3"/>
  <c r="AD107" i="3"/>
  <c r="AC107" i="3"/>
  <c r="AB107" i="3"/>
  <c r="AA107" i="3"/>
  <c r="Z107" i="3"/>
  <c r="Y107" i="3"/>
  <c r="X107" i="3"/>
  <c r="W107" i="3"/>
  <c r="V107" i="3"/>
  <c r="U107" i="3"/>
  <c r="S107" i="3"/>
  <c r="R107" i="3"/>
  <c r="Q107" i="3"/>
  <c r="P107" i="3"/>
  <c r="O107" i="3"/>
  <c r="N107" i="3"/>
  <c r="M107" i="3"/>
  <c r="L107" i="3"/>
  <c r="K107" i="3"/>
  <c r="I107" i="3"/>
  <c r="H107" i="3"/>
  <c r="G107" i="3"/>
  <c r="F107" i="3"/>
  <c r="D107" i="3"/>
  <c r="C107" i="3"/>
  <c r="B107" i="3"/>
  <c r="A107" i="3"/>
  <c r="AU106" i="3"/>
  <c r="AT106" i="3"/>
  <c r="AS106" i="3"/>
  <c r="AR106" i="3"/>
  <c r="AQ106" i="3"/>
  <c r="AP106" i="3"/>
  <c r="AO106" i="3"/>
  <c r="AN106" i="3"/>
  <c r="AM106" i="3"/>
  <c r="AL106" i="3"/>
  <c r="AJ106" i="3"/>
  <c r="AI106" i="3"/>
  <c r="AH106" i="3"/>
  <c r="AG106" i="3"/>
  <c r="AF106" i="3"/>
  <c r="AE106" i="3"/>
  <c r="AD106" i="3"/>
  <c r="AC106" i="3"/>
  <c r="AB106" i="3"/>
  <c r="AA106" i="3"/>
  <c r="Z106" i="3"/>
  <c r="Y106" i="3"/>
  <c r="X106" i="3"/>
  <c r="W106" i="3"/>
  <c r="V106" i="3"/>
  <c r="U106" i="3"/>
  <c r="S106" i="3"/>
  <c r="R106" i="3"/>
  <c r="Q106" i="3"/>
  <c r="P106" i="3"/>
  <c r="O106" i="3"/>
  <c r="N106" i="3"/>
  <c r="M106" i="3"/>
  <c r="L106" i="3"/>
  <c r="K106" i="3"/>
  <c r="I106" i="3"/>
  <c r="H106" i="3"/>
  <c r="G106" i="3"/>
  <c r="F106" i="3"/>
  <c r="D106" i="3"/>
  <c r="C106" i="3"/>
  <c r="B106" i="3"/>
  <c r="A106" i="3"/>
  <c r="AU105" i="3"/>
  <c r="AT105" i="3"/>
  <c r="AS105" i="3"/>
  <c r="AR105" i="3"/>
  <c r="AQ105" i="3"/>
  <c r="AP105" i="3"/>
  <c r="AO105" i="3"/>
  <c r="AN105" i="3"/>
  <c r="AM105" i="3"/>
  <c r="AL105" i="3"/>
  <c r="AJ105" i="3"/>
  <c r="AI105" i="3"/>
  <c r="AH105" i="3"/>
  <c r="AG105" i="3"/>
  <c r="AF105" i="3"/>
  <c r="AE105" i="3"/>
  <c r="AD105" i="3"/>
  <c r="AC105" i="3"/>
  <c r="AB105" i="3"/>
  <c r="AA105" i="3"/>
  <c r="Z105" i="3"/>
  <c r="Y105" i="3"/>
  <c r="X105" i="3"/>
  <c r="W105" i="3"/>
  <c r="V105" i="3"/>
  <c r="U105" i="3"/>
  <c r="AK105" i="3" s="1"/>
  <c r="S105" i="3"/>
  <c r="R105" i="3"/>
  <c r="Q105" i="3"/>
  <c r="P105" i="3"/>
  <c r="O105" i="3"/>
  <c r="N105" i="3"/>
  <c r="M105" i="3"/>
  <c r="L105" i="3"/>
  <c r="K105" i="3"/>
  <c r="I105" i="3"/>
  <c r="H105" i="3"/>
  <c r="G105" i="3"/>
  <c r="J105" i="3" s="1"/>
  <c r="F105" i="3"/>
  <c r="D105" i="3"/>
  <c r="C105" i="3"/>
  <c r="B105" i="3"/>
  <c r="A105" i="3"/>
  <c r="AU104" i="3"/>
  <c r="AT104" i="3"/>
  <c r="AS104" i="3"/>
  <c r="AR104" i="3"/>
  <c r="AQ104" i="3"/>
  <c r="AP104" i="3"/>
  <c r="AO104" i="3"/>
  <c r="AN104" i="3"/>
  <c r="AM104" i="3"/>
  <c r="AL104" i="3"/>
  <c r="AJ104" i="3"/>
  <c r="AI104" i="3"/>
  <c r="AH104" i="3"/>
  <c r="AG104" i="3"/>
  <c r="AF104" i="3"/>
  <c r="AE104" i="3"/>
  <c r="AD104" i="3"/>
  <c r="AC104" i="3"/>
  <c r="AB104" i="3"/>
  <c r="AA104" i="3"/>
  <c r="Z104" i="3"/>
  <c r="Y104" i="3"/>
  <c r="X104" i="3"/>
  <c r="W104" i="3"/>
  <c r="V104" i="3"/>
  <c r="U104" i="3"/>
  <c r="S104" i="3"/>
  <c r="R104" i="3"/>
  <c r="Q104" i="3"/>
  <c r="P104" i="3"/>
  <c r="O104" i="3"/>
  <c r="N104" i="3"/>
  <c r="M104" i="3"/>
  <c r="L104" i="3"/>
  <c r="T104" i="3" s="1"/>
  <c r="K104" i="3"/>
  <c r="I104" i="3"/>
  <c r="H104" i="3"/>
  <c r="G104" i="3"/>
  <c r="F104" i="3"/>
  <c r="J104" i="3" s="1"/>
  <c r="D104" i="3"/>
  <c r="C104" i="3"/>
  <c r="B104" i="3"/>
  <c r="A104" i="3"/>
  <c r="AU103" i="3"/>
  <c r="AT103" i="3"/>
  <c r="AS103" i="3"/>
  <c r="AR103" i="3"/>
  <c r="AQ103" i="3"/>
  <c r="AP103" i="3"/>
  <c r="AO103" i="3"/>
  <c r="AN103" i="3"/>
  <c r="AM103" i="3"/>
  <c r="AL103" i="3"/>
  <c r="AJ103" i="3"/>
  <c r="AI103" i="3"/>
  <c r="AH103" i="3"/>
  <c r="AG103" i="3"/>
  <c r="AF103" i="3"/>
  <c r="AE103" i="3"/>
  <c r="AD103" i="3"/>
  <c r="AC103" i="3"/>
  <c r="AB103" i="3"/>
  <c r="AA103" i="3"/>
  <c r="Z103" i="3"/>
  <c r="Y103" i="3"/>
  <c r="X103" i="3"/>
  <c r="W103" i="3"/>
  <c r="V103" i="3"/>
  <c r="U103" i="3"/>
  <c r="AK103" i="3" s="1"/>
  <c r="S103" i="3"/>
  <c r="R103" i="3"/>
  <c r="Q103" i="3"/>
  <c r="P103" i="3"/>
  <c r="O103" i="3"/>
  <c r="N103" i="3"/>
  <c r="M103" i="3"/>
  <c r="L103" i="3"/>
  <c r="T103" i="3" s="1"/>
  <c r="K103" i="3"/>
  <c r="J103" i="3"/>
  <c r="I103" i="3"/>
  <c r="H103" i="3"/>
  <c r="G103" i="3"/>
  <c r="F103" i="3"/>
  <c r="D103" i="3"/>
  <c r="C103" i="3"/>
  <c r="B103" i="3"/>
  <c r="A103" i="3"/>
  <c r="AU102" i="3"/>
  <c r="AT102" i="3"/>
  <c r="AS102" i="3"/>
  <c r="AR102" i="3"/>
  <c r="AQ102" i="3"/>
  <c r="AP102" i="3"/>
  <c r="AO102" i="3"/>
  <c r="AN102" i="3"/>
  <c r="AM102" i="3"/>
  <c r="AL102" i="3"/>
  <c r="AJ102" i="3"/>
  <c r="AI102" i="3"/>
  <c r="AH102" i="3"/>
  <c r="AG102" i="3"/>
  <c r="AF102" i="3"/>
  <c r="AE102" i="3"/>
  <c r="AD102" i="3"/>
  <c r="AC102" i="3"/>
  <c r="AB102" i="3"/>
  <c r="AA102" i="3"/>
  <c r="Z102" i="3"/>
  <c r="Y102" i="3"/>
  <c r="X102" i="3"/>
  <c r="W102" i="3"/>
  <c r="V102" i="3"/>
  <c r="U102" i="3"/>
  <c r="AK102" i="3" s="1"/>
  <c r="S102" i="3"/>
  <c r="R102" i="3"/>
  <c r="Q102" i="3"/>
  <c r="P102" i="3"/>
  <c r="O102" i="3"/>
  <c r="N102" i="3"/>
  <c r="M102" i="3"/>
  <c r="L102" i="3"/>
  <c r="K102" i="3"/>
  <c r="J102" i="3"/>
  <c r="I102" i="3"/>
  <c r="H102" i="3"/>
  <c r="G102" i="3"/>
  <c r="F102" i="3"/>
  <c r="D102" i="3"/>
  <c r="C102" i="3"/>
  <c r="B102" i="3"/>
  <c r="A102" i="3"/>
  <c r="AU101" i="3"/>
  <c r="AT101" i="3"/>
  <c r="AS101" i="3"/>
  <c r="AR101" i="3"/>
  <c r="AQ101" i="3"/>
  <c r="AP101" i="3"/>
  <c r="AO101" i="3"/>
  <c r="AN101" i="3"/>
  <c r="AM101" i="3"/>
  <c r="AL101" i="3"/>
  <c r="AJ101" i="3"/>
  <c r="AI101" i="3"/>
  <c r="AH101" i="3"/>
  <c r="AG101" i="3"/>
  <c r="AF101" i="3"/>
  <c r="AE101" i="3"/>
  <c r="AD101" i="3"/>
  <c r="AC101" i="3"/>
  <c r="AB101" i="3"/>
  <c r="AA101" i="3"/>
  <c r="Z101" i="3"/>
  <c r="Y101" i="3"/>
  <c r="X101" i="3"/>
  <c r="W101" i="3"/>
  <c r="V101" i="3"/>
  <c r="U101" i="3"/>
  <c r="S101" i="3"/>
  <c r="R101" i="3"/>
  <c r="Q101" i="3"/>
  <c r="P101" i="3"/>
  <c r="O101" i="3"/>
  <c r="N101" i="3"/>
  <c r="M101" i="3"/>
  <c r="L101" i="3"/>
  <c r="K101" i="3"/>
  <c r="I101" i="3"/>
  <c r="H101" i="3"/>
  <c r="G101" i="3"/>
  <c r="F101" i="3"/>
  <c r="D101" i="3"/>
  <c r="C101" i="3"/>
  <c r="B101" i="3"/>
  <c r="A101" i="3"/>
  <c r="AU100" i="3"/>
  <c r="AT100" i="3"/>
  <c r="AS100" i="3"/>
  <c r="AR100" i="3"/>
  <c r="AQ100" i="3"/>
  <c r="AP100" i="3"/>
  <c r="AO100" i="3"/>
  <c r="AN100" i="3"/>
  <c r="AM100" i="3"/>
  <c r="AL100" i="3"/>
  <c r="AJ100" i="3"/>
  <c r="AI100" i="3"/>
  <c r="AH100" i="3"/>
  <c r="AG100" i="3"/>
  <c r="AF100" i="3"/>
  <c r="AE100" i="3"/>
  <c r="AD100" i="3"/>
  <c r="AC100" i="3"/>
  <c r="AB100" i="3"/>
  <c r="AA100" i="3"/>
  <c r="Z100" i="3"/>
  <c r="Y100" i="3"/>
  <c r="X100" i="3"/>
  <c r="W100" i="3"/>
  <c r="V100" i="3"/>
  <c r="U100" i="3"/>
  <c r="S100" i="3"/>
  <c r="R100" i="3"/>
  <c r="Q100" i="3"/>
  <c r="P100" i="3"/>
  <c r="O100" i="3"/>
  <c r="N100" i="3"/>
  <c r="M100" i="3"/>
  <c r="L100" i="3"/>
  <c r="K100" i="3"/>
  <c r="I100" i="3"/>
  <c r="H100" i="3"/>
  <c r="G100" i="3"/>
  <c r="F100" i="3"/>
  <c r="D100" i="3"/>
  <c r="C100" i="3"/>
  <c r="B100" i="3"/>
  <c r="A100" i="3"/>
  <c r="AU99" i="3"/>
  <c r="AT99" i="3"/>
  <c r="AS99" i="3"/>
  <c r="AR99" i="3"/>
  <c r="AQ99" i="3"/>
  <c r="AP99" i="3"/>
  <c r="AO99" i="3"/>
  <c r="AN99" i="3"/>
  <c r="AM99" i="3"/>
  <c r="AL99" i="3"/>
  <c r="AJ99" i="3"/>
  <c r="AI99" i="3"/>
  <c r="AH99" i="3"/>
  <c r="AG99" i="3"/>
  <c r="AF99" i="3"/>
  <c r="AE99" i="3"/>
  <c r="AD99" i="3"/>
  <c r="AC99" i="3"/>
  <c r="AB99" i="3"/>
  <c r="AA99" i="3"/>
  <c r="Z99" i="3"/>
  <c r="Y99" i="3"/>
  <c r="X99" i="3"/>
  <c r="W99" i="3"/>
  <c r="V99" i="3"/>
  <c r="U99" i="3"/>
  <c r="S99" i="3"/>
  <c r="R99" i="3"/>
  <c r="Q99" i="3"/>
  <c r="P99" i="3"/>
  <c r="O99" i="3"/>
  <c r="N99" i="3"/>
  <c r="M99" i="3"/>
  <c r="L99" i="3"/>
  <c r="T99" i="3" s="1"/>
  <c r="K99" i="3"/>
  <c r="I99" i="3"/>
  <c r="H99" i="3"/>
  <c r="G99" i="3"/>
  <c r="F99" i="3"/>
  <c r="J99" i="3" s="1"/>
  <c r="D99" i="3"/>
  <c r="C99" i="3"/>
  <c r="B99" i="3"/>
  <c r="A99" i="3"/>
  <c r="AU98" i="3"/>
  <c r="AT98" i="3"/>
  <c r="AS98" i="3"/>
  <c r="AR98" i="3"/>
  <c r="AQ98" i="3"/>
  <c r="AP98" i="3"/>
  <c r="AO98" i="3"/>
  <c r="AN98" i="3"/>
  <c r="AM98" i="3"/>
  <c r="AL98" i="3"/>
  <c r="AJ98" i="3"/>
  <c r="AI98" i="3"/>
  <c r="AH98" i="3"/>
  <c r="AG98" i="3"/>
  <c r="AF98" i="3"/>
  <c r="AE98" i="3"/>
  <c r="AD98" i="3"/>
  <c r="AC98" i="3"/>
  <c r="AB98" i="3"/>
  <c r="AA98" i="3"/>
  <c r="Z98" i="3"/>
  <c r="Y98" i="3"/>
  <c r="X98" i="3"/>
  <c r="W98" i="3"/>
  <c r="V98" i="3"/>
  <c r="U98" i="3"/>
  <c r="S98" i="3"/>
  <c r="R98" i="3"/>
  <c r="Q98" i="3"/>
  <c r="P98" i="3"/>
  <c r="O98" i="3"/>
  <c r="N98" i="3"/>
  <c r="M98" i="3"/>
  <c r="L98" i="3"/>
  <c r="K98" i="3"/>
  <c r="I98" i="3"/>
  <c r="H98" i="3"/>
  <c r="G98" i="3"/>
  <c r="F98" i="3"/>
  <c r="D98" i="3"/>
  <c r="C98" i="3"/>
  <c r="B98" i="3"/>
  <c r="A98" i="3"/>
  <c r="AU97" i="3"/>
  <c r="AT97" i="3"/>
  <c r="AS97" i="3"/>
  <c r="AR97" i="3"/>
  <c r="AQ97" i="3"/>
  <c r="AP97" i="3"/>
  <c r="AO97" i="3"/>
  <c r="AN97" i="3"/>
  <c r="AM97" i="3"/>
  <c r="AL97" i="3"/>
  <c r="AJ97" i="3"/>
  <c r="AI97" i="3"/>
  <c r="AH97" i="3"/>
  <c r="AG97" i="3"/>
  <c r="AF97" i="3"/>
  <c r="AE97" i="3"/>
  <c r="AD97" i="3"/>
  <c r="AC97" i="3"/>
  <c r="AB97" i="3"/>
  <c r="AA97" i="3"/>
  <c r="Z97" i="3"/>
  <c r="Y97" i="3"/>
  <c r="X97" i="3"/>
  <c r="W97" i="3"/>
  <c r="V97" i="3"/>
  <c r="U97" i="3"/>
  <c r="AK97" i="3" s="1"/>
  <c r="S97" i="3"/>
  <c r="R97" i="3"/>
  <c r="Q97" i="3"/>
  <c r="P97" i="3"/>
  <c r="O97" i="3"/>
  <c r="N97" i="3"/>
  <c r="M97" i="3"/>
  <c r="L97" i="3"/>
  <c r="T97" i="3" s="1"/>
  <c r="K97" i="3"/>
  <c r="I97" i="3"/>
  <c r="H97" i="3"/>
  <c r="G97" i="3"/>
  <c r="F97" i="3"/>
  <c r="J97" i="3" s="1"/>
  <c r="D97" i="3"/>
  <c r="C97" i="3"/>
  <c r="B97" i="3"/>
  <c r="A97" i="3"/>
  <c r="AU96" i="3"/>
  <c r="AT96" i="3"/>
  <c r="AS96" i="3"/>
  <c r="AR96" i="3"/>
  <c r="AQ96" i="3"/>
  <c r="AP96" i="3"/>
  <c r="AO96" i="3"/>
  <c r="AN96" i="3"/>
  <c r="AM96" i="3"/>
  <c r="AL96" i="3"/>
  <c r="AJ96" i="3"/>
  <c r="AI96" i="3"/>
  <c r="AH96" i="3"/>
  <c r="AG96" i="3"/>
  <c r="AF96" i="3"/>
  <c r="AE96" i="3"/>
  <c r="AD96" i="3"/>
  <c r="AC96" i="3"/>
  <c r="AB96" i="3"/>
  <c r="AA96" i="3"/>
  <c r="Z96" i="3"/>
  <c r="Y96" i="3"/>
  <c r="X96" i="3"/>
  <c r="W96" i="3"/>
  <c r="V96" i="3"/>
  <c r="U96" i="3"/>
  <c r="AK96" i="3" s="1"/>
  <c r="S96" i="3"/>
  <c r="R96" i="3"/>
  <c r="Q96" i="3"/>
  <c r="P96" i="3"/>
  <c r="O96" i="3"/>
  <c r="N96" i="3"/>
  <c r="M96" i="3"/>
  <c r="L96" i="3"/>
  <c r="K96" i="3"/>
  <c r="T96" i="3" s="1"/>
  <c r="I96" i="3"/>
  <c r="H96" i="3"/>
  <c r="G96" i="3"/>
  <c r="F96" i="3"/>
  <c r="D96" i="3"/>
  <c r="C96" i="3"/>
  <c r="B96" i="3"/>
  <c r="A96" i="3"/>
  <c r="AU95" i="3"/>
  <c r="AT95" i="3"/>
  <c r="AS95" i="3"/>
  <c r="AR95" i="3"/>
  <c r="AQ95" i="3"/>
  <c r="AP95" i="3"/>
  <c r="AO95" i="3"/>
  <c r="AN95" i="3"/>
  <c r="AM95" i="3"/>
  <c r="AL95" i="3"/>
  <c r="AJ95" i="3"/>
  <c r="AI95" i="3"/>
  <c r="AH95" i="3"/>
  <c r="AG95" i="3"/>
  <c r="AF95" i="3"/>
  <c r="AE95" i="3"/>
  <c r="AD95" i="3"/>
  <c r="AC95" i="3"/>
  <c r="AB95" i="3"/>
  <c r="AA95" i="3"/>
  <c r="Z95" i="3"/>
  <c r="Y95" i="3"/>
  <c r="X95" i="3"/>
  <c r="W95" i="3"/>
  <c r="V95" i="3"/>
  <c r="U95" i="3"/>
  <c r="S95" i="3"/>
  <c r="R95" i="3"/>
  <c r="Q95" i="3"/>
  <c r="P95" i="3"/>
  <c r="O95" i="3"/>
  <c r="N95" i="3"/>
  <c r="M95" i="3"/>
  <c r="L95" i="3"/>
  <c r="K95" i="3"/>
  <c r="I95" i="3"/>
  <c r="H95" i="3"/>
  <c r="J95" i="3" s="1"/>
  <c r="G95" i="3"/>
  <c r="F95" i="3"/>
  <c r="D95" i="3"/>
  <c r="C95" i="3"/>
  <c r="B95" i="3"/>
  <c r="A95" i="3"/>
  <c r="AU94" i="3"/>
  <c r="AT94" i="3"/>
  <c r="AS94" i="3"/>
  <c r="AR94" i="3"/>
  <c r="AQ94" i="3"/>
  <c r="AP94" i="3"/>
  <c r="AO94" i="3"/>
  <c r="AN94" i="3"/>
  <c r="AM94" i="3"/>
  <c r="AL94" i="3"/>
  <c r="AJ94" i="3"/>
  <c r="AI94" i="3"/>
  <c r="AH94" i="3"/>
  <c r="AG94" i="3"/>
  <c r="AF94" i="3"/>
  <c r="AE94" i="3"/>
  <c r="AD94" i="3"/>
  <c r="AC94" i="3"/>
  <c r="AB94" i="3"/>
  <c r="AA94" i="3"/>
  <c r="Z94" i="3"/>
  <c r="Y94" i="3"/>
  <c r="X94" i="3"/>
  <c r="W94" i="3"/>
  <c r="V94" i="3"/>
  <c r="U94" i="3"/>
  <c r="S94" i="3"/>
  <c r="R94" i="3"/>
  <c r="Q94" i="3"/>
  <c r="P94" i="3"/>
  <c r="O94" i="3"/>
  <c r="N94" i="3"/>
  <c r="M94" i="3"/>
  <c r="L94" i="3"/>
  <c r="K94" i="3"/>
  <c r="T94" i="3" s="1"/>
  <c r="I94" i="3"/>
  <c r="H94" i="3"/>
  <c r="G94" i="3"/>
  <c r="J94" i="3" s="1"/>
  <c r="F94" i="3"/>
  <c r="D94" i="3"/>
  <c r="C94" i="3"/>
  <c r="B94" i="3"/>
  <c r="A94" i="3"/>
  <c r="AU93" i="3"/>
  <c r="AT93" i="3"/>
  <c r="AS93" i="3"/>
  <c r="AR93" i="3"/>
  <c r="AQ93" i="3"/>
  <c r="AP93" i="3"/>
  <c r="AO93" i="3"/>
  <c r="AN93" i="3"/>
  <c r="AM93" i="3"/>
  <c r="AL93" i="3"/>
  <c r="AJ93" i="3"/>
  <c r="AI93" i="3"/>
  <c r="AH93" i="3"/>
  <c r="AG93" i="3"/>
  <c r="AF93" i="3"/>
  <c r="AE93" i="3"/>
  <c r="AD93" i="3"/>
  <c r="AC93" i="3"/>
  <c r="AB93" i="3"/>
  <c r="AA93" i="3"/>
  <c r="Z93" i="3"/>
  <c r="Y93" i="3"/>
  <c r="X93" i="3"/>
  <c r="W93" i="3"/>
  <c r="V93" i="3"/>
  <c r="U93" i="3"/>
  <c r="S93" i="3"/>
  <c r="R93" i="3"/>
  <c r="Q93" i="3"/>
  <c r="P93" i="3"/>
  <c r="O93" i="3"/>
  <c r="N93" i="3"/>
  <c r="M93" i="3"/>
  <c r="L93" i="3"/>
  <c r="K93" i="3"/>
  <c r="I93" i="3"/>
  <c r="H93" i="3"/>
  <c r="J93" i="3" s="1"/>
  <c r="G93" i="3"/>
  <c r="F93" i="3"/>
  <c r="D93" i="3"/>
  <c r="C93" i="3"/>
  <c r="B93" i="3"/>
  <c r="A93" i="3"/>
  <c r="AU92" i="3"/>
  <c r="AT92" i="3"/>
  <c r="AS92" i="3"/>
  <c r="AR92" i="3"/>
  <c r="AQ92" i="3"/>
  <c r="AP92" i="3"/>
  <c r="AO92" i="3"/>
  <c r="AN92" i="3"/>
  <c r="AM92" i="3"/>
  <c r="AL92" i="3"/>
  <c r="AJ92" i="3"/>
  <c r="AI92" i="3"/>
  <c r="AH92" i="3"/>
  <c r="AG92" i="3"/>
  <c r="AF92" i="3"/>
  <c r="AE92" i="3"/>
  <c r="AD92" i="3"/>
  <c r="AC92" i="3"/>
  <c r="AB92" i="3"/>
  <c r="AA92" i="3"/>
  <c r="Z92" i="3"/>
  <c r="Y92" i="3"/>
  <c r="X92" i="3"/>
  <c r="W92" i="3"/>
  <c r="V92" i="3"/>
  <c r="U92" i="3"/>
  <c r="AK92" i="3" s="1"/>
  <c r="S92" i="3"/>
  <c r="R92" i="3"/>
  <c r="Q92" i="3"/>
  <c r="P92" i="3"/>
  <c r="O92" i="3"/>
  <c r="N92" i="3"/>
  <c r="M92" i="3"/>
  <c r="L92" i="3"/>
  <c r="K92" i="3"/>
  <c r="I92" i="3"/>
  <c r="H92" i="3"/>
  <c r="G92" i="3"/>
  <c r="F92" i="3"/>
  <c r="D92" i="3"/>
  <c r="C92" i="3"/>
  <c r="B92" i="3"/>
  <c r="A92" i="3"/>
  <c r="AU91" i="3"/>
  <c r="AT91" i="3"/>
  <c r="AS91" i="3"/>
  <c r="AR91" i="3"/>
  <c r="AQ91" i="3"/>
  <c r="AP91" i="3"/>
  <c r="AO91" i="3"/>
  <c r="AN91" i="3"/>
  <c r="AM91" i="3"/>
  <c r="AL91" i="3"/>
  <c r="AJ91" i="3"/>
  <c r="AI91" i="3"/>
  <c r="AH91" i="3"/>
  <c r="AG91" i="3"/>
  <c r="AF91" i="3"/>
  <c r="AE91" i="3"/>
  <c r="AD91" i="3"/>
  <c r="AC91" i="3"/>
  <c r="AB91" i="3"/>
  <c r="AA91" i="3"/>
  <c r="Z91" i="3"/>
  <c r="Y91" i="3"/>
  <c r="X91" i="3"/>
  <c r="W91" i="3"/>
  <c r="V91" i="3"/>
  <c r="U91" i="3"/>
  <c r="S91" i="3"/>
  <c r="R91" i="3"/>
  <c r="Q91" i="3"/>
  <c r="P91" i="3"/>
  <c r="O91" i="3"/>
  <c r="N91" i="3"/>
  <c r="M91" i="3"/>
  <c r="L91" i="3"/>
  <c r="K91" i="3"/>
  <c r="I91" i="3"/>
  <c r="H91" i="3"/>
  <c r="G91" i="3"/>
  <c r="F91" i="3"/>
  <c r="D91" i="3"/>
  <c r="C91" i="3"/>
  <c r="B91" i="3"/>
  <c r="A91"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AK90" i="3" s="1"/>
  <c r="S90" i="3"/>
  <c r="R90" i="3"/>
  <c r="Q90" i="3"/>
  <c r="P90" i="3"/>
  <c r="O90" i="3"/>
  <c r="N90" i="3"/>
  <c r="M90" i="3"/>
  <c r="L90" i="3"/>
  <c r="K90" i="3"/>
  <c r="I90" i="3"/>
  <c r="H90" i="3"/>
  <c r="G90" i="3"/>
  <c r="F90" i="3"/>
  <c r="D90" i="3"/>
  <c r="C90" i="3"/>
  <c r="B90" i="3"/>
  <c r="A90"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S89" i="3"/>
  <c r="R89" i="3"/>
  <c r="Q89" i="3"/>
  <c r="P89" i="3"/>
  <c r="O89" i="3"/>
  <c r="N89" i="3"/>
  <c r="M89" i="3"/>
  <c r="L89" i="3"/>
  <c r="K89" i="3"/>
  <c r="I89" i="3"/>
  <c r="H89" i="3"/>
  <c r="G89" i="3"/>
  <c r="J89" i="3" s="1"/>
  <c r="F89" i="3"/>
  <c r="D89" i="3"/>
  <c r="C89" i="3"/>
  <c r="B89" i="3"/>
  <c r="A89" i="3"/>
  <c r="AU88" i="3"/>
  <c r="AT88" i="3"/>
  <c r="AS88" i="3"/>
  <c r="AR88" i="3"/>
  <c r="AQ88" i="3"/>
  <c r="AP88" i="3"/>
  <c r="AO88" i="3"/>
  <c r="AN88" i="3"/>
  <c r="AM88" i="3"/>
  <c r="AL88" i="3"/>
  <c r="AJ88" i="3"/>
  <c r="AI88" i="3"/>
  <c r="AH88" i="3"/>
  <c r="AG88" i="3"/>
  <c r="AF88" i="3"/>
  <c r="AE88" i="3"/>
  <c r="AD88" i="3"/>
  <c r="AC88" i="3"/>
  <c r="AB88" i="3"/>
  <c r="AA88" i="3"/>
  <c r="Z88" i="3"/>
  <c r="Y88" i="3"/>
  <c r="X88" i="3"/>
  <c r="W88" i="3"/>
  <c r="V88" i="3"/>
  <c r="U88" i="3"/>
  <c r="AK88" i="3" s="1"/>
  <c r="S88" i="3"/>
  <c r="R88" i="3"/>
  <c r="Q88" i="3"/>
  <c r="P88" i="3"/>
  <c r="O88" i="3"/>
  <c r="N88" i="3"/>
  <c r="M88" i="3"/>
  <c r="L88" i="3"/>
  <c r="T88" i="3" s="1"/>
  <c r="K88" i="3"/>
  <c r="I88" i="3"/>
  <c r="H88" i="3"/>
  <c r="G88" i="3"/>
  <c r="F88" i="3"/>
  <c r="J88" i="3" s="1"/>
  <c r="D88" i="3"/>
  <c r="C88" i="3"/>
  <c r="B88" i="3"/>
  <c r="A88" i="3"/>
  <c r="AU87" i="3"/>
  <c r="AT87" i="3"/>
  <c r="AS87" i="3"/>
  <c r="AR87" i="3"/>
  <c r="AQ87" i="3"/>
  <c r="AP87" i="3"/>
  <c r="AO87" i="3"/>
  <c r="AN87" i="3"/>
  <c r="AM87" i="3"/>
  <c r="AL87" i="3"/>
  <c r="AJ87" i="3"/>
  <c r="AI87" i="3"/>
  <c r="AH87" i="3"/>
  <c r="AG87" i="3"/>
  <c r="AF87" i="3"/>
  <c r="AE87" i="3"/>
  <c r="AD87" i="3"/>
  <c r="AC87" i="3"/>
  <c r="AB87" i="3"/>
  <c r="AA87" i="3"/>
  <c r="Z87" i="3"/>
  <c r="Y87" i="3"/>
  <c r="X87" i="3"/>
  <c r="W87" i="3"/>
  <c r="V87" i="3"/>
  <c r="U87" i="3"/>
  <c r="S87" i="3"/>
  <c r="R87" i="3"/>
  <c r="Q87" i="3"/>
  <c r="P87" i="3"/>
  <c r="O87" i="3"/>
  <c r="N87" i="3"/>
  <c r="M87" i="3"/>
  <c r="L87" i="3"/>
  <c r="K87" i="3"/>
  <c r="J87" i="3"/>
  <c r="I87" i="3"/>
  <c r="H87" i="3"/>
  <c r="G87" i="3"/>
  <c r="F87" i="3"/>
  <c r="D87" i="3"/>
  <c r="C87" i="3"/>
  <c r="B87" i="3"/>
  <c r="A87" i="3"/>
  <c r="AU86" i="3"/>
  <c r="AT86" i="3"/>
  <c r="AS86" i="3"/>
  <c r="AR86" i="3"/>
  <c r="AQ86" i="3"/>
  <c r="AP86" i="3"/>
  <c r="AO86" i="3"/>
  <c r="AN86" i="3"/>
  <c r="AM86" i="3"/>
  <c r="AL86" i="3"/>
  <c r="AJ86" i="3"/>
  <c r="AI86" i="3"/>
  <c r="AH86" i="3"/>
  <c r="AG86" i="3"/>
  <c r="AF86" i="3"/>
  <c r="AE86" i="3"/>
  <c r="AD86" i="3"/>
  <c r="AC86" i="3"/>
  <c r="AB86" i="3"/>
  <c r="AA86" i="3"/>
  <c r="Z86" i="3"/>
  <c r="Y86" i="3"/>
  <c r="X86" i="3"/>
  <c r="W86" i="3"/>
  <c r="V86" i="3"/>
  <c r="U86" i="3"/>
  <c r="S86" i="3"/>
  <c r="R86" i="3"/>
  <c r="Q86" i="3"/>
  <c r="P86" i="3"/>
  <c r="O86" i="3"/>
  <c r="N86" i="3"/>
  <c r="M86" i="3"/>
  <c r="L86" i="3"/>
  <c r="T86" i="3" s="1"/>
  <c r="K86" i="3"/>
  <c r="I86" i="3"/>
  <c r="H86" i="3"/>
  <c r="G86" i="3"/>
  <c r="J86" i="3" s="1"/>
  <c r="F86" i="3"/>
  <c r="D86" i="3"/>
  <c r="C86" i="3"/>
  <c r="B86" i="3"/>
  <c r="A86" i="3"/>
  <c r="AU85" i="3"/>
  <c r="AT85" i="3"/>
  <c r="AS85" i="3"/>
  <c r="AR85" i="3"/>
  <c r="AQ85" i="3"/>
  <c r="AP85" i="3"/>
  <c r="AO85" i="3"/>
  <c r="AN85" i="3"/>
  <c r="AM85" i="3"/>
  <c r="AL85" i="3"/>
  <c r="AJ85" i="3"/>
  <c r="AI85" i="3"/>
  <c r="AH85" i="3"/>
  <c r="AG85" i="3"/>
  <c r="AF85" i="3"/>
  <c r="AE85" i="3"/>
  <c r="AD85" i="3"/>
  <c r="AC85" i="3"/>
  <c r="AB85" i="3"/>
  <c r="AA85" i="3"/>
  <c r="Z85" i="3"/>
  <c r="Y85" i="3"/>
  <c r="X85" i="3"/>
  <c r="W85" i="3"/>
  <c r="V85" i="3"/>
  <c r="U85" i="3"/>
  <c r="S85" i="3"/>
  <c r="R85" i="3"/>
  <c r="Q85" i="3"/>
  <c r="P85" i="3"/>
  <c r="O85" i="3"/>
  <c r="N85" i="3"/>
  <c r="M85" i="3"/>
  <c r="L85" i="3"/>
  <c r="K85" i="3"/>
  <c r="I85" i="3"/>
  <c r="H85" i="3"/>
  <c r="G85" i="3"/>
  <c r="F85" i="3"/>
  <c r="D85" i="3"/>
  <c r="C85" i="3"/>
  <c r="B85" i="3"/>
  <c r="A85" i="3"/>
  <c r="AU84" i="3"/>
  <c r="AT84" i="3"/>
  <c r="AS84" i="3"/>
  <c r="AR84" i="3"/>
  <c r="AQ84" i="3"/>
  <c r="AP84" i="3"/>
  <c r="AO84" i="3"/>
  <c r="AN84" i="3"/>
  <c r="AM84" i="3"/>
  <c r="AL84" i="3"/>
  <c r="AJ84" i="3"/>
  <c r="AI84" i="3"/>
  <c r="AH84" i="3"/>
  <c r="AG84" i="3"/>
  <c r="AF84" i="3"/>
  <c r="AE84" i="3"/>
  <c r="AD84" i="3"/>
  <c r="AC84" i="3"/>
  <c r="AB84" i="3"/>
  <c r="AA84" i="3"/>
  <c r="Z84" i="3"/>
  <c r="Y84" i="3"/>
  <c r="X84" i="3"/>
  <c r="W84" i="3"/>
  <c r="V84" i="3"/>
  <c r="U84" i="3"/>
  <c r="AK84" i="3" s="1"/>
  <c r="S84" i="3"/>
  <c r="R84" i="3"/>
  <c r="Q84" i="3"/>
  <c r="P84" i="3"/>
  <c r="O84" i="3"/>
  <c r="N84" i="3"/>
  <c r="M84" i="3"/>
  <c r="L84" i="3"/>
  <c r="K84" i="3"/>
  <c r="I84" i="3"/>
  <c r="H84" i="3"/>
  <c r="G84" i="3"/>
  <c r="F84" i="3"/>
  <c r="D84" i="3"/>
  <c r="C84" i="3"/>
  <c r="B84" i="3"/>
  <c r="A84" i="3"/>
  <c r="AU83" i="3"/>
  <c r="AT83" i="3"/>
  <c r="AS83" i="3"/>
  <c r="AR83" i="3"/>
  <c r="AQ83" i="3"/>
  <c r="AP83" i="3"/>
  <c r="AO83" i="3"/>
  <c r="AN83" i="3"/>
  <c r="AM83" i="3"/>
  <c r="AL83" i="3"/>
  <c r="AJ83" i="3"/>
  <c r="AI83" i="3"/>
  <c r="AH83" i="3"/>
  <c r="AG83" i="3"/>
  <c r="AF83" i="3"/>
  <c r="AE83" i="3"/>
  <c r="AD83" i="3"/>
  <c r="AC83" i="3"/>
  <c r="AB83" i="3"/>
  <c r="AA83" i="3"/>
  <c r="Z83" i="3"/>
  <c r="Y83" i="3"/>
  <c r="X83" i="3"/>
  <c r="W83" i="3"/>
  <c r="V83" i="3"/>
  <c r="U83" i="3"/>
  <c r="S83" i="3"/>
  <c r="R83" i="3"/>
  <c r="Q83" i="3"/>
  <c r="P83" i="3"/>
  <c r="O83" i="3"/>
  <c r="N83" i="3"/>
  <c r="M83" i="3"/>
  <c r="L83" i="3"/>
  <c r="T83" i="3" s="1"/>
  <c r="K83" i="3"/>
  <c r="I83" i="3"/>
  <c r="H83" i="3"/>
  <c r="G83" i="3"/>
  <c r="F83" i="3"/>
  <c r="D83" i="3"/>
  <c r="C83" i="3"/>
  <c r="B83" i="3"/>
  <c r="A83" i="3"/>
  <c r="AU82" i="3"/>
  <c r="AT82" i="3"/>
  <c r="AS82" i="3"/>
  <c r="AR82" i="3"/>
  <c r="AQ82" i="3"/>
  <c r="AP82" i="3"/>
  <c r="AO82" i="3"/>
  <c r="AN82" i="3"/>
  <c r="AM82" i="3"/>
  <c r="AL82" i="3"/>
  <c r="AJ82" i="3"/>
  <c r="AI82" i="3"/>
  <c r="AH82" i="3"/>
  <c r="AG82" i="3"/>
  <c r="AF82" i="3"/>
  <c r="AE82" i="3"/>
  <c r="AD82" i="3"/>
  <c r="AC82" i="3"/>
  <c r="AB82" i="3"/>
  <c r="AA82" i="3"/>
  <c r="Z82" i="3"/>
  <c r="Y82" i="3"/>
  <c r="X82" i="3"/>
  <c r="W82" i="3"/>
  <c r="V82" i="3"/>
  <c r="U82" i="3"/>
  <c r="S82" i="3"/>
  <c r="R82" i="3"/>
  <c r="Q82" i="3"/>
  <c r="P82" i="3"/>
  <c r="O82" i="3"/>
  <c r="N82" i="3"/>
  <c r="M82" i="3"/>
  <c r="L82" i="3"/>
  <c r="K82" i="3"/>
  <c r="I82" i="3"/>
  <c r="H82" i="3"/>
  <c r="G82" i="3"/>
  <c r="F82" i="3"/>
  <c r="J82" i="3" s="1"/>
  <c r="D82" i="3"/>
  <c r="C82" i="3"/>
  <c r="B82" i="3"/>
  <c r="A82" i="3"/>
  <c r="AU81" i="3"/>
  <c r="AT81" i="3"/>
  <c r="AS81" i="3"/>
  <c r="AR81" i="3"/>
  <c r="AQ81" i="3"/>
  <c r="AP81" i="3"/>
  <c r="AO81" i="3"/>
  <c r="AN81" i="3"/>
  <c r="AM81" i="3"/>
  <c r="AL81" i="3"/>
  <c r="AJ81" i="3"/>
  <c r="AI81" i="3"/>
  <c r="AH81" i="3"/>
  <c r="AG81" i="3"/>
  <c r="AF81" i="3"/>
  <c r="AE81" i="3"/>
  <c r="AD81" i="3"/>
  <c r="AC81" i="3"/>
  <c r="AB81" i="3"/>
  <c r="AA81" i="3"/>
  <c r="Z81" i="3"/>
  <c r="Y81" i="3"/>
  <c r="X81" i="3"/>
  <c r="W81" i="3"/>
  <c r="V81" i="3"/>
  <c r="U81" i="3"/>
  <c r="AK81" i="3" s="1"/>
  <c r="S81" i="3"/>
  <c r="R81" i="3"/>
  <c r="Q81" i="3"/>
  <c r="P81" i="3"/>
  <c r="O81" i="3"/>
  <c r="N81" i="3"/>
  <c r="M81" i="3"/>
  <c r="L81" i="3"/>
  <c r="T81" i="3" s="1"/>
  <c r="K81" i="3"/>
  <c r="I81" i="3"/>
  <c r="H81" i="3"/>
  <c r="G81" i="3"/>
  <c r="F81" i="3"/>
  <c r="J81" i="3" s="1"/>
  <c r="D81" i="3"/>
  <c r="C81" i="3"/>
  <c r="B81" i="3"/>
  <c r="A81" i="3"/>
  <c r="AU80" i="3"/>
  <c r="AT80" i="3"/>
  <c r="AS80" i="3"/>
  <c r="AR80" i="3"/>
  <c r="AQ80" i="3"/>
  <c r="AP80" i="3"/>
  <c r="AO80" i="3"/>
  <c r="AN80" i="3"/>
  <c r="AM80" i="3"/>
  <c r="AL80" i="3"/>
  <c r="AJ80" i="3"/>
  <c r="AI80" i="3"/>
  <c r="AH80" i="3"/>
  <c r="AG80" i="3"/>
  <c r="AF80" i="3"/>
  <c r="AE80" i="3"/>
  <c r="AD80" i="3"/>
  <c r="AC80" i="3"/>
  <c r="AB80" i="3"/>
  <c r="AA80" i="3"/>
  <c r="Z80" i="3"/>
  <c r="Y80" i="3"/>
  <c r="X80" i="3"/>
  <c r="W80" i="3"/>
  <c r="V80" i="3"/>
  <c r="U80" i="3"/>
  <c r="S80" i="3"/>
  <c r="R80" i="3"/>
  <c r="Q80" i="3"/>
  <c r="P80" i="3"/>
  <c r="O80" i="3"/>
  <c r="N80" i="3"/>
  <c r="M80" i="3"/>
  <c r="L80" i="3"/>
  <c r="K80" i="3"/>
  <c r="T80" i="3" s="1"/>
  <c r="I80" i="3"/>
  <c r="H80" i="3"/>
  <c r="G80" i="3"/>
  <c r="F80" i="3"/>
  <c r="D80" i="3"/>
  <c r="C80" i="3"/>
  <c r="B80" i="3"/>
  <c r="A80" i="3"/>
  <c r="AU79" i="3"/>
  <c r="AT79" i="3"/>
  <c r="AS79" i="3"/>
  <c r="AR79" i="3"/>
  <c r="AQ79" i="3"/>
  <c r="AP79" i="3"/>
  <c r="AO79" i="3"/>
  <c r="AN79" i="3"/>
  <c r="AM79" i="3"/>
  <c r="AL79" i="3"/>
  <c r="AJ79" i="3"/>
  <c r="AI79" i="3"/>
  <c r="AH79" i="3"/>
  <c r="AG79" i="3"/>
  <c r="AF79" i="3"/>
  <c r="AE79" i="3"/>
  <c r="AD79" i="3"/>
  <c r="AC79" i="3"/>
  <c r="AB79" i="3"/>
  <c r="AA79" i="3"/>
  <c r="Z79" i="3"/>
  <c r="Y79" i="3"/>
  <c r="X79" i="3"/>
  <c r="W79" i="3"/>
  <c r="V79" i="3"/>
  <c r="U79" i="3"/>
  <c r="AK79" i="3" s="1"/>
  <c r="S79" i="3"/>
  <c r="R79" i="3"/>
  <c r="Q79" i="3"/>
  <c r="P79" i="3"/>
  <c r="O79" i="3"/>
  <c r="N79" i="3"/>
  <c r="M79" i="3"/>
  <c r="L79" i="3"/>
  <c r="K79" i="3"/>
  <c r="I79" i="3"/>
  <c r="H79" i="3"/>
  <c r="J79" i="3" s="1"/>
  <c r="G79" i="3"/>
  <c r="F79" i="3"/>
  <c r="D79" i="3"/>
  <c r="C79" i="3"/>
  <c r="B79" i="3"/>
  <c r="A79" i="3"/>
  <c r="AU78" i="3"/>
  <c r="AT78" i="3"/>
  <c r="AS78" i="3"/>
  <c r="AR78" i="3"/>
  <c r="AQ78" i="3"/>
  <c r="AP78" i="3"/>
  <c r="AO78" i="3"/>
  <c r="AN78" i="3"/>
  <c r="AM78" i="3"/>
  <c r="AL78" i="3"/>
  <c r="AJ78" i="3"/>
  <c r="AI78" i="3"/>
  <c r="AH78" i="3"/>
  <c r="AG78" i="3"/>
  <c r="AF78" i="3"/>
  <c r="AE78" i="3"/>
  <c r="AD78" i="3"/>
  <c r="AC78" i="3"/>
  <c r="AB78" i="3"/>
  <c r="AA78" i="3"/>
  <c r="Z78" i="3"/>
  <c r="Y78" i="3"/>
  <c r="X78" i="3"/>
  <c r="W78" i="3"/>
  <c r="V78" i="3"/>
  <c r="U78" i="3"/>
  <c r="S78" i="3"/>
  <c r="R78" i="3"/>
  <c r="Q78" i="3"/>
  <c r="P78" i="3"/>
  <c r="O78" i="3"/>
  <c r="N78" i="3"/>
  <c r="M78" i="3"/>
  <c r="L78" i="3"/>
  <c r="T78" i="3" s="1"/>
  <c r="K78" i="3"/>
  <c r="I78" i="3"/>
  <c r="H78" i="3"/>
  <c r="G78" i="3"/>
  <c r="F78" i="3"/>
  <c r="D78" i="3"/>
  <c r="C78" i="3"/>
  <c r="B78" i="3"/>
  <c r="A78" i="3"/>
  <c r="AU77" i="3"/>
  <c r="AT77" i="3"/>
  <c r="AS77" i="3"/>
  <c r="AR77" i="3"/>
  <c r="AQ77" i="3"/>
  <c r="AP77" i="3"/>
  <c r="AO77" i="3"/>
  <c r="AN77" i="3"/>
  <c r="AM77" i="3"/>
  <c r="AL77" i="3"/>
  <c r="AJ77" i="3"/>
  <c r="AI77" i="3"/>
  <c r="AH77" i="3"/>
  <c r="AG77" i="3"/>
  <c r="AF77" i="3"/>
  <c r="AE77" i="3"/>
  <c r="AD77" i="3"/>
  <c r="AC77" i="3"/>
  <c r="AB77" i="3"/>
  <c r="AA77" i="3"/>
  <c r="Z77" i="3"/>
  <c r="Y77" i="3"/>
  <c r="X77" i="3"/>
  <c r="W77" i="3"/>
  <c r="V77" i="3"/>
  <c r="U77" i="3"/>
  <c r="S77" i="3"/>
  <c r="R77" i="3"/>
  <c r="Q77" i="3"/>
  <c r="P77" i="3"/>
  <c r="O77" i="3"/>
  <c r="N77" i="3"/>
  <c r="M77" i="3"/>
  <c r="L77" i="3"/>
  <c r="K77" i="3"/>
  <c r="J77" i="3"/>
  <c r="I77" i="3"/>
  <c r="H77" i="3"/>
  <c r="G77" i="3"/>
  <c r="F77" i="3"/>
  <c r="D77" i="3"/>
  <c r="C77" i="3"/>
  <c r="B77" i="3"/>
  <c r="A77" i="3"/>
  <c r="AU76" i="3"/>
  <c r="AT76" i="3"/>
  <c r="AS76" i="3"/>
  <c r="AR76" i="3"/>
  <c r="AQ76" i="3"/>
  <c r="AP76" i="3"/>
  <c r="AO76" i="3"/>
  <c r="AN76" i="3"/>
  <c r="AM76" i="3"/>
  <c r="AL76" i="3"/>
  <c r="AJ76" i="3"/>
  <c r="AI76" i="3"/>
  <c r="AH76" i="3"/>
  <c r="AG76" i="3"/>
  <c r="AF76" i="3"/>
  <c r="AE76" i="3"/>
  <c r="AD76" i="3"/>
  <c r="AC76" i="3"/>
  <c r="AB76" i="3"/>
  <c r="AA76" i="3"/>
  <c r="Z76" i="3"/>
  <c r="Y76" i="3"/>
  <c r="X76" i="3"/>
  <c r="W76" i="3"/>
  <c r="V76" i="3"/>
  <c r="U76" i="3"/>
  <c r="AK76" i="3" s="1"/>
  <c r="S76" i="3"/>
  <c r="R76" i="3"/>
  <c r="Q76" i="3"/>
  <c r="P76" i="3"/>
  <c r="O76" i="3"/>
  <c r="N76" i="3"/>
  <c r="M76" i="3"/>
  <c r="L76" i="3"/>
  <c r="K76" i="3"/>
  <c r="J76" i="3"/>
  <c r="I76" i="3"/>
  <c r="H76" i="3"/>
  <c r="G76" i="3"/>
  <c r="F76" i="3"/>
  <c r="D76" i="3"/>
  <c r="C76" i="3"/>
  <c r="B76" i="3"/>
  <c r="A76" i="3"/>
  <c r="AU75" i="3"/>
  <c r="AT75" i="3"/>
  <c r="AS75" i="3"/>
  <c r="AR75" i="3"/>
  <c r="AQ75" i="3"/>
  <c r="AP75" i="3"/>
  <c r="AO75" i="3"/>
  <c r="AN75" i="3"/>
  <c r="AM75" i="3"/>
  <c r="AL75" i="3"/>
  <c r="AJ75" i="3"/>
  <c r="AI75" i="3"/>
  <c r="AH75" i="3"/>
  <c r="AG75" i="3"/>
  <c r="AF75" i="3"/>
  <c r="AE75" i="3"/>
  <c r="AD75" i="3"/>
  <c r="AC75" i="3"/>
  <c r="AB75" i="3"/>
  <c r="AA75" i="3"/>
  <c r="Z75" i="3"/>
  <c r="Y75" i="3"/>
  <c r="X75" i="3"/>
  <c r="W75" i="3"/>
  <c r="V75" i="3"/>
  <c r="U75" i="3"/>
  <c r="S75" i="3"/>
  <c r="R75" i="3"/>
  <c r="Q75" i="3"/>
  <c r="P75" i="3"/>
  <c r="O75" i="3"/>
  <c r="N75" i="3"/>
  <c r="M75" i="3"/>
  <c r="L75" i="3"/>
  <c r="T75" i="3" s="1"/>
  <c r="K75" i="3"/>
  <c r="I75" i="3"/>
  <c r="H75" i="3"/>
  <c r="G75" i="3"/>
  <c r="F75" i="3"/>
  <c r="D75" i="3"/>
  <c r="C75" i="3"/>
  <c r="B75" i="3"/>
  <c r="A75" i="3"/>
  <c r="AU74" i="3"/>
  <c r="AT74" i="3"/>
  <c r="AS74" i="3"/>
  <c r="AR74" i="3"/>
  <c r="AQ74" i="3"/>
  <c r="AP74" i="3"/>
  <c r="AO74" i="3"/>
  <c r="AN74" i="3"/>
  <c r="AM74" i="3"/>
  <c r="AL74" i="3"/>
  <c r="AJ74" i="3"/>
  <c r="AI74" i="3"/>
  <c r="AH74" i="3"/>
  <c r="AG74" i="3"/>
  <c r="AF74" i="3"/>
  <c r="AE74" i="3"/>
  <c r="AD74" i="3"/>
  <c r="AC74" i="3"/>
  <c r="AB74" i="3"/>
  <c r="AA74" i="3"/>
  <c r="Z74" i="3"/>
  <c r="Y74" i="3"/>
  <c r="X74" i="3"/>
  <c r="W74" i="3"/>
  <c r="V74" i="3"/>
  <c r="U74" i="3"/>
  <c r="AK74" i="3" s="1"/>
  <c r="S74" i="3"/>
  <c r="R74" i="3"/>
  <c r="Q74" i="3"/>
  <c r="P74" i="3"/>
  <c r="O74" i="3"/>
  <c r="N74" i="3"/>
  <c r="M74" i="3"/>
  <c r="L74" i="3"/>
  <c r="T74" i="3" s="1"/>
  <c r="K74" i="3"/>
  <c r="I74" i="3"/>
  <c r="H74" i="3"/>
  <c r="G74" i="3"/>
  <c r="F74" i="3"/>
  <c r="D74" i="3"/>
  <c r="C74" i="3"/>
  <c r="B74" i="3"/>
  <c r="A74" i="3"/>
  <c r="AU73" i="3"/>
  <c r="AT73" i="3"/>
  <c r="AS73" i="3"/>
  <c r="AR73" i="3"/>
  <c r="AQ73" i="3"/>
  <c r="AP73" i="3"/>
  <c r="AO73" i="3"/>
  <c r="AN73" i="3"/>
  <c r="AM73" i="3"/>
  <c r="AL73" i="3"/>
  <c r="AJ73" i="3"/>
  <c r="AI73" i="3"/>
  <c r="AH73" i="3"/>
  <c r="AG73" i="3"/>
  <c r="AF73" i="3"/>
  <c r="AE73" i="3"/>
  <c r="AD73" i="3"/>
  <c r="AC73" i="3"/>
  <c r="AB73" i="3"/>
  <c r="AA73" i="3"/>
  <c r="Z73" i="3"/>
  <c r="Y73" i="3"/>
  <c r="X73" i="3"/>
  <c r="W73" i="3"/>
  <c r="V73" i="3"/>
  <c r="U73" i="3"/>
  <c r="S73" i="3"/>
  <c r="R73" i="3"/>
  <c r="Q73" i="3"/>
  <c r="P73" i="3"/>
  <c r="O73" i="3"/>
  <c r="N73" i="3"/>
  <c r="M73" i="3"/>
  <c r="L73" i="3"/>
  <c r="K73" i="3"/>
  <c r="I73" i="3"/>
  <c r="H73" i="3"/>
  <c r="G73" i="3"/>
  <c r="J73" i="3" s="1"/>
  <c r="F73" i="3"/>
  <c r="D73" i="3"/>
  <c r="C73" i="3"/>
  <c r="B73" i="3"/>
  <c r="A73" i="3"/>
  <c r="AU72" i="3"/>
  <c r="AT72" i="3"/>
  <c r="AS72" i="3"/>
  <c r="AR72" i="3"/>
  <c r="AQ72" i="3"/>
  <c r="AP72" i="3"/>
  <c r="AO72" i="3"/>
  <c r="AN72" i="3"/>
  <c r="AM72" i="3"/>
  <c r="AL72" i="3"/>
  <c r="AJ72" i="3"/>
  <c r="AI72" i="3"/>
  <c r="AH72" i="3"/>
  <c r="AG72" i="3"/>
  <c r="AF72" i="3"/>
  <c r="AE72" i="3"/>
  <c r="AD72" i="3"/>
  <c r="AC72" i="3"/>
  <c r="AB72" i="3"/>
  <c r="AA72" i="3"/>
  <c r="Z72" i="3"/>
  <c r="Y72" i="3"/>
  <c r="X72" i="3"/>
  <c r="W72" i="3"/>
  <c r="V72" i="3"/>
  <c r="U72" i="3"/>
  <c r="S72" i="3"/>
  <c r="R72" i="3"/>
  <c r="Q72" i="3"/>
  <c r="P72" i="3"/>
  <c r="O72" i="3"/>
  <c r="N72" i="3"/>
  <c r="M72" i="3"/>
  <c r="L72" i="3"/>
  <c r="K72" i="3"/>
  <c r="J72" i="3"/>
  <c r="I72" i="3"/>
  <c r="H72" i="3"/>
  <c r="G72" i="3"/>
  <c r="F72" i="3"/>
  <c r="D72" i="3"/>
  <c r="C72" i="3"/>
  <c r="B72" i="3"/>
  <c r="A72" i="3"/>
  <c r="AU71" i="3"/>
  <c r="AT71" i="3"/>
  <c r="AS71" i="3"/>
  <c r="AR71" i="3"/>
  <c r="AQ71" i="3"/>
  <c r="AP71" i="3"/>
  <c r="AO71" i="3"/>
  <c r="AN71" i="3"/>
  <c r="AM71" i="3"/>
  <c r="AL71" i="3"/>
  <c r="AJ71" i="3"/>
  <c r="AI71" i="3"/>
  <c r="AH71" i="3"/>
  <c r="AG71" i="3"/>
  <c r="AF71" i="3"/>
  <c r="AE71" i="3"/>
  <c r="AD71" i="3"/>
  <c r="AC71" i="3"/>
  <c r="AB71" i="3"/>
  <c r="AA71" i="3"/>
  <c r="Z71" i="3"/>
  <c r="Y71" i="3"/>
  <c r="X71" i="3"/>
  <c r="W71" i="3"/>
  <c r="V71" i="3"/>
  <c r="U71" i="3"/>
  <c r="AK71" i="3" s="1"/>
  <c r="S71" i="3"/>
  <c r="R71" i="3"/>
  <c r="Q71" i="3"/>
  <c r="P71" i="3"/>
  <c r="O71" i="3"/>
  <c r="N71" i="3"/>
  <c r="M71" i="3"/>
  <c r="L71" i="3"/>
  <c r="K71" i="3"/>
  <c r="J71" i="3"/>
  <c r="I71" i="3"/>
  <c r="H71" i="3"/>
  <c r="G71" i="3"/>
  <c r="F71" i="3"/>
  <c r="D71" i="3"/>
  <c r="C71" i="3"/>
  <c r="B71" i="3"/>
  <c r="A71" i="3"/>
  <c r="AU70" i="3"/>
  <c r="AT70" i="3"/>
  <c r="AS70" i="3"/>
  <c r="AR70" i="3"/>
  <c r="AQ70" i="3"/>
  <c r="AP70" i="3"/>
  <c r="AO70" i="3"/>
  <c r="AN70" i="3"/>
  <c r="AM70" i="3"/>
  <c r="AL70" i="3"/>
  <c r="AJ70" i="3"/>
  <c r="AI70" i="3"/>
  <c r="AH70" i="3"/>
  <c r="AG70" i="3"/>
  <c r="AF70" i="3"/>
  <c r="AE70" i="3"/>
  <c r="AD70" i="3"/>
  <c r="AC70" i="3"/>
  <c r="AB70" i="3"/>
  <c r="AA70" i="3"/>
  <c r="Z70" i="3"/>
  <c r="Y70" i="3"/>
  <c r="X70" i="3"/>
  <c r="W70" i="3"/>
  <c r="V70" i="3"/>
  <c r="U70" i="3"/>
  <c r="S70" i="3"/>
  <c r="R70" i="3"/>
  <c r="Q70" i="3"/>
  <c r="P70" i="3"/>
  <c r="O70" i="3"/>
  <c r="N70" i="3"/>
  <c r="M70" i="3"/>
  <c r="L70" i="3"/>
  <c r="T70" i="3" s="1"/>
  <c r="K70" i="3"/>
  <c r="I70" i="3"/>
  <c r="H70" i="3"/>
  <c r="G70" i="3"/>
  <c r="F70" i="3"/>
  <c r="D70" i="3"/>
  <c r="C70" i="3"/>
  <c r="B70" i="3"/>
  <c r="A70" i="3"/>
  <c r="AU69" i="3"/>
  <c r="AT69" i="3"/>
  <c r="AS69" i="3"/>
  <c r="AR69" i="3"/>
  <c r="AQ69" i="3"/>
  <c r="AP69" i="3"/>
  <c r="AO69" i="3"/>
  <c r="AN69" i="3"/>
  <c r="AM69" i="3"/>
  <c r="AL69" i="3"/>
  <c r="AJ69" i="3"/>
  <c r="AI69" i="3"/>
  <c r="AH69" i="3"/>
  <c r="AG69" i="3"/>
  <c r="AF69" i="3"/>
  <c r="AE69" i="3"/>
  <c r="AD69" i="3"/>
  <c r="AC69" i="3"/>
  <c r="AB69" i="3"/>
  <c r="AA69" i="3"/>
  <c r="Z69" i="3"/>
  <c r="Y69" i="3"/>
  <c r="X69" i="3"/>
  <c r="W69" i="3"/>
  <c r="V69" i="3"/>
  <c r="U69" i="3"/>
  <c r="S69" i="3"/>
  <c r="R69" i="3"/>
  <c r="Q69" i="3"/>
  <c r="P69" i="3"/>
  <c r="O69" i="3"/>
  <c r="N69" i="3"/>
  <c r="M69" i="3"/>
  <c r="L69" i="3"/>
  <c r="K69" i="3"/>
  <c r="I69" i="3"/>
  <c r="H69" i="3"/>
  <c r="J69" i="3" s="1"/>
  <c r="G69" i="3"/>
  <c r="F69" i="3"/>
  <c r="D69" i="3"/>
  <c r="C69" i="3"/>
  <c r="B69" i="3"/>
  <c r="A69" i="3"/>
  <c r="AU68" i="3"/>
  <c r="AT68" i="3"/>
  <c r="AS68" i="3"/>
  <c r="AR68" i="3"/>
  <c r="AQ68" i="3"/>
  <c r="AP68" i="3"/>
  <c r="AO68" i="3"/>
  <c r="AN68" i="3"/>
  <c r="AM68" i="3"/>
  <c r="AL68" i="3"/>
  <c r="AJ68" i="3"/>
  <c r="AI68" i="3"/>
  <c r="AH68" i="3"/>
  <c r="AG68" i="3"/>
  <c r="AF68" i="3"/>
  <c r="AE68" i="3"/>
  <c r="AD68" i="3"/>
  <c r="AC68" i="3"/>
  <c r="AB68" i="3"/>
  <c r="AA68" i="3"/>
  <c r="Z68" i="3"/>
  <c r="Y68" i="3"/>
  <c r="X68" i="3"/>
  <c r="W68" i="3"/>
  <c r="V68" i="3"/>
  <c r="U68" i="3"/>
  <c r="S68" i="3"/>
  <c r="R68" i="3"/>
  <c r="Q68" i="3"/>
  <c r="P68" i="3"/>
  <c r="O68" i="3"/>
  <c r="N68" i="3"/>
  <c r="M68" i="3"/>
  <c r="L68" i="3"/>
  <c r="K68" i="3"/>
  <c r="J68" i="3"/>
  <c r="I68" i="3"/>
  <c r="H68" i="3"/>
  <c r="G68" i="3"/>
  <c r="F68" i="3"/>
  <c r="D68" i="3"/>
  <c r="C68" i="3"/>
  <c r="B68" i="3"/>
  <c r="A68" i="3"/>
  <c r="AU67" i="3"/>
  <c r="AT67" i="3"/>
  <c r="AS67" i="3"/>
  <c r="AR67" i="3"/>
  <c r="AQ67" i="3"/>
  <c r="AP67" i="3"/>
  <c r="AO67" i="3"/>
  <c r="AN67" i="3"/>
  <c r="AM67" i="3"/>
  <c r="AL67" i="3"/>
  <c r="AJ67" i="3"/>
  <c r="AI67" i="3"/>
  <c r="AH67" i="3"/>
  <c r="AG67" i="3"/>
  <c r="AF67" i="3"/>
  <c r="AE67" i="3"/>
  <c r="AD67" i="3"/>
  <c r="AC67" i="3"/>
  <c r="AB67" i="3"/>
  <c r="AA67" i="3"/>
  <c r="Z67" i="3"/>
  <c r="Y67" i="3"/>
  <c r="X67" i="3"/>
  <c r="W67" i="3"/>
  <c r="V67" i="3"/>
  <c r="U67" i="3"/>
  <c r="S67" i="3"/>
  <c r="R67" i="3"/>
  <c r="Q67" i="3"/>
  <c r="P67" i="3"/>
  <c r="O67" i="3"/>
  <c r="N67" i="3"/>
  <c r="M67" i="3"/>
  <c r="L67" i="3"/>
  <c r="K67" i="3"/>
  <c r="I67" i="3"/>
  <c r="H67" i="3"/>
  <c r="G67" i="3"/>
  <c r="F67" i="3"/>
  <c r="D67" i="3"/>
  <c r="C67" i="3"/>
  <c r="B67" i="3"/>
  <c r="A67" i="3"/>
  <c r="AU66" i="3"/>
  <c r="AT66" i="3"/>
  <c r="AS66" i="3"/>
  <c r="AR66" i="3"/>
  <c r="AQ66" i="3"/>
  <c r="AP66" i="3"/>
  <c r="AO66" i="3"/>
  <c r="AN66" i="3"/>
  <c r="AM66" i="3"/>
  <c r="AL66" i="3"/>
  <c r="AJ66" i="3"/>
  <c r="AI66" i="3"/>
  <c r="AH66" i="3"/>
  <c r="AG66" i="3"/>
  <c r="AF66" i="3"/>
  <c r="AE66" i="3"/>
  <c r="AD66" i="3"/>
  <c r="AC66" i="3"/>
  <c r="AB66" i="3"/>
  <c r="AA66" i="3"/>
  <c r="Z66" i="3"/>
  <c r="Y66" i="3"/>
  <c r="X66" i="3"/>
  <c r="W66" i="3"/>
  <c r="V66" i="3"/>
  <c r="U66" i="3"/>
  <c r="AK66" i="3" s="1"/>
  <c r="S66" i="3"/>
  <c r="R66" i="3"/>
  <c r="Q66" i="3"/>
  <c r="P66" i="3"/>
  <c r="O66" i="3"/>
  <c r="N66" i="3"/>
  <c r="M66" i="3"/>
  <c r="L66" i="3"/>
  <c r="T66" i="3" s="1"/>
  <c r="K66" i="3"/>
  <c r="I66" i="3"/>
  <c r="H66" i="3"/>
  <c r="G66" i="3"/>
  <c r="F66" i="3"/>
  <c r="D66" i="3"/>
  <c r="C66" i="3"/>
  <c r="B66" i="3"/>
  <c r="A66" i="3"/>
  <c r="AU65" i="3"/>
  <c r="AT65" i="3"/>
  <c r="AS65" i="3"/>
  <c r="AR65" i="3"/>
  <c r="AQ65" i="3"/>
  <c r="AP65" i="3"/>
  <c r="AO65" i="3"/>
  <c r="AN65" i="3"/>
  <c r="AM65" i="3"/>
  <c r="AL65" i="3"/>
  <c r="AJ65" i="3"/>
  <c r="AI65" i="3"/>
  <c r="AH65" i="3"/>
  <c r="AG65" i="3"/>
  <c r="AF65" i="3"/>
  <c r="AE65" i="3"/>
  <c r="AD65" i="3"/>
  <c r="AC65" i="3"/>
  <c r="AB65" i="3"/>
  <c r="AA65" i="3"/>
  <c r="Z65" i="3"/>
  <c r="Y65" i="3"/>
  <c r="X65" i="3"/>
  <c r="W65" i="3"/>
  <c r="V65" i="3"/>
  <c r="U65" i="3"/>
  <c r="AK65" i="3" s="1"/>
  <c r="S65" i="3"/>
  <c r="R65" i="3"/>
  <c r="Q65" i="3"/>
  <c r="P65" i="3"/>
  <c r="O65" i="3"/>
  <c r="N65" i="3"/>
  <c r="M65" i="3"/>
  <c r="L65" i="3"/>
  <c r="K65" i="3"/>
  <c r="T65" i="3" s="1"/>
  <c r="J65" i="3"/>
  <c r="I65" i="3"/>
  <c r="H65" i="3"/>
  <c r="G65" i="3"/>
  <c r="F65" i="3"/>
  <c r="D65" i="3"/>
  <c r="C65" i="3"/>
  <c r="B65" i="3"/>
  <c r="A65" i="3"/>
  <c r="AU64" i="3"/>
  <c r="AT64" i="3"/>
  <c r="AS64" i="3"/>
  <c r="AR64" i="3"/>
  <c r="AQ64" i="3"/>
  <c r="AP64" i="3"/>
  <c r="AO64" i="3"/>
  <c r="AN64" i="3"/>
  <c r="AM64" i="3"/>
  <c r="AL64" i="3"/>
  <c r="AJ64" i="3"/>
  <c r="AI64" i="3"/>
  <c r="AH64" i="3"/>
  <c r="AG64" i="3"/>
  <c r="AF64" i="3"/>
  <c r="AE64" i="3"/>
  <c r="AD64" i="3"/>
  <c r="AC64" i="3"/>
  <c r="AB64" i="3"/>
  <c r="AA64" i="3"/>
  <c r="Z64" i="3"/>
  <c r="Y64" i="3"/>
  <c r="X64" i="3"/>
  <c r="W64" i="3"/>
  <c r="V64" i="3"/>
  <c r="U64" i="3"/>
  <c r="S64" i="3"/>
  <c r="R64" i="3"/>
  <c r="Q64" i="3"/>
  <c r="P64" i="3"/>
  <c r="O64" i="3"/>
  <c r="N64" i="3"/>
  <c r="M64" i="3"/>
  <c r="L64" i="3"/>
  <c r="K64" i="3"/>
  <c r="I64" i="3"/>
  <c r="J64" i="3" s="1"/>
  <c r="H64" i="3"/>
  <c r="G64" i="3"/>
  <c r="F64" i="3"/>
  <c r="D64" i="3"/>
  <c r="C64" i="3"/>
  <c r="B64" i="3"/>
  <c r="A64" i="3"/>
  <c r="AU63" i="3"/>
  <c r="AT63" i="3"/>
  <c r="AS63" i="3"/>
  <c r="AR63" i="3"/>
  <c r="AQ63" i="3"/>
  <c r="AP63" i="3"/>
  <c r="AO63" i="3"/>
  <c r="AN63" i="3"/>
  <c r="AM63" i="3"/>
  <c r="AL63" i="3"/>
  <c r="AJ63" i="3"/>
  <c r="AI63" i="3"/>
  <c r="AH63" i="3"/>
  <c r="AG63" i="3"/>
  <c r="AF63" i="3"/>
  <c r="AE63" i="3"/>
  <c r="AD63" i="3"/>
  <c r="AC63" i="3"/>
  <c r="AB63" i="3"/>
  <c r="AA63" i="3"/>
  <c r="Z63" i="3"/>
  <c r="Y63" i="3"/>
  <c r="X63" i="3"/>
  <c r="W63" i="3"/>
  <c r="V63" i="3"/>
  <c r="U63" i="3"/>
  <c r="AK63" i="3" s="1"/>
  <c r="S63" i="3"/>
  <c r="R63" i="3"/>
  <c r="Q63" i="3"/>
  <c r="P63" i="3"/>
  <c r="O63" i="3"/>
  <c r="N63" i="3"/>
  <c r="M63" i="3"/>
  <c r="L63" i="3"/>
  <c r="K63" i="3"/>
  <c r="J63" i="3"/>
  <c r="I63" i="3"/>
  <c r="H63" i="3"/>
  <c r="G63" i="3"/>
  <c r="F63" i="3"/>
  <c r="D63" i="3"/>
  <c r="C63" i="3"/>
  <c r="B63" i="3"/>
  <c r="A63" i="3"/>
  <c r="AU62" i="3"/>
  <c r="AT62" i="3"/>
  <c r="AS62" i="3"/>
  <c r="AR62" i="3"/>
  <c r="AQ62" i="3"/>
  <c r="AP62" i="3"/>
  <c r="AO62" i="3"/>
  <c r="AN62" i="3"/>
  <c r="AM62" i="3"/>
  <c r="AL62" i="3"/>
  <c r="AJ62" i="3"/>
  <c r="AI62" i="3"/>
  <c r="AH62" i="3"/>
  <c r="AG62" i="3"/>
  <c r="AF62" i="3"/>
  <c r="AE62" i="3"/>
  <c r="AD62" i="3"/>
  <c r="AC62" i="3"/>
  <c r="AB62" i="3"/>
  <c r="AA62" i="3"/>
  <c r="Z62" i="3"/>
  <c r="Y62" i="3"/>
  <c r="X62" i="3"/>
  <c r="W62" i="3"/>
  <c r="V62" i="3"/>
  <c r="U62" i="3"/>
  <c r="S62" i="3"/>
  <c r="R62" i="3"/>
  <c r="Q62" i="3"/>
  <c r="P62" i="3"/>
  <c r="O62" i="3"/>
  <c r="N62" i="3"/>
  <c r="M62" i="3"/>
  <c r="L62" i="3"/>
  <c r="T62" i="3" s="1"/>
  <c r="K62" i="3"/>
  <c r="I62" i="3"/>
  <c r="H62" i="3"/>
  <c r="G62" i="3"/>
  <c r="F62" i="3"/>
  <c r="D62" i="3"/>
  <c r="C62" i="3"/>
  <c r="B62" i="3"/>
  <c r="A62" i="3"/>
  <c r="AU61" i="3"/>
  <c r="AT61" i="3"/>
  <c r="AS61" i="3"/>
  <c r="AR61" i="3"/>
  <c r="AQ61" i="3"/>
  <c r="AP61" i="3"/>
  <c r="AO61" i="3"/>
  <c r="AN61" i="3"/>
  <c r="AM61" i="3"/>
  <c r="AL61" i="3"/>
  <c r="AJ61" i="3"/>
  <c r="AI61" i="3"/>
  <c r="AH61" i="3"/>
  <c r="AG61" i="3"/>
  <c r="AF61" i="3"/>
  <c r="AE61" i="3"/>
  <c r="AD61" i="3"/>
  <c r="AC61" i="3"/>
  <c r="AB61" i="3"/>
  <c r="AA61" i="3"/>
  <c r="Z61" i="3"/>
  <c r="Y61" i="3"/>
  <c r="X61" i="3"/>
  <c r="W61" i="3"/>
  <c r="V61" i="3"/>
  <c r="U61" i="3"/>
  <c r="S61" i="3"/>
  <c r="R61" i="3"/>
  <c r="Q61" i="3"/>
  <c r="P61" i="3"/>
  <c r="O61" i="3"/>
  <c r="N61" i="3"/>
  <c r="M61" i="3"/>
  <c r="L61" i="3"/>
  <c r="K61" i="3"/>
  <c r="I61" i="3"/>
  <c r="H61" i="3"/>
  <c r="G61" i="3"/>
  <c r="F61" i="3"/>
  <c r="D61" i="3"/>
  <c r="C61" i="3"/>
  <c r="B61" i="3"/>
  <c r="A61" i="3"/>
  <c r="AU60" i="3"/>
  <c r="AT60" i="3"/>
  <c r="AS60" i="3"/>
  <c r="AR60" i="3"/>
  <c r="AQ60" i="3"/>
  <c r="AP60" i="3"/>
  <c r="AO60" i="3"/>
  <c r="AN60" i="3"/>
  <c r="AM60" i="3"/>
  <c r="AL60" i="3"/>
  <c r="AJ60" i="3"/>
  <c r="AI60" i="3"/>
  <c r="AH60" i="3"/>
  <c r="AG60" i="3"/>
  <c r="AF60" i="3"/>
  <c r="AE60" i="3"/>
  <c r="AD60" i="3"/>
  <c r="AC60" i="3"/>
  <c r="AB60" i="3"/>
  <c r="AA60" i="3"/>
  <c r="Z60" i="3"/>
  <c r="Y60" i="3"/>
  <c r="X60" i="3"/>
  <c r="W60" i="3"/>
  <c r="V60" i="3"/>
  <c r="U60" i="3"/>
  <c r="S60" i="3"/>
  <c r="R60" i="3"/>
  <c r="Q60" i="3"/>
  <c r="P60" i="3"/>
  <c r="O60" i="3"/>
  <c r="N60" i="3"/>
  <c r="M60" i="3"/>
  <c r="L60" i="3"/>
  <c r="K60" i="3"/>
  <c r="I60" i="3"/>
  <c r="H60" i="3"/>
  <c r="J60" i="3" s="1"/>
  <c r="G60" i="3"/>
  <c r="F60" i="3"/>
  <c r="D60" i="3"/>
  <c r="C60" i="3"/>
  <c r="B60" i="3"/>
  <c r="A60" i="3"/>
  <c r="AU59" i="3"/>
  <c r="AT59" i="3"/>
  <c r="AS59" i="3"/>
  <c r="AR59" i="3"/>
  <c r="AQ59" i="3"/>
  <c r="AP59" i="3"/>
  <c r="AO59" i="3"/>
  <c r="AN59" i="3"/>
  <c r="AM59" i="3"/>
  <c r="AL59" i="3"/>
  <c r="AJ59" i="3"/>
  <c r="AI59" i="3"/>
  <c r="AH59" i="3"/>
  <c r="AG59" i="3"/>
  <c r="AF59" i="3"/>
  <c r="AE59" i="3"/>
  <c r="AD59" i="3"/>
  <c r="AC59" i="3"/>
  <c r="AB59" i="3"/>
  <c r="AA59" i="3"/>
  <c r="Z59" i="3"/>
  <c r="Y59" i="3"/>
  <c r="X59" i="3"/>
  <c r="W59" i="3"/>
  <c r="V59" i="3"/>
  <c r="U59" i="3"/>
  <c r="S59" i="3"/>
  <c r="R59" i="3"/>
  <c r="Q59" i="3"/>
  <c r="P59" i="3"/>
  <c r="O59" i="3"/>
  <c r="N59" i="3"/>
  <c r="M59" i="3"/>
  <c r="L59" i="3"/>
  <c r="K59" i="3"/>
  <c r="I59" i="3"/>
  <c r="H59" i="3"/>
  <c r="G59" i="3"/>
  <c r="F59" i="3"/>
  <c r="D59" i="3"/>
  <c r="C59" i="3"/>
  <c r="B59" i="3"/>
  <c r="A59" i="3"/>
  <c r="AU58" i="3"/>
  <c r="AT58" i="3"/>
  <c r="AS58" i="3"/>
  <c r="AR58" i="3"/>
  <c r="AQ58" i="3"/>
  <c r="AP58" i="3"/>
  <c r="AO58" i="3"/>
  <c r="AN58" i="3"/>
  <c r="AM58" i="3"/>
  <c r="AL58" i="3"/>
  <c r="AJ58" i="3"/>
  <c r="AI58" i="3"/>
  <c r="AH58" i="3"/>
  <c r="AG58" i="3"/>
  <c r="AF58" i="3"/>
  <c r="AE58" i="3"/>
  <c r="AD58" i="3"/>
  <c r="AC58" i="3"/>
  <c r="AB58" i="3"/>
  <c r="AA58" i="3"/>
  <c r="Z58" i="3"/>
  <c r="Y58" i="3"/>
  <c r="X58" i="3"/>
  <c r="W58" i="3"/>
  <c r="V58" i="3"/>
  <c r="U58" i="3"/>
  <c r="AK58" i="3" s="1"/>
  <c r="S58" i="3"/>
  <c r="R58" i="3"/>
  <c r="Q58" i="3"/>
  <c r="P58" i="3"/>
  <c r="O58" i="3"/>
  <c r="N58" i="3"/>
  <c r="M58" i="3"/>
  <c r="L58" i="3"/>
  <c r="T58" i="3" s="1"/>
  <c r="K58" i="3"/>
  <c r="I58" i="3"/>
  <c r="H58" i="3"/>
  <c r="G58" i="3"/>
  <c r="F58" i="3"/>
  <c r="D58" i="3"/>
  <c r="C58" i="3"/>
  <c r="B58" i="3"/>
  <c r="A58" i="3"/>
  <c r="AU57" i="3"/>
  <c r="AT57" i="3"/>
  <c r="AS57" i="3"/>
  <c r="AR57" i="3"/>
  <c r="AQ57" i="3"/>
  <c r="AP57" i="3"/>
  <c r="AO57" i="3"/>
  <c r="AN57" i="3"/>
  <c r="AM57" i="3"/>
  <c r="AL57" i="3"/>
  <c r="AJ57" i="3"/>
  <c r="AI57" i="3"/>
  <c r="AH57" i="3"/>
  <c r="AG57" i="3"/>
  <c r="AF57" i="3"/>
  <c r="AE57" i="3"/>
  <c r="AD57" i="3"/>
  <c r="AC57" i="3"/>
  <c r="AB57" i="3"/>
  <c r="AA57" i="3"/>
  <c r="Z57" i="3"/>
  <c r="Y57" i="3"/>
  <c r="X57" i="3"/>
  <c r="W57" i="3"/>
  <c r="V57" i="3"/>
  <c r="U57" i="3"/>
  <c r="AK57" i="3" s="1"/>
  <c r="S57" i="3"/>
  <c r="R57" i="3"/>
  <c r="Q57" i="3"/>
  <c r="P57" i="3"/>
  <c r="O57" i="3"/>
  <c r="N57" i="3"/>
  <c r="M57" i="3"/>
  <c r="L57" i="3"/>
  <c r="T57" i="3" s="1"/>
  <c r="K57" i="3"/>
  <c r="J57" i="3"/>
  <c r="I57" i="3"/>
  <c r="H57" i="3"/>
  <c r="G57" i="3"/>
  <c r="F57" i="3"/>
  <c r="D57" i="3"/>
  <c r="C57" i="3"/>
  <c r="B57" i="3"/>
  <c r="A57" i="3"/>
  <c r="AU56" i="3"/>
  <c r="AT56" i="3"/>
  <c r="AS56" i="3"/>
  <c r="AR56" i="3"/>
  <c r="AQ56" i="3"/>
  <c r="AP56" i="3"/>
  <c r="AO56" i="3"/>
  <c r="AN56" i="3"/>
  <c r="AM56" i="3"/>
  <c r="AL56" i="3"/>
  <c r="AJ56" i="3"/>
  <c r="AI56" i="3"/>
  <c r="AH56" i="3"/>
  <c r="AG56" i="3"/>
  <c r="AF56" i="3"/>
  <c r="AE56" i="3"/>
  <c r="AD56" i="3"/>
  <c r="AC56" i="3"/>
  <c r="AB56" i="3"/>
  <c r="AA56" i="3"/>
  <c r="Z56" i="3"/>
  <c r="Y56" i="3"/>
  <c r="X56" i="3"/>
  <c r="W56" i="3"/>
  <c r="V56" i="3"/>
  <c r="U56" i="3"/>
  <c r="AK56" i="3" s="1"/>
  <c r="S56" i="3"/>
  <c r="R56" i="3"/>
  <c r="Q56" i="3"/>
  <c r="P56" i="3"/>
  <c r="O56" i="3"/>
  <c r="N56" i="3"/>
  <c r="M56" i="3"/>
  <c r="L56" i="3"/>
  <c r="K56" i="3"/>
  <c r="T56" i="3" s="1"/>
  <c r="J56" i="3"/>
  <c r="I56" i="3"/>
  <c r="H56" i="3"/>
  <c r="G56" i="3"/>
  <c r="F56" i="3"/>
  <c r="D56" i="3"/>
  <c r="C56" i="3"/>
  <c r="B56" i="3"/>
  <c r="A56" i="3"/>
  <c r="AU55" i="3"/>
  <c r="AT55" i="3"/>
  <c r="AS55" i="3"/>
  <c r="AR55" i="3"/>
  <c r="AQ55" i="3"/>
  <c r="AP55" i="3"/>
  <c r="AO55" i="3"/>
  <c r="AN55" i="3"/>
  <c r="AM55" i="3"/>
  <c r="AL55" i="3"/>
  <c r="AJ55" i="3"/>
  <c r="AI55" i="3"/>
  <c r="AH55" i="3"/>
  <c r="AG55" i="3"/>
  <c r="AF55" i="3"/>
  <c r="AE55" i="3"/>
  <c r="AD55" i="3"/>
  <c r="AC55" i="3"/>
  <c r="AB55" i="3"/>
  <c r="AA55" i="3"/>
  <c r="Z55" i="3"/>
  <c r="Y55" i="3"/>
  <c r="X55" i="3"/>
  <c r="W55" i="3"/>
  <c r="V55" i="3"/>
  <c r="U55" i="3"/>
  <c r="S55" i="3"/>
  <c r="R55" i="3"/>
  <c r="Q55" i="3"/>
  <c r="P55" i="3"/>
  <c r="O55" i="3"/>
  <c r="N55" i="3"/>
  <c r="M55" i="3"/>
  <c r="L55" i="3"/>
  <c r="K55" i="3"/>
  <c r="J55" i="3"/>
  <c r="I55" i="3"/>
  <c r="H55" i="3"/>
  <c r="G55" i="3"/>
  <c r="F55" i="3"/>
  <c r="D55" i="3"/>
  <c r="C55" i="3"/>
  <c r="B55" i="3"/>
  <c r="A55" i="3"/>
  <c r="AU54" i="3"/>
  <c r="AT54" i="3"/>
  <c r="AS54" i="3"/>
  <c r="AR54" i="3"/>
  <c r="AQ54" i="3"/>
  <c r="AP54" i="3"/>
  <c r="AO54" i="3"/>
  <c r="AN54" i="3"/>
  <c r="AM54" i="3"/>
  <c r="AL54" i="3"/>
  <c r="AJ54" i="3"/>
  <c r="AI54" i="3"/>
  <c r="AH54" i="3"/>
  <c r="AG54" i="3"/>
  <c r="AF54" i="3"/>
  <c r="AE54" i="3"/>
  <c r="AD54" i="3"/>
  <c r="AC54" i="3"/>
  <c r="AB54" i="3"/>
  <c r="AA54" i="3"/>
  <c r="Z54" i="3"/>
  <c r="Y54" i="3"/>
  <c r="X54" i="3"/>
  <c r="W54" i="3"/>
  <c r="V54" i="3"/>
  <c r="U54" i="3"/>
  <c r="S54" i="3"/>
  <c r="R54" i="3"/>
  <c r="Q54" i="3"/>
  <c r="P54" i="3"/>
  <c r="O54" i="3"/>
  <c r="N54" i="3"/>
  <c r="M54" i="3"/>
  <c r="L54" i="3"/>
  <c r="K54" i="3"/>
  <c r="I54" i="3"/>
  <c r="H54" i="3"/>
  <c r="G54" i="3"/>
  <c r="J54" i="3" s="1"/>
  <c r="F54" i="3"/>
  <c r="D54" i="3"/>
  <c r="C54" i="3"/>
  <c r="B54" i="3"/>
  <c r="A54" i="3"/>
  <c r="AU53" i="3"/>
  <c r="AT53" i="3"/>
  <c r="AS53" i="3"/>
  <c r="AR53" i="3"/>
  <c r="AQ53" i="3"/>
  <c r="AP53" i="3"/>
  <c r="AO53" i="3"/>
  <c r="AN53" i="3"/>
  <c r="AM53" i="3"/>
  <c r="AL53" i="3"/>
  <c r="AJ53" i="3"/>
  <c r="AI53" i="3"/>
  <c r="AH53" i="3"/>
  <c r="AG53" i="3"/>
  <c r="AF53" i="3"/>
  <c r="AE53" i="3"/>
  <c r="AD53" i="3"/>
  <c r="AC53" i="3"/>
  <c r="AB53" i="3"/>
  <c r="AA53" i="3"/>
  <c r="Z53" i="3"/>
  <c r="Y53" i="3"/>
  <c r="X53" i="3"/>
  <c r="W53" i="3"/>
  <c r="V53" i="3"/>
  <c r="U53" i="3"/>
  <c r="S53" i="3"/>
  <c r="R53" i="3"/>
  <c r="H6" i="5" s="1"/>
  <c r="Q53" i="3"/>
  <c r="P53" i="3"/>
  <c r="O53" i="3"/>
  <c r="N53" i="3"/>
  <c r="M53" i="3"/>
  <c r="L53" i="3"/>
  <c r="K53" i="3"/>
  <c r="J53" i="3"/>
  <c r="I53" i="3"/>
  <c r="H53" i="3"/>
  <c r="G53" i="3"/>
  <c r="F53" i="3"/>
  <c r="D53" i="3"/>
  <c r="C53" i="3"/>
  <c r="B53" i="3"/>
  <c r="A53" i="3"/>
  <c r="AU52" i="3"/>
  <c r="AT52" i="3"/>
  <c r="AS52" i="3"/>
  <c r="AR52" i="3"/>
  <c r="AQ52" i="3"/>
  <c r="AP52" i="3"/>
  <c r="AO52" i="3"/>
  <c r="AN52" i="3"/>
  <c r="AM52" i="3"/>
  <c r="AL52" i="3"/>
  <c r="AJ52" i="3"/>
  <c r="AI52" i="3"/>
  <c r="AH52" i="3"/>
  <c r="AG52" i="3"/>
  <c r="AF52" i="3"/>
  <c r="AE52" i="3"/>
  <c r="AD52" i="3"/>
  <c r="AC52" i="3"/>
  <c r="AB52" i="3"/>
  <c r="AA52" i="3"/>
  <c r="Z52" i="3"/>
  <c r="Y52" i="3"/>
  <c r="X52" i="3"/>
  <c r="W52" i="3"/>
  <c r="V52" i="3"/>
  <c r="U52" i="3"/>
  <c r="S52" i="3"/>
  <c r="R52" i="3"/>
  <c r="Q52" i="3"/>
  <c r="P52" i="3"/>
  <c r="O52" i="3"/>
  <c r="N52" i="3"/>
  <c r="M52" i="3"/>
  <c r="L52" i="3"/>
  <c r="K52" i="3"/>
  <c r="I52" i="3"/>
  <c r="H52" i="3"/>
  <c r="G52" i="3"/>
  <c r="F52" i="3"/>
  <c r="D52" i="3"/>
  <c r="C52" i="3"/>
  <c r="B52" i="3"/>
  <c r="A52" i="3"/>
  <c r="AU51" i="3"/>
  <c r="AT51" i="3"/>
  <c r="AS51" i="3"/>
  <c r="AR51" i="3"/>
  <c r="AQ51" i="3"/>
  <c r="AP51" i="3"/>
  <c r="AO51" i="3"/>
  <c r="AN51" i="3"/>
  <c r="AM51" i="3"/>
  <c r="AL51" i="3"/>
  <c r="AJ51" i="3"/>
  <c r="AI51" i="3"/>
  <c r="AH51" i="3"/>
  <c r="AG51" i="3"/>
  <c r="AF51" i="3"/>
  <c r="AE51" i="3"/>
  <c r="AD51" i="3"/>
  <c r="AC51" i="3"/>
  <c r="AB51" i="3"/>
  <c r="AA51" i="3"/>
  <c r="Z51" i="3"/>
  <c r="Y51" i="3"/>
  <c r="X51" i="3"/>
  <c r="W51" i="3"/>
  <c r="V51" i="3"/>
  <c r="U51" i="3"/>
  <c r="S51" i="3"/>
  <c r="R51" i="3"/>
  <c r="Q51" i="3"/>
  <c r="P51" i="3"/>
  <c r="O51" i="3"/>
  <c r="N51" i="3"/>
  <c r="M51" i="3"/>
  <c r="L51" i="3"/>
  <c r="K51" i="3"/>
  <c r="I51" i="3"/>
  <c r="H51" i="3"/>
  <c r="G51" i="3"/>
  <c r="F51" i="3"/>
  <c r="D51" i="3"/>
  <c r="C51" i="3"/>
  <c r="B51" i="3"/>
  <c r="A51" i="3"/>
  <c r="AU50" i="3"/>
  <c r="AT50" i="3"/>
  <c r="AS50" i="3"/>
  <c r="AR50" i="3"/>
  <c r="AQ50" i="3"/>
  <c r="AP50" i="3"/>
  <c r="AO50" i="3"/>
  <c r="AN50" i="3"/>
  <c r="AM50" i="3"/>
  <c r="AL50" i="3"/>
  <c r="AJ50" i="3"/>
  <c r="AI50" i="3"/>
  <c r="AH50" i="3"/>
  <c r="AG50" i="3"/>
  <c r="AF50" i="3"/>
  <c r="AE50" i="3"/>
  <c r="AD50" i="3"/>
  <c r="AC50" i="3"/>
  <c r="AB50" i="3"/>
  <c r="AA50" i="3"/>
  <c r="Z50" i="3"/>
  <c r="Y50" i="3"/>
  <c r="X50" i="3"/>
  <c r="W50" i="3"/>
  <c r="V50" i="3"/>
  <c r="U50" i="3"/>
  <c r="S50" i="3"/>
  <c r="R50" i="3"/>
  <c r="Q50" i="3"/>
  <c r="P50" i="3"/>
  <c r="O50" i="3"/>
  <c r="N50" i="3"/>
  <c r="M50" i="3"/>
  <c r="L50" i="3"/>
  <c r="T50" i="3" s="1"/>
  <c r="K50" i="3"/>
  <c r="I50" i="3"/>
  <c r="H50" i="3"/>
  <c r="G50" i="3"/>
  <c r="F50" i="3"/>
  <c r="D50" i="3"/>
  <c r="C50" i="3"/>
  <c r="B50" i="3"/>
  <c r="A50" i="3"/>
  <c r="AU49" i="3"/>
  <c r="AT49" i="3"/>
  <c r="AS49" i="3"/>
  <c r="AR49" i="3"/>
  <c r="AQ49" i="3"/>
  <c r="AP49" i="3"/>
  <c r="AO49" i="3"/>
  <c r="AN49" i="3"/>
  <c r="AM49" i="3"/>
  <c r="AL49" i="3"/>
  <c r="AJ49" i="3"/>
  <c r="AI49" i="3"/>
  <c r="AH49" i="3"/>
  <c r="AG49" i="3"/>
  <c r="AF49" i="3"/>
  <c r="AE49" i="3"/>
  <c r="AD49" i="3"/>
  <c r="AC49" i="3"/>
  <c r="AB49" i="3"/>
  <c r="AA49" i="3"/>
  <c r="Z49" i="3"/>
  <c r="Y49" i="3"/>
  <c r="X49" i="3"/>
  <c r="W49" i="3"/>
  <c r="V49" i="3"/>
  <c r="U49" i="3"/>
  <c r="AK49" i="3" s="1"/>
  <c r="S49" i="3"/>
  <c r="R49" i="3"/>
  <c r="Q49" i="3"/>
  <c r="P49" i="3"/>
  <c r="O49" i="3"/>
  <c r="N49" i="3"/>
  <c r="M49" i="3"/>
  <c r="L49" i="3"/>
  <c r="T49" i="3" s="1"/>
  <c r="K49" i="3"/>
  <c r="I49" i="3"/>
  <c r="H49" i="3"/>
  <c r="G49" i="3"/>
  <c r="J49" i="3" s="1"/>
  <c r="F49" i="3"/>
  <c r="D49" i="3"/>
  <c r="C49" i="3"/>
  <c r="B49" i="3"/>
  <c r="A49" i="3"/>
  <c r="AU48" i="3"/>
  <c r="AT48" i="3"/>
  <c r="AS48" i="3"/>
  <c r="AR48" i="3"/>
  <c r="AQ48" i="3"/>
  <c r="AP48" i="3"/>
  <c r="AO48" i="3"/>
  <c r="AN48" i="3"/>
  <c r="AM48" i="3"/>
  <c r="AL48" i="3"/>
  <c r="AJ48" i="3"/>
  <c r="AI48" i="3"/>
  <c r="AH48" i="3"/>
  <c r="AG48" i="3"/>
  <c r="AF48" i="3"/>
  <c r="AE48" i="3"/>
  <c r="AD48" i="3"/>
  <c r="AC48" i="3"/>
  <c r="AB48" i="3"/>
  <c r="AA48" i="3"/>
  <c r="Z48" i="3"/>
  <c r="Y48" i="3"/>
  <c r="X48" i="3"/>
  <c r="W48" i="3"/>
  <c r="V48" i="3"/>
  <c r="U48" i="3"/>
  <c r="S48" i="3"/>
  <c r="R48" i="3"/>
  <c r="Q48" i="3"/>
  <c r="P48" i="3"/>
  <c r="O48" i="3"/>
  <c r="N48" i="3"/>
  <c r="M48" i="3"/>
  <c r="L48" i="3"/>
  <c r="K48" i="3"/>
  <c r="T48" i="3" s="1"/>
  <c r="I48" i="3"/>
  <c r="H48" i="3"/>
  <c r="G48" i="3"/>
  <c r="F48" i="3"/>
  <c r="J48" i="3" s="1"/>
  <c r="D48" i="3"/>
  <c r="C48" i="3"/>
  <c r="B48" i="3"/>
  <c r="A48" i="3"/>
  <c r="AU47" i="3"/>
  <c r="AT47" i="3"/>
  <c r="AS47" i="3"/>
  <c r="AR47" i="3"/>
  <c r="AQ47" i="3"/>
  <c r="AP47" i="3"/>
  <c r="AO47" i="3"/>
  <c r="AN47" i="3"/>
  <c r="AM47" i="3"/>
  <c r="AL47" i="3"/>
  <c r="AJ47" i="3"/>
  <c r="AI47" i="3"/>
  <c r="AH47" i="3"/>
  <c r="AG47" i="3"/>
  <c r="AF47" i="3"/>
  <c r="AE47" i="3"/>
  <c r="AD47" i="3"/>
  <c r="AC47" i="3"/>
  <c r="AB47" i="3"/>
  <c r="AA47" i="3"/>
  <c r="Z47" i="3"/>
  <c r="Y47" i="3"/>
  <c r="X47" i="3"/>
  <c r="W47" i="3"/>
  <c r="V47" i="3"/>
  <c r="U47" i="3"/>
  <c r="S47" i="3"/>
  <c r="R47" i="3"/>
  <c r="Q47" i="3"/>
  <c r="P47" i="3"/>
  <c r="O47" i="3"/>
  <c r="N47" i="3"/>
  <c r="M47" i="3"/>
  <c r="L47" i="3"/>
  <c r="K47" i="3"/>
  <c r="I47" i="3"/>
  <c r="H47" i="3"/>
  <c r="J47" i="3" s="1"/>
  <c r="G47" i="3"/>
  <c r="F47" i="3"/>
  <c r="D47" i="3"/>
  <c r="C47" i="3"/>
  <c r="B47" i="3"/>
  <c r="A47" i="3"/>
  <c r="AU46" i="3"/>
  <c r="AT46" i="3"/>
  <c r="AS46" i="3"/>
  <c r="AR46" i="3"/>
  <c r="AQ46" i="3"/>
  <c r="AP46" i="3"/>
  <c r="AO46" i="3"/>
  <c r="AN46" i="3"/>
  <c r="AM46" i="3"/>
  <c r="AL46" i="3"/>
  <c r="AJ46" i="3"/>
  <c r="AI46" i="3"/>
  <c r="AH46" i="3"/>
  <c r="AG46" i="3"/>
  <c r="AF46" i="3"/>
  <c r="AE46" i="3"/>
  <c r="AD46" i="3"/>
  <c r="AC46" i="3"/>
  <c r="AB46" i="3"/>
  <c r="AA46" i="3"/>
  <c r="Z46" i="3"/>
  <c r="Y46" i="3"/>
  <c r="X46" i="3"/>
  <c r="W46" i="3"/>
  <c r="V46" i="3"/>
  <c r="U46" i="3"/>
  <c r="S46" i="3"/>
  <c r="R46" i="3"/>
  <c r="Q46" i="3"/>
  <c r="P46" i="3"/>
  <c r="O46" i="3"/>
  <c r="N46" i="3"/>
  <c r="M46" i="3"/>
  <c r="L46" i="3"/>
  <c r="K46" i="3"/>
  <c r="T46" i="3" s="1"/>
  <c r="I46" i="3"/>
  <c r="H46" i="3"/>
  <c r="G46" i="3"/>
  <c r="F46" i="3"/>
  <c r="D46" i="3"/>
  <c r="C46" i="3"/>
  <c r="B46" i="3"/>
  <c r="A46" i="3"/>
  <c r="AU45" i="3"/>
  <c r="AT45" i="3"/>
  <c r="AS45" i="3"/>
  <c r="AR45" i="3"/>
  <c r="AQ45" i="3"/>
  <c r="AP45" i="3"/>
  <c r="AO45" i="3"/>
  <c r="AN45" i="3"/>
  <c r="AM45" i="3"/>
  <c r="AL45" i="3"/>
  <c r="AJ45" i="3"/>
  <c r="AI45" i="3"/>
  <c r="AH45" i="3"/>
  <c r="AG45" i="3"/>
  <c r="AF45" i="3"/>
  <c r="AE45" i="3"/>
  <c r="AD45" i="3"/>
  <c r="AC45" i="3"/>
  <c r="AB45" i="3"/>
  <c r="AA45" i="3"/>
  <c r="Z45" i="3"/>
  <c r="Y45" i="3"/>
  <c r="X45" i="3"/>
  <c r="W45" i="3"/>
  <c r="V45" i="3"/>
  <c r="U45" i="3"/>
  <c r="S45" i="3"/>
  <c r="R45" i="3"/>
  <c r="Q45" i="3"/>
  <c r="P45" i="3"/>
  <c r="O45" i="3"/>
  <c r="N45" i="3"/>
  <c r="M45" i="3"/>
  <c r="L45" i="3"/>
  <c r="K45" i="3"/>
  <c r="I45" i="3"/>
  <c r="H45" i="3"/>
  <c r="G45" i="3"/>
  <c r="J45" i="3" s="1"/>
  <c r="F45" i="3"/>
  <c r="D45" i="3"/>
  <c r="C45" i="3"/>
  <c r="B45" i="3"/>
  <c r="A45" i="3"/>
  <c r="AU44" i="3"/>
  <c r="AT44" i="3"/>
  <c r="AS44" i="3"/>
  <c r="AR44" i="3"/>
  <c r="AQ44" i="3"/>
  <c r="AP44" i="3"/>
  <c r="AO44" i="3"/>
  <c r="AN44" i="3"/>
  <c r="AM44" i="3"/>
  <c r="AL44" i="3"/>
  <c r="AJ44" i="3"/>
  <c r="AI44" i="3"/>
  <c r="AH44" i="3"/>
  <c r="AG44" i="3"/>
  <c r="AF44" i="3"/>
  <c r="AE44" i="3"/>
  <c r="AD44" i="3"/>
  <c r="AC44" i="3"/>
  <c r="AB44" i="3"/>
  <c r="AA44" i="3"/>
  <c r="Z44" i="3"/>
  <c r="Y44" i="3"/>
  <c r="X44" i="3"/>
  <c r="W44" i="3"/>
  <c r="V44" i="3"/>
  <c r="U44" i="3"/>
  <c r="S44" i="3"/>
  <c r="R44" i="3"/>
  <c r="Q44" i="3"/>
  <c r="P44" i="3"/>
  <c r="O44" i="3"/>
  <c r="N44" i="3"/>
  <c r="M44" i="3"/>
  <c r="L44" i="3"/>
  <c r="K44" i="3"/>
  <c r="T44" i="3" s="1"/>
  <c r="J44" i="3"/>
  <c r="I44" i="3"/>
  <c r="H44" i="3"/>
  <c r="G44" i="3"/>
  <c r="F44" i="3"/>
  <c r="D44" i="3"/>
  <c r="C44" i="3"/>
  <c r="B44" i="3"/>
  <c r="A44" i="3"/>
  <c r="AU43" i="3"/>
  <c r="AT43" i="3"/>
  <c r="AS43" i="3"/>
  <c r="AR43" i="3"/>
  <c r="AQ43" i="3"/>
  <c r="AP43" i="3"/>
  <c r="AO43" i="3"/>
  <c r="AN43" i="3"/>
  <c r="AM43" i="3"/>
  <c r="AL43" i="3"/>
  <c r="AJ43" i="3"/>
  <c r="AI43" i="3"/>
  <c r="AH43" i="3"/>
  <c r="AG43" i="3"/>
  <c r="AF43" i="3"/>
  <c r="AE43" i="3"/>
  <c r="AD43" i="3"/>
  <c r="AC43" i="3"/>
  <c r="AB43" i="3"/>
  <c r="AA43" i="3"/>
  <c r="Z43" i="3"/>
  <c r="Y43" i="3"/>
  <c r="X43" i="3"/>
  <c r="W43" i="3"/>
  <c r="V43" i="3"/>
  <c r="U43" i="3"/>
  <c r="S43" i="3"/>
  <c r="R43" i="3"/>
  <c r="Q43" i="3"/>
  <c r="P43" i="3"/>
  <c r="O43" i="3"/>
  <c r="N43" i="3"/>
  <c r="M43" i="3"/>
  <c r="L43" i="3"/>
  <c r="K43" i="3"/>
  <c r="I43" i="3"/>
  <c r="H43" i="3"/>
  <c r="G43" i="3"/>
  <c r="F43" i="3"/>
  <c r="J43" i="3" s="1"/>
  <c r="D43" i="3"/>
  <c r="C43" i="3"/>
  <c r="B43" i="3"/>
  <c r="A43" i="3"/>
  <c r="AU42" i="3"/>
  <c r="AT42" i="3"/>
  <c r="AS42" i="3"/>
  <c r="AR42" i="3"/>
  <c r="AQ42" i="3"/>
  <c r="AP42" i="3"/>
  <c r="AO42" i="3"/>
  <c r="AN42" i="3"/>
  <c r="AM42" i="3"/>
  <c r="AL42" i="3"/>
  <c r="AJ42" i="3"/>
  <c r="AI42" i="3"/>
  <c r="AH42" i="3"/>
  <c r="AG42" i="3"/>
  <c r="AF42" i="3"/>
  <c r="AE42" i="3"/>
  <c r="AD42" i="3"/>
  <c r="AC42" i="3"/>
  <c r="AB42" i="3"/>
  <c r="AA42" i="3"/>
  <c r="Z42" i="3"/>
  <c r="Y42" i="3"/>
  <c r="X42" i="3"/>
  <c r="W42" i="3"/>
  <c r="V42" i="3"/>
  <c r="U42" i="3"/>
  <c r="AK42" i="3" s="1"/>
  <c r="S42" i="3"/>
  <c r="R42" i="3"/>
  <c r="Q42" i="3"/>
  <c r="P42" i="3"/>
  <c r="O42" i="3"/>
  <c r="N42" i="3"/>
  <c r="M42" i="3"/>
  <c r="L42" i="3"/>
  <c r="T42" i="3" s="1"/>
  <c r="K42" i="3"/>
  <c r="I42" i="3"/>
  <c r="H42" i="3"/>
  <c r="G42" i="3"/>
  <c r="J42" i="3" s="1"/>
  <c r="F42" i="3"/>
  <c r="D42" i="3"/>
  <c r="C42" i="3"/>
  <c r="B42" i="3"/>
  <c r="A42" i="3"/>
  <c r="AU41" i="3"/>
  <c r="AT41" i="3"/>
  <c r="AS41" i="3"/>
  <c r="AR41" i="3"/>
  <c r="AQ41" i="3"/>
  <c r="AP41" i="3"/>
  <c r="AO41" i="3"/>
  <c r="AN41" i="3"/>
  <c r="AM41" i="3"/>
  <c r="AL41" i="3"/>
  <c r="AJ41" i="3"/>
  <c r="AI41" i="3"/>
  <c r="AH41" i="3"/>
  <c r="AG41" i="3"/>
  <c r="AF41" i="3"/>
  <c r="AE41" i="3"/>
  <c r="AD41" i="3"/>
  <c r="AC41" i="3"/>
  <c r="AB41" i="3"/>
  <c r="AA41" i="3"/>
  <c r="Z41" i="3"/>
  <c r="Y41" i="3"/>
  <c r="X41" i="3"/>
  <c r="W41" i="3"/>
  <c r="V41" i="3"/>
  <c r="U41" i="3"/>
  <c r="S41" i="3"/>
  <c r="R41" i="3"/>
  <c r="Q41" i="3"/>
  <c r="P41" i="3"/>
  <c r="O41" i="3"/>
  <c r="N41" i="3"/>
  <c r="M41" i="3"/>
  <c r="L41" i="3"/>
  <c r="K41" i="3"/>
  <c r="I41" i="3"/>
  <c r="H41" i="3"/>
  <c r="G41" i="3"/>
  <c r="F41" i="3"/>
  <c r="D41" i="3"/>
  <c r="C41" i="3"/>
  <c r="B41" i="3"/>
  <c r="A41" i="3"/>
  <c r="AU40" i="3"/>
  <c r="AT40" i="3"/>
  <c r="AS40" i="3"/>
  <c r="AR40" i="3"/>
  <c r="AQ40" i="3"/>
  <c r="AP40" i="3"/>
  <c r="AO40" i="3"/>
  <c r="AN40" i="3"/>
  <c r="AM40" i="3"/>
  <c r="AL40" i="3"/>
  <c r="AJ40" i="3"/>
  <c r="AI40" i="3"/>
  <c r="AH40" i="3"/>
  <c r="AG40" i="3"/>
  <c r="AF40" i="3"/>
  <c r="AE40" i="3"/>
  <c r="AD40" i="3"/>
  <c r="AC40" i="3"/>
  <c r="AB40" i="3"/>
  <c r="AA40" i="3"/>
  <c r="Z40" i="3"/>
  <c r="Y40" i="3"/>
  <c r="X40" i="3"/>
  <c r="W40" i="3"/>
  <c r="V40" i="3"/>
  <c r="U40" i="3"/>
  <c r="AK40" i="3" s="1"/>
  <c r="S40" i="3"/>
  <c r="R40" i="3"/>
  <c r="Q40" i="3"/>
  <c r="P40" i="3"/>
  <c r="O40" i="3"/>
  <c r="N40" i="3"/>
  <c r="M40" i="3"/>
  <c r="L40" i="3"/>
  <c r="K40" i="3"/>
  <c r="J40" i="3"/>
  <c r="I40" i="3"/>
  <c r="H40" i="3"/>
  <c r="G40" i="3"/>
  <c r="F40" i="3"/>
  <c r="D40" i="3"/>
  <c r="C40" i="3"/>
  <c r="B40" i="3"/>
  <c r="A40" i="3"/>
  <c r="AU39" i="3"/>
  <c r="AT39" i="3"/>
  <c r="AS39" i="3"/>
  <c r="AR39" i="3"/>
  <c r="AQ39" i="3"/>
  <c r="AP39" i="3"/>
  <c r="AO39" i="3"/>
  <c r="AN39" i="3"/>
  <c r="AM39" i="3"/>
  <c r="AL39" i="3"/>
  <c r="AJ39" i="3"/>
  <c r="AI39" i="3"/>
  <c r="AH39" i="3"/>
  <c r="AG39" i="3"/>
  <c r="AF39" i="3"/>
  <c r="AE39" i="3"/>
  <c r="AD39" i="3"/>
  <c r="AC39" i="3"/>
  <c r="AB39" i="3"/>
  <c r="AA39" i="3"/>
  <c r="Z39" i="3"/>
  <c r="Y39" i="3"/>
  <c r="X39" i="3"/>
  <c r="W39" i="3"/>
  <c r="V39" i="3"/>
  <c r="U39" i="3"/>
  <c r="S39" i="3"/>
  <c r="R39" i="3"/>
  <c r="Q39" i="3"/>
  <c r="P39" i="3"/>
  <c r="O39" i="3"/>
  <c r="N39" i="3"/>
  <c r="M39" i="3"/>
  <c r="L39" i="3"/>
  <c r="K39" i="3"/>
  <c r="I39" i="3"/>
  <c r="H39" i="3"/>
  <c r="G39" i="3"/>
  <c r="F39" i="3"/>
  <c r="D39" i="3"/>
  <c r="C39" i="3"/>
  <c r="B39" i="3"/>
  <c r="A39" i="3"/>
  <c r="AU38" i="3"/>
  <c r="AT38" i="3"/>
  <c r="AS38" i="3"/>
  <c r="AR38" i="3"/>
  <c r="AQ38" i="3"/>
  <c r="AP38" i="3"/>
  <c r="AO38" i="3"/>
  <c r="AN38" i="3"/>
  <c r="AM38" i="3"/>
  <c r="AL38" i="3"/>
  <c r="AJ38" i="3"/>
  <c r="AI38" i="3"/>
  <c r="AH38" i="3"/>
  <c r="AG38" i="3"/>
  <c r="AF38" i="3"/>
  <c r="AE38" i="3"/>
  <c r="AD38" i="3"/>
  <c r="AC38" i="3"/>
  <c r="AB38" i="3"/>
  <c r="AA38" i="3"/>
  <c r="Z38" i="3"/>
  <c r="Y38" i="3"/>
  <c r="X38" i="3"/>
  <c r="W38" i="3"/>
  <c r="V38" i="3"/>
  <c r="U38" i="3"/>
  <c r="AK38" i="3" s="1"/>
  <c r="S38" i="3"/>
  <c r="R38" i="3"/>
  <c r="Q38" i="3"/>
  <c r="P38" i="3"/>
  <c r="O38" i="3"/>
  <c r="N38" i="3"/>
  <c r="M38" i="3"/>
  <c r="L38" i="3"/>
  <c r="K38" i="3"/>
  <c r="I38" i="3"/>
  <c r="H38" i="3"/>
  <c r="G38" i="3"/>
  <c r="F38" i="3"/>
  <c r="J38" i="3" s="1"/>
  <c r="D38" i="3"/>
  <c r="C38" i="3"/>
  <c r="B38" i="3"/>
  <c r="A38" i="3"/>
  <c r="AU37" i="3"/>
  <c r="AT37" i="3"/>
  <c r="AS37" i="3"/>
  <c r="AR37" i="3"/>
  <c r="AQ37" i="3"/>
  <c r="AP37" i="3"/>
  <c r="AO37" i="3"/>
  <c r="AN37" i="3"/>
  <c r="AM37" i="3"/>
  <c r="AL37" i="3"/>
  <c r="AJ37" i="3"/>
  <c r="AI37" i="3"/>
  <c r="AH37" i="3"/>
  <c r="AG37" i="3"/>
  <c r="AF37" i="3"/>
  <c r="AE37" i="3"/>
  <c r="AD37" i="3"/>
  <c r="AC37" i="3"/>
  <c r="AB37" i="3"/>
  <c r="AA37" i="3"/>
  <c r="Z37" i="3"/>
  <c r="Y37" i="3"/>
  <c r="X37" i="3"/>
  <c r="W37" i="3"/>
  <c r="V37" i="3"/>
  <c r="U37" i="3"/>
  <c r="S37" i="3"/>
  <c r="R37" i="3"/>
  <c r="Q37" i="3"/>
  <c r="P37" i="3"/>
  <c r="O37" i="3"/>
  <c r="N37" i="3"/>
  <c r="M37" i="3"/>
  <c r="L37" i="3"/>
  <c r="T37" i="3" s="1"/>
  <c r="K37" i="3"/>
  <c r="I37" i="3"/>
  <c r="H37" i="3"/>
  <c r="G37" i="3"/>
  <c r="J37" i="3" s="1"/>
  <c r="F37" i="3"/>
  <c r="D37" i="3"/>
  <c r="C37" i="3"/>
  <c r="B37" i="3"/>
  <c r="A37" i="3"/>
  <c r="AU36" i="3"/>
  <c r="AT36" i="3"/>
  <c r="AS36" i="3"/>
  <c r="AR36" i="3"/>
  <c r="AQ36" i="3"/>
  <c r="AP36" i="3"/>
  <c r="AO36" i="3"/>
  <c r="AN36" i="3"/>
  <c r="AM36" i="3"/>
  <c r="AL36" i="3"/>
  <c r="AJ36" i="3"/>
  <c r="AI36" i="3"/>
  <c r="AH36" i="3"/>
  <c r="AG36" i="3"/>
  <c r="AF36" i="3"/>
  <c r="AE36" i="3"/>
  <c r="AD36" i="3"/>
  <c r="AC36" i="3"/>
  <c r="AB36" i="3"/>
  <c r="AA36" i="3"/>
  <c r="Z36" i="3"/>
  <c r="Y36" i="3"/>
  <c r="X36" i="3"/>
  <c r="W36" i="3"/>
  <c r="V36" i="3"/>
  <c r="U36" i="3"/>
  <c r="S36" i="3"/>
  <c r="R36" i="3"/>
  <c r="Q36" i="3"/>
  <c r="P36" i="3"/>
  <c r="O36" i="3"/>
  <c r="N36" i="3"/>
  <c r="M36" i="3"/>
  <c r="L36" i="3"/>
  <c r="K36" i="3"/>
  <c r="I36" i="3"/>
  <c r="J36" i="3" s="1"/>
  <c r="H36" i="3"/>
  <c r="G36" i="3"/>
  <c r="F36" i="3"/>
  <c r="D36" i="3"/>
  <c r="C36" i="3"/>
  <c r="B36" i="3"/>
  <c r="A36" i="3"/>
  <c r="AU35" i="3"/>
  <c r="AT35" i="3"/>
  <c r="AS35" i="3"/>
  <c r="AR35" i="3"/>
  <c r="AQ35" i="3"/>
  <c r="AP35" i="3"/>
  <c r="AO35" i="3"/>
  <c r="AN35" i="3"/>
  <c r="AM35" i="3"/>
  <c r="AL35" i="3"/>
  <c r="AJ35" i="3"/>
  <c r="AI35" i="3"/>
  <c r="AH35" i="3"/>
  <c r="AG35" i="3"/>
  <c r="AF35" i="3"/>
  <c r="AE35" i="3"/>
  <c r="AD35" i="3"/>
  <c r="AC35" i="3"/>
  <c r="AB35" i="3"/>
  <c r="AA35" i="3"/>
  <c r="Z35" i="3"/>
  <c r="Y35" i="3"/>
  <c r="X35" i="3"/>
  <c r="W35" i="3"/>
  <c r="V35" i="3"/>
  <c r="U35" i="3"/>
  <c r="S35" i="3"/>
  <c r="R35" i="3"/>
  <c r="Q35" i="3"/>
  <c r="P35" i="3"/>
  <c r="O35" i="3"/>
  <c r="N35" i="3"/>
  <c r="M35" i="3"/>
  <c r="L35" i="3"/>
  <c r="K35" i="3"/>
  <c r="I35" i="3"/>
  <c r="H35" i="3"/>
  <c r="G35" i="3"/>
  <c r="F35" i="3"/>
  <c r="J35" i="3" s="1"/>
  <c r="D35" i="3"/>
  <c r="C35" i="3"/>
  <c r="B35" i="3"/>
  <c r="A35" i="3"/>
  <c r="AU34" i="3"/>
  <c r="AT34" i="3"/>
  <c r="AS34" i="3"/>
  <c r="AR34" i="3"/>
  <c r="AQ34" i="3"/>
  <c r="AP34" i="3"/>
  <c r="AO34" i="3"/>
  <c r="AN34" i="3"/>
  <c r="AM34" i="3"/>
  <c r="AL34" i="3"/>
  <c r="AJ34" i="3"/>
  <c r="AI34" i="3"/>
  <c r="AH34" i="3"/>
  <c r="AG34" i="3"/>
  <c r="AF34" i="3"/>
  <c r="AE34" i="3"/>
  <c r="AD34" i="3"/>
  <c r="AC34" i="3"/>
  <c r="AB34" i="3"/>
  <c r="AA34" i="3"/>
  <c r="Z34" i="3"/>
  <c r="Y34" i="3"/>
  <c r="X34" i="3"/>
  <c r="W34" i="3"/>
  <c r="V34" i="3"/>
  <c r="U34" i="3"/>
  <c r="AK34" i="3" s="1"/>
  <c r="S34" i="3"/>
  <c r="R34" i="3"/>
  <c r="Q34" i="3"/>
  <c r="P34" i="3"/>
  <c r="O34" i="3"/>
  <c r="N34" i="3"/>
  <c r="M34" i="3"/>
  <c r="L34" i="3"/>
  <c r="T34" i="3" s="1"/>
  <c r="K34" i="3"/>
  <c r="I34" i="3"/>
  <c r="H34" i="3"/>
  <c r="G34" i="3"/>
  <c r="F34" i="3"/>
  <c r="D34" i="3"/>
  <c r="C34" i="3"/>
  <c r="B34" i="3"/>
  <c r="A34" i="3"/>
  <c r="AU33" i="3"/>
  <c r="AT33" i="3"/>
  <c r="AS33" i="3"/>
  <c r="AR33" i="3"/>
  <c r="AQ33" i="3"/>
  <c r="AP33" i="3"/>
  <c r="AO33" i="3"/>
  <c r="AN33" i="3"/>
  <c r="AM33" i="3"/>
  <c r="AL33" i="3"/>
  <c r="AJ33" i="3"/>
  <c r="AI33" i="3"/>
  <c r="AH33" i="3"/>
  <c r="AG33" i="3"/>
  <c r="AF33" i="3"/>
  <c r="AE33" i="3"/>
  <c r="AD33" i="3"/>
  <c r="AC33" i="3"/>
  <c r="AB33" i="3"/>
  <c r="AA33" i="3"/>
  <c r="Z33" i="3"/>
  <c r="Y33" i="3"/>
  <c r="X33" i="3"/>
  <c r="W33" i="3"/>
  <c r="V33" i="3"/>
  <c r="U33" i="3"/>
  <c r="S33" i="3"/>
  <c r="R33" i="3"/>
  <c r="Q33" i="3"/>
  <c r="P33" i="3"/>
  <c r="O33" i="3"/>
  <c r="N33" i="3"/>
  <c r="M33" i="3"/>
  <c r="L33" i="3"/>
  <c r="K33" i="3"/>
  <c r="I33" i="3"/>
  <c r="H33" i="3"/>
  <c r="G33" i="3"/>
  <c r="F33" i="3"/>
  <c r="D33" i="3"/>
  <c r="C33" i="3"/>
  <c r="B33" i="3"/>
  <c r="A33" i="3"/>
  <c r="AU32" i="3"/>
  <c r="AT32" i="3"/>
  <c r="AS32" i="3"/>
  <c r="AR32" i="3"/>
  <c r="AQ32" i="3"/>
  <c r="AP32" i="3"/>
  <c r="AO32" i="3"/>
  <c r="AN32" i="3"/>
  <c r="AM32" i="3"/>
  <c r="AL32" i="3"/>
  <c r="AJ32" i="3"/>
  <c r="AI32" i="3"/>
  <c r="AH32" i="3"/>
  <c r="AG32" i="3"/>
  <c r="AF32" i="3"/>
  <c r="AE32" i="3"/>
  <c r="AD32" i="3"/>
  <c r="AC32" i="3"/>
  <c r="AB32" i="3"/>
  <c r="AA32" i="3"/>
  <c r="Z32" i="3"/>
  <c r="Y32" i="3"/>
  <c r="X32" i="3"/>
  <c r="W32" i="3"/>
  <c r="V32" i="3"/>
  <c r="U32" i="3"/>
  <c r="S32" i="3"/>
  <c r="R32" i="3"/>
  <c r="Q32" i="3"/>
  <c r="P32" i="3"/>
  <c r="O32" i="3"/>
  <c r="N32" i="3"/>
  <c r="M32" i="3"/>
  <c r="L32" i="3"/>
  <c r="K32" i="3"/>
  <c r="J32" i="3"/>
  <c r="I32" i="3"/>
  <c r="H32" i="3"/>
  <c r="G32" i="3"/>
  <c r="F32" i="3"/>
  <c r="D32" i="3"/>
  <c r="C32" i="3"/>
  <c r="B32" i="3"/>
  <c r="A32" i="3"/>
  <c r="AU31" i="3"/>
  <c r="AT31" i="3"/>
  <c r="AS31" i="3"/>
  <c r="AR31" i="3"/>
  <c r="AQ31" i="3"/>
  <c r="AP31" i="3"/>
  <c r="AO31" i="3"/>
  <c r="AN31" i="3"/>
  <c r="AM31" i="3"/>
  <c r="AL31" i="3"/>
  <c r="AJ31" i="3"/>
  <c r="AI31" i="3"/>
  <c r="AH31" i="3"/>
  <c r="AG31" i="3"/>
  <c r="AF31" i="3"/>
  <c r="AE31" i="3"/>
  <c r="AD31" i="3"/>
  <c r="AC31" i="3"/>
  <c r="AB31" i="3"/>
  <c r="AA31" i="3"/>
  <c r="Z31" i="3"/>
  <c r="Y31" i="3"/>
  <c r="X31" i="3"/>
  <c r="W31" i="3"/>
  <c r="V31" i="3"/>
  <c r="U31" i="3"/>
  <c r="S31" i="3"/>
  <c r="R31" i="3"/>
  <c r="Q31" i="3"/>
  <c r="P31" i="3"/>
  <c r="O31" i="3"/>
  <c r="N31" i="3"/>
  <c r="M31" i="3"/>
  <c r="L31" i="3"/>
  <c r="T31" i="3" s="1"/>
  <c r="K31" i="3"/>
  <c r="I31" i="3"/>
  <c r="H31" i="3"/>
  <c r="G31" i="3"/>
  <c r="F31" i="3"/>
  <c r="J31" i="3" s="1"/>
  <c r="D31" i="3"/>
  <c r="C31" i="3"/>
  <c r="B31" i="3"/>
  <c r="A31" i="3"/>
  <c r="AU30" i="3"/>
  <c r="AT30" i="3"/>
  <c r="AS30" i="3"/>
  <c r="AR30" i="3"/>
  <c r="AQ30" i="3"/>
  <c r="AP30" i="3"/>
  <c r="AO30" i="3"/>
  <c r="AN30" i="3"/>
  <c r="AM30" i="3"/>
  <c r="AL30" i="3"/>
  <c r="AJ30" i="3"/>
  <c r="AI30" i="3"/>
  <c r="AH30" i="3"/>
  <c r="AG30" i="3"/>
  <c r="AF30" i="3"/>
  <c r="AE30" i="3"/>
  <c r="AD30" i="3"/>
  <c r="AC30" i="3"/>
  <c r="AB30" i="3"/>
  <c r="AA30" i="3"/>
  <c r="Z30" i="3"/>
  <c r="Y30" i="3"/>
  <c r="X30" i="3"/>
  <c r="W30" i="3"/>
  <c r="V30" i="3"/>
  <c r="U30" i="3"/>
  <c r="AK30" i="3" s="1"/>
  <c r="S30" i="3"/>
  <c r="R30" i="3"/>
  <c r="Q30" i="3"/>
  <c r="P30" i="3"/>
  <c r="O30" i="3"/>
  <c r="N30" i="3"/>
  <c r="M30" i="3"/>
  <c r="L30" i="3"/>
  <c r="K30" i="3"/>
  <c r="T30" i="3" s="1"/>
  <c r="I30" i="3"/>
  <c r="H30" i="3"/>
  <c r="G30" i="3"/>
  <c r="F30" i="3"/>
  <c r="J30" i="3" s="1"/>
  <c r="D30" i="3"/>
  <c r="C30" i="3"/>
  <c r="B30" i="3"/>
  <c r="A30" i="3"/>
  <c r="AU29" i="3"/>
  <c r="AT29" i="3"/>
  <c r="AS29" i="3"/>
  <c r="AR29" i="3"/>
  <c r="AQ29" i="3"/>
  <c r="AP29" i="3"/>
  <c r="AO29" i="3"/>
  <c r="AN29" i="3"/>
  <c r="AM29" i="3"/>
  <c r="AL29" i="3"/>
  <c r="AJ29" i="3"/>
  <c r="AI29" i="3"/>
  <c r="AH29" i="3"/>
  <c r="AG29" i="3"/>
  <c r="AF29" i="3"/>
  <c r="AE29" i="3"/>
  <c r="AD29" i="3"/>
  <c r="AC29" i="3"/>
  <c r="AB29" i="3"/>
  <c r="AA29" i="3"/>
  <c r="Z29" i="3"/>
  <c r="Y29" i="3"/>
  <c r="X29" i="3"/>
  <c r="W29" i="3"/>
  <c r="V29" i="3"/>
  <c r="U29" i="3"/>
  <c r="AK29" i="3" s="1"/>
  <c r="S29" i="3"/>
  <c r="R29" i="3"/>
  <c r="Q29" i="3"/>
  <c r="P29" i="3"/>
  <c r="O29" i="3"/>
  <c r="N29" i="3"/>
  <c r="M29" i="3"/>
  <c r="L29" i="3"/>
  <c r="T29" i="3" s="1"/>
  <c r="K29" i="3"/>
  <c r="I29" i="3"/>
  <c r="H29" i="3"/>
  <c r="G29" i="3"/>
  <c r="J29" i="3" s="1"/>
  <c r="F29" i="3"/>
  <c r="D29" i="3"/>
  <c r="C29" i="3"/>
  <c r="B29" i="3"/>
  <c r="A29" i="3"/>
  <c r="AU28" i="3"/>
  <c r="AT28" i="3"/>
  <c r="AS28" i="3"/>
  <c r="AR28" i="3"/>
  <c r="AQ28" i="3"/>
  <c r="AP28" i="3"/>
  <c r="AO28" i="3"/>
  <c r="AN28" i="3"/>
  <c r="AM28" i="3"/>
  <c r="AL28" i="3"/>
  <c r="AJ28" i="3"/>
  <c r="AI28" i="3"/>
  <c r="AH28" i="3"/>
  <c r="AG28" i="3"/>
  <c r="AF28" i="3"/>
  <c r="AE28" i="3"/>
  <c r="AD28" i="3"/>
  <c r="AC28" i="3"/>
  <c r="AB28" i="3"/>
  <c r="AA28" i="3"/>
  <c r="Z28" i="3"/>
  <c r="Y28" i="3"/>
  <c r="X28" i="3"/>
  <c r="W28" i="3"/>
  <c r="V28" i="3"/>
  <c r="U28" i="3"/>
  <c r="S28" i="3"/>
  <c r="R28" i="3"/>
  <c r="Q28" i="3"/>
  <c r="P28" i="3"/>
  <c r="O28" i="3"/>
  <c r="N28" i="3"/>
  <c r="M28" i="3"/>
  <c r="L28" i="3"/>
  <c r="K28" i="3"/>
  <c r="I28" i="3"/>
  <c r="H28" i="3"/>
  <c r="G28" i="3"/>
  <c r="J28" i="3" s="1"/>
  <c r="F28" i="3"/>
  <c r="D28" i="3"/>
  <c r="C28" i="3"/>
  <c r="B28" i="3"/>
  <c r="A28" i="3"/>
  <c r="AU27" i="3"/>
  <c r="AT27" i="3"/>
  <c r="AS27" i="3"/>
  <c r="AR27" i="3"/>
  <c r="AQ27" i="3"/>
  <c r="AP27" i="3"/>
  <c r="AO27" i="3"/>
  <c r="AN27" i="3"/>
  <c r="AM27" i="3"/>
  <c r="AL27" i="3"/>
  <c r="AJ27" i="3"/>
  <c r="AI27" i="3"/>
  <c r="AH27" i="3"/>
  <c r="AG27" i="3"/>
  <c r="AF27" i="3"/>
  <c r="AE27" i="3"/>
  <c r="AD27" i="3"/>
  <c r="AC27" i="3"/>
  <c r="AB27" i="3"/>
  <c r="AA27" i="3"/>
  <c r="Z27" i="3"/>
  <c r="Y27" i="3"/>
  <c r="X27" i="3"/>
  <c r="W27" i="3"/>
  <c r="V27" i="3"/>
  <c r="U27" i="3"/>
  <c r="AK27" i="3" s="1"/>
  <c r="S27" i="3"/>
  <c r="R27" i="3"/>
  <c r="Q27" i="3"/>
  <c r="P27" i="3"/>
  <c r="O27" i="3"/>
  <c r="N27" i="3"/>
  <c r="M27" i="3"/>
  <c r="L27" i="3"/>
  <c r="K27" i="3"/>
  <c r="I27" i="3"/>
  <c r="H27" i="3"/>
  <c r="G27" i="3"/>
  <c r="F27" i="3"/>
  <c r="D27" i="3"/>
  <c r="C27" i="3"/>
  <c r="B27" i="3"/>
  <c r="A27" i="3"/>
  <c r="AU26" i="3"/>
  <c r="AT26" i="3"/>
  <c r="AS26" i="3"/>
  <c r="AR26" i="3"/>
  <c r="AQ26" i="3"/>
  <c r="AP26" i="3"/>
  <c r="AO26" i="3"/>
  <c r="AN26" i="3"/>
  <c r="AM26" i="3"/>
  <c r="AL26" i="3"/>
  <c r="AJ26" i="3"/>
  <c r="AI26" i="3"/>
  <c r="AH26" i="3"/>
  <c r="AG26" i="3"/>
  <c r="AF26" i="3"/>
  <c r="AE26" i="3"/>
  <c r="AD26" i="3"/>
  <c r="AC26" i="3"/>
  <c r="AB26" i="3"/>
  <c r="AA26" i="3"/>
  <c r="Z26" i="3"/>
  <c r="Y26" i="3"/>
  <c r="X26" i="3"/>
  <c r="W26" i="3"/>
  <c r="V26" i="3"/>
  <c r="U26" i="3"/>
  <c r="S26" i="3"/>
  <c r="R26" i="3"/>
  <c r="Q26" i="3"/>
  <c r="P26" i="3"/>
  <c r="O26" i="3"/>
  <c r="N26" i="3"/>
  <c r="M26" i="3"/>
  <c r="L26" i="3"/>
  <c r="K26" i="3"/>
  <c r="I26" i="3"/>
  <c r="H26" i="3"/>
  <c r="G26" i="3"/>
  <c r="J26" i="3" s="1"/>
  <c r="F26" i="3"/>
  <c r="D26" i="3"/>
  <c r="C26" i="3"/>
  <c r="B26" i="3"/>
  <c r="A26" i="3"/>
  <c r="AU25" i="3"/>
  <c r="AT25" i="3"/>
  <c r="AS25" i="3"/>
  <c r="AR25" i="3"/>
  <c r="AQ25" i="3"/>
  <c r="AP25" i="3"/>
  <c r="AO25" i="3"/>
  <c r="AN25" i="3"/>
  <c r="AM25" i="3"/>
  <c r="AL25" i="3"/>
  <c r="AJ25" i="3"/>
  <c r="AI25" i="3"/>
  <c r="AH25" i="3"/>
  <c r="AG25" i="3"/>
  <c r="AF25" i="3"/>
  <c r="AE25" i="3"/>
  <c r="AD25" i="3"/>
  <c r="AC25" i="3"/>
  <c r="AB25" i="3"/>
  <c r="AA25" i="3"/>
  <c r="Z25" i="3"/>
  <c r="Y25" i="3"/>
  <c r="X25" i="3"/>
  <c r="W25" i="3"/>
  <c r="V25" i="3"/>
  <c r="U25" i="3"/>
  <c r="AK25" i="3" s="1"/>
  <c r="S25" i="3"/>
  <c r="R25" i="3"/>
  <c r="Q25" i="3"/>
  <c r="P25" i="3"/>
  <c r="O25" i="3"/>
  <c r="N25" i="3"/>
  <c r="M25" i="3"/>
  <c r="L25" i="3"/>
  <c r="T25" i="3" s="1"/>
  <c r="K25" i="3"/>
  <c r="I25" i="3"/>
  <c r="H25" i="3"/>
  <c r="G25" i="3"/>
  <c r="F25" i="3"/>
  <c r="D25" i="3"/>
  <c r="C25" i="3"/>
  <c r="B25" i="3"/>
  <c r="A25"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S24" i="3"/>
  <c r="R24" i="3"/>
  <c r="Q24" i="3"/>
  <c r="P24" i="3"/>
  <c r="O24" i="3"/>
  <c r="N24" i="3"/>
  <c r="M24" i="3"/>
  <c r="L24" i="3"/>
  <c r="K24" i="3"/>
  <c r="I24" i="3"/>
  <c r="H24" i="3"/>
  <c r="G24" i="3"/>
  <c r="F24" i="3"/>
  <c r="D24" i="3"/>
  <c r="C24" i="3"/>
  <c r="B24" i="3"/>
  <c r="A24" i="3"/>
  <c r="AU23" i="3"/>
  <c r="AT23" i="3"/>
  <c r="AS23" i="3"/>
  <c r="AR23" i="3"/>
  <c r="AQ23" i="3"/>
  <c r="AP23" i="3"/>
  <c r="AO23" i="3"/>
  <c r="AN23" i="3"/>
  <c r="AM23" i="3"/>
  <c r="AL23" i="3"/>
  <c r="AJ23" i="3"/>
  <c r="AI23" i="3"/>
  <c r="AH23" i="3"/>
  <c r="AG23" i="3"/>
  <c r="AF23" i="3"/>
  <c r="AE23" i="3"/>
  <c r="AD23" i="3"/>
  <c r="AC23" i="3"/>
  <c r="AB23" i="3"/>
  <c r="AA23" i="3"/>
  <c r="Z23" i="3"/>
  <c r="Y23" i="3"/>
  <c r="X23" i="3"/>
  <c r="W23" i="3"/>
  <c r="V23" i="3"/>
  <c r="U23" i="3"/>
  <c r="AK23" i="3" s="1"/>
  <c r="S23" i="3"/>
  <c r="R23" i="3"/>
  <c r="Q23" i="3"/>
  <c r="P23" i="3"/>
  <c r="O23" i="3"/>
  <c r="N23" i="3"/>
  <c r="M23" i="3"/>
  <c r="L23" i="3"/>
  <c r="T23" i="3" s="1"/>
  <c r="K23" i="3"/>
  <c r="I23" i="3"/>
  <c r="H23" i="3"/>
  <c r="G23" i="3"/>
  <c r="F23" i="3"/>
  <c r="D23" i="3"/>
  <c r="C23" i="3"/>
  <c r="B23" i="3"/>
  <c r="A23" i="3"/>
  <c r="AU22" i="3"/>
  <c r="AT22" i="3"/>
  <c r="AS22" i="3"/>
  <c r="AR22" i="3"/>
  <c r="AQ22" i="3"/>
  <c r="AP22" i="3"/>
  <c r="AO22" i="3"/>
  <c r="AN22" i="3"/>
  <c r="AM22" i="3"/>
  <c r="AL22" i="3"/>
  <c r="AJ22" i="3"/>
  <c r="AI22" i="3"/>
  <c r="AH22" i="3"/>
  <c r="AG22" i="3"/>
  <c r="AF22" i="3"/>
  <c r="AE22" i="3"/>
  <c r="AD22" i="3"/>
  <c r="AC22" i="3"/>
  <c r="AB22" i="3"/>
  <c r="AA22" i="3"/>
  <c r="Z22" i="3"/>
  <c r="Y22" i="3"/>
  <c r="X22" i="3"/>
  <c r="W22" i="3"/>
  <c r="V22" i="3"/>
  <c r="U22" i="3"/>
  <c r="AK22" i="3" s="1"/>
  <c r="S22" i="3"/>
  <c r="R22" i="3"/>
  <c r="Q22" i="3"/>
  <c r="P22" i="3"/>
  <c r="O22" i="3"/>
  <c r="N22" i="3"/>
  <c r="M22" i="3"/>
  <c r="L22" i="3"/>
  <c r="K22" i="3"/>
  <c r="T22" i="3" s="1"/>
  <c r="I22" i="3"/>
  <c r="H22" i="3"/>
  <c r="G22" i="3"/>
  <c r="F22" i="3"/>
  <c r="J22" i="3" s="1"/>
  <c r="D22" i="3"/>
  <c r="C22" i="3"/>
  <c r="B22" i="3"/>
  <c r="A22" i="3"/>
  <c r="AU21" i="3"/>
  <c r="AT21" i="3"/>
  <c r="AS21" i="3"/>
  <c r="AR21" i="3"/>
  <c r="AQ21" i="3"/>
  <c r="AP21" i="3"/>
  <c r="AO21" i="3"/>
  <c r="AN21" i="3"/>
  <c r="AM21" i="3"/>
  <c r="AL21" i="3"/>
  <c r="AJ21" i="3"/>
  <c r="AI21" i="3"/>
  <c r="AH21" i="3"/>
  <c r="AG21" i="3"/>
  <c r="AF21" i="3"/>
  <c r="AE21" i="3"/>
  <c r="AD21" i="3"/>
  <c r="AC21" i="3"/>
  <c r="AB21" i="3"/>
  <c r="AA21" i="3"/>
  <c r="Z21" i="3"/>
  <c r="Y21" i="3"/>
  <c r="X21" i="3"/>
  <c r="W21" i="3"/>
  <c r="V21" i="3"/>
  <c r="U21" i="3"/>
  <c r="AK21" i="3" s="1"/>
  <c r="S21" i="3"/>
  <c r="R21" i="3"/>
  <c r="Q21" i="3"/>
  <c r="P21" i="3"/>
  <c r="O21" i="3"/>
  <c r="N21" i="3"/>
  <c r="M21" i="3"/>
  <c r="L21" i="3"/>
  <c r="T21" i="3" s="1"/>
  <c r="K21" i="3"/>
  <c r="I21" i="3"/>
  <c r="H21" i="3"/>
  <c r="G21" i="3"/>
  <c r="J21" i="3" s="1"/>
  <c r="F21" i="3"/>
  <c r="D21" i="3"/>
  <c r="C21" i="3"/>
  <c r="B21" i="3"/>
  <c r="A21" i="3"/>
  <c r="AU20" i="3"/>
  <c r="AT20" i="3"/>
  <c r="AS20" i="3"/>
  <c r="AR20" i="3"/>
  <c r="AQ20" i="3"/>
  <c r="AP20" i="3"/>
  <c r="AO20" i="3"/>
  <c r="AN20" i="3"/>
  <c r="AM20" i="3"/>
  <c r="AL20" i="3"/>
  <c r="AJ20" i="3"/>
  <c r="AI20" i="3"/>
  <c r="AH20" i="3"/>
  <c r="AG20" i="3"/>
  <c r="AF20" i="3"/>
  <c r="AE20" i="3"/>
  <c r="AD20" i="3"/>
  <c r="AC20" i="3"/>
  <c r="AB20" i="3"/>
  <c r="AA20" i="3"/>
  <c r="Z20" i="3"/>
  <c r="Y20" i="3"/>
  <c r="X20" i="3"/>
  <c r="W20" i="3"/>
  <c r="V20" i="3"/>
  <c r="U20" i="3"/>
  <c r="S20" i="3"/>
  <c r="R20" i="3"/>
  <c r="Q20" i="3"/>
  <c r="P20" i="3"/>
  <c r="O20" i="3"/>
  <c r="N20" i="3"/>
  <c r="M20" i="3"/>
  <c r="L20" i="3"/>
  <c r="K20" i="3"/>
  <c r="I20" i="3"/>
  <c r="H20" i="3"/>
  <c r="G20" i="3"/>
  <c r="J20" i="3" s="1"/>
  <c r="F20" i="3"/>
  <c r="D20" i="3"/>
  <c r="C20" i="3"/>
  <c r="B20" i="3"/>
  <c r="A20" i="3"/>
  <c r="AU19" i="3"/>
  <c r="AT19" i="3"/>
  <c r="AS19" i="3"/>
  <c r="AR19" i="3"/>
  <c r="AQ19" i="3"/>
  <c r="AP19" i="3"/>
  <c r="AO19" i="3"/>
  <c r="AN19" i="3"/>
  <c r="AM19" i="3"/>
  <c r="AL19" i="3"/>
  <c r="AJ19" i="3"/>
  <c r="AI19" i="3"/>
  <c r="AH19" i="3"/>
  <c r="AG19" i="3"/>
  <c r="AF19" i="3"/>
  <c r="AE19" i="3"/>
  <c r="AD19" i="3"/>
  <c r="AC19" i="3"/>
  <c r="AB19" i="3"/>
  <c r="AA19" i="3"/>
  <c r="Z19" i="3"/>
  <c r="Y19" i="3"/>
  <c r="X19" i="3"/>
  <c r="W19" i="3"/>
  <c r="V19" i="3"/>
  <c r="U19" i="3"/>
  <c r="S19" i="3"/>
  <c r="R19" i="3"/>
  <c r="Q19" i="3"/>
  <c r="P19" i="3"/>
  <c r="O19" i="3"/>
  <c r="N19" i="3"/>
  <c r="M19" i="3"/>
  <c r="L19" i="3"/>
  <c r="K19" i="3"/>
  <c r="I19" i="3"/>
  <c r="H19" i="3"/>
  <c r="G19" i="3"/>
  <c r="F19" i="3"/>
  <c r="D19" i="3"/>
  <c r="C19" i="3"/>
  <c r="B19" i="3"/>
  <c r="A19" i="3"/>
  <c r="AU18" i="3"/>
  <c r="AT18" i="3"/>
  <c r="AS18" i="3"/>
  <c r="AR18" i="3"/>
  <c r="AQ18" i="3"/>
  <c r="AP18" i="3"/>
  <c r="AO18" i="3"/>
  <c r="AN18" i="3"/>
  <c r="AM18" i="3"/>
  <c r="AL18" i="3"/>
  <c r="AJ18" i="3"/>
  <c r="AI18" i="3"/>
  <c r="AH18" i="3"/>
  <c r="AG18" i="3"/>
  <c r="AF18" i="3"/>
  <c r="AE18" i="3"/>
  <c r="AD18" i="3"/>
  <c r="AC18" i="3"/>
  <c r="AB18" i="3"/>
  <c r="AA18" i="3"/>
  <c r="Z18" i="3"/>
  <c r="Y18" i="3"/>
  <c r="X18" i="3"/>
  <c r="W18" i="3"/>
  <c r="V18" i="3"/>
  <c r="U18" i="3"/>
  <c r="AK18" i="3" s="1"/>
  <c r="S18" i="3"/>
  <c r="R18" i="3"/>
  <c r="Q18" i="3"/>
  <c r="P18" i="3"/>
  <c r="O18" i="3"/>
  <c r="N18" i="3"/>
  <c r="M18" i="3"/>
  <c r="L18" i="3"/>
  <c r="K18" i="3"/>
  <c r="I18" i="3"/>
  <c r="H18" i="3"/>
  <c r="G18" i="3"/>
  <c r="J18" i="3" s="1"/>
  <c r="F18" i="3"/>
  <c r="D18" i="3"/>
  <c r="C18" i="3"/>
  <c r="B18" i="3"/>
  <c r="A18" i="3"/>
  <c r="AU17" i="3"/>
  <c r="AT17" i="3"/>
  <c r="AS17" i="3"/>
  <c r="AR17" i="3"/>
  <c r="AQ17" i="3"/>
  <c r="AP17" i="3"/>
  <c r="AO17" i="3"/>
  <c r="AN17" i="3"/>
  <c r="AM17" i="3"/>
  <c r="AL17" i="3"/>
  <c r="AJ17" i="3"/>
  <c r="AI17" i="3"/>
  <c r="AH17" i="3"/>
  <c r="AG17" i="3"/>
  <c r="AF17" i="3"/>
  <c r="AE17" i="3"/>
  <c r="AD17" i="3"/>
  <c r="AC17" i="3"/>
  <c r="AB17" i="3"/>
  <c r="AA17" i="3"/>
  <c r="Z17" i="3"/>
  <c r="Y17" i="3"/>
  <c r="X17" i="3"/>
  <c r="W17" i="3"/>
  <c r="V17" i="3"/>
  <c r="U17" i="3"/>
  <c r="S17" i="3"/>
  <c r="R17" i="3"/>
  <c r="Q17" i="3"/>
  <c r="P17" i="3"/>
  <c r="O17" i="3"/>
  <c r="N17" i="3"/>
  <c r="M17" i="3"/>
  <c r="L17" i="3"/>
  <c r="K17" i="3"/>
  <c r="T17" i="3" s="1"/>
  <c r="I17" i="3"/>
  <c r="H17" i="3"/>
  <c r="G17" i="3"/>
  <c r="F17" i="3"/>
  <c r="D17" i="3"/>
  <c r="C17" i="3"/>
  <c r="B17" i="3"/>
  <c r="A17" i="3"/>
  <c r="AU16" i="3"/>
  <c r="AT16" i="3"/>
  <c r="AS16" i="3"/>
  <c r="AR16" i="3"/>
  <c r="AQ16" i="3"/>
  <c r="AP16" i="3"/>
  <c r="AO16" i="3"/>
  <c r="AN16" i="3"/>
  <c r="AM16" i="3"/>
  <c r="AL16" i="3"/>
  <c r="AJ16" i="3"/>
  <c r="AI16" i="3"/>
  <c r="AH16" i="3"/>
  <c r="AG16" i="3"/>
  <c r="AF16" i="3"/>
  <c r="AE16" i="3"/>
  <c r="AD16" i="3"/>
  <c r="AC16" i="3"/>
  <c r="AB16" i="3"/>
  <c r="AA16" i="3"/>
  <c r="Z16" i="3"/>
  <c r="Y16" i="3"/>
  <c r="X16" i="3"/>
  <c r="W16" i="3"/>
  <c r="V16" i="3"/>
  <c r="U16" i="3"/>
  <c r="S16" i="3"/>
  <c r="R16" i="3"/>
  <c r="Q16" i="3"/>
  <c r="P16" i="3"/>
  <c r="O16" i="3"/>
  <c r="N16" i="3"/>
  <c r="M16" i="3"/>
  <c r="L16" i="3"/>
  <c r="K16" i="3"/>
  <c r="I16" i="3"/>
  <c r="H16" i="3"/>
  <c r="G16" i="3"/>
  <c r="J16" i="3" s="1"/>
  <c r="F16" i="3"/>
  <c r="D16" i="3"/>
  <c r="C16" i="3"/>
  <c r="B16" i="3"/>
  <c r="A16" i="3"/>
  <c r="AU15" i="3"/>
  <c r="AT15" i="3"/>
  <c r="AS15" i="3"/>
  <c r="AR15" i="3"/>
  <c r="AQ15" i="3"/>
  <c r="AP15" i="3"/>
  <c r="AO15" i="3"/>
  <c r="AN15" i="3"/>
  <c r="AM15" i="3"/>
  <c r="AL15" i="3"/>
  <c r="AJ15" i="3"/>
  <c r="AI15" i="3"/>
  <c r="AH15" i="3"/>
  <c r="AG15" i="3"/>
  <c r="AF15" i="3"/>
  <c r="AE15" i="3"/>
  <c r="AD15" i="3"/>
  <c r="AC15" i="3"/>
  <c r="AB15" i="3"/>
  <c r="AA15" i="3"/>
  <c r="Z15" i="3"/>
  <c r="Y15" i="3"/>
  <c r="X15" i="3"/>
  <c r="W15" i="3"/>
  <c r="V15" i="3"/>
  <c r="U15" i="3"/>
  <c r="S15" i="3"/>
  <c r="R15" i="3"/>
  <c r="Q15" i="3"/>
  <c r="P15" i="3"/>
  <c r="O15" i="3"/>
  <c r="N15" i="3"/>
  <c r="M15" i="3"/>
  <c r="L15" i="3"/>
  <c r="T15" i="3" s="1"/>
  <c r="K15" i="3"/>
  <c r="I15" i="3"/>
  <c r="H15" i="3"/>
  <c r="G15" i="3"/>
  <c r="F15" i="3"/>
  <c r="D15" i="3"/>
  <c r="C15" i="3"/>
  <c r="B15" i="3"/>
  <c r="A15" i="3"/>
  <c r="AU14" i="3"/>
  <c r="AT14" i="3"/>
  <c r="AS14" i="3"/>
  <c r="AR14" i="3"/>
  <c r="AQ14" i="3"/>
  <c r="AP14" i="3"/>
  <c r="AO14" i="3"/>
  <c r="AN14" i="3"/>
  <c r="AM14" i="3"/>
  <c r="AL14" i="3"/>
  <c r="AJ14" i="3"/>
  <c r="AI14" i="3"/>
  <c r="AH14" i="3"/>
  <c r="AG14" i="3"/>
  <c r="AF14" i="3"/>
  <c r="AE14" i="3"/>
  <c r="AD14" i="3"/>
  <c r="AC14" i="3"/>
  <c r="AB14" i="3"/>
  <c r="AA14" i="3"/>
  <c r="Z14" i="3"/>
  <c r="Y14" i="3"/>
  <c r="X14" i="3"/>
  <c r="W14" i="3"/>
  <c r="V14" i="3"/>
  <c r="U14" i="3"/>
  <c r="AK14" i="3" s="1"/>
  <c r="S14" i="3"/>
  <c r="R14" i="3"/>
  <c r="Q14" i="3"/>
  <c r="P14" i="3"/>
  <c r="O14" i="3"/>
  <c r="N14" i="3"/>
  <c r="M14" i="3"/>
  <c r="L14" i="3"/>
  <c r="K14" i="3"/>
  <c r="I14" i="3"/>
  <c r="H14" i="3"/>
  <c r="G14" i="3"/>
  <c r="F14" i="3"/>
  <c r="J14" i="3" s="1"/>
  <c r="D14" i="3"/>
  <c r="C14" i="3"/>
  <c r="B14" i="3"/>
  <c r="A14" i="3"/>
  <c r="AU13" i="3"/>
  <c r="AT13" i="3"/>
  <c r="AS13" i="3"/>
  <c r="AR13" i="3"/>
  <c r="AQ13" i="3"/>
  <c r="AP13" i="3"/>
  <c r="AO13" i="3"/>
  <c r="AN13" i="3"/>
  <c r="AM13" i="3"/>
  <c r="AL13" i="3"/>
  <c r="AJ13" i="3"/>
  <c r="AI13" i="3"/>
  <c r="AH13" i="3"/>
  <c r="AG13" i="3"/>
  <c r="AF13" i="3"/>
  <c r="AE13" i="3"/>
  <c r="AD13" i="3"/>
  <c r="AC13" i="3"/>
  <c r="AB13" i="3"/>
  <c r="AA13" i="3"/>
  <c r="Z13" i="3"/>
  <c r="Y13" i="3"/>
  <c r="X13" i="3"/>
  <c r="W13" i="3"/>
  <c r="V13" i="3"/>
  <c r="U13" i="3"/>
  <c r="AK13" i="3" s="1"/>
  <c r="S13" i="3"/>
  <c r="R13" i="3"/>
  <c r="Q13" i="3"/>
  <c r="P13" i="3"/>
  <c r="O13" i="3"/>
  <c r="N13" i="3"/>
  <c r="M13" i="3"/>
  <c r="L13" i="3"/>
  <c r="T13" i="3" s="1"/>
  <c r="K13" i="3"/>
  <c r="I13" i="3"/>
  <c r="H13" i="3"/>
  <c r="G13" i="3"/>
  <c r="J13" i="3" s="1"/>
  <c r="F13" i="3"/>
  <c r="D13" i="3"/>
  <c r="C13" i="3"/>
  <c r="B13" i="3"/>
  <c r="A13" i="3"/>
  <c r="AU12" i="3"/>
  <c r="AT12" i="3"/>
  <c r="AS12" i="3"/>
  <c r="AR12" i="3"/>
  <c r="AQ12" i="3"/>
  <c r="AP12" i="3"/>
  <c r="AO12" i="3"/>
  <c r="AN12" i="3"/>
  <c r="AM12" i="3"/>
  <c r="AL12" i="3"/>
  <c r="AJ12" i="3"/>
  <c r="AI12" i="3"/>
  <c r="AH12" i="3"/>
  <c r="AG12" i="3"/>
  <c r="AF12" i="3"/>
  <c r="AE12" i="3"/>
  <c r="AD12" i="3"/>
  <c r="AC12" i="3"/>
  <c r="AB12" i="3"/>
  <c r="AA12" i="3"/>
  <c r="Z12" i="3"/>
  <c r="Y12" i="3"/>
  <c r="X12" i="3"/>
  <c r="W12" i="3"/>
  <c r="V12" i="3"/>
  <c r="U12" i="3"/>
  <c r="S12" i="3"/>
  <c r="R12" i="3"/>
  <c r="Q12" i="3"/>
  <c r="P12" i="3"/>
  <c r="O12" i="3"/>
  <c r="N12" i="3"/>
  <c r="M12" i="3"/>
  <c r="L12" i="3"/>
  <c r="K12" i="3"/>
  <c r="T12" i="3" s="1"/>
  <c r="J12" i="3"/>
  <c r="I12" i="3"/>
  <c r="H12" i="3"/>
  <c r="G12" i="3"/>
  <c r="F12" i="3"/>
  <c r="D12" i="3"/>
  <c r="C12" i="3"/>
  <c r="B12" i="3"/>
  <c r="A12" i="3"/>
  <c r="AU11" i="3"/>
  <c r="AT11" i="3"/>
  <c r="AS11" i="3"/>
  <c r="AR11" i="3"/>
  <c r="AQ11" i="3"/>
  <c r="AP11" i="3"/>
  <c r="AO11" i="3"/>
  <c r="AN11" i="3"/>
  <c r="AM11" i="3"/>
  <c r="AL11" i="3"/>
  <c r="AJ11" i="3"/>
  <c r="AI11" i="3"/>
  <c r="AH11" i="3"/>
  <c r="AG11" i="3"/>
  <c r="AF11" i="3"/>
  <c r="AE11" i="3"/>
  <c r="AD11" i="3"/>
  <c r="AC11" i="3"/>
  <c r="AB11" i="3"/>
  <c r="AA11" i="3"/>
  <c r="Z11" i="3"/>
  <c r="Y11" i="3"/>
  <c r="X11" i="3"/>
  <c r="W11" i="3"/>
  <c r="V11" i="3"/>
  <c r="U11" i="3"/>
  <c r="S11" i="3"/>
  <c r="R11" i="3"/>
  <c r="Q11" i="3"/>
  <c r="P11" i="3"/>
  <c r="O11" i="3"/>
  <c r="N11" i="3"/>
  <c r="M11" i="3"/>
  <c r="L11" i="3"/>
  <c r="K11" i="3"/>
  <c r="I11" i="3"/>
  <c r="H11" i="3"/>
  <c r="G11" i="3"/>
  <c r="F11" i="3"/>
  <c r="J11" i="3" s="1"/>
  <c r="D11" i="3"/>
  <c r="C11" i="3"/>
  <c r="B11" i="3"/>
  <c r="A11"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S10" i="3"/>
  <c r="R10" i="3"/>
  <c r="Q10" i="3"/>
  <c r="P10" i="3"/>
  <c r="O10" i="3"/>
  <c r="N10" i="3"/>
  <c r="M10" i="3"/>
  <c r="L10" i="3"/>
  <c r="T10" i="3" s="1"/>
  <c r="K10" i="3"/>
  <c r="I10" i="3"/>
  <c r="H10" i="3"/>
  <c r="G10" i="3"/>
  <c r="F10" i="3"/>
  <c r="D10" i="3"/>
  <c r="C10" i="3"/>
  <c r="B10" i="3"/>
  <c r="A10" i="3"/>
  <c r="AU9" i="3"/>
  <c r="AT9" i="3"/>
  <c r="AS9" i="3"/>
  <c r="AR9" i="3"/>
  <c r="AQ9" i="3"/>
  <c r="AP9" i="3"/>
  <c r="AO9" i="3"/>
  <c r="AN9" i="3"/>
  <c r="AM9" i="3"/>
  <c r="AL9" i="3"/>
  <c r="AJ9" i="3"/>
  <c r="AI9" i="3"/>
  <c r="AH9" i="3"/>
  <c r="AG9" i="3"/>
  <c r="AF9" i="3"/>
  <c r="AE9" i="3"/>
  <c r="AD9" i="3"/>
  <c r="AC9" i="3"/>
  <c r="AB9" i="3"/>
  <c r="AA9" i="3"/>
  <c r="Z9" i="3"/>
  <c r="Y9" i="3"/>
  <c r="X9" i="3"/>
  <c r="W9" i="3"/>
  <c r="V9" i="3"/>
  <c r="U9" i="3"/>
  <c r="S9" i="3"/>
  <c r="R9" i="3"/>
  <c r="Q9" i="3"/>
  <c r="P9" i="3"/>
  <c r="O9" i="3"/>
  <c r="N9" i="3"/>
  <c r="M9" i="3"/>
  <c r="L9" i="3"/>
  <c r="K9" i="3"/>
  <c r="I9" i="3"/>
  <c r="H9" i="3"/>
  <c r="G9" i="3"/>
  <c r="F9" i="3"/>
  <c r="D9" i="3"/>
  <c r="C9" i="3"/>
  <c r="B9" i="3"/>
  <c r="A9" i="3"/>
  <c r="AU8" i="3"/>
  <c r="AT8" i="3"/>
  <c r="AS8" i="3"/>
  <c r="AR8" i="3"/>
  <c r="AQ8" i="3"/>
  <c r="AP8" i="3"/>
  <c r="AO8" i="3"/>
  <c r="AN8" i="3"/>
  <c r="AM8" i="3"/>
  <c r="AL8" i="3"/>
  <c r="AJ8" i="3"/>
  <c r="AI8" i="3"/>
  <c r="AH8" i="3"/>
  <c r="AG8" i="3"/>
  <c r="AF8" i="3"/>
  <c r="AE8" i="3"/>
  <c r="AD8" i="3"/>
  <c r="AC8" i="3"/>
  <c r="AB8" i="3"/>
  <c r="AA8" i="3"/>
  <c r="Z8" i="3"/>
  <c r="Y8" i="3"/>
  <c r="X8" i="3"/>
  <c r="W8" i="3"/>
  <c r="V8" i="3"/>
  <c r="U8" i="3"/>
  <c r="AK8" i="3" s="1"/>
  <c r="S8" i="3"/>
  <c r="R8" i="3"/>
  <c r="Q8" i="3"/>
  <c r="P8" i="3"/>
  <c r="O8" i="3"/>
  <c r="N8" i="3"/>
  <c r="M8" i="3"/>
  <c r="L8" i="3"/>
  <c r="K8" i="3"/>
  <c r="J8" i="3"/>
  <c r="I8" i="3"/>
  <c r="H8" i="3"/>
  <c r="G8" i="3"/>
  <c r="F8" i="3"/>
  <c r="D8" i="3"/>
  <c r="C8" i="3"/>
  <c r="B8" i="3"/>
  <c r="A8" i="3"/>
  <c r="AU7" i="3"/>
  <c r="AT7" i="3"/>
  <c r="AS7" i="3"/>
  <c r="AR7" i="3"/>
  <c r="AQ7" i="3"/>
  <c r="AP7" i="3"/>
  <c r="AO7" i="3"/>
  <c r="AN7" i="3"/>
  <c r="AM7" i="3"/>
  <c r="AL7" i="3"/>
  <c r="AJ7" i="3"/>
  <c r="AI7" i="3"/>
  <c r="AH7" i="3"/>
  <c r="AG7" i="3"/>
  <c r="AF7" i="3"/>
  <c r="AE7" i="3"/>
  <c r="AD7" i="3"/>
  <c r="AC7" i="3"/>
  <c r="AB7" i="3"/>
  <c r="AA7" i="3"/>
  <c r="Z7" i="3"/>
  <c r="Y7" i="3"/>
  <c r="X7" i="3"/>
  <c r="W7" i="3"/>
  <c r="V7" i="3"/>
  <c r="U7" i="3"/>
  <c r="S7" i="3"/>
  <c r="R7" i="3"/>
  <c r="Q7" i="3"/>
  <c r="P7" i="3"/>
  <c r="O7" i="3"/>
  <c r="N7" i="3"/>
  <c r="M7" i="3"/>
  <c r="L7" i="3"/>
  <c r="T7" i="3" s="1"/>
  <c r="K7" i="3"/>
  <c r="I7" i="3"/>
  <c r="H7" i="3"/>
  <c r="G7" i="3"/>
  <c r="F7" i="3"/>
  <c r="D7" i="3"/>
  <c r="C7" i="3"/>
  <c r="B7" i="3"/>
  <c r="A7" i="3"/>
  <c r="AU6" i="3"/>
  <c r="AT6" i="3"/>
  <c r="AS6" i="3"/>
  <c r="AR6" i="3"/>
  <c r="AQ6" i="3"/>
  <c r="AP6" i="3"/>
  <c r="AO6" i="3"/>
  <c r="AN6" i="3"/>
  <c r="AM6" i="3"/>
  <c r="AL6" i="3"/>
  <c r="AJ6" i="3"/>
  <c r="AI6" i="3"/>
  <c r="AH6" i="3"/>
  <c r="AG6" i="3"/>
  <c r="AF6" i="3"/>
  <c r="AE6" i="3"/>
  <c r="AD6" i="3"/>
  <c r="AC6" i="3"/>
  <c r="AB6" i="3"/>
  <c r="AA6" i="3"/>
  <c r="Z6" i="3"/>
  <c r="Y6" i="3"/>
  <c r="X6" i="3"/>
  <c r="W6" i="3"/>
  <c r="V6" i="3"/>
  <c r="U6" i="3"/>
  <c r="S6" i="3"/>
  <c r="R6" i="3"/>
  <c r="Q6" i="3"/>
  <c r="P6" i="3"/>
  <c r="O6" i="3"/>
  <c r="N6" i="3"/>
  <c r="M6" i="3"/>
  <c r="L6" i="3"/>
  <c r="K6" i="3"/>
  <c r="I6" i="3"/>
  <c r="H6" i="3"/>
  <c r="G6" i="3"/>
  <c r="F6" i="3"/>
  <c r="D6" i="3"/>
  <c r="C6" i="3"/>
  <c r="B6" i="3"/>
  <c r="A6" i="3"/>
  <c r="AU5" i="3"/>
  <c r="AT5" i="3"/>
  <c r="AS5" i="3"/>
  <c r="AR5" i="3"/>
  <c r="AQ5" i="3"/>
  <c r="AP5" i="3"/>
  <c r="AO5" i="3"/>
  <c r="AN5" i="3"/>
  <c r="AM5" i="3"/>
  <c r="AL5" i="3"/>
  <c r="AJ5" i="3"/>
  <c r="AI5" i="3"/>
  <c r="AH5" i="3"/>
  <c r="AG5" i="3"/>
  <c r="AF5" i="3"/>
  <c r="AE5" i="3"/>
  <c r="AD5" i="3"/>
  <c r="AC5" i="3"/>
  <c r="AB5" i="3"/>
  <c r="AA5" i="3"/>
  <c r="Z5" i="3"/>
  <c r="Y5" i="3"/>
  <c r="X5" i="3"/>
  <c r="W5" i="3"/>
  <c r="V5" i="3"/>
  <c r="U5" i="3"/>
  <c r="AK5" i="3" s="1"/>
  <c r="S5" i="3"/>
  <c r="R5" i="3"/>
  <c r="Q5" i="3"/>
  <c r="P5" i="3"/>
  <c r="O5" i="3"/>
  <c r="N5" i="3"/>
  <c r="M5" i="3"/>
  <c r="L5" i="3"/>
  <c r="K5" i="3"/>
  <c r="T5" i="3" s="1"/>
  <c r="I5" i="3"/>
  <c r="H5" i="3"/>
  <c r="G5" i="3"/>
  <c r="J5" i="3" s="1"/>
  <c r="F5" i="3"/>
  <c r="D5" i="3"/>
  <c r="C5" i="3"/>
  <c r="B5" i="3"/>
  <c r="A5" i="3"/>
  <c r="AU4" i="3"/>
  <c r="AT4" i="3"/>
  <c r="AS4" i="3"/>
  <c r="AR4" i="3"/>
  <c r="AQ4" i="3"/>
  <c r="AP4" i="3"/>
  <c r="AO4" i="3"/>
  <c r="AN4" i="3"/>
  <c r="AM4" i="3"/>
  <c r="AL4" i="3"/>
  <c r="AJ4" i="3"/>
  <c r="AI4" i="3"/>
  <c r="AH4" i="3"/>
  <c r="AG4" i="3"/>
  <c r="AF4" i="3"/>
  <c r="AE4" i="3"/>
  <c r="AD4" i="3"/>
  <c r="AC4" i="3"/>
  <c r="AB4" i="3"/>
  <c r="AA4" i="3"/>
  <c r="Z4" i="3"/>
  <c r="Y4" i="3"/>
  <c r="X4" i="3"/>
  <c r="W4" i="3"/>
  <c r="V4" i="3"/>
  <c r="U4" i="3"/>
  <c r="S4" i="3"/>
  <c r="R4" i="3"/>
  <c r="Q4" i="3"/>
  <c r="P4" i="3"/>
  <c r="O4" i="3"/>
  <c r="N4" i="3"/>
  <c r="M4" i="3"/>
  <c r="L4" i="3"/>
  <c r="K4" i="3"/>
  <c r="I4" i="3"/>
  <c r="J4" i="3" s="1"/>
  <c r="H4" i="3"/>
  <c r="G4" i="3"/>
  <c r="F4" i="3"/>
  <c r="D4" i="3"/>
  <c r="C4" i="3"/>
  <c r="B4" i="3"/>
  <c r="A4" i="3"/>
  <c r="AU3" i="3"/>
  <c r="AT3" i="3"/>
  <c r="AS3" i="3"/>
  <c r="AR3" i="3"/>
  <c r="AQ3" i="3"/>
  <c r="AP3" i="3"/>
  <c r="AO3" i="3"/>
  <c r="AN3" i="3"/>
  <c r="AM3" i="3"/>
  <c r="AL3" i="3"/>
  <c r="AJ3" i="3"/>
  <c r="AI3" i="3"/>
  <c r="AH3" i="3"/>
  <c r="AG3" i="3"/>
  <c r="AF3" i="3"/>
  <c r="AE3" i="3"/>
  <c r="AD3" i="3"/>
  <c r="AC3" i="3"/>
  <c r="AB3" i="3"/>
  <c r="AA3" i="3"/>
  <c r="Z3" i="3"/>
  <c r="Y3" i="3"/>
  <c r="X3" i="3"/>
  <c r="W3" i="3"/>
  <c r="V3" i="3"/>
  <c r="U3" i="3"/>
  <c r="S3" i="3"/>
  <c r="R3" i="3"/>
  <c r="Q3" i="3"/>
  <c r="P3" i="3"/>
  <c r="O3" i="3"/>
  <c r="N3" i="3"/>
  <c r="M3" i="3"/>
  <c r="L3" i="3"/>
  <c r="K3" i="3"/>
  <c r="I3" i="3"/>
  <c r="H3" i="3"/>
  <c r="G3" i="3"/>
  <c r="F3" i="3"/>
  <c r="J3" i="3" s="1"/>
  <c r="D3" i="3"/>
  <c r="C3" i="3"/>
  <c r="B3" i="3"/>
  <c r="A3" i="3"/>
  <c r="AU2" i="3"/>
  <c r="AT2" i="3"/>
  <c r="AS2" i="3"/>
  <c r="AR2" i="3"/>
  <c r="AQ2" i="3"/>
  <c r="AP2" i="3"/>
  <c r="AO2" i="3"/>
  <c r="AN2" i="3"/>
  <c r="AM2" i="3"/>
  <c r="AL2" i="3"/>
  <c r="AJ2" i="3"/>
  <c r="AI2" i="3"/>
  <c r="AH2" i="3"/>
  <c r="AG2" i="3"/>
  <c r="AF2" i="3"/>
  <c r="AE2" i="3"/>
  <c r="AD2" i="3"/>
  <c r="AC2" i="3"/>
  <c r="AB2" i="3"/>
  <c r="AA2" i="3"/>
  <c r="Z2" i="3"/>
  <c r="Y2" i="3"/>
  <c r="X2" i="3"/>
  <c r="W2" i="3"/>
  <c r="V2" i="3"/>
  <c r="U2" i="3"/>
  <c r="S2" i="3"/>
  <c r="R2" i="3"/>
  <c r="Q2" i="3"/>
  <c r="P2" i="3"/>
  <c r="O2" i="3"/>
  <c r="N2" i="3"/>
  <c r="M2" i="3"/>
  <c r="L2" i="3"/>
  <c r="K2" i="3"/>
  <c r="I2" i="3"/>
  <c r="H2" i="3"/>
  <c r="G2" i="3"/>
  <c r="F2" i="3"/>
  <c r="D2" i="3"/>
  <c r="C2" i="3"/>
  <c r="B2" i="3"/>
  <c r="A2" i="3"/>
  <c r="AU1" i="3"/>
  <c r="AT1" i="3"/>
  <c r="AS1" i="3"/>
  <c r="AR1" i="3"/>
  <c r="AQ1" i="3"/>
  <c r="AP1" i="3"/>
  <c r="AO1" i="3"/>
  <c r="AN1" i="3"/>
  <c r="AM1" i="3"/>
  <c r="AL1" i="3"/>
  <c r="CV107" i="2"/>
  <c r="BQ107" i="2"/>
  <c r="BP107" i="2"/>
  <c r="BO107" i="2"/>
  <c r="BN107" i="2"/>
  <c r="K107" i="19" s="1"/>
  <c r="BM107" i="2"/>
  <c r="BL107" i="2"/>
  <c r="BK107" i="2"/>
  <c r="BJ107" i="2"/>
  <c r="BI107" i="2"/>
  <c r="BH107" i="2"/>
  <c r="BG107" i="2"/>
  <c r="AP107" i="2"/>
  <c r="AN107" i="2"/>
  <c r="AM107" i="2"/>
  <c r="AL107" i="2"/>
  <c r="AK107" i="2"/>
  <c r="AH107" i="2"/>
  <c r="AG107" i="2"/>
  <c r="AE107" i="2"/>
  <c r="AD107" i="2"/>
  <c r="AC107" i="2"/>
  <c r="AB107" i="2"/>
  <c r="Y107" i="2"/>
  <c r="X107" i="2"/>
  <c r="W107" i="2"/>
  <c r="AA107" i="2" s="1"/>
  <c r="O107" i="2"/>
  <c r="I107" i="2"/>
  <c r="F107" i="2"/>
  <c r="E107" i="2"/>
  <c r="D107" i="2"/>
  <c r="C107" i="2"/>
  <c r="B107" i="2"/>
  <c r="A107" i="2"/>
  <c r="CW106" i="2"/>
  <c r="CV106" i="2"/>
  <c r="CU106" i="2"/>
  <c r="CS106" i="2"/>
  <c r="CN106" i="2"/>
  <c r="CM106" i="2"/>
  <c r="CL106" i="2"/>
  <c r="BW106" i="2"/>
  <c r="BV106" i="2"/>
  <c r="BU106" i="2"/>
  <c r="BQ106" i="2"/>
  <c r="BP106" i="2"/>
  <c r="BO106" i="2"/>
  <c r="BN106" i="2"/>
  <c r="K106" i="19" s="1"/>
  <c r="BM106" i="2"/>
  <c r="BL106" i="2"/>
  <c r="BK106" i="2"/>
  <c r="BJ106" i="2"/>
  <c r="BI106" i="2"/>
  <c r="BH106" i="2"/>
  <c r="BG106" i="2"/>
  <c r="AQ106" i="2"/>
  <c r="AN106" i="2"/>
  <c r="AK106" i="2"/>
  <c r="AJ106" i="2"/>
  <c r="AH106" i="2"/>
  <c r="AG106" i="2"/>
  <c r="Y106" i="2"/>
  <c r="W106" i="2"/>
  <c r="T106" i="2"/>
  <c r="O106" i="2"/>
  <c r="L106" i="2"/>
  <c r="K106" i="2"/>
  <c r="M106" i="2" s="1"/>
  <c r="J106" i="2"/>
  <c r="I106" i="2"/>
  <c r="H106" i="2"/>
  <c r="G106" i="2"/>
  <c r="F106" i="2"/>
  <c r="E106" i="2"/>
  <c r="D106" i="2"/>
  <c r="C106" i="2"/>
  <c r="B106" i="2"/>
  <c r="A106" i="2"/>
  <c r="BR105" i="2"/>
  <c r="BQ105" i="2"/>
  <c r="BP105" i="2"/>
  <c r="BO105" i="2"/>
  <c r="BN105" i="2"/>
  <c r="K105" i="19" s="1"/>
  <c r="BM105" i="2"/>
  <c r="BL105" i="2"/>
  <c r="BK105" i="2"/>
  <c r="BJ105" i="2"/>
  <c r="BI105" i="2"/>
  <c r="BH105" i="2"/>
  <c r="BG105" i="2"/>
  <c r="AP105" i="2"/>
  <c r="AN105" i="2"/>
  <c r="AK105" i="2"/>
  <c r="AI105" i="2"/>
  <c r="AH105" i="2"/>
  <c r="AG105" i="2"/>
  <c r="AD105" i="2"/>
  <c r="Z105" i="2"/>
  <c r="Y105" i="2"/>
  <c r="X105" i="2"/>
  <c r="W105" i="2"/>
  <c r="T105" i="2"/>
  <c r="Q105" i="2"/>
  <c r="P105" i="2"/>
  <c r="O105" i="2"/>
  <c r="L105" i="2"/>
  <c r="I105" i="2"/>
  <c r="K105" i="2" s="1"/>
  <c r="H105" i="2"/>
  <c r="R105" i="2" s="1"/>
  <c r="S105" i="2" s="1"/>
  <c r="V105" i="2" s="1"/>
  <c r="F105" i="2"/>
  <c r="E105" i="2"/>
  <c r="D105" i="19" s="1"/>
  <c r="D105" i="2"/>
  <c r="C105" i="2"/>
  <c r="B105" i="2"/>
  <c r="A105" i="2"/>
  <c r="CV104" i="2"/>
  <c r="CU104" i="2"/>
  <c r="CM104" i="2"/>
  <c r="CE104" i="2"/>
  <c r="CH104" i="2" s="1"/>
  <c r="BQ104" i="2"/>
  <c r="BP104" i="2"/>
  <c r="BO104" i="2"/>
  <c r="BN104" i="2"/>
  <c r="K104" i="19" s="1"/>
  <c r="BM104" i="2"/>
  <c r="BL104" i="2"/>
  <c r="BK104" i="2"/>
  <c r="BJ104" i="2"/>
  <c r="BI104" i="2"/>
  <c r="BH104" i="2"/>
  <c r="BG104" i="2"/>
  <c r="AN104" i="2"/>
  <c r="AK104" i="2"/>
  <c r="AG104" i="2"/>
  <c r="AD104" i="2"/>
  <c r="Y104" i="2"/>
  <c r="W104" i="2"/>
  <c r="T104" i="2"/>
  <c r="P104" i="2"/>
  <c r="O104" i="2"/>
  <c r="L104" i="2"/>
  <c r="K104" i="2"/>
  <c r="N104" i="2" s="1"/>
  <c r="I104" i="2"/>
  <c r="G104" i="2"/>
  <c r="F104" i="2"/>
  <c r="E104" i="2"/>
  <c r="D104" i="2"/>
  <c r="C104" i="2"/>
  <c r="B104" i="2"/>
  <c r="A104" i="2"/>
  <c r="DB103" i="2"/>
  <c r="CX103" i="2"/>
  <c r="CV103" i="2"/>
  <c r="CU103" i="2"/>
  <c r="CT103" i="2"/>
  <c r="CS103" i="2"/>
  <c r="CR103" i="2"/>
  <c r="CQ103" i="2"/>
  <c r="CP103" i="2"/>
  <c r="CN103" i="2"/>
  <c r="CM103" i="2"/>
  <c r="CL103" i="2"/>
  <c r="CJ103" i="2"/>
  <c r="CH103" i="2"/>
  <c r="CE103" i="2"/>
  <c r="CI103" i="2" s="1"/>
  <c r="CA103" i="2"/>
  <c r="BX103" i="2"/>
  <c r="BW103" i="2"/>
  <c r="BV103" i="2"/>
  <c r="BU103" i="2"/>
  <c r="BT103" i="2"/>
  <c r="BQ103" i="2"/>
  <c r="CW103" i="2" s="1"/>
  <c r="BP103" i="2"/>
  <c r="BO103" i="2"/>
  <c r="BN103" i="2"/>
  <c r="K103" i="19" s="1"/>
  <c r="BM103" i="2"/>
  <c r="BL103" i="2"/>
  <c r="BK103" i="2"/>
  <c r="BJ103" i="2"/>
  <c r="BI103" i="2"/>
  <c r="BH103" i="2"/>
  <c r="BG103" i="2"/>
  <c r="BB103" i="2"/>
  <c r="AY103" i="2"/>
  <c r="AX103" i="2"/>
  <c r="AW103" i="2"/>
  <c r="AV103" i="2"/>
  <c r="AQ103" i="2"/>
  <c r="AU103" i="2" s="1"/>
  <c r="AN103" i="2"/>
  <c r="AG103" i="2"/>
  <c r="AD103" i="2"/>
  <c r="X103" i="2"/>
  <c r="W103" i="2"/>
  <c r="T103" i="2"/>
  <c r="O103" i="2"/>
  <c r="I103" i="2"/>
  <c r="F103" i="2"/>
  <c r="E103" i="2"/>
  <c r="D103" i="2"/>
  <c r="C103" i="2"/>
  <c r="B103" i="2"/>
  <c r="A103" i="2"/>
  <c r="CT102" i="2"/>
  <c r="CQ102" i="2"/>
  <c r="CP102" i="2"/>
  <c r="BR102" i="2"/>
  <c r="BQ102" i="2"/>
  <c r="BP102" i="2"/>
  <c r="BO102" i="2"/>
  <c r="BN102" i="2"/>
  <c r="K102" i="19" s="1"/>
  <c r="BM102" i="2"/>
  <c r="BL102" i="2"/>
  <c r="BK102" i="2"/>
  <c r="BJ102" i="2"/>
  <c r="BI102" i="2"/>
  <c r="BH102" i="2"/>
  <c r="BG102" i="2"/>
  <c r="AT102" i="2"/>
  <c r="AS102" i="2"/>
  <c r="AQ102" i="2"/>
  <c r="AP102" i="2"/>
  <c r="AN102" i="2"/>
  <c r="AM102" i="2"/>
  <c r="AL102" i="2"/>
  <c r="AK102" i="2"/>
  <c r="AI102" i="2"/>
  <c r="AH102" i="2"/>
  <c r="AO102" i="2" s="1"/>
  <c r="AG102" i="2"/>
  <c r="AD102" i="2"/>
  <c r="X102" i="2"/>
  <c r="W102" i="2"/>
  <c r="T102" i="2"/>
  <c r="P102" i="2"/>
  <c r="O102" i="2"/>
  <c r="I102" i="2"/>
  <c r="H102" i="2"/>
  <c r="F102" i="2"/>
  <c r="E102" i="2"/>
  <c r="D102" i="2"/>
  <c r="C102" i="2"/>
  <c r="B102" i="2"/>
  <c r="A102" i="2"/>
  <c r="CX101" i="2"/>
  <c r="CU101" i="2"/>
  <c r="CS101" i="2"/>
  <c r="CR101" i="2"/>
  <c r="CQ101" i="2"/>
  <c r="CP101" i="2"/>
  <c r="CM101" i="2"/>
  <c r="CL101" i="2"/>
  <c r="CE101" i="2"/>
  <c r="BW101" i="2"/>
  <c r="BV101" i="2"/>
  <c r="BU101" i="2"/>
  <c r="BT101" i="2"/>
  <c r="BR101" i="2"/>
  <c r="BQ101" i="2"/>
  <c r="CW101" i="2" s="1"/>
  <c r="BP101" i="2"/>
  <c r="BO101" i="2"/>
  <c r="BN101" i="2"/>
  <c r="K101" i="19" s="1"/>
  <c r="BM101" i="2"/>
  <c r="BL101" i="2"/>
  <c r="BK101" i="2"/>
  <c r="BJ101" i="2"/>
  <c r="BI101" i="2"/>
  <c r="BH101" i="2"/>
  <c r="BG101" i="2"/>
  <c r="AQ101" i="2"/>
  <c r="AP101" i="2"/>
  <c r="AN101" i="2"/>
  <c r="AH101" i="2"/>
  <c r="AG101" i="2"/>
  <c r="W101" i="2"/>
  <c r="O101" i="2"/>
  <c r="I101" i="2"/>
  <c r="F101" i="2"/>
  <c r="E101" i="2"/>
  <c r="D101" i="2"/>
  <c r="C101" i="2"/>
  <c r="B101" i="2"/>
  <c r="A101" i="2"/>
  <c r="DA100" i="2"/>
  <c r="CX100" i="2"/>
  <c r="CW100" i="2"/>
  <c r="CV100" i="2"/>
  <c r="CU100" i="2"/>
  <c r="CT100" i="2"/>
  <c r="CR100" i="2"/>
  <c r="CP100" i="2"/>
  <c r="CO100" i="2"/>
  <c r="CN100" i="2"/>
  <c r="CM100" i="2"/>
  <c r="CL100" i="2"/>
  <c r="CH100" i="2"/>
  <c r="CE100" i="2"/>
  <c r="CI100" i="2" s="1"/>
  <c r="CC100" i="2"/>
  <c r="BX100" i="2"/>
  <c r="BW100" i="2"/>
  <c r="BV100" i="2"/>
  <c r="BU100" i="2"/>
  <c r="BT100" i="2"/>
  <c r="BQ100" i="2"/>
  <c r="CQ100" i="2" s="1"/>
  <c r="BP100" i="2"/>
  <c r="BO100" i="2"/>
  <c r="BN100" i="2"/>
  <c r="K100" i="19" s="1"/>
  <c r="BM100" i="2"/>
  <c r="BL100" i="2"/>
  <c r="BK100" i="2"/>
  <c r="BJ100" i="2"/>
  <c r="BI100" i="2"/>
  <c r="BH100" i="2"/>
  <c r="BG100" i="2"/>
  <c r="BF100" i="2"/>
  <c r="BB100" i="2"/>
  <c r="AY100" i="2"/>
  <c r="AX100" i="2"/>
  <c r="AW100" i="2"/>
  <c r="AV100" i="2"/>
  <c r="AQ100" i="2"/>
  <c r="AU100" i="2" s="1"/>
  <c r="AP100" i="2"/>
  <c r="AN100" i="2"/>
  <c r="AG100" i="2"/>
  <c r="AD100" i="2"/>
  <c r="AB100" i="2"/>
  <c r="AA100" i="2"/>
  <c r="AC100" i="2" s="1"/>
  <c r="AF100" i="2" s="1"/>
  <c r="Y100" i="2"/>
  <c r="X100" i="2"/>
  <c r="Z100" i="2" s="1"/>
  <c r="W100" i="2"/>
  <c r="T100" i="2"/>
  <c r="P100" i="2"/>
  <c r="O100" i="2"/>
  <c r="I100" i="2"/>
  <c r="F100" i="2"/>
  <c r="E100" i="2"/>
  <c r="D100" i="2"/>
  <c r="C100" i="2"/>
  <c r="B100" i="2"/>
  <c r="A100" i="2"/>
  <c r="CV99" i="2"/>
  <c r="CR99" i="2"/>
  <c r="CQ99" i="2"/>
  <c r="BQ99" i="2"/>
  <c r="BP99" i="2"/>
  <c r="BO99" i="2"/>
  <c r="BN99" i="2"/>
  <c r="K99" i="19" s="1"/>
  <c r="BM99" i="2"/>
  <c r="BL99" i="2"/>
  <c r="BK99" i="2"/>
  <c r="BJ99" i="2"/>
  <c r="BI99" i="2"/>
  <c r="BH99" i="2"/>
  <c r="BG99" i="2"/>
  <c r="BC99" i="2"/>
  <c r="BE99" i="2" s="1"/>
  <c r="AY99" i="2"/>
  <c r="AQ99" i="2"/>
  <c r="AN99" i="2"/>
  <c r="AG99" i="2"/>
  <c r="AF99" i="2"/>
  <c r="X99" i="2"/>
  <c r="W99" i="2"/>
  <c r="O99" i="2"/>
  <c r="I99" i="2"/>
  <c r="F99" i="2"/>
  <c r="E99" i="2"/>
  <c r="D99" i="2"/>
  <c r="C99" i="2"/>
  <c r="B99" i="2"/>
  <c r="A99" i="2"/>
  <c r="CX98" i="2"/>
  <c r="CV98" i="2"/>
  <c r="CU98" i="2"/>
  <c r="CS98" i="2"/>
  <c r="CR98" i="2"/>
  <c r="CQ98" i="2"/>
  <c r="CP98" i="2"/>
  <c r="CN98" i="2"/>
  <c r="CM98" i="2"/>
  <c r="CK98" i="2"/>
  <c r="CI98" i="2"/>
  <c r="CE98" i="2"/>
  <c r="CH98" i="2" s="1"/>
  <c r="BX98" i="2"/>
  <c r="BW98" i="2"/>
  <c r="BU98" i="2"/>
  <c r="BT98" i="2"/>
  <c r="BQ98" i="2"/>
  <c r="CW98" i="2" s="1"/>
  <c r="BP98" i="2"/>
  <c r="BO98" i="2"/>
  <c r="BN98" i="2"/>
  <c r="K98" i="19" s="1"/>
  <c r="BM98" i="2"/>
  <c r="BL98" i="2"/>
  <c r="BK98" i="2"/>
  <c r="BJ98" i="2"/>
  <c r="BI98" i="2"/>
  <c r="BH98" i="2"/>
  <c r="BG98" i="2"/>
  <c r="BD98" i="2"/>
  <c r="BC98" i="2"/>
  <c r="BE98" i="2" s="1"/>
  <c r="AV98" i="2"/>
  <c r="AU98" i="2"/>
  <c r="AW98" i="2" s="1"/>
  <c r="AQ98" i="2"/>
  <c r="AY98" i="2" s="1"/>
  <c r="AN98" i="2"/>
  <c r="AM98" i="2"/>
  <c r="AG98" i="2"/>
  <c r="AB98" i="2"/>
  <c r="Y98" i="2"/>
  <c r="W98" i="2"/>
  <c r="P98" i="2"/>
  <c r="O98" i="2"/>
  <c r="L98" i="2"/>
  <c r="I98" i="2"/>
  <c r="H98" i="2"/>
  <c r="G98" i="2"/>
  <c r="F98" i="2"/>
  <c r="E98" i="2"/>
  <c r="D98" i="2"/>
  <c r="C98" i="2"/>
  <c r="B98" i="2"/>
  <c r="A98" i="2"/>
  <c r="DC97" i="2"/>
  <c r="DB97" i="2"/>
  <c r="CY97" i="2"/>
  <c r="CX97" i="2"/>
  <c r="CV97" i="2"/>
  <c r="CU97" i="2"/>
  <c r="CT97" i="2"/>
  <c r="CS97" i="2"/>
  <c r="CR97" i="2"/>
  <c r="CQ97" i="2"/>
  <c r="CP97" i="2"/>
  <c r="CN97" i="2"/>
  <c r="CM97" i="2"/>
  <c r="CL97" i="2"/>
  <c r="CE97" i="2"/>
  <c r="CD97" i="2"/>
  <c r="CA97" i="2"/>
  <c r="BX97" i="2"/>
  <c r="BW97" i="2"/>
  <c r="BV97" i="2"/>
  <c r="BU97" i="2"/>
  <c r="BT97" i="2"/>
  <c r="BS97" i="2"/>
  <c r="BQ97" i="2"/>
  <c r="CW97" i="2" s="1"/>
  <c r="BP97" i="2"/>
  <c r="BO97" i="2"/>
  <c r="BN97" i="2"/>
  <c r="K97" i="19" s="1"/>
  <c r="BM97" i="2"/>
  <c r="BL97" i="2"/>
  <c r="BK97" i="2"/>
  <c r="BJ97" i="2"/>
  <c r="BI97" i="2"/>
  <c r="BH97" i="2"/>
  <c r="BG97" i="2"/>
  <c r="AY97" i="2"/>
  <c r="AX97" i="2"/>
  <c r="AU97" i="2"/>
  <c r="AW97" i="2" s="1"/>
  <c r="AQ97" i="2"/>
  <c r="AV97" i="2" s="1"/>
  <c r="AP97" i="2"/>
  <c r="AN97" i="2"/>
  <c r="AM97" i="2"/>
  <c r="AI97" i="2"/>
  <c r="AH97" i="2"/>
  <c r="AG97" i="2"/>
  <c r="AL97" i="2" s="1"/>
  <c r="AB97" i="2"/>
  <c r="Y97" i="2"/>
  <c r="X97" i="2"/>
  <c r="W97" i="2"/>
  <c r="P97" i="2"/>
  <c r="O97" i="2"/>
  <c r="L97" i="2"/>
  <c r="K97" i="2"/>
  <c r="I97" i="2"/>
  <c r="H97" i="2"/>
  <c r="G97" i="2"/>
  <c r="F97" i="2"/>
  <c r="M97" i="19" s="1"/>
  <c r="E97" i="2"/>
  <c r="D97" i="2"/>
  <c r="C97" i="2"/>
  <c r="B97" i="2"/>
  <c r="A97" i="2"/>
  <c r="CY96" i="2"/>
  <c r="CX96" i="2"/>
  <c r="CW96" i="2"/>
  <c r="CT96" i="2"/>
  <c r="CQ96" i="2"/>
  <c r="CP96" i="2"/>
  <c r="CO96" i="2"/>
  <c r="CN96" i="2"/>
  <c r="CK96" i="2"/>
  <c r="CH96" i="2"/>
  <c r="CE96" i="2"/>
  <c r="CI96" i="2" s="1"/>
  <c r="CA96" i="2"/>
  <c r="BX96" i="2"/>
  <c r="BW96" i="2"/>
  <c r="BV96" i="2"/>
  <c r="BQ96" i="2"/>
  <c r="BP96" i="2"/>
  <c r="BO96" i="2"/>
  <c r="BN96" i="2"/>
  <c r="K96" i="19" s="1"/>
  <c r="BM96" i="2"/>
  <c r="BL96" i="2"/>
  <c r="BK96" i="2"/>
  <c r="BJ96" i="2"/>
  <c r="BI96" i="2"/>
  <c r="BH96" i="2"/>
  <c r="BG96" i="2"/>
  <c r="AY96" i="2"/>
  <c r="AX96" i="2"/>
  <c r="AW96" i="2"/>
  <c r="AU96" i="2"/>
  <c r="AQ96" i="2"/>
  <c r="AV96" i="2" s="1"/>
  <c r="AN96" i="2"/>
  <c r="AM96" i="2"/>
  <c r="AG96" i="2"/>
  <c r="AP96" i="2" s="1"/>
  <c r="W96" i="2"/>
  <c r="V96" i="2"/>
  <c r="O96" i="2"/>
  <c r="L96" i="2"/>
  <c r="I96" i="2"/>
  <c r="F96" i="2"/>
  <c r="E96" i="2"/>
  <c r="D96" i="2"/>
  <c r="C96" i="2"/>
  <c r="B96" i="2"/>
  <c r="A96" i="2"/>
  <c r="DB95" i="2"/>
  <c r="CZ95" i="2"/>
  <c r="CX95" i="2"/>
  <c r="CW95" i="2"/>
  <c r="CS95" i="2"/>
  <c r="CQ95" i="2"/>
  <c r="CP95" i="2"/>
  <c r="CO95" i="2"/>
  <c r="CN95" i="2"/>
  <c r="BX95" i="2"/>
  <c r="BV95" i="2"/>
  <c r="BU95" i="2"/>
  <c r="BQ95" i="2"/>
  <c r="BP95" i="2"/>
  <c r="BO95" i="2"/>
  <c r="BN95" i="2"/>
  <c r="K95" i="19" s="1"/>
  <c r="BM95" i="2"/>
  <c r="BL95" i="2"/>
  <c r="BK95" i="2"/>
  <c r="BJ95" i="2"/>
  <c r="BI95" i="2"/>
  <c r="BH95" i="2"/>
  <c r="BG95" i="2"/>
  <c r="AQ95" i="2"/>
  <c r="AP95" i="2"/>
  <c r="AN95" i="2"/>
  <c r="AH95" i="2"/>
  <c r="AG95" i="2"/>
  <c r="AF95" i="2"/>
  <c r="AD95" i="2"/>
  <c r="AC95" i="2"/>
  <c r="AB95" i="2"/>
  <c r="AA95" i="2"/>
  <c r="Z95" i="2"/>
  <c r="Y95" i="2"/>
  <c r="X95" i="2"/>
  <c r="W95" i="2"/>
  <c r="AE95" i="2" s="1"/>
  <c r="V95" i="2"/>
  <c r="U95" i="2"/>
  <c r="T95" i="2"/>
  <c r="S95" i="2"/>
  <c r="R95" i="2"/>
  <c r="Q95" i="2"/>
  <c r="P95" i="2"/>
  <c r="O95" i="2"/>
  <c r="I95" i="2"/>
  <c r="F95" i="2"/>
  <c r="E95" i="2"/>
  <c r="D95" i="2"/>
  <c r="C95" i="2"/>
  <c r="B95" i="2"/>
  <c r="A95" i="2"/>
  <c r="CX94" i="2"/>
  <c r="CW94" i="2"/>
  <c r="CV94" i="2"/>
  <c r="CN94" i="2"/>
  <c r="CK94" i="2"/>
  <c r="BX94" i="2"/>
  <c r="BU94" i="2"/>
  <c r="BQ94" i="2"/>
  <c r="CO94" i="2" s="1"/>
  <c r="BP94" i="2"/>
  <c r="BO94" i="2"/>
  <c r="BN94" i="2"/>
  <c r="K94" i="19" s="1"/>
  <c r="BM94" i="2"/>
  <c r="BL94" i="2"/>
  <c r="BK94" i="2"/>
  <c r="BJ94" i="2"/>
  <c r="BI94" i="2"/>
  <c r="BH94" i="2"/>
  <c r="BG94" i="2"/>
  <c r="AN94" i="2"/>
  <c r="AG94" i="2"/>
  <c r="AE94" i="2"/>
  <c r="AD94" i="2"/>
  <c r="AB94" i="2"/>
  <c r="Y94" i="2"/>
  <c r="W94" i="2"/>
  <c r="T94" i="2"/>
  <c r="O94" i="2"/>
  <c r="I94" i="2"/>
  <c r="G94" i="2"/>
  <c r="F94" i="2"/>
  <c r="E94" i="2"/>
  <c r="D94" i="2"/>
  <c r="C94" i="2"/>
  <c r="B94" i="2"/>
  <c r="A94" i="2"/>
  <c r="DB93" i="2"/>
  <c r="CZ93" i="2"/>
  <c r="CY93" i="2"/>
  <c r="CV93" i="2"/>
  <c r="CU93" i="2"/>
  <c r="CT93" i="2"/>
  <c r="CS93" i="2"/>
  <c r="CR93" i="2"/>
  <c r="CQ93" i="2"/>
  <c r="CN93" i="2"/>
  <c r="CM93" i="2"/>
  <c r="CL93" i="2"/>
  <c r="CI93" i="2"/>
  <c r="CE93" i="2"/>
  <c r="CH93" i="2" s="1"/>
  <c r="CD93" i="2"/>
  <c r="CC93" i="2"/>
  <c r="BX93" i="2"/>
  <c r="CB93" i="2" s="1"/>
  <c r="BW93" i="2"/>
  <c r="BV93" i="2"/>
  <c r="BU93" i="2"/>
  <c r="BT93" i="2"/>
  <c r="BQ93" i="2"/>
  <c r="CX93" i="2" s="1"/>
  <c r="BP93" i="2"/>
  <c r="BO93" i="2"/>
  <c r="BN93" i="2"/>
  <c r="K93" i="19" s="1"/>
  <c r="BM93" i="2"/>
  <c r="BL93" i="2"/>
  <c r="BK93" i="2"/>
  <c r="BJ93" i="2"/>
  <c r="BI93" i="2"/>
  <c r="BH93" i="2"/>
  <c r="BG93" i="2"/>
  <c r="AX93" i="2"/>
  <c r="AW93" i="2"/>
  <c r="AV93" i="2"/>
  <c r="AU93" i="2"/>
  <c r="AQ93" i="2"/>
  <c r="AY93" i="2" s="1"/>
  <c r="BD93" i="2" s="1"/>
  <c r="AP93" i="2"/>
  <c r="AN93" i="2"/>
  <c r="AG93" i="2"/>
  <c r="AF93" i="2"/>
  <c r="AE93" i="2"/>
  <c r="AB93" i="2"/>
  <c r="X93" i="2"/>
  <c r="W93" i="2"/>
  <c r="T93" i="2"/>
  <c r="R93" i="2"/>
  <c r="Q93" i="2"/>
  <c r="P93" i="2"/>
  <c r="O93" i="2"/>
  <c r="L93" i="2"/>
  <c r="I93" i="2"/>
  <c r="K93" i="2" s="1"/>
  <c r="H93" i="2"/>
  <c r="G93" i="2"/>
  <c r="F93" i="2"/>
  <c r="E93" i="2"/>
  <c r="D93" i="2"/>
  <c r="C93" i="2"/>
  <c r="B93" i="2"/>
  <c r="A93" i="2"/>
  <c r="CW92" i="2"/>
  <c r="CO92" i="2"/>
  <c r="CN92" i="2"/>
  <c r="CM92" i="2"/>
  <c r="CL92" i="2"/>
  <c r="CA92" i="2"/>
  <c r="BX92" i="2"/>
  <c r="BQ92" i="2"/>
  <c r="BP92" i="2"/>
  <c r="BO92" i="2"/>
  <c r="BN92" i="2"/>
  <c r="K92" i="19" s="1"/>
  <c r="BM92" i="2"/>
  <c r="BL92" i="2"/>
  <c r="BK92" i="2"/>
  <c r="BJ92" i="2"/>
  <c r="BI92" i="2"/>
  <c r="BH92" i="2"/>
  <c r="BG92" i="2"/>
  <c r="AQ92" i="2"/>
  <c r="AP92" i="2"/>
  <c r="AN92" i="2"/>
  <c r="AM92" i="2"/>
  <c r="AK92" i="2"/>
  <c r="AI92" i="2"/>
  <c r="AH92" i="2"/>
  <c r="AG92" i="2"/>
  <c r="AL92" i="2" s="1"/>
  <c r="W92" i="2"/>
  <c r="T92" i="2"/>
  <c r="O92" i="2"/>
  <c r="L92" i="2"/>
  <c r="K92" i="2"/>
  <c r="M92" i="2" s="1"/>
  <c r="J92" i="2"/>
  <c r="AJ92" i="2" s="1"/>
  <c r="I92" i="2"/>
  <c r="G92" i="2"/>
  <c r="F92" i="2"/>
  <c r="E92" i="2"/>
  <c r="D92" i="2"/>
  <c r="C92" i="2"/>
  <c r="B92" i="2"/>
  <c r="A92" i="2"/>
  <c r="CQ91" i="2"/>
  <c r="CP91" i="2"/>
  <c r="CG91" i="2"/>
  <c r="BS91" i="2"/>
  <c r="BZ91" i="2" s="1"/>
  <c r="BR91" i="2"/>
  <c r="BQ91" i="2"/>
  <c r="BP91" i="2"/>
  <c r="BO91" i="2"/>
  <c r="BN91" i="2"/>
  <c r="K91" i="19" s="1"/>
  <c r="BM91" i="2"/>
  <c r="BL91" i="2"/>
  <c r="BK91" i="2"/>
  <c r="BJ91" i="2"/>
  <c r="BI91" i="2"/>
  <c r="BH91" i="2"/>
  <c r="BG91" i="2"/>
  <c r="AP91" i="2"/>
  <c r="AN91" i="2"/>
  <c r="AM91" i="2"/>
  <c r="AL91" i="2"/>
  <c r="AK91" i="2"/>
  <c r="AH91" i="2"/>
  <c r="AG91" i="2"/>
  <c r="AI91" i="2" s="1"/>
  <c r="AS91" i="2" s="1"/>
  <c r="AT91" i="2" s="1"/>
  <c r="AD91" i="2"/>
  <c r="W91" i="2"/>
  <c r="O91" i="2"/>
  <c r="I91" i="2"/>
  <c r="H91" i="2"/>
  <c r="G91" i="2"/>
  <c r="F91" i="2"/>
  <c r="E91" i="2"/>
  <c r="D91" i="2"/>
  <c r="C91" i="2"/>
  <c r="B91" i="2"/>
  <c r="A91" i="2"/>
  <c r="BQ90" i="2"/>
  <c r="BP90" i="2"/>
  <c r="BO90" i="2"/>
  <c r="BN90" i="2"/>
  <c r="K90" i="19" s="1"/>
  <c r="BM90" i="2"/>
  <c r="BL90" i="2"/>
  <c r="BK90" i="2"/>
  <c r="BJ90" i="2"/>
  <c r="BI90" i="2"/>
  <c r="BH90" i="2"/>
  <c r="BG90" i="2"/>
  <c r="AP90" i="2"/>
  <c r="AN90" i="2"/>
  <c r="AI90" i="2"/>
  <c r="AH90" i="2"/>
  <c r="AG90" i="2"/>
  <c r="Y90" i="2"/>
  <c r="X90" i="2"/>
  <c r="W90" i="2"/>
  <c r="AD90" i="2" s="1"/>
  <c r="Q90" i="2"/>
  <c r="P90" i="2"/>
  <c r="O90" i="2"/>
  <c r="L90" i="2"/>
  <c r="I90" i="2"/>
  <c r="K90" i="2" s="1"/>
  <c r="H90" i="2"/>
  <c r="G90" i="2"/>
  <c r="F90" i="2"/>
  <c r="E90" i="2"/>
  <c r="D90" i="2"/>
  <c r="C90" i="2"/>
  <c r="B90" i="2"/>
  <c r="A90" i="2"/>
  <c r="DB89" i="2"/>
  <c r="CV89" i="2"/>
  <c r="CU89" i="2"/>
  <c r="CT89" i="2"/>
  <c r="CS89" i="2"/>
  <c r="CN89" i="2"/>
  <c r="CM89" i="2"/>
  <c r="CL89" i="2"/>
  <c r="CK89" i="2"/>
  <c r="CE89" i="2"/>
  <c r="CD89" i="2"/>
  <c r="CC89" i="2"/>
  <c r="BX89" i="2"/>
  <c r="CZ89" i="2" s="1"/>
  <c r="BW89" i="2"/>
  <c r="BV89" i="2"/>
  <c r="BU89" i="2"/>
  <c r="BQ89" i="2"/>
  <c r="CR89" i="2" s="1"/>
  <c r="BP89" i="2"/>
  <c r="BO89" i="2"/>
  <c r="BN89" i="2"/>
  <c r="K89" i="19" s="1"/>
  <c r="BM89" i="2"/>
  <c r="BL89" i="2"/>
  <c r="BK89" i="2"/>
  <c r="BJ89" i="2"/>
  <c r="BI89" i="2"/>
  <c r="BH89" i="2"/>
  <c r="BG89" i="2"/>
  <c r="AQ89" i="2"/>
  <c r="AP89" i="2"/>
  <c r="AN89" i="2"/>
  <c r="AG89" i="2"/>
  <c r="AD89" i="2"/>
  <c r="Y89" i="2"/>
  <c r="W89" i="2"/>
  <c r="T89" i="2"/>
  <c r="O89" i="2"/>
  <c r="P89" i="2" s="1"/>
  <c r="L89" i="2"/>
  <c r="K89" i="2"/>
  <c r="I89" i="2"/>
  <c r="F89" i="2"/>
  <c r="E89" i="2"/>
  <c r="D89" i="2"/>
  <c r="C89" i="2"/>
  <c r="B89" i="2"/>
  <c r="A89" i="2"/>
  <c r="BQ88" i="2"/>
  <c r="BP88" i="2"/>
  <c r="BO88" i="2"/>
  <c r="BN88" i="2"/>
  <c r="K88" i="19" s="1"/>
  <c r="BM88" i="2"/>
  <c r="BL88" i="2"/>
  <c r="BK88" i="2"/>
  <c r="BJ88" i="2"/>
  <c r="BI88" i="2"/>
  <c r="BH88" i="2"/>
  <c r="BG88" i="2"/>
  <c r="AN88" i="2"/>
  <c r="AM88" i="2"/>
  <c r="AL88" i="2"/>
  <c r="AK88" i="2"/>
  <c r="AG88" i="2"/>
  <c r="AI88" i="2" s="1"/>
  <c r="AD88" i="2"/>
  <c r="W88" i="2"/>
  <c r="T88" i="2"/>
  <c r="O88" i="2"/>
  <c r="L88" i="2"/>
  <c r="I88" i="2"/>
  <c r="F88" i="2"/>
  <c r="E88" i="2"/>
  <c r="D88" i="2"/>
  <c r="C88" i="2"/>
  <c r="B88" i="2"/>
  <c r="A88" i="2"/>
  <c r="CT87" i="2"/>
  <c r="CS87" i="2"/>
  <c r="CR87" i="2"/>
  <c r="CQ87" i="2"/>
  <c r="CL87" i="2"/>
  <c r="BU87" i="2"/>
  <c r="BQ87" i="2"/>
  <c r="BP87" i="2"/>
  <c r="BO87" i="2"/>
  <c r="BN87" i="2"/>
  <c r="K87" i="19" s="1"/>
  <c r="BM87" i="2"/>
  <c r="BL87" i="2"/>
  <c r="BK87" i="2"/>
  <c r="BJ87" i="2"/>
  <c r="BI87" i="2"/>
  <c r="BH87" i="2"/>
  <c r="BG87" i="2"/>
  <c r="BD87" i="2"/>
  <c r="AV87" i="2"/>
  <c r="AQ87" i="2"/>
  <c r="AY87" i="2" s="1"/>
  <c r="AN87" i="2"/>
  <c r="AH87" i="2"/>
  <c r="AG87" i="2"/>
  <c r="W87" i="2"/>
  <c r="R87" i="2"/>
  <c r="P87" i="2"/>
  <c r="O87" i="2"/>
  <c r="L87" i="2"/>
  <c r="I87" i="2"/>
  <c r="K87" i="2" s="1"/>
  <c r="H87" i="2"/>
  <c r="Q87" i="2" s="1"/>
  <c r="G87" i="2"/>
  <c r="F87" i="2"/>
  <c r="E87" i="2"/>
  <c r="D87" i="2"/>
  <c r="C87" i="2"/>
  <c r="B87" i="2"/>
  <c r="A87" i="2"/>
  <c r="DB86" i="2"/>
  <c r="CN86" i="2"/>
  <c r="CM86" i="2"/>
  <c r="CL86" i="2"/>
  <c r="BX86" i="2"/>
  <c r="BW86" i="2"/>
  <c r="BV86" i="2"/>
  <c r="BQ86" i="2"/>
  <c r="CV86" i="2" s="1"/>
  <c r="BP86" i="2"/>
  <c r="BO86" i="2"/>
  <c r="BN86" i="2"/>
  <c r="K86" i="19" s="1"/>
  <c r="BM86" i="2"/>
  <c r="BL86" i="2"/>
  <c r="BK86" i="2"/>
  <c r="BJ86" i="2"/>
  <c r="BI86" i="2"/>
  <c r="BH86" i="2"/>
  <c r="BG86" i="2"/>
  <c r="AS86" i="2"/>
  <c r="AT86" i="2" s="1"/>
  <c r="AP86" i="2"/>
  <c r="AN86" i="2"/>
  <c r="AM86" i="2"/>
  <c r="AL86" i="2"/>
  <c r="AK86" i="2"/>
  <c r="AJ86" i="2"/>
  <c r="AI86" i="2"/>
  <c r="AH86" i="2"/>
  <c r="AG86" i="2"/>
  <c r="AB86" i="2"/>
  <c r="AA86" i="2"/>
  <c r="AC86" i="2" s="1"/>
  <c r="W86" i="2"/>
  <c r="Y86" i="2" s="1"/>
  <c r="T86" i="2"/>
  <c r="R86" i="2"/>
  <c r="O86" i="2"/>
  <c r="Q86" i="2" s="1"/>
  <c r="S86" i="2" s="1"/>
  <c r="M86" i="2"/>
  <c r="L86" i="2"/>
  <c r="K86" i="2"/>
  <c r="J86" i="2"/>
  <c r="I86" i="2"/>
  <c r="H86" i="2"/>
  <c r="G86" i="2"/>
  <c r="F86" i="2"/>
  <c r="E86" i="2"/>
  <c r="D86" i="2"/>
  <c r="C86" i="2"/>
  <c r="B86" i="2"/>
  <c r="A86" i="2"/>
  <c r="CW85" i="2"/>
  <c r="BR85" i="2"/>
  <c r="BQ85" i="2"/>
  <c r="BP85" i="2"/>
  <c r="BO85" i="2"/>
  <c r="BN85" i="2"/>
  <c r="K85" i="19" s="1"/>
  <c r="BM85" i="2"/>
  <c r="BL85" i="2"/>
  <c r="BK85" i="2"/>
  <c r="BJ85" i="2"/>
  <c r="BI85" i="2"/>
  <c r="BH85" i="2"/>
  <c r="BG85" i="2"/>
  <c r="AP85" i="2"/>
  <c r="AN85" i="2"/>
  <c r="AM85" i="2"/>
  <c r="AL85" i="2"/>
  <c r="AK85" i="2"/>
  <c r="AH85" i="2"/>
  <c r="AO85" i="2" s="1"/>
  <c r="AG85" i="2"/>
  <c r="W85" i="2"/>
  <c r="P85" i="2"/>
  <c r="O85" i="2"/>
  <c r="I85" i="2"/>
  <c r="F85" i="2"/>
  <c r="E85" i="2"/>
  <c r="D85" i="2"/>
  <c r="C85" i="2"/>
  <c r="B85" i="2"/>
  <c r="A85" i="2"/>
  <c r="CU84" i="2"/>
  <c r="CT84" i="2"/>
  <c r="CS84" i="2"/>
  <c r="CR84" i="2"/>
  <c r="CM84" i="2"/>
  <c r="CL84" i="2"/>
  <c r="CE84" i="2"/>
  <c r="BW84" i="2"/>
  <c r="BV84" i="2"/>
  <c r="BU84" i="2"/>
  <c r="BT84" i="2"/>
  <c r="BQ84" i="2"/>
  <c r="CQ84" i="2" s="1"/>
  <c r="BP84" i="2"/>
  <c r="BO84" i="2"/>
  <c r="BN84" i="2"/>
  <c r="K84" i="19" s="1"/>
  <c r="BM84" i="2"/>
  <c r="BL84" i="2"/>
  <c r="BK84" i="2"/>
  <c r="BJ84" i="2"/>
  <c r="BI84" i="2"/>
  <c r="BH84" i="2"/>
  <c r="BG84" i="2"/>
  <c r="BD84" i="2"/>
  <c r="AY84" i="2"/>
  <c r="AX84" i="2"/>
  <c r="AQ84" i="2"/>
  <c r="AU84" i="2" s="1"/>
  <c r="AW84" i="2" s="1"/>
  <c r="AP84" i="2"/>
  <c r="AN84" i="2"/>
  <c r="AO84" i="2" s="1"/>
  <c r="AI84" i="2"/>
  <c r="AH84" i="2"/>
  <c r="AG84" i="2"/>
  <c r="AD84" i="2"/>
  <c r="Y84" i="2"/>
  <c r="X84" i="2"/>
  <c r="W84" i="2"/>
  <c r="T84" i="2"/>
  <c r="Q84" i="2"/>
  <c r="S84" i="2" s="1"/>
  <c r="V84" i="2" s="1"/>
  <c r="P84" i="2"/>
  <c r="O84" i="2"/>
  <c r="L84" i="2"/>
  <c r="K84" i="2"/>
  <c r="I84" i="2"/>
  <c r="H84" i="2"/>
  <c r="R84" i="2" s="1"/>
  <c r="F84" i="2"/>
  <c r="E84" i="2"/>
  <c r="D84" i="2"/>
  <c r="C84" i="2"/>
  <c r="B84" i="2"/>
  <c r="A84" i="2"/>
  <c r="CV83" i="2"/>
  <c r="CU83" i="2"/>
  <c r="CP83" i="2"/>
  <c r="CO83" i="2"/>
  <c r="CE83" i="2"/>
  <c r="BQ83" i="2"/>
  <c r="BP83" i="2"/>
  <c r="BO83" i="2"/>
  <c r="BN83" i="2"/>
  <c r="K83" i="19" s="1"/>
  <c r="BM83" i="2"/>
  <c r="BL83" i="2"/>
  <c r="BK83" i="2"/>
  <c r="BJ83" i="2"/>
  <c r="BI83" i="2"/>
  <c r="BH83" i="2"/>
  <c r="BG83" i="2"/>
  <c r="AQ83" i="2"/>
  <c r="AN83" i="2"/>
  <c r="AL83" i="2"/>
  <c r="AK83" i="2"/>
  <c r="AI83" i="2"/>
  <c r="AG83" i="2"/>
  <c r="AP83" i="2" s="1"/>
  <c r="AF83" i="2"/>
  <c r="AD83" i="2"/>
  <c r="AC83" i="2"/>
  <c r="AB83" i="2"/>
  <c r="AA83" i="2"/>
  <c r="X83" i="2"/>
  <c r="W83" i="2"/>
  <c r="Z83" i="2" s="1"/>
  <c r="V83" i="2"/>
  <c r="U83" i="2"/>
  <c r="T83" i="2"/>
  <c r="S83" i="2"/>
  <c r="P83" i="2"/>
  <c r="O83" i="2"/>
  <c r="R83" i="2" s="1"/>
  <c r="I83" i="2"/>
  <c r="F83" i="2"/>
  <c r="E83" i="2"/>
  <c r="D83" i="2"/>
  <c r="C83" i="2"/>
  <c r="B83" i="2"/>
  <c r="A83" i="2"/>
  <c r="CZ82" i="2"/>
  <c r="CY82" i="2"/>
  <c r="CX82" i="2"/>
  <c r="CV82" i="2"/>
  <c r="CU82" i="2"/>
  <c r="CT82" i="2"/>
  <c r="CS82" i="2"/>
  <c r="CR82" i="2"/>
  <c r="CQ82" i="2"/>
  <c r="CP82" i="2"/>
  <c r="CN82" i="2"/>
  <c r="CM82" i="2"/>
  <c r="CL82" i="2"/>
  <c r="CK82" i="2"/>
  <c r="CJ82" i="2"/>
  <c r="CI82" i="2"/>
  <c r="CH82" i="2"/>
  <c r="CE82" i="2"/>
  <c r="CD82" i="2"/>
  <c r="CC82" i="2"/>
  <c r="CB82" i="2"/>
  <c r="CA82" i="2"/>
  <c r="BX82" i="2"/>
  <c r="DB82" i="2" s="1"/>
  <c r="BW82" i="2"/>
  <c r="BV82" i="2"/>
  <c r="BU82" i="2"/>
  <c r="BT82" i="2"/>
  <c r="BQ82" i="2"/>
  <c r="CW82" i="2" s="1"/>
  <c r="BP82" i="2"/>
  <c r="BO82" i="2"/>
  <c r="BM82" i="2"/>
  <c r="BL82" i="2"/>
  <c r="BK82" i="2"/>
  <c r="BJ82" i="2"/>
  <c r="BI82" i="2"/>
  <c r="BH82" i="2"/>
  <c r="BG82" i="2"/>
  <c r="AV82" i="2"/>
  <c r="AU82" i="2"/>
  <c r="AW82" i="2" s="1"/>
  <c r="AQ82" i="2"/>
  <c r="AY82" i="2" s="1"/>
  <c r="AN82" i="2"/>
  <c r="AG82" i="2"/>
  <c r="AD82" i="2"/>
  <c r="Y82" i="2"/>
  <c r="X82" i="2"/>
  <c r="W82" i="2"/>
  <c r="O82" i="2"/>
  <c r="I82" i="2"/>
  <c r="H82" i="2"/>
  <c r="G82" i="2"/>
  <c r="F82" i="2"/>
  <c r="E82" i="2"/>
  <c r="D82" i="2"/>
  <c r="C82" i="2"/>
  <c r="B82" i="2"/>
  <c r="A82" i="2"/>
  <c r="CV81" i="2"/>
  <c r="CU81" i="2"/>
  <c r="CT81" i="2"/>
  <c r="CS81" i="2"/>
  <c r="CN81" i="2"/>
  <c r="CM81" i="2"/>
  <c r="CL81" i="2"/>
  <c r="CE81" i="2"/>
  <c r="BX81" i="2"/>
  <c r="BW81" i="2"/>
  <c r="BV81" i="2"/>
  <c r="BU81" i="2"/>
  <c r="BQ81" i="2"/>
  <c r="CR81" i="2" s="1"/>
  <c r="BP81" i="2"/>
  <c r="BO81" i="2"/>
  <c r="BN81" i="2"/>
  <c r="K81" i="19" s="1"/>
  <c r="BM81" i="2"/>
  <c r="BL81" i="2"/>
  <c r="BK81" i="2"/>
  <c r="BJ81" i="2"/>
  <c r="BI81" i="2"/>
  <c r="BH81" i="2"/>
  <c r="BG81" i="2"/>
  <c r="AQ81" i="2"/>
  <c r="AP81" i="2"/>
  <c r="AN81" i="2"/>
  <c r="AG81" i="2"/>
  <c r="AD81" i="2"/>
  <c r="AC81" i="2"/>
  <c r="AB81" i="2"/>
  <c r="AA81" i="2"/>
  <c r="Z81" i="2"/>
  <c r="Y81" i="2"/>
  <c r="W81" i="2"/>
  <c r="AF81" i="2" s="1"/>
  <c r="T81" i="2"/>
  <c r="O81" i="2"/>
  <c r="P81" i="2" s="1"/>
  <c r="L81" i="2"/>
  <c r="I81" i="2"/>
  <c r="K81" i="2" s="1"/>
  <c r="F81" i="2"/>
  <c r="E81" i="2"/>
  <c r="D81" i="2"/>
  <c r="C81" i="2"/>
  <c r="B81" i="2"/>
  <c r="A81" i="2"/>
  <c r="CQ80" i="2"/>
  <c r="CF80" i="2"/>
  <c r="BR80" i="2"/>
  <c r="BY80" i="2" s="1"/>
  <c r="BQ80" i="2"/>
  <c r="CV80" i="2" s="1"/>
  <c r="BP80" i="2"/>
  <c r="BO80" i="2"/>
  <c r="BN80" i="2"/>
  <c r="K80" i="19" s="1"/>
  <c r="BM80" i="2"/>
  <c r="BL80" i="2"/>
  <c r="BK80" i="2"/>
  <c r="BJ80" i="2"/>
  <c r="BI80" i="2"/>
  <c r="BH80" i="2"/>
  <c r="BG80" i="2"/>
  <c r="AN80" i="2"/>
  <c r="AM80" i="2"/>
  <c r="AL80" i="2"/>
  <c r="AK80" i="2"/>
  <c r="AH80" i="2"/>
  <c r="AG80" i="2"/>
  <c r="AI80" i="2" s="1"/>
  <c r="AJ80" i="2" s="1"/>
  <c r="AE80" i="2"/>
  <c r="AD80" i="2"/>
  <c r="AC80" i="2"/>
  <c r="AB80" i="2"/>
  <c r="W80" i="2"/>
  <c r="AA80" i="2" s="1"/>
  <c r="T80" i="2"/>
  <c r="O80" i="2"/>
  <c r="L80" i="2"/>
  <c r="I80" i="2"/>
  <c r="F80" i="2"/>
  <c r="E80" i="2"/>
  <c r="D80" i="2"/>
  <c r="C80" i="2"/>
  <c r="B80" i="2"/>
  <c r="A80" i="2"/>
  <c r="CW79" i="2"/>
  <c r="CV79" i="2"/>
  <c r="CU79" i="2"/>
  <c r="CT79" i="2"/>
  <c r="CR79" i="2"/>
  <c r="CQ79" i="2"/>
  <c r="CO79" i="2"/>
  <c r="CN79" i="2"/>
  <c r="CM79" i="2"/>
  <c r="CL79" i="2"/>
  <c r="CE79" i="2"/>
  <c r="BX79" i="2"/>
  <c r="BU79" i="2"/>
  <c r="BQ79" i="2"/>
  <c r="BP79" i="2"/>
  <c r="BO79" i="2"/>
  <c r="BN79" i="2"/>
  <c r="K79" i="19" s="1"/>
  <c r="BM79" i="2"/>
  <c r="BL79" i="2"/>
  <c r="BK79" i="2"/>
  <c r="BJ79" i="2"/>
  <c r="BI79" i="2"/>
  <c r="BH79" i="2"/>
  <c r="BG79" i="2"/>
  <c r="BD79" i="2"/>
  <c r="AY79" i="2"/>
  <c r="AV79" i="2"/>
  <c r="AQ79" i="2"/>
  <c r="AN79" i="2"/>
  <c r="AG79" i="2"/>
  <c r="AE79" i="2"/>
  <c r="AC79" i="2"/>
  <c r="AB79" i="2"/>
  <c r="AA79" i="2"/>
  <c r="W79" i="2"/>
  <c r="AD79" i="2" s="1"/>
  <c r="T79" i="2"/>
  <c r="R79" i="2"/>
  <c r="O79" i="2"/>
  <c r="L79" i="2"/>
  <c r="J79" i="2"/>
  <c r="I79" i="2"/>
  <c r="K79" i="2" s="1"/>
  <c r="M79" i="2" s="1"/>
  <c r="H79" i="2"/>
  <c r="G79" i="2"/>
  <c r="F79" i="2"/>
  <c r="E79" i="2"/>
  <c r="D79" i="2"/>
  <c r="C79" i="2"/>
  <c r="B79" i="2"/>
  <c r="A79" i="2"/>
  <c r="CW78" i="2"/>
  <c r="CV78" i="2"/>
  <c r="CU78" i="2"/>
  <c r="CQ78" i="2"/>
  <c r="CP78" i="2"/>
  <c r="CO78" i="2"/>
  <c r="CN78" i="2"/>
  <c r="CM78" i="2"/>
  <c r="CL78" i="2"/>
  <c r="CE78" i="2"/>
  <c r="CB78" i="2"/>
  <c r="BX78" i="2"/>
  <c r="BQ78" i="2"/>
  <c r="BP78" i="2"/>
  <c r="BO78" i="2"/>
  <c r="BN78" i="2"/>
  <c r="K78" i="19" s="1"/>
  <c r="BM78" i="2"/>
  <c r="BL78" i="2"/>
  <c r="BK78" i="2"/>
  <c r="BJ78" i="2"/>
  <c r="BI78" i="2"/>
  <c r="BH78" i="2"/>
  <c r="BG78" i="2"/>
  <c r="AV78" i="2"/>
  <c r="AQ78" i="2"/>
  <c r="AY78" i="2" s="1"/>
  <c r="BD78" i="2" s="1"/>
  <c r="AN78" i="2"/>
  <c r="AH78" i="2"/>
  <c r="AG78" i="2"/>
  <c r="W78" i="2"/>
  <c r="R78" i="2"/>
  <c r="O78" i="2"/>
  <c r="L78" i="2"/>
  <c r="I78" i="2"/>
  <c r="K78" i="2" s="1"/>
  <c r="H78" i="2"/>
  <c r="G78" i="2"/>
  <c r="F78" i="2"/>
  <c r="E78" i="2"/>
  <c r="D78" i="2"/>
  <c r="C78" i="2"/>
  <c r="B78" i="2"/>
  <c r="A78" i="2"/>
  <c r="CU77" i="2"/>
  <c r="CM77" i="2"/>
  <c r="CL77" i="2"/>
  <c r="CE77" i="2"/>
  <c r="BW77" i="2"/>
  <c r="BV77" i="2"/>
  <c r="BQ77" i="2"/>
  <c r="CV77" i="2" s="1"/>
  <c r="BP77" i="2"/>
  <c r="BO77" i="2"/>
  <c r="BN77" i="2"/>
  <c r="K77" i="19" s="1"/>
  <c r="BM77" i="2"/>
  <c r="BL77" i="2"/>
  <c r="BK77" i="2"/>
  <c r="BJ77" i="2"/>
  <c r="BI77" i="2"/>
  <c r="BH77" i="2"/>
  <c r="BG77" i="2"/>
  <c r="AY77" i="2"/>
  <c r="AX77" i="2"/>
  <c r="AQ77" i="2"/>
  <c r="AP77" i="2"/>
  <c r="AN77" i="2"/>
  <c r="AM77" i="2"/>
  <c r="AL77" i="2"/>
  <c r="AK77" i="2"/>
  <c r="AI77" i="2"/>
  <c r="AH77" i="2"/>
  <c r="AG77" i="2"/>
  <c r="AD77" i="2"/>
  <c r="AC77" i="2"/>
  <c r="AB77" i="2"/>
  <c r="AA77" i="2"/>
  <c r="Z77" i="2"/>
  <c r="W77" i="2"/>
  <c r="Y77" i="2" s="1"/>
  <c r="T77" i="2"/>
  <c r="O77" i="2"/>
  <c r="L77" i="2"/>
  <c r="K77" i="2"/>
  <c r="I77" i="2"/>
  <c r="F77" i="2"/>
  <c r="E77" i="2"/>
  <c r="D77" i="2"/>
  <c r="C77" i="2"/>
  <c r="B77" i="2"/>
  <c r="A77" i="2"/>
  <c r="CR76" i="2"/>
  <c r="CQ76" i="2"/>
  <c r="BQ76" i="2"/>
  <c r="BP76" i="2"/>
  <c r="BO76" i="2"/>
  <c r="BN76" i="2"/>
  <c r="K76" i="19" s="1"/>
  <c r="BM76" i="2"/>
  <c r="BL76" i="2"/>
  <c r="BK76" i="2"/>
  <c r="BJ76" i="2"/>
  <c r="BI76" i="2"/>
  <c r="BH76" i="2"/>
  <c r="BG76" i="2"/>
  <c r="AN76" i="2"/>
  <c r="AM76" i="2"/>
  <c r="AL76" i="2"/>
  <c r="AK76" i="2"/>
  <c r="AG76" i="2"/>
  <c r="AD76" i="2"/>
  <c r="W76" i="2"/>
  <c r="O76" i="2"/>
  <c r="I76" i="2"/>
  <c r="H76" i="2"/>
  <c r="F76" i="2"/>
  <c r="E76" i="2"/>
  <c r="D76" i="2"/>
  <c r="C76" i="2"/>
  <c r="B76" i="2"/>
  <c r="A76" i="2"/>
  <c r="CU75" i="2"/>
  <c r="CT75" i="2"/>
  <c r="CS75" i="2"/>
  <c r="CR75" i="2"/>
  <c r="CM75" i="2"/>
  <c r="CL75" i="2"/>
  <c r="CE75" i="2"/>
  <c r="BU75" i="2"/>
  <c r="BQ75" i="2"/>
  <c r="CQ75" i="2" s="1"/>
  <c r="BP75" i="2"/>
  <c r="BO75" i="2"/>
  <c r="BM75" i="2"/>
  <c r="BL75" i="2"/>
  <c r="BK75" i="2"/>
  <c r="BJ75" i="2"/>
  <c r="BI75" i="2"/>
  <c r="BH75" i="2"/>
  <c r="BG75" i="2"/>
  <c r="AV75" i="2"/>
  <c r="AQ75" i="2"/>
  <c r="AY75" i="2" s="1"/>
  <c r="AN75" i="2"/>
  <c r="AG75" i="2"/>
  <c r="AF75" i="2"/>
  <c r="AC75" i="2"/>
  <c r="AB75" i="2"/>
  <c r="AA75" i="2"/>
  <c r="Z75" i="2"/>
  <c r="Y75" i="2"/>
  <c r="X75" i="2"/>
  <c r="W75" i="2"/>
  <c r="AE75" i="2" s="1"/>
  <c r="T75" i="2"/>
  <c r="Q75" i="2"/>
  <c r="P75" i="2"/>
  <c r="O75" i="2"/>
  <c r="L75" i="2"/>
  <c r="K75" i="2"/>
  <c r="M75" i="2" s="1"/>
  <c r="J75" i="2"/>
  <c r="I75" i="2"/>
  <c r="H75" i="2"/>
  <c r="R75" i="2" s="1"/>
  <c r="G75" i="2"/>
  <c r="F75" i="2"/>
  <c r="E75" i="2"/>
  <c r="D75" i="2"/>
  <c r="C75" i="2"/>
  <c r="B75" i="2"/>
  <c r="A75" i="2"/>
  <c r="CU74" i="2"/>
  <c r="CP74" i="2"/>
  <c r="CO74" i="2"/>
  <c r="CN74" i="2"/>
  <c r="CE74" i="2"/>
  <c r="CI74" i="2" s="1"/>
  <c r="BZ74" i="2"/>
  <c r="BY74" i="2"/>
  <c r="BX74" i="2"/>
  <c r="BR74" i="2"/>
  <c r="AR74" i="2" s="1"/>
  <c r="AZ74" i="2" s="1"/>
  <c r="BQ74" i="2"/>
  <c r="CV74" i="2" s="1"/>
  <c r="BP74" i="2"/>
  <c r="BO74" i="2"/>
  <c r="BM74" i="2"/>
  <c r="BL74" i="2"/>
  <c r="BK74" i="2"/>
  <c r="BJ74" i="2"/>
  <c r="BI74" i="2"/>
  <c r="BH74" i="2"/>
  <c r="BG74" i="2"/>
  <c r="AS74" i="2"/>
  <c r="AT74" i="2" s="1"/>
  <c r="AN74" i="2"/>
  <c r="AL74" i="2"/>
  <c r="BN74" i="2" s="1"/>
  <c r="K74" i="19" s="1"/>
  <c r="AK74" i="2"/>
  <c r="AM74" i="2" s="1"/>
  <c r="AP74" i="2" s="1"/>
  <c r="AJ74" i="2"/>
  <c r="AI74" i="2"/>
  <c r="BS74" i="2" s="1"/>
  <c r="CG74" i="2" s="1"/>
  <c r="AH74" i="2"/>
  <c r="AG74" i="2"/>
  <c r="AE74" i="2"/>
  <c r="AD74" i="2"/>
  <c r="AC74" i="2"/>
  <c r="X74" i="2"/>
  <c r="W74" i="2"/>
  <c r="AF74" i="2" s="1"/>
  <c r="T74" i="2"/>
  <c r="P74" i="2"/>
  <c r="O74" i="2"/>
  <c r="K74" i="2"/>
  <c r="N74" i="2" s="1"/>
  <c r="I74" i="2"/>
  <c r="H74" i="2"/>
  <c r="G74" i="2"/>
  <c r="M74" i="2" s="1"/>
  <c r="F74" i="2"/>
  <c r="L74" i="2" s="1"/>
  <c r="E74" i="2"/>
  <c r="D74" i="2"/>
  <c r="C74" i="2"/>
  <c r="B74" i="2"/>
  <c r="A74" i="2"/>
  <c r="DC73" i="2"/>
  <c r="CX73" i="2"/>
  <c r="CU73" i="2"/>
  <c r="CT73" i="2"/>
  <c r="CS73" i="2"/>
  <c r="CR73" i="2"/>
  <c r="CQ73" i="2"/>
  <c r="CP73" i="2"/>
  <c r="CM73" i="2"/>
  <c r="CL73" i="2"/>
  <c r="CI73" i="2"/>
  <c r="CH73" i="2"/>
  <c r="CE73" i="2"/>
  <c r="BW73" i="2"/>
  <c r="BV73" i="2"/>
  <c r="BU73" i="2"/>
  <c r="BT73" i="2"/>
  <c r="BQ73" i="2"/>
  <c r="CW73" i="2" s="1"/>
  <c r="BP73" i="2"/>
  <c r="BO73" i="2"/>
  <c r="BN73" i="2"/>
  <c r="K73" i="19" s="1"/>
  <c r="BM73" i="2"/>
  <c r="BL73" i="2"/>
  <c r="BK73" i="2"/>
  <c r="BJ73" i="2"/>
  <c r="BI73" i="2"/>
  <c r="BH73" i="2"/>
  <c r="BG73" i="2"/>
  <c r="AY73" i="2"/>
  <c r="BA73" i="2" s="1"/>
  <c r="AX73" i="2"/>
  <c r="AW73" i="2"/>
  <c r="AV73" i="2"/>
  <c r="AU73" i="2"/>
  <c r="AQ73" i="2"/>
  <c r="AN73" i="2"/>
  <c r="AO73" i="2" s="1"/>
  <c r="AM73" i="2"/>
  <c r="AL73" i="2"/>
  <c r="AI73" i="2"/>
  <c r="AH73" i="2"/>
  <c r="AS73" i="2" s="1"/>
  <c r="AT73" i="2" s="1"/>
  <c r="AG73" i="2"/>
  <c r="AP73" i="2" s="1"/>
  <c r="AE73" i="2"/>
  <c r="AD73" i="2"/>
  <c r="AA73" i="2"/>
  <c r="Z73" i="2"/>
  <c r="Y73" i="2"/>
  <c r="X73" i="2"/>
  <c r="W73" i="2"/>
  <c r="AF73" i="2" s="1"/>
  <c r="S73" i="2"/>
  <c r="R73" i="2"/>
  <c r="Q73" i="2"/>
  <c r="P73" i="2"/>
  <c r="O73" i="2"/>
  <c r="V73" i="2" s="1"/>
  <c r="I73" i="2"/>
  <c r="H73" i="2"/>
  <c r="G73" i="2"/>
  <c r="F73" i="2"/>
  <c r="E73" i="2"/>
  <c r="D73" i="2"/>
  <c r="C73" i="2"/>
  <c r="B73" i="2"/>
  <c r="A73" i="2"/>
  <c r="DC72" i="2"/>
  <c r="DB72" i="2"/>
  <c r="CT72" i="2"/>
  <c r="CS72" i="2"/>
  <c r="CP72" i="2"/>
  <c r="CO72" i="2"/>
  <c r="CH72" i="2"/>
  <c r="CF72" i="2"/>
  <c r="CE72" i="2"/>
  <c r="CI72" i="2" s="1"/>
  <c r="BX72" i="2"/>
  <c r="BW72" i="2"/>
  <c r="BV72" i="2"/>
  <c r="BU72" i="2"/>
  <c r="BQ72" i="2"/>
  <c r="CV72" i="2" s="1"/>
  <c r="BP72" i="2"/>
  <c r="BO72" i="2"/>
  <c r="BN72" i="2"/>
  <c r="K72" i="19" s="1"/>
  <c r="BM72" i="2"/>
  <c r="BL72" i="2"/>
  <c r="BK72" i="2"/>
  <c r="BJ72" i="2"/>
  <c r="BI72" i="2"/>
  <c r="BH72" i="2"/>
  <c r="BG72" i="2"/>
  <c r="BB72" i="2"/>
  <c r="AQ72" i="2"/>
  <c r="AY72" i="2" s="1"/>
  <c r="AN72" i="2"/>
  <c r="AK72" i="2"/>
  <c r="AI72" i="2"/>
  <c r="AS72" i="2" s="1"/>
  <c r="AT72" i="2" s="1"/>
  <c r="AH72" i="2"/>
  <c r="BR72" i="2" s="1"/>
  <c r="BY72" i="2" s="1"/>
  <c r="AG72" i="2"/>
  <c r="AM72" i="2" s="1"/>
  <c r="AF72" i="2"/>
  <c r="AD72" i="2"/>
  <c r="AC72" i="2"/>
  <c r="AB72" i="2"/>
  <c r="AA72" i="2"/>
  <c r="Z72" i="2"/>
  <c r="Y72" i="2"/>
  <c r="X72" i="2"/>
  <c r="W72" i="2"/>
  <c r="AE72" i="2" s="1"/>
  <c r="V72" i="2"/>
  <c r="U72" i="2"/>
  <c r="T72" i="2"/>
  <c r="S72" i="2"/>
  <c r="R72" i="2"/>
  <c r="Q72" i="2"/>
  <c r="P72" i="2"/>
  <c r="O72" i="2"/>
  <c r="L72" i="2"/>
  <c r="K72" i="2"/>
  <c r="I72" i="2"/>
  <c r="F72" i="2"/>
  <c r="N72" i="2" s="1"/>
  <c r="E72" i="2"/>
  <c r="D72" i="2"/>
  <c r="C72" i="2"/>
  <c r="B72" i="2"/>
  <c r="A72" i="2"/>
  <c r="CX71" i="2"/>
  <c r="CS71" i="2"/>
  <c r="CR71" i="2"/>
  <c r="CQ71" i="2"/>
  <c r="CP71" i="2"/>
  <c r="CO71" i="2"/>
  <c r="CN71" i="2"/>
  <c r="BX71" i="2"/>
  <c r="BU71" i="2"/>
  <c r="BT71" i="2"/>
  <c r="BQ71" i="2"/>
  <c r="CV71" i="2" s="1"/>
  <c r="BP71" i="2"/>
  <c r="BO71" i="2"/>
  <c r="BM71" i="2"/>
  <c r="BL71" i="2"/>
  <c r="BK71" i="2"/>
  <c r="BJ71" i="2"/>
  <c r="BI71" i="2"/>
  <c r="BH71" i="2"/>
  <c r="BG71" i="2"/>
  <c r="AN71" i="2"/>
  <c r="AG71" i="2"/>
  <c r="W71" i="2"/>
  <c r="O71" i="2"/>
  <c r="L71" i="2"/>
  <c r="I71" i="2"/>
  <c r="H71" i="2"/>
  <c r="G71" i="2"/>
  <c r="F71" i="2"/>
  <c r="E71" i="2"/>
  <c r="D71" i="2"/>
  <c r="C71" i="2"/>
  <c r="B71" i="2"/>
  <c r="A71" i="2"/>
  <c r="CZ70" i="2"/>
  <c r="CY70" i="2"/>
  <c r="CV70" i="2"/>
  <c r="CU70" i="2"/>
  <c r="CT70" i="2"/>
  <c r="CS70" i="2"/>
  <c r="CR70" i="2"/>
  <c r="CQ70" i="2"/>
  <c r="CN70" i="2"/>
  <c r="CM70" i="2"/>
  <c r="CL70" i="2"/>
  <c r="CK70" i="2"/>
  <c r="CI70" i="2"/>
  <c r="CE70" i="2"/>
  <c r="CH70" i="2" s="1"/>
  <c r="CD70" i="2"/>
  <c r="CC70" i="2"/>
  <c r="CB70" i="2"/>
  <c r="CA70" i="2"/>
  <c r="BX70" i="2"/>
  <c r="CJ70" i="2" s="1"/>
  <c r="BW70" i="2"/>
  <c r="BV70" i="2"/>
  <c r="BU70" i="2"/>
  <c r="BT70" i="2"/>
  <c r="BQ70" i="2"/>
  <c r="CX70" i="2" s="1"/>
  <c r="BP70" i="2"/>
  <c r="BO70" i="2"/>
  <c r="BM70" i="2"/>
  <c r="BL70" i="2"/>
  <c r="BK70" i="2"/>
  <c r="BJ70" i="2"/>
  <c r="BI70" i="2"/>
  <c r="BH70" i="2"/>
  <c r="BG70" i="2"/>
  <c r="AY70" i="2"/>
  <c r="AQ70" i="2"/>
  <c r="AX70" i="2" s="1"/>
  <c r="AP70" i="2"/>
  <c r="AN70" i="2"/>
  <c r="AG70" i="2"/>
  <c r="W70" i="2"/>
  <c r="T70" i="2"/>
  <c r="P70" i="2"/>
  <c r="O70" i="2"/>
  <c r="L70" i="2"/>
  <c r="I70" i="2"/>
  <c r="K70" i="2" s="1"/>
  <c r="H70" i="2"/>
  <c r="R70" i="2" s="1"/>
  <c r="G70" i="2"/>
  <c r="F70" i="2"/>
  <c r="E70" i="2"/>
  <c r="D70" i="2"/>
  <c r="C70" i="2"/>
  <c r="B70" i="2"/>
  <c r="A70" i="2"/>
  <c r="CX69" i="2"/>
  <c r="CV69" i="2"/>
  <c r="CU69" i="2"/>
  <c r="CT69" i="2"/>
  <c r="CS69" i="2"/>
  <c r="CR69" i="2"/>
  <c r="CQ69" i="2"/>
  <c r="CP69" i="2"/>
  <c r="CN69" i="2"/>
  <c r="CM69" i="2"/>
  <c r="CL69" i="2"/>
  <c r="CE69" i="2"/>
  <c r="CD69" i="2"/>
  <c r="BX69" i="2"/>
  <c r="CZ69" i="2" s="1"/>
  <c r="BW69" i="2"/>
  <c r="BV69" i="2"/>
  <c r="BU69" i="2"/>
  <c r="BT69" i="2"/>
  <c r="BQ69" i="2"/>
  <c r="CW69" i="2" s="1"/>
  <c r="BP69" i="2"/>
  <c r="BO69" i="2"/>
  <c r="BN69" i="2"/>
  <c r="K69" i="19" s="1"/>
  <c r="BM69" i="2"/>
  <c r="BL69" i="2"/>
  <c r="BK69" i="2"/>
  <c r="BJ69" i="2"/>
  <c r="BI69" i="2"/>
  <c r="BH69" i="2"/>
  <c r="BG69" i="2"/>
  <c r="AQ69" i="2"/>
  <c r="AP69" i="2"/>
  <c r="AN69" i="2"/>
  <c r="AI69" i="2"/>
  <c r="AH69" i="2"/>
  <c r="AG69" i="2"/>
  <c r="AM69" i="2" s="1"/>
  <c r="AB69" i="2"/>
  <c r="AA69" i="2"/>
  <c r="Y69" i="2"/>
  <c r="W69" i="2"/>
  <c r="T69" i="2"/>
  <c r="R69" i="2"/>
  <c r="S69" i="2" s="1"/>
  <c r="Q69" i="2"/>
  <c r="O69" i="2"/>
  <c r="P69" i="2" s="1"/>
  <c r="L69" i="2"/>
  <c r="K69" i="2"/>
  <c r="J69" i="2"/>
  <c r="AJ69" i="2" s="1"/>
  <c r="I69" i="2"/>
  <c r="H69" i="2"/>
  <c r="G69" i="2"/>
  <c r="F69" i="2"/>
  <c r="E69" i="2"/>
  <c r="D69" i="2"/>
  <c r="C69" i="2"/>
  <c r="B69" i="2"/>
  <c r="A69" i="2"/>
  <c r="CX68" i="2"/>
  <c r="CW68" i="2"/>
  <c r="CO68" i="2"/>
  <c r="CG68" i="2"/>
  <c r="BZ68" i="2"/>
  <c r="BY68" i="2"/>
  <c r="BS68" i="2"/>
  <c r="BR68" i="2"/>
  <c r="BQ68" i="2"/>
  <c r="BP68" i="2"/>
  <c r="BO68" i="2"/>
  <c r="BN68" i="2"/>
  <c r="K68" i="19" s="1"/>
  <c r="BM68" i="2"/>
  <c r="BL68" i="2"/>
  <c r="BK68" i="2"/>
  <c r="BJ68" i="2"/>
  <c r="BI68" i="2"/>
  <c r="BH68" i="2"/>
  <c r="BG68" i="2"/>
  <c r="AT68" i="2"/>
  <c r="AS68" i="2"/>
  <c r="AP68" i="2"/>
  <c r="AN68" i="2"/>
  <c r="AM68" i="2"/>
  <c r="AL68" i="2"/>
  <c r="AK68" i="2"/>
  <c r="AI68" i="2"/>
  <c r="AH68" i="2"/>
  <c r="AO68" i="2" s="1"/>
  <c r="AG68" i="2"/>
  <c r="AD68" i="2"/>
  <c r="W68" i="2"/>
  <c r="O68" i="2"/>
  <c r="T68" i="2" s="1"/>
  <c r="I68" i="2"/>
  <c r="F68" i="2"/>
  <c r="E68" i="2"/>
  <c r="D68" i="2"/>
  <c r="C68" i="2"/>
  <c r="B68" i="2"/>
  <c r="A68" i="2"/>
  <c r="CT67" i="2"/>
  <c r="CS67" i="2"/>
  <c r="CR67" i="2"/>
  <c r="CQ67" i="2"/>
  <c r="CL67" i="2"/>
  <c r="BV67" i="2"/>
  <c r="BU67" i="2"/>
  <c r="BT67" i="2"/>
  <c r="BQ67" i="2"/>
  <c r="CX67" i="2" s="1"/>
  <c r="BP67" i="2"/>
  <c r="BO67" i="2"/>
  <c r="BN67" i="2"/>
  <c r="K67" i="19" s="1"/>
  <c r="BM67" i="2"/>
  <c r="BL67" i="2"/>
  <c r="BK67" i="2"/>
  <c r="BJ67" i="2"/>
  <c r="BI67" i="2"/>
  <c r="BH67" i="2"/>
  <c r="BG67" i="2"/>
  <c r="AN67" i="2"/>
  <c r="AG67" i="2"/>
  <c r="Y67" i="2"/>
  <c r="X67" i="2"/>
  <c r="W67" i="2"/>
  <c r="Q67" i="2"/>
  <c r="P67" i="2"/>
  <c r="O67" i="2"/>
  <c r="I67" i="2"/>
  <c r="J67" i="2" s="1"/>
  <c r="H67" i="2"/>
  <c r="R67" i="2" s="1"/>
  <c r="G67" i="2"/>
  <c r="F67" i="2"/>
  <c r="L67" i="2" s="1"/>
  <c r="E67" i="2"/>
  <c r="D67" i="2"/>
  <c r="C67" i="2"/>
  <c r="B67" i="2"/>
  <c r="A67" i="2"/>
  <c r="CV66" i="2"/>
  <c r="CU66" i="2"/>
  <c r="CN66" i="2"/>
  <c r="CM66" i="2"/>
  <c r="CE66" i="2"/>
  <c r="BX66" i="2"/>
  <c r="BW66" i="2"/>
  <c r="BQ66" i="2"/>
  <c r="CT66" i="2" s="1"/>
  <c r="BP66" i="2"/>
  <c r="BO66" i="2"/>
  <c r="BN66" i="2"/>
  <c r="K66" i="19" s="1"/>
  <c r="BM66" i="2"/>
  <c r="BL66" i="2"/>
  <c r="BK66" i="2"/>
  <c r="BJ66" i="2"/>
  <c r="BI66" i="2"/>
  <c r="BH66" i="2"/>
  <c r="BG66" i="2"/>
  <c r="AY66" i="2"/>
  <c r="AQ66" i="2"/>
  <c r="AP66" i="2"/>
  <c r="AN66" i="2"/>
  <c r="AK66" i="2"/>
  <c r="AJ66" i="2"/>
  <c r="AI66" i="2"/>
  <c r="AS66" i="2" s="1"/>
  <c r="AT66" i="2" s="1"/>
  <c r="AH66" i="2"/>
  <c r="AO66" i="2" s="1"/>
  <c r="AG66" i="2"/>
  <c r="AM66" i="2" s="1"/>
  <c r="AC66" i="2"/>
  <c r="AB66" i="2"/>
  <c r="AA66" i="2"/>
  <c r="Z66" i="2"/>
  <c r="Y66" i="2"/>
  <c r="X66" i="2"/>
  <c r="W66" i="2"/>
  <c r="AE66" i="2" s="1"/>
  <c r="T66" i="2"/>
  <c r="R66" i="2"/>
  <c r="P66" i="2"/>
  <c r="O66" i="2"/>
  <c r="M66" i="2"/>
  <c r="L66" i="2"/>
  <c r="K66" i="2"/>
  <c r="J66" i="2"/>
  <c r="I66" i="2"/>
  <c r="H66" i="2"/>
  <c r="Q66" i="2" s="1"/>
  <c r="S66" i="2" s="1"/>
  <c r="U66" i="2" s="1"/>
  <c r="G66" i="2"/>
  <c r="F66" i="2"/>
  <c r="E66" i="2"/>
  <c r="D66" i="2"/>
  <c r="C66" i="2"/>
  <c r="B66" i="2"/>
  <c r="A66" i="2"/>
  <c r="CX65" i="2"/>
  <c r="CR65" i="2"/>
  <c r="CQ65" i="2"/>
  <c r="CP65" i="2"/>
  <c r="BZ65" i="2"/>
  <c r="BT65" i="2"/>
  <c r="BS65" i="2"/>
  <c r="CG65" i="2" s="1"/>
  <c r="BR65" i="2"/>
  <c r="BQ65" i="2"/>
  <c r="CW65" i="2" s="1"/>
  <c r="BP65" i="2"/>
  <c r="BO65" i="2"/>
  <c r="BN65" i="2"/>
  <c r="K65" i="19" s="1"/>
  <c r="BM65" i="2"/>
  <c r="BL65" i="2"/>
  <c r="BK65" i="2"/>
  <c r="BJ65" i="2"/>
  <c r="BI65" i="2"/>
  <c r="BH65" i="2"/>
  <c r="BG65" i="2"/>
  <c r="AT65" i="2"/>
  <c r="AS65" i="2"/>
  <c r="AP65" i="2"/>
  <c r="AN65" i="2"/>
  <c r="AM65" i="2"/>
  <c r="AL65" i="2"/>
  <c r="AK65" i="2"/>
  <c r="AI65" i="2"/>
  <c r="AH65" i="2"/>
  <c r="AG65" i="2"/>
  <c r="AD65" i="2"/>
  <c r="X65" i="2"/>
  <c r="W65" i="2"/>
  <c r="O65" i="2"/>
  <c r="I65" i="2"/>
  <c r="H65" i="2"/>
  <c r="G65" i="2"/>
  <c r="F65" i="2"/>
  <c r="E65" i="2"/>
  <c r="D65" i="2"/>
  <c r="C65" i="2"/>
  <c r="B65" i="2"/>
  <c r="A65" i="2"/>
  <c r="CX64" i="2"/>
  <c r="CU64" i="2"/>
  <c r="CT64" i="2"/>
  <c r="CS64" i="2"/>
  <c r="CR64" i="2"/>
  <c r="CQ64" i="2"/>
  <c r="CP64" i="2"/>
  <c r="CM64" i="2"/>
  <c r="CL64" i="2"/>
  <c r="CE64" i="2"/>
  <c r="BW64" i="2"/>
  <c r="BV64" i="2"/>
  <c r="BU64" i="2"/>
  <c r="BT64" i="2"/>
  <c r="BQ64" i="2"/>
  <c r="CW64" i="2" s="1"/>
  <c r="BP64" i="2"/>
  <c r="BO64" i="2"/>
  <c r="BN64" i="2"/>
  <c r="K64" i="19" s="1"/>
  <c r="BM64" i="2"/>
  <c r="BL64" i="2"/>
  <c r="BK64" i="2"/>
  <c r="BJ64" i="2"/>
  <c r="BI64" i="2"/>
  <c r="BH64" i="2"/>
  <c r="BG64" i="2"/>
  <c r="AX64" i="2"/>
  <c r="AW64" i="2"/>
  <c r="AV64" i="2"/>
  <c r="AQ64" i="2"/>
  <c r="AU64" i="2" s="1"/>
  <c r="AN64" i="2"/>
  <c r="AG64" i="2"/>
  <c r="AD64" i="2"/>
  <c r="AA64" i="2"/>
  <c r="Z64" i="2"/>
  <c r="Y64" i="2"/>
  <c r="X64" i="2"/>
  <c r="W64" i="2"/>
  <c r="V64" i="2"/>
  <c r="S64" i="2"/>
  <c r="R64" i="2"/>
  <c r="Q64" i="2"/>
  <c r="P64" i="2"/>
  <c r="O64" i="2"/>
  <c r="U64" i="2" s="1"/>
  <c r="K64" i="2"/>
  <c r="J64" i="2"/>
  <c r="I64" i="2"/>
  <c r="H64" i="2"/>
  <c r="F64" i="2"/>
  <c r="L64" i="2" s="1"/>
  <c r="E64" i="2"/>
  <c r="D64" i="2"/>
  <c r="C64" i="2"/>
  <c r="B64" i="2"/>
  <c r="A64" i="2"/>
  <c r="CN63" i="2"/>
  <c r="CM63" i="2"/>
  <c r="BX63" i="2"/>
  <c r="BQ63" i="2"/>
  <c r="CV63" i="2" s="1"/>
  <c r="BP63" i="2"/>
  <c r="BO63" i="2"/>
  <c r="BM63" i="2"/>
  <c r="BL63" i="2"/>
  <c r="BK63" i="2"/>
  <c r="BJ63" i="2"/>
  <c r="BI63" i="2"/>
  <c r="BH63" i="2"/>
  <c r="BG63" i="2"/>
  <c r="AN63" i="2"/>
  <c r="AI63" i="2"/>
  <c r="AG63" i="2"/>
  <c r="AF63" i="2"/>
  <c r="AD63" i="2"/>
  <c r="AC63" i="2"/>
  <c r="AB63" i="2"/>
  <c r="AA63" i="2"/>
  <c r="Z63" i="2"/>
  <c r="Y63" i="2"/>
  <c r="X63" i="2"/>
  <c r="W63" i="2"/>
  <c r="AE63" i="2" s="1"/>
  <c r="T63" i="2"/>
  <c r="P63" i="2"/>
  <c r="O63" i="2"/>
  <c r="L63" i="2"/>
  <c r="I63" i="2"/>
  <c r="F63" i="2"/>
  <c r="E63" i="2"/>
  <c r="D63" i="2"/>
  <c r="C63" i="2"/>
  <c r="B63" i="2"/>
  <c r="A63" i="2"/>
  <c r="CV62" i="2"/>
  <c r="CS62" i="2"/>
  <c r="CR62" i="2"/>
  <c r="CQ62" i="2"/>
  <c r="CP62" i="2"/>
  <c r="CN62" i="2"/>
  <c r="CB62" i="2"/>
  <c r="BX62" i="2"/>
  <c r="BU62" i="2"/>
  <c r="BQ62" i="2"/>
  <c r="CW62" i="2" s="1"/>
  <c r="BP62" i="2"/>
  <c r="BO62" i="2"/>
  <c r="BM62" i="2"/>
  <c r="BL62" i="2"/>
  <c r="BK62" i="2"/>
  <c r="BJ62" i="2"/>
  <c r="BI62" i="2"/>
  <c r="BH62" i="2"/>
  <c r="BG62" i="2"/>
  <c r="AN62" i="2"/>
  <c r="AG62" i="2"/>
  <c r="W62" i="2"/>
  <c r="O62" i="2"/>
  <c r="I62" i="2"/>
  <c r="F62" i="2"/>
  <c r="E62" i="2"/>
  <c r="D62" i="2"/>
  <c r="C62" i="2"/>
  <c r="B62" i="2"/>
  <c r="A62" i="2"/>
  <c r="CV61" i="2"/>
  <c r="CU61" i="2"/>
  <c r="CT61" i="2"/>
  <c r="CS61" i="2"/>
  <c r="CR61" i="2"/>
  <c r="CQ61" i="2"/>
  <c r="CN61" i="2"/>
  <c r="CM61" i="2"/>
  <c r="CL61" i="2"/>
  <c r="CE61" i="2"/>
  <c r="BX61" i="2"/>
  <c r="BU61" i="2"/>
  <c r="BQ61" i="2"/>
  <c r="BP61" i="2"/>
  <c r="BO61" i="2"/>
  <c r="BN61" i="2"/>
  <c r="K61" i="19" s="1"/>
  <c r="BM61" i="2"/>
  <c r="BL61" i="2"/>
  <c r="BK61" i="2"/>
  <c r="BJ61" i="2"/>
  <c r="BI61" i="2"/>
  <c r="BH61" i="2"/>
  <c r="BG61" i="2"/>
  <c r="AQ61" i="2"/>
  <c r="AN61" i="2"/>
  <c r="AI61" i="2"/>
  <c r="AH61" i="2"/>
  <c r="AG61" i="2"/>
  <c r="W61" i="2"/>
  <c r="O61" i="2"/>
  <c r="L61" i="2"/>
  <c r="K61" i="2"/>
  <c r="I61" i="2"/>
  <c r="J61" i="2" s="1"/>
  <c r="H61" i="2"/>
  <c r="G61" i="2"/>
  <c r="F61" i="2"/>
  <c r="E61" i="2"/>
  <c r="D61" i="2"/>
  <c r="C61" i="2"/>
  <c r="B61" i="2"/>
  <c r="A61" i="2"/>
  <c r="CN60" i="2"/>
  <c r="CL60" i="2"/>
  <c r="BR60" i="2"/>
  <c r="BQ60" i="2"/>
  <c r="CM60" i="2" s="1"/>
  <c r="BP60" i="2"/>
  <c r="BO60" i="2"/>
  <c r="BN60" i="2"/>
  <c r="K60" i="19" s="1"/>
  <c r="BM60" i="2"/>
  <c r="BL60" i="2"/>
  <c r="BK60" i="2"/>
  <c r="BJ60" i="2"/>
  <c r="BI60" i="2"/>
  <c r="BH60" i="2"/>
  <c r="BG60" i="2"/>
  <c r="AN60" i="2"/>
  <c r="AM60" i="2"/>
  <c r="AP60" i="2" s="1"/>
  <c r="AL60" i="2"/>
  <c r="AK60" i="2"/>
  <c r="AI60" i="2"/>
  <c r="AH60" i="2"/>
  <c r="AG60" i="2"/>
  <c r="W60" i="2"/>
  <c r="T60" i="2"/>
  <c r="O60" i="2"/>
  <c r="I60" i="2"/>
  <c r="F60" i="2"/>
  <c r="E60" i="2"/>
  <c r="D60" i="2"/>
  <c r="C60" i="2"/>
  <c r="B60" i="2"/>
  <c r="A60" i="2"/>
  <c r="CS59" i="2"/>
  <c r="CR59" i="2"/>
  <c r="CQ59" i="2"/>
  <c r="BU59" i="2"/>
  <c r="BT59" i="2"/>
  <c r="BQ59" i="2"/>
  <c r="CX59" i="2" s="1"/>
  <c r="BP59" i="2"/>
  <c r="BO59" i="2"/>
  <c r="BM59" i="2"/>
  <c r="BL59" i="2"/>
  <c r="BK59" i="2"/>
  <c r="BJ59" i="2"/>
  <c r="BI59" i="2"/>
  <c r="BH59" i="2"/>
  <c r="BG59" i="2"/>
  <c r="AN59" i="2"/>
  <c r="AG59" i="2"/>
  <c r="Y59" i="2"/>
  <c r="X59" i="2"/>
  <c r="W59" i="2"/>
  <c r="O59" i="2"/>
  <c r="I59" i="2"/>
  <c r="H59" i="2"/>
  <c r="G59" i="2"/>
  <c r="F59" i="2"/>
  <c r="L59" i="2" s="1"/>
  <c r="E59" i="2"/>
  <c r="D59" i="2"/>
  <c r="C59" i="2"/>
  <c r="B59" i="2"/>
  <c r="A59" i="2"/>
  <c r="CV58" i="2"/>
  <c r="CU58" i="2"/>
  <c r="CT58" i="2"/>
  <c r="CS58" i="2"/>
  <c r="CR58" i="2"/>
  <c r="CN58" i="2"/>
  <c r="CM58" i="2"/>
  <c r="CL58" i="2"/>
  <c r="CE58" i="2"/>
  <c r="BX58" i="2"/>
  <c r="BU58" i="2"/>
  <c r="BQ58" i="2"/>
  <c r="CQ58" i="2" s="1"/>
  <c r="BP58" i="2"/>
  <c r="BO58" i="2"/>
  <c r="BN58" i="2"/>
  <c r="K58" i="19" s="1"/>
  <c r="BM58" i="2"/>
  <c r="BL58" i="2"/>
  <c r="BK58" i="2"/>
  <c r="BJ58" i="2"/>
  <c r="BI58" i="2"/>
  <c r="BH58" i="2"/>
  <c r="BG58" i="2"/>
  <c r="AQ58" i="2"/>
  <c r="AN58" i="2"/>
  <c r="AI58" i="2"/>
  <c r="AH58" i="2"/>
  <c r="AG58" i="2"/>
  <c r="AF58" i="2"/>
  <c r="AC58" i="2"/>
  <c r="AB58" i="2"/>
  <c r="AA58" i="2"/>
  <c r="Z58" i="2"/>
  <c r="Y58" i="2"/>
  <c r="X58" i="2"/>
  <c r="W58" i="2"/>
  <c r="AE58" i="2" s="1"/>
  <c r="T58" i="2"/>
  <c r="R58" i="2"/>
  <c r="P58" i="2"/>
  <c r="O58" i="2"/>
  <c r="L58" i="2"/>
  <c r="K58" i="2"/>
  <c r="M58" i="2" s="1"/>
  <c r="J58" i="2"/>
  <c r="I58" i="2"/>
  <c r="H58" i="2"/>
  <c r="Q58" i="2" s="1"/>
  <c r="S58" i="2" s="1"/>
  <c r="G58" i="2"/>
  <c r="F58" i="2"/>
  <c r="E58" i="2"/>
  <c r="D58" i="2"/>
  <c r="C58" i="2"/>
  <c r="B58" i="2"/>
  <c r="A58" i="2"/>
  <c r="CP57" i="2"/>
  <c r="CO57" i="2"/>
  <c r="CG57" i="2"/>
  <c r="BS57" i="2"/>
  <c r="BZ57" i="2" s="1"/>
  <c r="BR57" i="2"/>
  <c r="BQ57" i="2"/>
  <c r="BP57" i="2"/>
  <c r="BO57" i="2"/>
  <c r="BN57" i="2"/>
  <c r="K57" i="19" s="1"/>
  <c r="BM57" i="2"/>
  <c r="BL57" i="2"/>
  <c r="BK57" i="2"/>
  <c r="BJ57" i="2"/>
  <c r="BI57" i="2"/>
  <c r="BH57" i="2"/>
  <c r="BG57" i="2"/>
  <c r="AT57" i="2"/>
  <c r="AS57" i="2"/>
  <c r="AN57" i="2"/>
  <c r="AM57" i="2"/>
  <c r="AP57" i="2" s="1"/>
  <c r="AL57" i="2"/>
  <c r="AK57" i="2"/>
  <c r="AI57" i="2"/>
  <c r="AJ57" i="2" s="1"/>
  <c r="AH57" i="2"/>
  <c r="AG57" i="2"/>
  <c r="AD57" i="2"/>
  <c r="AC57" i="2"/>
  <c r="W57" i="2"/>
  <c r="O57" i="2"/>
  <c r="I57" i="2"/>
  <c r="G57" i="2"/>
  <c r="F57" i="2"/>
  <c r="E57" i="2"/>
  <c r="D57" i="2"/>
  <c r="C57" i="2"/>
  <c r="B57" i="2"/>
  <c r="A57" i="2"/>
  <c r="CT56" i="2"/>
  <c r="CS56" i="2"/>
  <c r="CR56" i="2"/>
  <c r="CQ56" i="2"/>
  <c r="CP56" i="2"/>
  <c r="CL56" i="2"/>
  <c r="BU56" i="2"/>
  <c r="BQ56" i="2"/>
  <c r="CW56" i="2" s="1"/>
  <c r="BP56" i="2"/>
  <c r="BO56" i="2"/>
  <c r="BN56" i="2"/>
  <c r="K56" i="19" s="1"/>
  <c r="BM56" i="2"/>
  <c r="BL56" i="2"/>
  <c r="BK56" i="2"/>
  <c r="BJ56" i="2"/>
  <c r="BI56" i="2"/>
  <c r="BH56" i="2"/>
  <c r="BG56" i="2"/>
  <c r="AV56" i="2"/>
  <c r="AQ56" i="2"/>
  <c r="AY56" i="2" s="1"/>
  <c r="AN56" i="2"/>
  <c r="AH56" i="2"/>
  <c r="BR56" i="2" s="1"/>
  <c r="AG56" i="2"/>
  <c r="AF56" i="2"/>
  <c r="AE56" i="2"/>
  <c r="Z56" i="2"/>
  <c r="Y56" i="2"/>
  <c r="X56" i="2"/>
  <c r="W56" i="2"/>
  <c r="AD56" i="2" s="1"/>
  <c r="O56" i="2"/>
  <c r="I56" i="2"/>
  <c r="F56" i="2"/>
  <c r="E56" i="2"/>
  <c r="D56" i="2"/>
  <c r="C56" i="2"/>
  <c r="B56" i="2"/>
  <c r="A56" i="2"/>
  <c r="CV55" i="2"/>
  <c r="CU55" i="2"/>
  <c r="CT55" i="2"/>
  <c r="CN55" i="2"/>
  <c r="CM55" i="2"/>
  <c r="BU55" i="2"/>
  <c r="BQ55" i="2"/>
  <c r="CO55" i="2" s="1"/>
  <c r="BP55" i="2"/>
  <c r="BO55" i="2"/>
  <c r="BN55" i="2"/>
  <c r="K55" i="19" s="1"/>
  <c r="BM55" i="2"/>
  <c r="BL55" i="2"/>
  <c r="BK55" i="2"/>
  <c r="BJ55" i="2"/>
  <c r="BI55" i="2"/>
  <c r="BH55" i="2"/>
  <c r="BG55" i="2"/>
  <c r="AN55" i="2"/>
  <c r="AI55" i="2"/>
  <c r="AK55" i="2" s="1"/>
  <c r="AH55" i="2"/>
  <c r="AG55" i="2"/>
  <c r="AF55" i="2"/>
  <c r="AD55" i="2"/>
  <c r="AC55" i="2"/>
  <c r="AB55" i="2"/>
  <c r="AA55" i="2"/>
  <c r="Z55" i="2"/>
  <c r="Y55" i="2"/>
  <c r="X55" i="2"/>
  <c r="W55" i="2"/>
  <c r="AE55" i="2" s="1"/>
  <c r="T55" i="2"/>
  <c r="R55" i="2"/>
  <c r="Q55" i="2"/>
  <c r="S55" i="2" s="1"/>
  <c r="P55" i="2"/>
  <c r="O55" i="2"/>
  <c r="L55" i="2"/>
  <c r="K55" i="2"/>
  <c r="I55" i="2"/>
  <c r="H55" i="2"/>
  <c r="F55" i="2"/>
  <c r="E55" i="2"/>
  <c r="D55" i="2"/>
  <c r="C55" i="2"/>
  <c r="B55" i="2"/>
  <c r="A55" i="2"/>
  <c r="CV54" i="2"/>
  <c r="CR54" i="2"/>
  <c r="CQ54" i="2"/>
  <c r="CN54" i="2"/>
  <c r="BQ54" i="2"/>
  <c r="CO54" i="2" s="1"/>
  <c r="BP54" i="2"/>
  <c r="BO54" i="2"/>
  <c r="BN54" i="2"/>
  <c r="K54" i="19" s="1"/>
  <c r="BM54" i="2"/>
  <c r="BL54" i="2"/>
  <c r="BK54" i="2"/>
  <c r="BJ54" i="2"/>
  <c r="BI54" i="2"/>
  <c r="BH54" i="2"/>
  <c r="BG54" i="2"/>
  <c r="AN54" i="2"/>
  <c r="AL54" i="2"/>
  <c r="AM54" i="2" s="1"/>
  <c r="AK54" i="2"/>
  <c r="AI54" i="2"/>
  <c r="AG54" i="2"/>
  <c r="AE54" i="2"/>
  <c r="AD54" i="2"/>
  <c r="AC54" i="2"/>
  <c r="W54" i="2"/>
  <c r="AF54" i="2" s="1"/>
  <c r="T54" i="2"/>
  <c r="P54" i="2"/>
  <c r="O54" i="2"/>
  <c r="I54" i="2"/>
  <c r="G54" i="2"/>
  <c r="F54" i="2"/>
  <c r="E54" i="2"/>
  <c r="D54" i="2"/>
  <c r="C54" i="2"/>
  <c r="B54" i="2"/>
  <c r="A54" i="2"/>
  <c r="CV53" i="2"/>
  <c r="CU53" i="2"/>
  <c r="CT53" i="2"/>
  <c r="CS53" i="2"/>
  <c r="CR53" i="2"/>
  <c r="CQ53" i="2"/>
  <c r="CP53" i="2"/>
  <c r="CN53" i="2"/>
  <c r="CM53" i="2"/>
  <c r="CL53" i="2"/>
  <c r="CI53" i="2"/>
  <c r="CE53" i="2"/>
  <c r="CB53" i="2"/>
  <c r="BX53" i="2"/>
  <c r="BU53" i="2"/>
  <c r="BQ53" i="2"/>
  <c r="CW53" i="2" s="1"/>
  <c r="BP53" i="2"/>
  <c r="BO53" i="2"/>
  <c r="BN53" i="2"/>
  <c r="K53" i="19" s="1"/>
  <c r="BM53" i="2"/>
  <c r="BL53" i="2"/>
  <c r="BK53" i="2"/>
  <c r="BJ53" i="2"/>
  <c r="BI53" i="2"/>
  <c r="BH53" i="2"/>
  <c r="BG53" i="2"/>
  <c r="AQ53" i="2"/>
  <c r="AN53" i="2"/>
  <c r="AI53" i="2"/>
  <c r="AH53" i="2"/>
  <c r="AG53" i="2"/>
  <c r="W53" i="2"/>
  <c r="R53" i="2"/>
  <c r="Q53" i="2"/>
  <c r="P53" i="2"/>
  <c r="O53" i="2"/>
  <c r="S53" i="2" s="1"/>
  <c r="I53" i="2"/>
  <c r="K53" i="2" s="1"/>
  <c r="H53" i="2"/>
  <c r="G53" i="2"/>
  <c r="F53" i="2"/>
  <c r="L53" i="2" s="1"/>
  <c r="E53" i="2"/>
  <c r="D53" i="2"/>
  <c r="C53" i="2"/>
  <c r="B53" i="2"/>
  <c r="A53" i="2"/>
  <c r="DB52" i="2"/>
  <c r="CX52" i="2"/>
  <c r="CW52" i="2"/>
  <c r="CN52" i="2"/>
  <c r="CM52" i="2"/>
  <c r="CL52" i="2"/>
  <c r="BX52" i="2"/>
  <c r="BQ52" i="2"/>
  <c r="CO52" i="2" s="1"/>
  <c r="BP52" i="2"/>
  <c r="BO52" i="2"/>
  <c r="BN52" i="2"/>
  <c r="K52" i="19" s="1"/>
  <c r="BM52" i="2"/>
  <c r="BL52" i="2"/>
  <c r="BK52" i="2"/>
  <c r="BJ52" i="2"/>
  <c r="BI52" i="2"/>
  <c r="BH52" i="2"/>
  <c r="BG52" i="2"/>
  <c r="AQ52" i="2"/>
  <c r="AP52" i="2"/>
  <c r="AN52" i="2"/>
  <c r="AL52" i="2"/>
  <c r="AK52" i="2"/>
  <c r="AI52" i="2"/>
  <c r="AH52" i="2"/>
  <c r="AG52" i="2"/>
  <c r="AM52" i="2" s="1"/>
  <c r="AD52" i="2"/>
  <c r="AC52" i="2"/>
  <c r="AB52" i="2"/>
  <c r="AA52" i="2"/>
  <c r="Z52" i="2"/>
  <c r="Y52" i="2"/>
  <c r="W52" i="2"/>
  <c r="AF52" i="2" s="1"/>
  <c r="V52" i="2"/>
  <c r="U52" i="2"/>
  <c r="T52" i="2"/>
  <c r="S52" i="2"/>
  <c r="R52" i="2"/>
  <c r="Q52" i="2"/>
  <c r="O52" i="2"/>
  <c r="P52" i="2" s="1"/>
  <c r="L52" i="2"/>
  <c r="I52" i="2"/>
  <c r="F52" i="2"/>
  <c r="E52" i="2"/>
  <c r="D52" i="2"/>
  <c r="C52" i="2"/>
  <c r="B52" i="2"/>
  <c r="A52" i="2"/>
  <c r="CW51" i="2"/>
  <c r="CV51" i="2"/>
  <c r="BQ51" i="2"/>
  <c r="BP51" i="2"/>
  <c r="BO51" i="2"/>
  <c r="BN51" i="2"/>
  <c r="K51" i="19" s="1"/>
  <c r="BM51" i="2"/>
  <c r="BL51" i="2"/>
  <c r="BK51" i="2"/>
  <c r="BJ51" i="2"/>
  <c r="BI51" i="2"/>
  <c r="BH51" i="2"/>
  <c r="BG51" i="2"/>
  <c r="AN51" i="2"/>
  <c r="AG51" i="2"/>
  <c r="AE51" i="2"/>
  <c r="AD51" i="2"/>
  <c r="AC51" i="2"/>
  <c r="W51" i="2"/>
  <c r="AF51" i="2" s="1"/>
  <c r="T51" i="2"/>
  <c r="Q51" i="2"/>
  <c r="P51" i="2"/>
  <c r="O51" i="2"/>
  <c r="I51" i="2"/>
  <c r="H51" i="2"/>
  <c r="G51" i="2"/>
  <c r="F51" i="2"/>
  <c r="E51" i="2"/>
  <c r="D51" i="2"/>
  <c r="C51" i="2"/>
  <c r="B51" i="2"/>
  <c r="A51" i="2"/>
  <c r="CV50" i="2"/>
  <c r="CU50" i="2"/>
  <c r="CT50" i="2"/>
  <c r="CS50" i="2"/>
  <c r="CR50" i="2"/>
  <c r="CQ50" i="2"/>
  <c r="CN50" i="2"/>
  <c r="CM50" i="2"/>
  <c r="CL50" i="2"/>
  <c r="CI50" i="2"/>
  <c r="CF50" i="2"/>
  <c r="CE50" i="2"/>
  <c r="BX50" i="2"/>
  <c r="BU50" i="2"/>
  <c r="BQ50" i="2"/>
  <c r="BP50" i="2"/>
  <c r="BO50" i="2"/>
  <c r="BN50" i="2"/>
  <c r="K50" i="19" s="1"/>
  <c r="BM50" i="2"/>
  <c r="BL50" i="2"/>
  <c r="BK50" i="2"/>
  <c r="BJ50" i="2"/>
  <c r="BI50" i="2"/>
  <c r="BH50" i="2"/>
  <c r="BG50" i="2"/>
  <c r="AV50" i="2"/>
  <c r="AQ50" i="2"/>
  <c r="AN50" i="2"/>
  <c r="AK50" i="2"/>
  <c r="AI50" i="2"/>
  <c r="AH50" i="2"/>
  <c r="BR50" i="2" s="1"/>
  <c r="BY50" i="2" s="1"/>
  <c r="AG50" i="2"/>
  <c r="AF50" i="2"/>
  <c r="AE50" i="2"/>
  <c r="AC50" i="2"/>
  <c r="W50" i="2"/>
  <c r="T50" i="2"/>
  <c r="P50" i="2"/>
  <c r="O50" i="2"/>
  <c r="M50" i="2"/>
  <c r="L50" i="2"/>
  <c r="K50" i="2"/>
  <c r="I50" i="2"/>
  <c r="H50" i="2"/>
  <c r="Q50" i="2" s="1"/>
  <c r="G50" i="2"/>
  <c r="J50" i="2" s="1"/>
  <c r="F50" i="2"/>
  <c r="E50" i="2"/>
  <c r="D50" i="2"/>
  <c r="C50" i="2"/>
  <c r="B50" i="2"/>
  <c r="A50" i="2"/>
  <c r="CW49" i="2"/>
  <c r="CP49" i="2"/>
  <c r="CO49" i="2"/>
  <c r="CN49" i="2"/>
  <c r="CE49" i="2"/>
  <c r="BX49" i="2"/>
  <c r="BQ49" i="2"/>
  <c r="CQ49" i="2" s="1"/>
  <c r="BP49" i="2"/>
  <c r="BO49" i="2"/>
  <c r="BN49" i="2"/>
  <c r="K49" i="19" s="1"/>
  <c r="BM49" i="2"/>
  <c r="BL49" i="2"/>
  <c r="BK49" i="2"/>
  <c r="BJ49" i="2"/>
  <c r="BI49" i="2"/>
  <c r="BH49" i="2"/>
  <c r="BG49" i="2"/>
  <c r="AV49" i="2"/>
  <c r="AQ49" i="2"/>
  <c r="AY49" i="2" s="1"/>
  <c r="AN49" i="2"/>
  <c r="AM49" i="2"/>
  <c r="AL49" i="2"/>
  <c r="AK49" i="2"/>
  <c r="AI49" i="2"/>
  <c r="AH49" i="2"/>
  <c r="AG49" i="2"/>
  <c r="AF49" i="2"/>
  <c r="AE49" i="2"/>
  <c r="AD49" i="2"/>
  <c r="W49" i="2"/>
  <c r="T49" i="2"/>
  <c r="P49" i="2"/>
  <c r="O49" i="2"/>
  <c r="L49" i="2"/>
  <c r="I49" i="2"/>
  <c r="F49" i="2"/>
  <c r="E49" i="2"/>
  <c r="D49" i="2"/>
  <c r="C49" i="2"/>
  <c r="B49" i="2"/>
  <c r="A49" i="2"/>
  <c r="CT48" i="2"/>
  <c r="CR48" i="2"/>
  <c r="CQ48" i="2"/>
  <c r="CP48" i="2"/>
  <c r="BQ48" i="2"/>
  <c r="BP48" i="2"/>
  <c r="BO48" i="2"/>
  <c r="BM48" i="2"/>
  <c r="BL48" i="2"/>
  <c r="BK48" i="2"/>
  <c r="BJ48" i="2"/>
  <c r="BI48" i="2"/>
  <c r="BH48" i="2"/>
  <c r="BG48" i="2"/>
  <c r="AN48" i="2"/>
  <c r="AH48" i="2"/>
  <c r="AG48" i="2"/>
  <c r="AF48" i="2"/>
  <c r="AB48" i="2"/>
  <c r="Z48" i="2"/>
  <c r="Y48" i="2"/>
  <c r="X48" i="2"/>
  <c r="W48" i="2"/>
  <c r="AE48" i="2" s="1"/>
  <c r="T48" i="2"/>
  <c r="P48" i="2"/>
  <c r="O48" i="2"/>
  <c r="L48" i="2"/>
  <c r="I48" i="2"/>
  <c r="K48" i="2" s="1"/>
  <c r="H48" i="2"/>
  <c r="G48" i="2"/>
  <c r="F48" i="2"/>
  <c r="E48" i="2"/>
  <c r="D48" i="2"/>
  <c r="C48" i="2"/>
  <c r="B48" i="2"/>
  <c r="A48" i="2"/>
  <c r="CO47" i="2"/>
  <c r="CN47" i="2"/>
  <c r="CM47" i="2"/>
  <c r="BX47" i="2"/>
  <c r="BS47" i="2"/>
  <c r="BZ47" i="2" s="1"/>
  <c r="BQ47" i="2"/>
  <c r="CV47" i="2" s="1"/>
  <c r="BP47" i="2"/>
  <c r="BO47" i="2"/>
  <c r="BN47" i="2"/>
  <c r="K47" i="19" s="1"/>
  <c r="BM47" i="2"/>
  <c r="BL47" i="2"/>
  <c r="BK47" i="2"/>
  <c r="BJ47" i="2"/>
  <c r="BI47" i="2"/>
  <c r="BH47" i="2"/>
  <c r="BG47" i="2"/>
  <c r="AQ47" i="2"/>
  <c r="AP47" i="2"/>
  <c r="AN47" i="2"/>
  <c r="AM47" i="2"/>
  <c r="AK47" i="2"/>
  <c r="AI47" i="2"/>
  <c r="AL47" i="2" s="1"/>
  <c r="AH47" i="2"/>
  <c r="AG47" i="2"/>
  <c r="AE47" i="2"/>
  <c r="AC47" i="2"/>
  <c r="AB47" i="2"/>
  <c r="AA47" i="2"/>
  <c r="W47" i="2"/>
  <c r="T47" i="2"/>
  <c r="R47" i="2"/>
  <c r="O47" i="2"/>
  <c r="L47" i="2"/>
  <c r="K47" i="2"/>
  <c r="I47" i="2"/>
  <c r="H47" i="2"/>
  <c r="G47" i="2"/>
  <c r="F47" i="2"/>
  <c r="E47" i="2"/>
  <c r="D47" i="2"/>
  <c r="C47" i="2"/>
  <c r="B47" i="2"/>
  <c r="A47" i="2"/>
  <c r="BR46" i="2"/>
  <c r="BQ46" i="2"/>
  <c r="BP46" i="2"/>
  <c r="BO46" i="2"/>
  <c r="BN46" i="2"/>
  <c r="K46" i="19" s="1"/>
  <c r="BM46" i="2"/>
  <c r="BL46" i="2"/>
  <c r="BK46" i="2"/>
  <c r="BJ46" i="2"/>
  <c r="BI46" i="2"/>
  <c r="BH46" i="2"/>
  <c r="BG46" i="2"/>
  <c r="AN46" i="2"/>
  <c r="AL46" i="2"/>
  <c r="AK46" i="2"/>
  <c r="AM46" i="2" s="1"/>
  <c r="AP46" i="2" s="1"/>
  <c r="AI46" i="2"/>
  <c r="AH46" i="2"/>
  <c r="AS46" i="2" s="1"/>
  <c r="AT46" i="2" s="1"/>
  <c r="AG46" i="2"/>
  <c r="AD46" i="2"/>
  <c r="AC46" i="2"/>
  <c r="Z46" i="2"/>
  <c r="X46" i="2"/>
  <c r="W46" i="2"/>
  <c r="AF46" i="2" s="1"/>
  <c r="P46" i="2"/>
  <c r="O46" i="2"/>
  <c r="I46" i="2"/>
  <c r="F46" i="2"/>
  <c r="E46" i="2"/>
  <c r="D46" i="2"/>
  <c r="C46" i="2"/>
  <c r="B46" i="2"/>
  <c r="A46" i="2"/>
  <c r="CW45" i="2"/>
  <c r="CU45" i="2"/>
  <c r="CT45" i="2"/>
  <c r="CM45" i="2"/>
  <c r="CL45" i="2"/>
  <c r="BU45" i="2"/>
  <c r="BQ45" i="2"/>
  <c r="CO45" i="2" s="1"/>
  <c r="BP45" i="2"/>
  <c r="BO45" i="2"/>
  <c r="BN45" i="2"/>
  <c r="K45" i="19" s="1"/>
  <c r="BM45" i="2"/>
  <c r="BL45" i="2"/>
  <c r="BK45" i="2"/>
  <c r="BJ45" i="2"/>
  <c r="BI45" i="2"/>
  <c r="BH45" i="2"/>
  <c r="BG45" i="2"/>
  <c r="AQ45" i="2"/>
  <c r="AN45" i="2"/>
  <c r="AH45" i="2"/>
  <c r="AG45" i="2"/>
  <c r="AF45" i="2"/>
  <c r="AD45" i="2"/>
  <c r="AC45" i="2"/>
  <c r="AB45" i="2"/>
  <c r="AA45" i="2"/>
  <c r="Z45" i="2"/>
  <c r="Y45" i="2"/>
  <c r="X45" i="2"/>
  <c r="W45" i="2"/>
  <c r="AE45" i="2" s="1"/>
  <c r="T45" i="2"/>
  <c r="R45" i="2"/>
  <c r="P45" i="2"/>
  <c r="O45" i="2"/>
  <c r="L45" i="2"/>
  <c r="K45" i="2"/>
  <c r="I45" i="2"/>
  <c r="H45" i="2"/>
  <c r="Q45" i="2" s="1"/>
  <c r="S45" i="2" s="1"/>
  <c r="V45" i="2" s="1"/>
  <c r="F45" i="2"/>
  <c r="E45" i="2"/>
  <c r="D45" i="2"/>
  <c r="C45" i="2"/>
  <c r="B45" i="2"/>
  <c r="A45" i="2"/>
  <c r="CW44" i="2"/>
  <c r="CV44" i="2"/>
  <c r="CU44" i="2"/>
  <c r="CR44" i="2"/>
  <c r="CO44" i="2"/>
  <c r="CN44" i="2"/>
  <c r="CM44" i="2"/>
  <c r="BX44" i="2"/>
  <c r="BQ44" i="2"/>
  <c r="BP44" i="2"/>
  <c r="BO44" i="2"/>
  <c r="BN44" i="2"/>
  <c r="K44" i="19" s="1"/>
  <c r="BM44" i="2"/>
  <c r="BL44" i="2"/>
  <c r="BK44" i="2"/>
  <c r="BJ44" i="2"/>
  <c r="BI44" i="2"/>
  <c r="BH44" i="2"/>
  <c r="BG44" i="2"/>
  <c r="AQ44" i="2"/>
  <c r="AN44" i="2"/>
  <c r="AL44" i="2"/>
  <c r="AK44" i="2"/>
  <c r="AI44" i="2"/>
  <c r="AG44" i="2"/>
  <c r="AF44" i="2"/>
  <c r="AD44" i="2"/>
  <c r="AC44" i="2"/>
  <c r="AB44" i="2"/>
  <c r="AA44" i="2"/>
  <c r="X44" i="2"/>
  <c r="W44" i="2"/>
  <c r="Z44" i="2" s="1"/>
  <c r="T44" i="2"/>
  <c r="P44" i="2"/>
  <c r="O44" i="2"/>
  <c r="K44" i="2"/>
  <c r="I44" i="2"/>
  <c r="H44" i="2"/>
  <c r="F44" i="2"/>
  <c r="E44" i="2"/>
  <c r="D44" i="2"/>
  <c r="C44" i="2"/>
  <c r="B44" i="2"/>
  <c r="A44" i="2"/>
  <c r="CV43" i="2"/>
  <c r="CU43" i="2"/>
  <c r="CT43" i="2"/>
  <c r="CS43" i="2"/>
  <c r="CR43" i="2"/>
  <c r="CQ43" i="2"/>
  <c r="CP43" i="2"/>
  <c r="CN43" i="2"/>
  <c r="CM43" i="2"/>
  <c r="CL43" i="2"/>
  <c r="CI43" i="2"/>
  <c r="CE43" i="2"/>
  <c r="CB43" i="2"/>
  <c r="BX43" i="2"/>
  <c r="BU43" i="2"/>
  <c r="BQ43" i="2"/>
  <c r="CW43" i="2" s="1"/>
  <c r="BP43" i="2"/>
  <c r="BO43" i="2"/>
  <c r="BN43" i="2"/>
  <c r="K43" i="19" s="1"/>
  <c r="BM43" i="2"/>
  <c r="BL43" i="2"/>
  <c r="BK43" i="2"/>
  <c r="BJ43" i="2"/>
  <c r="BI43" i="2"/>
  <c r="BH43" i="2"/>
  <c r="BG43" i="2"/>
  <c r="AY43" i="2"/>
  <c r="AQ43" i="2"/>
  <c r="AN43" i="2"/>
  <c r="AH43" i="2"/>
  <c r="AG43" i="2"/>
  <c r="AF43" i="2"/>
  <c r="Y43" i="2"/>
  <c r="W43" i="2"/>
  <c r="P43" i="2"/>
  <c r="O43" i="2"/>
  <c r="I43" i="2"/>
  <c r="F43" i="2"/>
  <c r="E43" i="2"/>
  <c r="D43" i="2"/>
  <c r="C43" i="2"/>
  <c r="B43" i="2"/>
  <c r="A43" i="2"/>
  <c r="CP42" i="2"/>
  <c r="BQ42" i="2"/>
  <c r="BP42" i="2"/>
  <c r="BO42" i="2"/>
  <c r="BN42" i="2"/>
  <c r="K42" i="19" s="1"/>
  <c r="BM42" i="2"/>
  <c r="BL42" i="2"/>
  <c r="BK42" i="2"/>
  <c r="BJ42" i="2"/>
  <c r="BI42" i="2"/>
  <c r="BH42" i="2"/>
  <c r="BG42" i="2"/>
  <c r="AQ42" i="2"/>
  <c r="AN42" i="2"/>
  <c r="AI42" i="2"/>
  <c r="AH42" i="2"/>
  <c r="AG42" i="2"/>
  <c r="Z42" i="2"/>
  <c r="Y42" i="2"/>
  <c r="W42" i="2"/>
  <c r="O42" i="2"/>
  <c r="I42" i="2"/>
  <c r="G42" i="2"/>
  <c r="F42" i="2"/>
  <c r="E42" i="2"/>
  <c r="D42" i="2"/>
  <c r="C42" i="2"/>
  <c r="B42" i="2"/>
  <c r="A42" i="2"/>
  <c r="CR41" i="2"/>
  <c r="BX41" i="2"/>
  <c r="BQ41" i="2"/>
  <c r="CP41" i="2" s="1"/>
  <c r="BP41" i="2"/>
  <c r="BO41" i="2"/>
  <c r="BN41" i="2"/>
  <c r="K41" i="19" s="1"/>
  <c r="BM41" i="2"/>
  <c r="BL41" i="2"/>
  <c r="BK41" i="2"/>
  <c r="BJ41" i="2"/>
  <c r="BI41" i="2"/>
  <c r="BH41" i="2"/>
  <c r="BG41" i="2"/>
  <c r="AN41" i="2"/>
  <c r="AH41" i="2"/>
  <c r="AG41" i="2"/>
  <c r="AF41" i="2"/>
  <c r="W41" i="2"/>
  <c r="O41" i="2"/>
  <c r="I41" i="2"/>
  <c r="G41" i="2"/>
  <c r="F41" i="2"/>
  <c r="E41" i="2"/>
  <c r="D41" i="2"/>
  <c r="C41" i="2"/>
  <c r="B41" i="2"/>
  <c r="A41" i="2"/>
  <c r="CS40" i="2"/>
  <c r="CR40" i="2"/>
  <c r="BQ40" i="2"/>
  <c r="BP40" i="2"/>
  <c r="BO40" i="2"/>
  <c r="BN40" i="2"/>
  <c r="K40" i="19" s="1"/>
  <c r="BM40" i="2"/>
  <c r="BL40" i="2"/>
  <c r="BK40" i="2"/>
  <c r="BJ40" i="2"/>
  <c r="BI40" i="2"/>
  <c r="BH40" i="2"/>
  <c r="BG40" i="2"/>
  <c r="AN40" i="2"/>
  <c r="AL40" i="2"/>
  <c r="AM40" i="2" s="1"/>
  <c r="AK40" i="2"/>
  <c r="AI40" i="2"/>
  <c r="AG40" i="2"/>
  <c r="W40" i="2"/>
  <c r="O40" i="2"/>
  <c r="I40" i="2"/>
  <c r="F40" i="2"/>
  <c r="E40" i="2"/>
  <c r="D40" i="2"/>
  <c r="C40" i="2"/>
  <c r="B40" i="2"/>
  <c r="A40" i="2"/>
  <c r="CV39" i="2"/>
  <c r="CU39" i="2"/>
  <c r="CT39" i="2"/>
  <c r="CS39" i="2"/>
  <c r="CR39" i="2"/>
  <c r="CQ39" i="2"/>
  <c r="CP39" i="2"/>
  <c r="CN39" i="2"/>
  <c r="CM39" i="2"/>
  <c r="CL39" i="2"/>
  <c r="CI39" i="2"/>
  <c r="CE39" i="2"/>
  <c r="CB39" i="2"/>
  <c r="BX39" i="2"/>
  <c r="BU39" i="2"/>
  <c r="BQ39" i="2"/>
  <c r="CW39" i="2" s="1"/>
  <c r="BP39" i="2"/>
  <c r="BO39" i="2"/>
  <c r="BN39" i="2"/>
  <c r="K39" i="19" s="1"/>
  <c r="BM39" i="2"/>
  <c r="BL39" i="2"/>
  <c r="BK39" i="2"/>
  <c r="BJ39" i="2"/>
  <c r="BI39" i="2"/>
  <c r="BH39" i="2"/>
  <c r="BG39" i="2"/>
  <c r="AV39" i="2"/>
  <c r="AQ39" i="2"/>
  <c r="AY39" i="2" s="1"/>
  <c r="AN39" i="2"/>
  <c r="AG39" i="2"/>
  <c r="AF39" i="2"/>
  <c r="Z39" i="2"/>
  <c r="Y39" i="2"/>
  <c r="X39" i="2"/>
  <c r="W39" i="2"/>
  <c r="AE39" i="2" s="1"/>
  <c r="P39" i="2"/>
  <c r="O39" i="2"/>
  <c r="I39" i="2"/>
  <c r="J39" i="2" s="1"/>
  <c r="H39" i="2"/>
  <c r="G39" i="2"/>
  <c r="F39" i="2"/>
  <c r="L39" i="2" s="1"/>
  <c r="E39" i="2"/>
  <c r="D39" i="2"/>
  <c r="C39" i="2"/>
  <c r="B39" i="2"/>
  <c r="A39" i="2"/>
  <c r="DC38" i="2"/>
  <c r="CW38" i="2"/>
  <c r="CV38" i="2"/>
  <c r="CU38" i="2"/>
  <c r="CO38" i="2"/>
  <c r="CE38" i="2"/>
  <c r="BX38" i="2"/>
  <c r="BW38" i="2"/>
  <c r="BQ38" i="2"/>
  <c r="CM38" i="2" s="1"/>
  <c r="BP38" i="2"/>
  <c r="BO38" i="2"/>
  <c r="BN38" i="2"/>
  <c r="K38" i="19" s="1"/>
  <c r="BM38" i="2"/>
  <c r="BL38" i="2"/>
  <c r="BK38" i="2"/>
  <c r="BJ38" i="2"/>
  <c r="BI38" i="2"/>
  <c r="BH38" i="2"/>
  <c r="BG38" i="2"/>
  <c r="BA38" i="2"/>
  <c r="AY38" i="2"/>
  <c r="AQ38" i="2"/>
  <c r="AP38" i="2"/>
  <c r="AN38" i="2"/>
  <c r="AK38" i="2"/>
  <c r="AJ38" i="2"/>
  <c r="AI38" i="2"/>
  <c r="AS38" i="2" s="1"/>
  <c r="AT38" i="2" s="1"/>
  <c r="AH38" i="2"/>
  <c r="AO38" i="2" s="1"/>
  <c r="AG38" i="2"/>
  <c r="AM38" i="2" s="1"/>
  <c r="AC38" i="2"/>
  <c r="AB38" i="2"/>
  <c r="AA38" i="2"/>
  <c r="Z38" i="2"/>
  <c r="Y38" i="2"/>
  <c r="W38" i="2"/>
  <c r="AF38" i="2" s="1"/>
  <c r="T38" i="2"/>
  <c r="O38" i="2"/>
  <c r="P38" i="2" s="1"/>
  <c r="M38" i="2"/>
  <c r="L38" i="2"/>
  <c r="K38" i="2"/>
  <c r="J38" i="2"/>
  <c r="I38" i="2"/>
  <c r="G38" i="2"/>
  <c r="F38" i="2"/>
  <c r="E38" i="2"/>
  <c r="D38" i="2"/>
  <c r="C38" i="2"/>
  <c r="B38" i="2"/>
  <c r="A38" i="2"/>
  <c r="CX37" i="2"/>
  <c r="CR37" i="2"/>
  <c r="CQ37" i="2"/>
  <c r="CP37" i="2"/>
  <c r="BT37" i="2"/>
  <c r="BR37" i="2"/>
  <c r="BQ37" i="2"/>
  <c r="CW37" i="2" s="1"/>
  <c r="BP37" i="2"/>
  <c r="BO37" i="2"/>
  <c r="BN37" i="2"/>
  <c r="K37" i="19" s="1"/>
  <c r="BM37" i="2"/>
  <c r="BL37" i="2"/>
  <c r="BK37" i="2"/>
  <c r="BJ37" i="2"/>
  <c r="BI37" i="2"/>
  <c r="BH37" i="2"/>
  <c r="BG37" i="2"/>
  <c r="AP37" i="2"/>
  <c r="AN37" i="2"/>
  <c r="AM37" i="2"/>
  <c r="AL37" i="2"/>
  <c r="AK37" i="2"/>
  <c r="AH37" i="2"/>
  <c r="AO37" i="2" s="1"/>
  <c r="AG37" i="2"/>
  <c r="AI37" i="2" s="1"/>
  <c r="AS37" i="2" s="1"/>
  <c r="AT37" i="2" s="1"/>
  <c r="AF37" i="2"/>
  <c r="AE37" i="2"/>
  <c r="AD37" i="2"/>
  <c r="W37" i="2"/>
  <c r="O37" i="2"/>
  <c r="I37" i="2"/>
  <c r="H37" i="2"/>
  <c r="F37" i="2"/>
  <c r="E37" i="2"/>
  <c r="D37" i="2"/>
  <c r="C37" i="2"/>
  <c r="B37" i="2"/>
  <c r="A37" i="2"/>
  <c r="DC36" i="2"/>
  <c r="CU36" i="2"/>
  <c r="CT36" i="2"/>
  <c r="CS36" i="2"/>
  <c r="CR36" i="2"/>
  <c r="CQ36" i="2"/>
  <c r="CM36" i="2"/>
  <c r="CL36" i="2"/>
  <c r="CE36" i="2"/>
  <c r="BW36" i="2"/>
  <c r="BV36" i="2"/>
  <c r="BU36" i="2"/>
  <c r="BT36" i="2"/>
  <c r="BQ36" i="2"/>
  <c r="CX36" i="2" s="1"/>
  <c r="BP36" i="2"/>
  <c r="BO36" i="2"/>
  <c r="BN36" i="2"/>
  <c r="K36" i="19" s="1"/>
  <c r="BM36" i="2"/>
  <c r="BL36" i="2"/>
  <c r="BK36" i="2"/>
  <c r="BJ36" i="2"/>
  <c r="BI36" i="2"/>
  <c r="BH36" i="2"/>
  <c r="BG36" i="2"/>
  <c r="BF36" i="2"/>
  <c r="AY36" i="2"/>
  <c r="DA36" i="2" s="1"/>
  <c r="AX36" i="2"/>
  <c r="AQ36" i="2"/>
  <c r="AP36" i="2"/>
  <c r="AN36" i="2"/>
  <c r="AG36" i="2"/>
  <c r="AF36" i="2"/>
  <c r="AA36" i="2"/>
  <c r="Z36" i="2"/>
  <c r="Y36" i="2"/>
  <c r="X36" i="2"/>
  <c r="W36" i="2"/>
  <c r="AE36" i="2" s="1"/>
  <c r="R36" i="2"/>
  <c r="S36" i="2" s="1"/>
  <c r="Q36" i="2"/>
  <c r="P36" i="2"/>
  <c r="O36" i="2"/>
  <c r="L36" i="2"/>
  <c r="K36" i="2"/>
  <c r="J36" i="2"/>
  <c r="I36" i="2"/>
  <c r="H36" i="2"/>
  <c r="G36" i="2"/>
  <c r="F36" i="2"/>
  <c r="E36" i="2"/>
  <c r="D36" i="2"/>
  <c r="C36" i="2"/>
  <c r="B36" i="2"/>
  <c r="A36" i="2"/>
  <c r="BR35" i="2"/>
  <c r="AR35" i="2" s="1"/>
  <c r="AZ35" i="2" s="1"/>
  <c r="BQ35" i="2"/>
  <c r="CP35" i="2" s="1"/>
  <c r="BP35" i="2"/>
  <c r="BO35" i="2"/>
  <c r="BN35" i="2"/>
  <c r="K35" i="19" s="1"/>
  <c r="BM35" i="2"/>
  <c r="BL35" i="2"/>
  <c r="BK35" i="2"/>
  <c r="BJ35" i="2"/>
  <c r="BI35" i="2"/>
  <c r="BH35" i="2"/>
  <c r="BG35" i="2"/>
  <c r="AT35" i="2"/>
  <c r="AS35" i="2"/>
  <c r="AN35" i="2"/>
  <c r="AL35" i="2"/>
  <c r="AK35" i="2"/>
  <c r="AM35" i="2" s="1"/>
  <c r="AP35" i="2" s="1"/>
  <c r="AJ35" i="2"/>
  <c r="AI35" i="2"/>
  <c r="AH35" i="2"/>
  <c r="AO35" i="2" s="1"/>
  <c r="AG35" i="2"/>
  <c r="AF35" i="2"/>
  <c r="AD35" i="2"/>
  <c r="AC35" i="2"/>
  <c r="AB35" i="2"/>
  <c r="AA35" i="2"/>
  <c r="Z35" i="2"/>
  <c r="X35" i="2"/>
  <c r="W35" i="2"/>
  <c r="Y35" i="2" s="1"/>
  <c r="V35" i="2"/>
  <c r="U35" i="2"/>
  <c r="T35" i="2"/>
  <c r="S35" i="2"/>
  <c r="R35" i="2"/>
  <c r="P35" i="2"/>
  <c r="O35" i="2"/>
  <c r="Q35" i="2" s="1"/>
  <c r="I35" i="2"/>
  <c r="F35" i="2"/>
  <c r="E35" i="2"/>
  <c r="D35" i="2"/>
  <c r="C35" i="2"/>
  <c r="B35" i="2"/>
  <c r="A35" i="2"/>
  <c r="CS34" i="2"/>
  <c r="CR34" i="2"/>
  <c r="CQ34" i="2"/>
  <c r="CP34" i="2"/>
  <c r="BU34" i="2"/>
  <c r="BQ34" i="2"/>
  <c r="CW34" i="2" s="1"/>
  <c r="BP34" i="2"/>
  <c r="BO34" i="2"/>
  <c r="BN34" i="2"/>
  <c r="K34" i="19" s="1"/>
  <c r="BM34" i="2"/>
  <c r="BL34" i="2"/>
  <c r="BK34" i="2"/>
  <c r="BJ34" i="2"/>
  <c r="BI34" i="2"/>
  <c r="BH34" i="2"/>
  <c r="BG34" i="2"/>
  <c r="AN34" i="2"/>
  <c r="AG34" i="2"/>
  <c r="AF34" i="2"/>
  <c r="AE34" i="2"/>
  <c r="Y34" i="2"/>
  <c r="X34" i="2"/>
  <c r="W34" i="2"/>
  <c r="Q34" i="2"/>
  <c r="P34" i="2"/>
  <c r="O34" i="2"/>
  <c r="I34" i="2"/>
  <c r="H34" i="2"/>
  <c r="G34" i="2"/>
  <c r="M34" i="2" s="1"/>
  <c r="F34" i="2"/>
  <c r="L34" i="2" s="1"/>
  <c r="E34" i="2"/>
  <c r="D34" i="2"/>
  <c r="C34" i="2"/>
  <c r="B34" i="2"/>
  <c r="A34" i="2"/>
  <c r="DC33" i="2"/>
  <c r="DB33" i="2"/>
  <c r="CX33" i="2"/>
  <c r="CV33" i="2"/>
  <c r="CU33" i="2"/>
  <c r="CT33" i="2"/>
  <c r="CS33" i="2"/>
  <c r="CR33" i="2"/>
  <c r="CP33" i="2"/>
  <c r="CN33" i="2"/>
  <c r="CM33" i="2"/>
  <c r="CL33" i="2"/>
  <c r="CE33" i="2"/>
  <c r="BX33" i="2"/>
  <c r="BW33" i="2"/>
  <c r="BV33" i="2"/>
  <c r="BU33" i="2"/>
  <c r="BT33" i="2"/>
  <c r="BQ33" i="2"/>
  <c r="CQ33" i="2" s="1"/>
  <c r="BP33" i="2"/>
  <c r="BO33" i="2"/>
  <c r="BM33" i="2"/>
  <c r="BL33" i="2"/>
  <c r="BK33" i="2"/>
  <c r="BJ33" i="2"/>
  <c r="BI33" i="2"/>
  <c r="BH33" i="2"/>
  <c r="BG33" i="2"/>
  <c r="BF33" i="2"/>
  <c r="AY33" i="2"/>
  <c r="AX33" i="2"/>
  <c r="AQ33" i="2"/>
  <c r="AP33" i="2"/>
  <c r="AO33" i="2"/>
  <c r="AN33" i="2"/>
  <c r="AI33" i="2"/>
  <c r="AH33" i="2"/>
  <c r="AG33" i="2"/>
  <c r="AF33" i="2"/>
  <c r="AD33" i="2"/>
  <c r="AC33" i="2"/>
  <c r="AB33" i="2"/>
  <c r="AA33" i="2"/>
  <c r="Z33" i="2"/>
  <c r="Y33" i="2"/>
  <c r="X33" i="2"/>
  <c r="W33" i="2"/>
  <c r="AE33" i="2" s="1"/>
  <c r="T33" i="2"/>
  <c r="R33" i="2"/>
  <c r="S33" i="2" s="1"/>
  <c r="V33" i="2" s="1"/>
  <c r="Q33" i="2"/>
  <c r="P33" i="2"/>
  <c r="O33" i="2"/>
  <c r="L33" i="2"/>
  <c r="I33" i="2"/>
  <c r="K33" i="2" s="1"/>
  <c r="H33" i="2"/>
  <c r="F33" i="2"/>
  <c r="E33" i="2"/>
  <c r="D33" i="2"/>
  <c r="C33" i="2"/>
  <c r="B33" i="2"/>
  <c r="A33" i="2"/>
  <c r="BQ32" i="2"/>
  <c r="BP32" i="2"/>
  <c r="BO32" i="2"/>
  <c r="BN32" i="2"/>
  <c r="K32" i="19" s="1"/>
  <c r="BM32" i="2"/>
  <c r="BL32" i="2"/>
  <c r="BK32" i="2"/>
  <c r="BJ32" i="2"/>
  <c r="BI32" i="2"/>
  <c r="BH32" i="2"/>
  <c r="BG32" i="2"/>
  <c r="AN32" i="2"/>
  <c r="AL32" i="2"/>
  <c r="AK32" i="2"/>
  <c r="AM32" i="2" s="1"/>
  <c r="AI32" i="2"/>
  <c r="AG32" i="2"/>
  <c r="W32" i="2"/>
  <c r="AB32" i="2" s="1"/>
  <c r="T32" i="2"/>
  <c r="P32" i="2"/>
  <c r="O32" i="2"/>
  <c r="L32" i="2"/>
  <c r="I32" i="2"/>
  <c r="G32" i="2"/>
  <c r="F32" i="2"/>
  <c r="E32" i="2"/>
  <c r="D32" i="2"/>
  <c r="C32" i="2"/>
  <c r="B32" i="2"/>
  <c r="A32" i="2"/>
  <c r="DB31" i="2"/>
  <c r="CZ31" i="2"/>
  <c r="CY31" i="2"/>
  <c r="CX31" i="2"/>
  <c r="CV31" i="2"/>
  <c r="CU31" i="2"/>
  <c r="CT31" i="2"/>
  <c r="CS31" i="2"/>
  <c r="CR31" i="2"/>
  <c r="CQ31" i="2"/>
  <c r="CP31" i="2"/>
  <c r="CN31" i="2"/>
  <c r="CM31" i="2"/>
  <c r="CL31" i="2"/>
  <c r="CK31" i="2"/>
  <c r="CJ31" i="2"/>
  <c r="CI31" i="2"/>
  <c r="CE31" i="2"/>
  <c r="CH31" i="2" s="1"/>
  <c r="CD31" i="2"/>
  <c r="CC31" i="2"/>
  <c r="CB31" i="2"/>
  <c r="CA31" i="2"/>
  <c r="BX31" i="2"/>
  <c r="BW31" i="2"/>
  <c r="BV31" i="2"/>
  <c r="BU31" i="2"/>
  <c r="BT31" i="2"/>
  <c r="BQ31" i="2"/>
  <c r="CW31" i="2" s="1"/>
  <c r="BP31" i="2"/>
  <c r="BO31" i="2"/>
  <c r="BM31" i="2"/>
  <c r="BL31" i="2"/>
  <c r="BK31" i="2"/>
  <c r="BJ31" i="2"/>
  <c r="BI31" i="2"/>
  <c r="BH31" i="2"/>
  <c r="BG31" i="2"/>
  <c r="BC31" i="2"/>
  <c r="BE31" i="2" s="1"/>
  <c r="AY31" i="2"/>
  <c r="AX31" i="2"/>
  <c r="AU31" i="2"/>
  <c r="AW31" i="2" s="1"/>
  <c r="AQ31" i="2"/>
  <c r="AV31" i="2" s="1"/>
  <c r="AN31" i="2"/>
  <c r="AM31" i="2"/>
  <c r="AG31" i="2"/>
  <c r="AP31" i="2" s="1"/>
  <c r="AF31" i="2"/>
  <c r="AA31" i="2"/>
  <c r="Z31" i="2"/>
  <c r="Y31" i="2"/>
  <c r="X31" i="2"/>
  <c r="W31" i="2"/>
  <c r="AE31" i="2" s="1"/>
  <c r="O31" i="2"/>
  <c r="K31" i="2"/>
  <c r="J31" i="2"/>
  <c r="I31" i="2"/>
  <c r="H31" i="2"/>
  <c r="G31" i="2"/>
  <c r="F31" i="2"/>
  <c r="L31" i="2" s="1"/>
  <c r="E31" i="2"/>
  <c r="D31" i="2"/>
  <c r="C31" i="2"/>
  <c r="B31" i="2"/>
  <c r="A31" i="2"/>
  <c r="CW30" i="2"/>
  <c r="CV30" i="2"/>
  <c r="CU30" i="2"/>
  <c r="CT30" i="2"/>
  <c r="CO30" i="2"/>
  <c r="CN30" i="2"/>
  <c r="CL30" i="2"/>
  <c r="BX30" i="2"/>
  <c r="BW30" i="2"/>
  <c r="BV30" i="2"/>
  <c r="BR30" i="2"/>
  <c r="CF30" i="2" s="1"/>
  <c r="BQ30" i="2"/>
  <c r="CX30" i="2" s="1"/>
  <c r="BP30" i="2"/>
  <c r="BO30" i="2"/>
  <c r="BN30" i="2"/>
  <c r="K30" i="19" s="1"/>
  <c r="BM30" i="2"/>
  <c r="BL30" i="2"/>
  <c r="BK30" i="2"/>
  <c r="BJ30" i="2"/>
  <c r="BI30" i="2"/>
  <c r="BH30" i="2"/>
  <c r="BG30" i="2"/>
  <c r="AQ30" i="2"/>
  <c r="AP30" i="2"/>
  <c r="AN30" i="2"/>
  <c r="AL30" i="2"/>
  <c r="AK30" i="2"/>
  <c r="AI30" i="2"/>
  <c r="AS30" i="2" s="1"/>
  <c r="AT30" i="2" s="1"/>
  <c r="AH30" i="2"/>
  <c r="AG30" i="2"/>
  <c r="AM30" i="2" s="1"/>
  <c r="AD30" i="2"/>
  <c r="AC30" i="2"/>
  <c r="AB30" i="2"/>
  <c r="AA30" i="2"/>
  <c r="Z30" i="2"/>
  <c r="Y30" i="2"/>
  <c r="W30" i="2"/>
  <c r="AF30" i="2" s="1"/>
  <c r="T30" i="2"/>
  <c r="O30" i="2"/>
  <c r="P30" i="2" s="1"/>
  <c r="L30" i="2"/>
  <c r="K30" i="2"/>
  <c r="N30" i="2" s="1"/>
  <c r="I30" i="2"/>
  <c r="F30" i="2"/>
  <c r="E30" i="2"/>
  <c r="D30" i="2"/>
  <c r="C30" i="2"/>
  <c r="B30" i="2"/>
  <c r="A30" i="2"/>
  <c r="BQ29" i="2"/>
  <c r="CR29" i="2" s="1"/>
  <c r="BP29" i="2"/>
  <c r="BO29" i="2"/>
  <c r="BN29" i="2"/>
  <c r="K29" i="19" s="1"/>
  <c r="BM29" i="2"/>
  <c r="BL29" i="2"/>
  <c r="BK29" i="2"/>
  <c r="BJ29" i="2"/>
  <c r="BI29" i="2"/>
  <c r="BH29" i="2"/>
  <c r="BG29" i="2"/>
  <c r="AN29" i="2"/>
  <c r="AM29" i="2"/>
  <c r="AL29" i="2"/>
  <c r="AK29" i="2"/>
  <c r="AG29" i="2"/>
  <c r="AF29" i="2"/>
  <c r="AC29" i="2"/>
  <c r="Y29" i="2"/>
  <c r="X29" i="2"/>
  <c r="W29" i="2"/>
  <c r="AE29" i="2" s="1"/>
  <c r="O29" i="2"/>
  <c r="I29" i="2"/>
  <c r="G29" i="2"/>
  <c r="F29" i="2"/>
  <c r="E29" i="2"/>
  <c r="D29" i="2"/>
  <c r="C29" i="2"/>
  <c r="B29" i="2"/>
  <c r="A29" i="2"/>
  <c r="DB28" i="2"/>
  <c r="CV28" i="2"/>
  <c r="CU28" i="2"/>
  <c r="CT28" i="2"/>
  <c r="CS28" i="2"/>
  <c r="CR28" i="2"/>
  <c r="CN28" i="2"/>
  <c r="CM28" i="2"/>
  <c r="CL28" i="2"/>
  <c r="CK28" i="2"/>
  <c r="CJ28" i="2"/>
  <c r="CE28" i="2"/>
  <c r="CD28" i="2"/>
  <c r="CC28" i="2"/>
  <c r="CB28" i="2"/>
  <c r="BX28" i="2"/>
  <c r="BW28" i="2"/>
  <c r="BV28" i="2"/>
  <c r="BU28" i="2"/>
  <c r="BT28" i="2"/>
  <c r="BQ28" i="2"/>
  <c r="CQ28" i="2" s="1"/>
  <c r="BP28" i="2"/>
  <c r="BO28" i="2"/>
  <c r="BM28" i="2"/>
  <c r="BL28" i="2"/>
  <c r="BK28" i="2"/>
  <c r="BJ28" i="2"/>
  <c r="BI28" i="2"/>
  <c r="BH28" i="2"/>
  <c r="BG28" i="2"/>
  <c r="AQ28" i="2"/>
  <c r="AP28" i="2"/>
  <c r="AO28" i="2"/>
  <c r="AN28" i="2"/>
  <c r="AI28" i="2"/>
  <c r="AH28" i="2"/>
  <c r="AG28" i="2"/>
  <c r="AF28" i="2"/>
  <c r="AB28" i="2"/>
  <c r="AA28" i="2"/>
  <c r="Z28" i="2"/>
  <c r="Y28" i="2"/>
  <c r="X28" i="2"/>
  <c r="W28" i="2"/>
  <c r="AE28" i="2" s="1"/>
  <c r="T28" i="2"/>
  <c r="S28" i="2"/>
  <c r="R28" i="2"/>
  <c r="Q28" i="2"/>
  <c r="P28" i="2"/>
  <c r="O28" i="2"/>
  <c r="V28" i="2" s="1"/>
  <c r="L28" i="2"/>
  <c r="K28" i="2"/>
  <c r="I28" i="2"/>
  <c r="H28" i="2"/>
  <c r="J28" i="2" s="1"/>
  <c r="G28" i="2"/>
  <c r="M28" i="2" s="1"/>
  <c r="F28" i="2"/>
  <c r="E28" i="2"/>
  <c r="D28" i="2"/>
  <c r="C28" i="2"/>
  <c r="B28" i="2"/>
  <c r="A28" i="2"/>
  <c r="CO27" i="2"/>
  <c r="CN27" i="2"/>
  <c r="BZ27" i="2"/>
  <c r="BY27" i="2"/>
  <c r="BR27" i="2"/>
  <c r="CF27" i="2" s="1"/>
  <c r="BQ27" i="2"/>
  <c r="CP27" i="2" s="1"/>
  <c r="BP27" i="2"/>
  <c r="BO27" i="2"/>
  <c r="BM27" i="2"/>
  <c r="BL27" i="2"/>
  <c r="BK27" i="2"/>
  <c r="BJ27" i="2"/>
  <c r="BI27" i="2"/>
  <c r="BH27" i="2"/>
  <c r="BG27" i="2"/>
  <c r="AR27" i="2"/>
  <c r="AZ27" i="2" s="1"/>
  <c r="AP27" i="2"/>
  <c r="AN27" i="2"/>
  <c r="AM27" i="2"/>
  <c r="AL27" i="2"/>
  <c r="BN27" i="2" s="1"/>
  <c r="K27" i="19" s="1"/>
  <c r="AK27" i="2"/>
  <c r="AI27" i="2"/>
  <c r="BS27" i="2" s="1"/>
  <c r="CG27" i="2" s="1"/>
  <c r="AH27" i="2"/>
  <c r="AO27" i="2" s="1"/>
  <c r="AG27" i="2"/>
  <c r="W27" i="2"/>
  <c r="AA27" i="2" s="1"/>
  <c r="T27" i="2"/>
  <c r="O27" i="2"/>
  <c r="M27" i="2"/>
  <c r="L27" i="2"/>
  <c r="N27" i="2" s="1"/>
  <c r="K27" i="2"/>
  <c r="I27" i="2"/>
  <c r="G27" i="2"/>
  <c r="F27" i="2"/>
  <c r="E27" i="2"/>
  <c r="D27" i="2"/>
  <c r="C27" i="2"/>
  <c r="B27" i="2"/>
  <c r="A27" i="2"/>
  <c r="DA26" i="2"/>
  <c r="CX26" i="2"/>
  <c r="CU26" i="2"/>
  <c r="CT26" i="2"/>
  <c r="CS26" i="2"/>
  <c r="CR26" i="2"/>
  <c r="CQ26" i="2"/>
  <c r="CP26" i="2"/>
  <c r="CM26" i="2"/>
  <c r="CL26" i="2"/>
  <c r="CI26" i="2"/>
  <c r="CH26" i="2"/>
  <c r="CE26" i="2"/>
  <c r="BW26" i="2"/>
  <c r="BV26" i="2"/>
  <c r="BU26" i="2"/>
  <c r="BT26" i="2"/>
  <c r="BQ26" i="2"/>
  <c r="CW26" i="2" s="1"/>
  <c r="BP26" i="2"/>
  <c r="BO26" i="2"/>
  <c r="BN26" i="2"/>
  <c r="K26" i="19" s="1"/>
  <c r="BM26" i="2"/>
  <c r="BL26" i="2"/>
  <c r="BK26" i="2"/>
  <c r="BJ26" i="2"/>
  <c r="BI26" i="2"/>
  <c r="BH26" i="2"/>
  <c r="BG26" i="2"/>
  <c r="BE26" i="2"/>
  <c r="BC26" i="2"/>
  <c r="BB26" i="2"/>
  <c r="AX26" i="2"/>
  <c r="AW26" i="2"/>
  <c r="AV26" i="2"/>
  <c r="AU26" i="2"/>
  <c r="AQ26" i="2"/>
  <c r="AY26" i="2" s="1"/>
  <c r="AN26" i="2"/>
  <c r="AM26" i="2"/>
  <c r="AG26" i="2"/>
  <c r="AP26" i="2" s="1"/>
  <c r="AD26" i="2"/>
  <c r="Y26" i="2"/>
  <c r="Z26" i="2" s="1"/>
  <c r="X26" i="2"/>
  <c r="W26" i="2"/>
  <c r="O26" i="2"/>
  <c r="I26" i="2"/>
  <c r="H26" i="2"/>
  <c r="F26" i="2"/>
  <c r="E26" i="2"/>
  <c r="D26" i="2"/>
  <c r="C26" i="2"/>
  <c r="B26" i="2"/>
  <c r="A26" i="2"/>
  <c r="CW25" i="2"/>
  <c r="CV25" i="2"/>
  <c r="CU25" i="2"/>
  <c r="CT25" i="2"/>
  <c r="CO25" i="2"/>
  <c r="CN25" i="2"/>
  <c r="CM25" i="2"/>
  <c r="CL25" i="2"/>
  <c r="BX25" i="2"/>
  <c r="BW25" i="2"/>
  <c r="BV25" i="2"/>
  <c r="BU25" i="2"/>
  <c r="BQ25" i="2"/>
  <c r="BP25" i="2"/>
  <c r="BO25" i="2"/>
  <c r="BN25" i="2"/>
  <c r="K25" i="19" s="1"/>
  <c r="BM25" i="2"/>
  <c r="BL25" i="2"/>
  <c r="BK25" i="2"/>
  <c r="BJ25" i="2"/>
  <c r="BI25" i="2"/>
  <c r="BH25" i="2"/>
  <c r="BG25" i="2"/>
  <c r="AQ25" i="2"/>
  <c r="AN25" i="2"/>
  <c r="AG25" i="2"/>
  <c r="AD25" i="2"/>
  <c r="AC25" i="2"/>
  <c r="AF25" i="2" s="1"/>
  <c r="AB25" i="2"/>
  <c r="Z25" i="2"/>
  <c r="Y25" i="2"/>
  <c r="AA25" i="2" s="1"/>
  <c r="X25" i="2"/>
  <c r="W25" i="2"/>
  <c r="T25" i="2"/>
  <c r="P25" i="2"/>
  <c r="O25" i="2"/>
  <c r="L25" i="2"/>
  <c r="K25" i="2"/>
  <c r="I25" i="2"/>
  <c r="F25" i="2"/>
  <c r="E25" i="2"/>
  <c r="D25" i="2"/>
  <c r="C25" i="2"/>
  <c r="B25" i="2"/>
  <c r="A25" i="2"/>
  <c r="CQ24" i="2"/>
  <c r="BQ24" i="2"/>
  <c r="CP24" i="2" s="1"/>
  <c r="BP24" i="2"/>
  <c r="BO24" i="2"/>
  <c r="BN24" i="2"/>
  <c r="K24" i="19" s="1"/>
  <c r="BM24" i="2"/>
  <c r="BL24" i="2"/>
  <c r="BK24" i="2"/>
  <c r="BJ24" i="2"/>
  <c r="BI24" i="2"/>
  <c r="BH24" i="2"/>
  <c r="BG24" i="2"/>
  <c r="AN24" i="2"/>
  <c r="AL24" i="2"/>
  <c r="AK24" i="2"/>
  <c r="AM24" i="2" s="1"/>
  <c r="AG24" i="2"/>
  <c r="AI24" i="2" s="1"/>
  <c r="AF24" i="2"/>
  <c r="AC24" i="2"/>
  <c r="AB24" i="2"/>
  <c r="X24" i="2"/>
  <c r="W24" i="2"/>
  <c r="AE24" i="2" s="1"/>
  <c r="O24" i="2"/>
  <c r="I24" i="2"/>
  <c r="H24" i="2"/>
  <c r="F24" i="2"/>
  <c r="E24" i="2"/>
  <c r="D24" i="2"/>
  <c r="C24" i="2"/>
  <c r="B24" i="2"/>
  <c r="A24" i="2"/>
  <c r="CV23" i="2"/>
  <c r="CU23" i="2"/>
  <c r="CT23" i="2"/>
  <c r="CS23" i="2"/>
  <c r="CR23" i="2"/>
  <c r="CQ23" i="2"/>
  <c r="CP23" i="2"/>
  <c r="CN23" i="2"/>
  <c r="CM23" i="2"/>
  <c r="CL23" i="2"/>
  <c r="CE23" i="2"/>
  <c r="CB23" i="2"/>
  <c r="BX23" i="2"/>
  <c r="BU23" i="2"/>
  <c r="BQ23" i="2"/>
  <c r="CW23" i="2" s="1"/>
  <c r="BP23" i="2"/>
  <c r="BO23" i="2"/>
  <c r="BN23" i="2"/>
  <c r="K23" i="19" s="1"/>
  <c r="BM23" i="2"/>
  <c r="BL23" i="2"/>
  <c r="BK23" i="2"/>
  <c r="BJ23" i="2"/>
  <c r="BI23" i="2"/>
  <c r="BH23" i="2"/>
  <c r="BG23" i="2"/>
  <c r="AY23" i="2"/>
  <c r="AQ23" i="2"/>
  <c r="AV23" i="2" s="1"/>
  <c r="AN23" i="2"/>
  <c r="AI23" i="2"/>
  <c r="AG23" i="2"/>
  <c r="AF23" i="2"/>
  <c r="AE23" i="2"/>
  <c r="AB23" i="2"/>
  <c r="Y23" i="2"/>
  <c r="W23" i="2"/>
  <c r="T23" i="2"/>
  <c r="O23" i="2"/>
  <c r="I23" i="2"/>
  <c r="K23" i="2" s="1"/>
  <c r="H23" i="2"/>
  <c r="L23" i="2" s="1"/>
  <c r="G23" i="2"/>
  <c r="F23" i="2"/>
  <c r="E23" i="2"/>
  <c r="D23" i="2"/>
  <c r="C23" i="2"/>
  <c r="B23" i="2"/>
  <c r="A23" i="2"/>
  <c r="CX22" i="2"/>
  <c r="CU22" i="2"/>
  <c r="CT22" i="2"/>
  <c r="CQ22" i="2"/>
  <c r="CN22" i="2"/>
  <c r="BY22" i="2"/>
  <c r="BX22" i="2"/>
  <c r="BW22" i="2"/>
  <c r="BR22" i="2"/>
  <c r="CF22" i="2" s="1"/>
  <c r="BQ22" i="2"/>
  <c r="CV22" i="2" s="1"/>
  <c r="BP22" i="2"/>
  <c r="BO22" i="2"/>
  <c r="BN22" i="2"/>
  <c r="K22" i="19" s="1"/>
  <c r="BM22" i="2"/>
  <c r="BL22" i="2"/>
  <c r="BK22" i="2"/>
  <c r="BJ22" i="2"/>
  <c r="BI22" i="2"/>
  <c r="BH22" i="2"/>
  <c r="BG22" i="2"/>
  <c r="AT22" i="2"/>
  <c r="AS22" i="2"/>
  <c r="AP22" i="2"/>
  <c r="AN22" i="2"/>
  <c r="AM22" i="2"/>
  <c r="AL22" i="2"/>
  <c r="AK22" i="2"/>
  <c r="AI22" i="2"/>
  <c r="AH22" i="2"/>
  <c r="AO22" i="2" s="1"/>
  <c r="AG22" i="2"/>
  <c r="AE22" i="2"/>
  <c r="AD22" i="2"/>
  <c r="AC22" i="2"/>
  <c r="AB22" i="2"/>
  <c r="AA22" i="2"/>
  <c r="Z22" i="2"/>
  <c r="W22" i="2"/>
  <c r="O22" i="2"/>
  <c r="S22" i="2" s="1"/>
  <c r="I22" i="2"/>
  <c r="F22" i="2"/>
  <c r="E22" i="2"/>
  <c r="D22" i="2"/>
  <c r="C22" i="2"/>
  <c r="B22" i="2"/>
  <c r="A22" i="2"/>
  <c r="CS21" i="2"/>
  <c r="BQ21" i="2"/>
  <c r="BP21" i="2"/>
  <c r="BO21" i="2"/>
  <c r="BM21" i="2"/>
  <c r="BL21" i="2"/>
  <c r="BK21" i="2"/>
  <c r="BJ21" i="2"/>
  <c r="BI21" i="2"/>
  <c r="BH21" i="2"/>
  <c r="BG21" i="2"/>
  <c r="AN21" i="2"/>
  <c r="AG21" i="2"/>
  <c r="AD21" i="2"/>
  <c r="AC21" i="2"/>
  <c r="AB21" i="2"/>
  <c r="Z21" i="2"/>
  <c r="Y21" i="2"/>
  <c r="X21" i="2"/>
  <c r="W21" i="2"/>
  <c r="AA21" i="2" s="1"/>
  <c r="Q21" i="2"/>
  <c r="O21" i="2"/>
  <c r="I21" i="2"/>
  <c r="F21" i="2"/>
  <c r="E21" i="2"/>
  <c r="D21" i="2"/>
  <c r="C21" i="2"/>
  <c r="B21" i="2"/>
  <c r="A21" i="2"/>
  <c r="CT20" i="2"/>
  <c r="CS20" i="2"/>
  <c r="BQ20" i="2"/>
  <c r="BP20" i="2"/>
  <c r="BO20" i="2"/>
  <c r="BN20" i="2"/>
  <c r="K20" i="19" s="1"/>
  <c r="BM20" i="2"/>
  <c r="BL20" i="2"/>
  <c r="BK20" i="2"/>
  <c r="BJ20" i="2"/>
  <c r="BI20" i="2"/>
  <c r="BH20" i="2"/>
  <c r="BG20" i="2"/>
  <c r="AQ20" i="2"/>
  <c r="AY20" i="2" s="1"/>
  <c r="AN20" i="2"/>
  <c r="AI20" i="2"/>
  <c r="AG20" i="2"/>
  <c r="AC20" i="2"/>
  <c r="AB20" i="2"/>
  <c r="Z20" i="2"/>
  <c r="Y20" i="2"/>
  <c r="X20" i="2"/>
  <c r="W20" i="2"/>
  <c r="AD20" i="2" s="1"/>
  <c r="O20" i="2"/>
  <c r="Q20" i="2" s="1"/>
  <c r="L20" i="2"/>
  <c r="K20" i="2"/>
  <c r="I20" i="2"/>
  <c r="H20" i="2"/>
  <c r="G20" i="2"/>
  <c r="F20" i="2"/>
  <c r="E20" i="2"/>
  <c r="D20" i="2"/>
  <c r="C20" i="2"/>
  <c r="B20" i="2"/>
  <c r="A20" i="2"/>
  <c r="BR19" i="2"/>
  <c r="CF19" i="2" s="1"/>
  <c r="BQ19" i="2"/>
  <c r="BP19" i="2"/>
  <c r="BO19" i="2"/>
  <c r="BN19" i="2"/>
  <c r="K19" i="19" s="1"/>
  <c r="BM19" i="2"/>
  <c r="BL19" i="2"/>
  <c r="BK19" i="2"/>
  <c r="BJ19" i="2"/>
  <c r="BI19" i="2"/>
  <c r="BH19" i="2"/>
  <c r="BG19" i="2"/>
  <c r="AN19" i="2"/>
  <c r="AI19" i="2"/>
  <c r="AH19" i="2"/>
  <c r="AG19" i="2"/>
  <c r="AD19" i="2"/>
  <c r="AC19" i="2"/>
  <c r="AA19" i="2"/>
  <c r="Z19" i="2"/>
  <c r="X19" i="2"/>
  <c r="W19" i="2"/>
  <c r="Y19" i="2" s="1"/>
  <c r="P19" i="2"/>
  <c r="O19" i="2"/>
  <c r="L19" i="2"/>
  <c r="K19" i="2"/>
  <c r="I19" i="2"/>
  <c r="H19" i="2"/>
  <c r="R19" i="2" s="1"/>
  <c r="G19" i="2"/>
  <c r="M19" i="2" s="1"/>
  <c r="F19" i="2"/>
  <c r="J19" i="2" s="1"/>
  <c r="E19" i="2"/>
  <c r="D19" i="2"/>
  <c r="C19" i="2"/>
  <c r="B19" i="2"/>
  <c r="A19" i="2"/>
  <c r="CU18" i="2"/>
  <c r="CT18" i="2"/>
  <c r="CS18" i="2"/>
  <c r="CP18" i="2"/>
  <c r="CO18" i="2"/>
  <c r="CL18" i="2"/>
  <c r="CE18" i="2"/>
  <c r="CI18" i="2" s="1"/>
  <c r="BS18" i="2"/>
  <c r="BR18" i="2"/>
  <c r="BQ18" i="2"/>
  <c r="CQ18" i="2" s="1"/>
  <c r="BP18" i="2"/>
  <c r="BO18" i="2"/>
  <c r="BN18" i="2"/>
  <c r="K18" i="19" s="1"/>
  <c r="BM18" i="2"/>
  <c r="BL18" i="2"/>
  <c r="BK18" i="2"/>
  <c r="BJ18" i="2"/>
  <c r="BI18" i="2"/>
  <c r="BH18" i="2"/>
  <c r="BG18" i="2"/>
  <c r="AQ18" i="2"/>
  <c r="AY18" i="2" s="1"/>
  <c r="BD18" i="2" s="1"/>
  <c r="AN18" i="2"/>
  <c r="AI18" i="2"/>
  <c r="AS18" i="2" s="1"/>
  <c r="AT18" i="2" s="1"/>
  <c r="AH18" i="2"/>
  <c r="AG18" i="2"/>
  <c r="AC18" i="2"/>
  <c r="AA18" i="2"/>
  <c r="Z18" i="2"/>
  <c r="W18" i="2"/>
  <c r="AB18" i="2" s="1"/>
  <c r="R18" i="2"/>
  <c r="Q18" i="2"/>
  <c r="S18" i="2" s="1"/>
  <c r="V18" i="2" s="1"/>
  <c r="P18" i="2"/>
  <c r="O18" i="2"/>
  <c r="T18" i="2" s="1"/>
  <c r="I18" i="2"/>
  <c r="K18" i="2" s="1"/>
  <c r="H18" i="2"/>
  <c r="G18" i="2"/>
  <c r="F18" i="2"/>
  <c r="E18" i="2"/>
  <c r="D18" i="2"/>
  <c r="C18" i="2"/>
  <c r="B18" i="2"/>
  <c r="A18" i="2"/>
  <c r="CV17" i="2"/>
  <c r="CU17" i="2"/>
  <c r="CT17" i="2"/>
  <c r="CP17" i="2"/>
  <c r="CO17" i="2"/>
  <c r="CM17" i="2"/>
  <c r="CL17" i="2"/>
  <c r="CB17" i="2"/>
  <c r="BX17" i="2"/>
  <c r="BU17" i="2"/>
  <c r="BR17" i="2"/>
  <c r="AR17" i="2" s="1"/>
  <c r="AZ17" i="2" s="1"/>
  <c r="BQ17" i="2"/>
  <c r="CQ17" i="2" s="1"/>
  <c r="BP17" i="2"/>
  <c r="BO17" i="2"/>
  <c r="BN17" i="2"/>
  <c r="K17" i="19" s="1"/>
  <c r="BM17" i="2"/>
  <c r="BL17" i="2"/>
  <c r="BK17" i="2"/>
  <c r="BJ17" i="2"/>
  <c r="BI17" i="2"/>
  <c r="BH17" i="2"/>
  <c r="BG17" i="2"/>
  <c r="BD17" i="2"/>
  <c r="AS17" i="2"/>
  <c r="AT17" i="2" s="1"/>
  <c r="BB17" i="2" s="1"/>
  <c r="AQ17" i="2"/>
  <c r="AY17" i="2" s="1"/>
  <c r="AN17" i="2"/>
  <c r="AK17" i="2"/>
  <c r="AJ17" i="2"/>
  <c r="AI17" i="2"/>
  <c r="AH17" i="2"/>
  <c r="AG17" i="2"/>
  <c r="AL17" i="2" s="1"/>
  <c r="AF17" i="2"/>
  <c r="AD17" i="2"/>
  <c r="AC17" i="2"/>
  <c r="AB17" i="2"/>
  <c r="AA17" i="2"/>
  <c r="Z17" i="2"/>
  <c r="Y17" i="2"/>
  <c r="X17" i="2"/>
  <c r="W17" i="2"/>
  <c r="AE17" i="2" s="1"/>
  <c r="T17" i="2"/>
  <c r="P17" i="2"/>
  <c r="O17" i="2"/>
  <c r="L17" i="2"/>
  <c r="K17" i="2"/>
  <c r="I17" i="2"/>
  <c r="F17" i="2"/>
  <c r="N17" i="2" s="1"/>
  <c r="E17" i="2"/>
  <c r="D17" i="2"/>
  <c r="C17" i="2"/>
  <c r="B17" i="2"/>
  <c r="A17" i="2"/>
  <c r="CW16" i="2"/>
  <c r="CV16" i="2"/>
  <c r="CU16" i="2"/>
  <c r="CQ16" i="2"/>
  <c r="CN16" i="2"/>
  <c r="CM16" i="2"/>
  <c r="CE16" i="2"/>
  <c r="BU16" i="2"/>
  <c r="BQ16" i="2"/>
  <c r="BP16" i="2"/>
  <c r="BO16" i="2"/>
  <c r="BN16" i="2"/>
  <c r="K16" i="19" s="1"/>
  <c r="BM16" i="2"/>
  <c r="BL16" i="2"/>
  <c r="BK16" i="2"/>
  <c r="BJ16" i="2"/>
  <c r="BI16" i="2"/>
  <c r="BH16" i="2"/>
  <c r="BG16" i="2"/>
  <c r="AY16" i="2"/>
  <c r="AQ16" i="2"/>
  <c r="AN16" i="2"/>
  <c r="AG16" i="2"/>
  <c r="AF16" i="2"/>
  <c r="AD16" i="2"/>
  <c r="AC16" i="2"/>
  <c r="AA16" i="2"/>
  <c r="Z16" i="2"/>
  <c r="Y16" i="2"/>
  <c r="X16" i="2"/>
  <c r="W16" i="2"/>
  <c r="AE16" i="2" s="1"/>
  <c r="P16" i="2"/>
  <c r="O16" i="2"/>
  <c r="T16" i="2" s="1"/>
  <c r="I16" i="2"/>
  <c r="K16" i="2" s="1"/>
  <c r="F16" i="2"/>
  <c r="L16" i="2" s="1"/>
  <c r="E16" i="2"/>
  <c r="D16" i="2"/>
  <c r="C16" i="2"/>
  <c r="B16" i="2"/>
  <c r="A16" i="2"/>
  <c r="CW15" i="2"/>
  <c r="CV15" i="2"/>
  <c r="BQ15" i="2"/>
  <c r="BP15" i="2"/>
  <c r="BO15" i="2"/>
  <c r="BN15" i="2"/>
  <c r="K15" i="19" s="1"/>
  <c r="BM15" i="2"/>
  <c r="BL15" i="2"/>
  <c r="BK15" i="2"/>
  <c r="BJ15" i="2"/>
  <c r="BI15" i="2"/>
  <c r="BH15" i="2"/>
  <c r="BG15" i="2"/>
  <c r="AN15" i="2"/>
  <c r="AG15" i="2"/>
  <c r="AI15" i="2" s="1"/>
  <c r="AK15" i="2" s="1"/>
  <c r="AF15" i="2"/>
  <c r="AD15" i="2"/>
  <c r="AC15" i="2"/>
  <c r="AB15" i="2"/>
  <c r="AA15" i="2"/>
  <c r="Z15" i="2"/>
  <c r="Y15" i="2"/>
  <c r="X15" i="2"/>
  <c r="W15" i="2"/>
  <c r="AE15" i="2" s="1"/>
  <c r="T15" i="2"/>
  <c r="P15" i="2"/>
  <c r="O15" i="2"/>
  <c r="I15" i="2"/>
  <c r="F15" i="2"/>
  <c r="E15" i="2"/>
  <c r="D15" i="2"/>
  <c r="C15" i="2"/>
  <c r="B15" i="2"/>
  <c r="A15" i="2"/>
  <c r="CV14" i="2"/>
  <c r="CU14" i="2"/>
  <c r="CS14" i="2"/>
  <c r="CR14" i="2"/>
  <c r="CQ14" i="2"/>
  <c r="CP14" i="2"/>
  <c r="CN14" i="2"/>
  <c r="CM14" i="2"/>
  <c r="CI14" i="2"/>
  <c r="CE14" i="2"/>
  <c r="CB14" i="2"/>
  <c r="BX14" i="2"/>
  <c r="BU14" i="2"/>
  <c r="BQ14" i="2"/>
  <c r="CW14" i="2" s="1"/>
  <c r="BP14" i="2"/>
  <c r="BO14" i="2"/>
  <c r="BN14" i="2"/>
  <c r="K14" i="19" s="1"/>
  <c r="BM14" i="2"/>
  <c r="BL14" i="2"/>
  <c r="BK14" i="2"/>
  <c r="BJ14" i="2"/>
  <c r="BI14" i="2"/>
  <c r="BH14" i="2"/>
  <c r="BG14" i="2"/>
  <c r="AV14" i="2"/>
  <c r="AQ14" i="2"/>
  <c r="AY14" i="2" s="1"/>
  <c r="AN14" i="2"/>
  <c r="AG14" i="2"/>
  <c r="AF14" i="2"/>
  <c r="AE14" i="2"/>
  <c r="Y14" i="2"/>
  <c r="X14" i="2"/>
  <c r="W14" i="2"/>
  <c r="P14" i="2"/>
  <c r="O14" i="2"/>
  <c r="L14" i="2"/>
  <c r="I14" i="2"/>
  <c r="K14" i="2" s="1"/>
  <c r="H14" i="2"/>
  <c r="Q14" i="2" s="1"/>
  <c r="G14" i="2"/>
  <c r="M14" i="2" s="1"/>
  <c r="F14" i="2"/>
  <c r="E14" i="2"/>
  <c r="D14" i="2"/>
  <c r="C14" i="2"/>
  <c r="B14" i="2"/>
  <c r="A14" i="2"/>
  <c r="CV13" i="2"/>
  <c r="CU13" i="2"/>
  <c r="CT13" i="2"/>
  <c r="CS13" i="2"/>
  <c r="CR13" i="2"/>
  <c r="CQ13" i="2"/>
  <c r="CP13" i="2"/>
  <c r="CN13" i="2"/>
  <c r="CM13" i="2"/>
  <c r="CL13" i="2"/>
  <c r="CE13" i="2"/>
  <c r="BX13" i="2"/>
  <c r="BU13" i="2"/>
  <c r="BQ13" i="2"/>
  <c r="CW13" i="2" s="1"/>
  <c r="BP13" i="2"/>
  <c r="BO13" i="2"/>
  <c r="BN13" i="2"/>
  <c r="K13" i="19" s="1"/>
  <c r="BM13" i="2"/>
  <c r="BL13" i="2"/>
  <c r="BK13" i="2"/>
  <c r="BJ13" i="2"/>
  <c r="BI13" i="2"/>
  <c r="BH13" i="2"/>
  <c r="BG13" i="2"/>
  <c r="AY13" i="2"/>
  <c r="AQ13" i="2"/>
  <c r="AN13" i="2"/>
  <c r="AI13" i="2"/>
  <c r="AL13" i="2" s="1"/>
  <c r="AH13" i="2"/>
  <c r="AJ13" i="2" s="1"/>
  <c r="AG13" i="2"/>
  <c r="AK13" i="2" s="1"/>
  <c r="AM13" i="2" s="1"/>
  <c r="AP13" i="2" s="1"/>
  <c r="AB13" i="2"/>
  <c r="AA13" i="2"/>
  <c r="Z13" i="2"/>
  <c r="W13" i="2"/>
  <c r="Y13" i="2" s="1"/>
  <c r="T13" i="2"/>
  <c r="O13" i="2"/>
  <c r="L13" i="2"/>
  <c r="K13" i="2"/>
  <c r="J13" i="2"/>
  <c r="I13" i="2"/>
  <c r="G13" i="2"/>
  <c r="F13" i="2"/>
  <c r="E13" i="2"/>
  <c r="D13" i="2"/>
  <c r="C13" i="2"/>
  <c r="B13" i="2"/>
  <c r="A13" i="2"/>
  <c r="CW12" i="2"/>
  <c r="CQ12" i="2"/>
  <c r="CP12" i="2"/>
  <c r="BY12" i="2"/>
  <c r="BR12" i="2"/>
  <c r="BQ12" i="2"/>
  <c r="BP12" i="2"/>
  <c r="BO12" i="2"/>
  <c r="BN12" i="2"/>
  <c r="K12" i="19" s="1"/>
  <c r="BM12" i="2"/>
  <c r="BL12" i="2"/>
  <c r="BK12" i="2"/>
  <c r="BJ12" i="2"/>
  <c r="BI12" i="2"/>
  <c r="BH12" i="2"/>
  <c r="BG12" i="2"/>
  <c r="AN12" i="2"/>
  <c r="AH12" i="2"/>
  <c r="AG12" i="2"/>
  <c r="AD12" i="2"/>
  <c r="AC12" i="2"/>
  <c r="W12" i="2"/>
  <c r="O12" i="2"/>
  <c r="I12" i="2"/>
  <c r="G12" i="2"/>
  <c r="F12" i="2"/>
  <c r="E12" i="2"/>
  <c r="D12" i="2"/>
  <c r="C12" i="2"/>
  <c r="B12" i="2"/>
  <c r="A12" i="2"/>
  <c r="CT11" i="2"/>
  <c r="CS11" i="2"/>
  <c r="CR11" i="2"/>
  <c r="CL11" i="2"/>
  <c r="BU11" i="2"/>
  <c r="BQ11" i="2"/>
  <c r="CQ11" i="2" s="1"/>
  <c r="BP11" i="2"/>
  <c r="BO11" i="2"/>
  <c r="BN11" i="2"/>
  <c r="K11" i="19" s="1"/>
  <c r="BM11" i="2"/>
  <c r="BL11" i="2"/>
  <c r="BK11" i="2"/>
  <c r="BJ11" i="2"/>
  <c r="BI11" i="2"/>
  <c r="BH11" i="2"/>
  <c r="BG11" i="2"/>
  <c r="AN11" i="2"/>
  <c r="AG11" i="2"/>
  <c r="AF11" i="2"/>
  <c r="AC11" i="2"/>
  <c r="AB11" i="2"/>
  <c r="Z11" i="2"/>
  <c r="Y11" i="2"/>
  <c r="X11" i="2"/>
  <c r="W11" i="2"/>
  <c r="AE11" i="2" s="1"/>
  <c r="T11" i="2"/>
  <c r="R11" i="2"/>
  <c r="Q11" i="2"/>
  <c r="P11" i="2"/>
  <c r="O11" i="2"/>
  <c r="L11" i="2"/>
  <c r="I11" i="2"/>
  <c r="J11" i="2" s="1"/>
  <c r="H11" i="2"/>
  <c r="G11" i="2"/>
  <c r="F11" i="2"/>
  <c r="K11" i="2" s="1"/>
  <c r="M11" i="2" s="1"/>
  <c r="E11" i="2"/>
  <c r="D11" i="2"/>
  <c r="C11" i="2"/>
  <c r="B11" i="2"/>
  <c r="A11" i="2"/>
  <c r="CW10" i="2"/>
  <c r="CV10" i="2"/>
  <c r="CE10" i="2"/>
  <c r="BQ10" i="2"/>
  <c r="CM10" i="2" s="1"/>
  <c r="BP10" i="2"/>
  <c r="BO10" i="2"/>
  <c r="BN10" i="2"/>
  <c r="K10" i="19" s="1"/>
  <c r="BM10" i="2"/>
  <c r="BL10" i="2"/>
  <c r="BK10" i="2"/>
  <c r="BJ10" i="2"/>
  <c r="BI10" i="2"/>
  <c r="BH10" i="2"/>
  <c r="BG10" i="2"/>
  <c r="AY10" i="2"/>
  <c r="AQ10" i="2"/>
  <c r="AN10" i="2"/>
  <c r="AI10" i="2"/>
  <c r="BS10" i="2" s="1"/>
  <c r="BZ10" i="2" s="1"/>
  <c r="AH10" i="2"/>
  <c r="AG10" i="2"/>
  <c r="AF10" i="2"/>
  <c r="AC10" i="2"/>
  <c r="AB10" i="2"/>
  <c r="AA10" i="2"/>
  <c r="X10" i="2"/>
  <c r="W10" i="2"/>
  <c r="Z10" i="2" s="1"/>
  <c r="T10" i="2"/>
  <c r="P10" i="2"/>
  <c r="O10" i="2"/>
  <c r="R10" i="2" s="1"/>
  <c r="L10" i="2"/>
  <c r="K10" i="2"/>
  <c r="M10" i="2" s="1"/>
  <c r="I10" i="2"/>
  <c r="H10" i="2"/>
  <c r="G10" i="2"/>
  <c r="J10" i="2" s="1"/>
  <c r="F10" i="2"/>
  <c r="E10" i="2"/>
  <c r="D10" i="2"/>
  <c r="C10" i="2"/>
  <c r="B10" i="2"/>
  <c r="A10" i="2"/>
  <c r="CU9" i="2"/>
  <c r="CT9" i="2"/>
  <c r="CR9" i="2"/>
  <c r="CQ9" i="2"/>
  <c r="CP9" i="2"/>
  <c r="CM9" i="2"/>
  <c r="CL9" i="2"/>
  <c r="CE9" i="2"/>
  <c r="BR9" i="2"/>
  <c r="BQ9" i="2"/>
  <c r="CW9" i="2" s="1"/>
  <c r="BP9" i="2"/>
  <c r="BO9" i="2"/>
  <c r="BN9" i="2"/>
  <c r="K9" i="19" s="1"/>
  <c r="BM9" i="2"/>
  <c r="BL9" i="2"/>
  <c r="BK9" i="2"/>
  <c r="BJ9" i="2"/>
  <c r="BI9" i="2"/>
  <c r="BH9" i="2"/>
  <c r="BG9" i="2"/>
  <c r="AY9" i="2"/>
  <c r="AV9" i="2"/>
  <c r="AT9" i="2"/>
  <c r="AU9" i="2" s="1"/>
  <c r="AW9" i="2" s="1"/>
  <c r="AQ9" i="2"/>
  <c r="AN9" i="2"/>
  <c r="AI9" i="2"/>
  <c r="AK9" i="2" s="1"/>
  <c r="AH9" i="2"/>
  <c r="AS9" i="2" s="1"/>
  <c r="AG9" i="2"/>
  <c r="AF9" i="2"/>
  <c r="AA9" i="2"/>
  <c r="W9" i="2"/>
  <c r="P9" i="2"/>
  <c r="O9" i="2"/>
  <c r="I9" i="2"/>
  <c r="F9" i="2"/>
  <c r="H9" i="2" s="1"/>
  <c r="E9" i="2"/>
  <c r="D9" i="2"/>
  <c r="C9" i="2"/>
  <c r="B9" i="2"/>
  <c r="A9" i="2"/>
  <c r="CX8" i="2"/>
  <c r="CU8" i="2"/>
  <c r="CT8" i="2"/>
  <c r="CS8" i="2"/>
  <c r="CP8" i="2"/>
  <c r="CM8" i="2"/>
  <c r="CL8" i="2"/>
  <c r="CH8" i="2"/>
  <c r="CE8" i="2"/>
  <c r="CI8" i="2" s="1"/>
  <c r="BW8" i="2"/>
  <c r="BV8" i="2"/>
  <c r="BU8" i="2"/>
  <c r="BQ8" i="2"/>
  <c r="CR8" i="2" s="1"/>
  <c r="BP8" i="2"/>
  <c r="BO8" i="2"/>
  <c r="BN8" i="2"/>
  <c r="K8" i="19" s="1"/>
  <c r="BM8" i="2"/>
  <c r="BL8" i="2"/>
  <c r="BK8" i="2"/>
  <c r="BJ8" i="2"/>
  <c r="BI8" i="2"/>
  <c r="BH8" i="2"/>
  <c r="BG8" i="2"/>
  <c r="AY8" i="2"/>
  <c r="BF8" i="2" s="1"/>
  <c r="AX8" i="2"/>
  <c r="AQ8" i="2"/>
  <c r="AN8" i="2"/>
  <c r="AL8" i="2"/>
  <c r="AI8" i="2"/>
  <c r="AG8" i="2"/>
  <c r="AP8" i="2" s="1"/>
  <c r="AF8" i="2"/>
  <c r="AD8" i="2"/>
  <c r="AC8" i="2"/>
  <c r="AA8" i="2"/>
  <c r="Z8" i="2"/>
  <c r="Y8" i="2"/>
  <c r="X8" i="2"/>
  <c r="W8" i="2"/>
  <c r="AE8" i="2" s="1"/>
  <c r="P8" i="2"/>
  <c r="O8" i="2"/>
  <c r="T8" i="2" s="1"/>
  <c r="I8" i="2"/>
  <c r="F8" i="2"/>
  <c r="E8" i="2"/>
  <c r="D8" i="2"/>
  <c r="C8" i="2"/>
  <c r="B8" i="2"/>
  <c r="A8" i="2"/>
  <c r="CV7" i="2"/>
  <c r="CS7" i="2"/>
  <c r="CP7" i="2"/>
  <c r="BU7" i="2"/>
  <c r="BQ7" i="2"/>
  <c r="BP7" i="2"/>
  <c r="BO7" i="2"/>
  <c r="BN7" i="2"/>
  <c r="K7" i="19" s="1"/>
  <c r="BM7" i="2"/>
  <c r="BL7" i="2"/>
  <c r="BK7" i="2"/>
  <c r="BJ7" i="2"/>
  <c r="BI7" i="2"/>
  <c r="BH7" i="2"/>
  <c r="BG7" i="2"/>
  <c r="AN7" i="2"/>
  <c r="AK7" i="2"/>
  <c r="AG7" i="2"/>
  <c r="AD7" i="2"/>
  <c r="AB7" i="2"/>
  <c r="AC7" i="2" s="1"/>
  <c r="AF7" i="2" s="1"/>
  <c r="Y7" i="2"/>
  <c r="AA7" i="2" s="1"/>
  <c r="X7" i="2"/>
  <c r="Z7" i="2" s="1"/>
  <c r="W7" i="2"/>
  <c r="T7" i="2"/>
  <c r="P7" i="2"/>
  <c r="O7" i="2"/>
  <c r="I7" i="2"/>
  <c r="F7" i="2"/>
  <c r="L7" i="2" s="1"/>
  <c r="E7" i="2"/>
  <c r="D7" i="2"/>
  <c r="C7" i="2"/>
  <c r="B7" i="2"/>
  <c r="A7" i="2"/>
  <c r="CX6" i="2"/>
  <c r="CV6" i="2"/>
  <c r="CU6" i="2"/>
  <c r="CS6" i="2"/>
  <c r="CR6" i="2"/>
  <c r="CQ6" i="2"/>
  <c r="CP6" i="2"/>
  <c r="CN6" i="2"/>
  <c r="CM6" i="2"/>
  <c r="CI6" i="2"/>
  <c r="CE6" i="2"/>
  <c r="CH6" i="2" s="1"/>
  <c r="BX6" i="2"/>
  <c r="CZ6" i="2" s="1"/>
  <c r="BW6" i="2"/>
  <c r="BU6" i="2"/>
  <c r="BT6" i="2"/>
  <c r="BQ6" i="2"/>
  <c r="CW6" i="2" s="1"/>
  <c r="BP6" i="2"/>
  <c r="BO6" i="2"/>
  <c r="BN6" i="2"/>
  <c r="K6" i="19" s="1"/>
  <c r="BM6" i="2"/>
  <c r="BL6" i="2"/>
  <c r="BK6" i="2"/>
  <c r="BJ6" i="2"/>
  <c r="BI6" i="2"/>
  <c r="BH6" i="2"/>
  <c r="BG6" i="2"/>
  <c r="AV6" i="2"/>
  <c r="AU6" i="2"/>
  <c r="AW6" i="2" s="1"/>
  <c r="AQ6" i="2"/>
  <c r="AY6" i="2" s="1"/>
  <c r="BC6" i="2" s="1"/>
  <c r="BE6" i="2" s="1"/>
  <c r="AN6" i="2"/>
  <c r="AG6" i="2"/>
  <c r="AJ6" i="2" s="1"/>
  <c r="Y6" i="2"/>
  <c r="W6" i="2"/>
  <c r="T6" i="2"/>
  <c r="Q6" i="2"/>
  <c r="O6" i="2"/>
  <c r="L6" i="2"/>
  <c r="I6" i="2"/>
  <c r="K6" i="2" s="1"/>
  <c r="H6" i="2"/>
  <c r="G6" i="2"/>
  <c r="F6" i="2"/>
  <c r="J6" i="2" s="1"/>
  <c r="E6" i="2"/>
  <c r="D6" i="2"/>
  <c r="C6" i="2"/>
  <c r="B6" i="2"/>
  <c r="A6" i="2"/>
  <c r="DB5" i="2"/>
  <c r="CY5" i="2"/>
  <c r="CX5" i="2"/>
  <c r="CV5" i="2"/>
  <c r="CU5" i="2"/>
  <c r="CT5" i="2"/>
  <c r="CS5" i="2"/>
  <c r="CR5" i="2"/>
  <c r="CQ5" i="2"/>
  <c r="CP5" i="2"/>
  <c r="CN5" i="2"/>
  <c r="CM5" i="2"/>
  <c r="CL5" i="2"/>
  <c r="CE5" i="2"/>
  <c r="CI5" i="2" s="1"/>
  <c r="CD5" i="2"/>
  <c r="BX5" i="2"/>
  <c r="BW5" i="2"/>
  <c r="BV5" i="2"/>
  <c r="BU5" i="2"/>
  <c r="BT5" i="2"/>
  <c r="BS5" i="2"/>
  <c r="CG5" i="2" s="1"/>
  <c r="BQ5" i="2"/>
  <c r="CW5" i="2" s="1"/>
  <c r="BP5" i="2"/>
  <c r="BO5" i="2"/>
  <c r="BN5" i="2"/>
  <c r="K5" i="19" s="1"/>
  <c r="BM5" i="2"/>
  <c r="BL5" i="2"/>
  <c r="BK5" i="2"/>
  <c r="BJ5" i="2"/>
  <c r="BI5" i="2"/>
  <c r="BH5" i="2"/>
  <c r="BG5" i="2"/>
  <c r="AQ5" i="2"/>
  <c r="AV5" i="2" s="1"/>
  <c r="AP5" i="2"/>
  <c r="AN5" i="2"/>
  <c r="AM5" i="2"/>
  <c r="AL5" i="2"/>
  <c r="AI5" i="2"/>
  <c r="AH5" i="2"/>
  <c r="AG5" i="2"/>
  <c r="AK5" i="2" s="1"/>
  <c r="AD5" i="2"/>
  <c r="W5" i="2"/>
  <c r="T5" i="2"/>
  <c r="O5" i="2"/>
  <c r="I5" i="2"/>
  <c r="F5" i="2"/>
  <c r="E5" i="2"/>
  <c r="D5" i="2"/>
  <c r="C5" i="2"/>
  <c r="B5" i="2"/>
  <c r="A5" i="2"/>
  <c r="CO4" i="2"/>
  <c r="CL4" i="2"/>
  <c r="BQ4" i="2"/>
  <c r="CQ4" i="2" s="1"/>
  <c r="BP4" i="2"/>
  <c r="BO4" i="2"/>
  <c r="BN4" i="2"/>
  <c r="K4" i="19" s="1"/>
  <c r="BM4" i="2"/>
  <c r="BL4" i="2"/>
  <c r="BK4" i="2"/>
  <c r="BJ4" i="2"/>
  <c r="BI4" i="2"/>
  <c r="BH4" i="2"/>
  <c r="BG4" i="2"/>
  <c r="AP4" i="2"/>
  <c r="AN4" i="2"/>
  <c r="AM4" i="2"/>
  <c r="AL4" i="2"/>
  <c r="AK4" i="2"/>
  <c r="AG4" i="2"/>
  <c r="W4" i="2"/>
  <c r="O4" i="2"/>
  <c r="I4" i="2"/>
  <c r="F4" i="2"/>
  <c r="G4" i="2" s="1"/>
  <c r="E4" i="2"/>
  <c r="D4" i="2"/>
  <c r="C4" i="2"/>
  <c r="B4" i="2"/>
  <c r="A4" i="2"/>
  <c r="BQ3" i="2"/>
  <c r="CW3" i="2" s="1"/>
  <c r="BP3" i="2"/>
  <c r="BO3" i="2"/>
  <c r="BN3" i="2"/>
  <c r="K3" i="19" s="1"/>
  <c r="BM3" i="2"/>
  <c r="BL3" i="2"/>
  <c r="BK3" i="2"/>
  <c r="BJ3" i="2"/>
  <c r="BI3" i="2"/>
  <c r="BH3" i="2"/>
  <c r="BG3" i="2"/>
  <c r="AN3" i="2"/>
  <c r="AK3" i="2"/>
  <c r="AG3" i="2"/>
  <c r="AP3" i="2" s="1"/>
  <c r="Y3" i="2"/>
  <c r="AB3" i="2" s="1"/>
  <c r="X3" i="2"/>
  <c r="W3" i="2"/>
  <c r="T3" i="2"/>
  <c r="R3" i="2"/>
  <c r="Q3" i="2"/>
  <c r="P3" i="2"/>
  <c r="O3" i="2"/>
  <c r="L3" i="2"/>
  <c r="J3" i="2"/>
  <c r="I3" i="2"/>
  <c r="H3" i="2"/>
  <c r="G3" i="2"/>
  <c r="F3" i="2"/>
  <c r="K3" i="2" s="1"/>
  <c r="M3" i="2" s="1"/>
  <c r="E3" i="2"/>
  <c r="D3" i="2"/>
  <c r="C3" i="2"/>
  <c r="B3" i="2"/>
  <c r="A3" i="2"/>
  <c r="DC2" i="2"/>
  <c r="CW2" i="2"/>
  <c r="CR2" i="2"/>
  <c r="CO2" i="2"/>
  <c r="CN2" i="2"/>
  <c r="CM2" i="2"/>
  <c r="BX2" i="2"/>
  <c r="CB2" i="2" s="1"/>
  <c r="BQ2" i="2"/>
  <c r="BP2" i="2"/>
  <c r="BO2" i="2"/>
  <c r="BN2" i="2"/>
  <c r="K2" i="19" s="1"/>
  <c r="BM2" i="2"/>
  <c r="BL2" i="2"/>
  <c r="BK2" i="2"/>
  <c r="BJ2" i="2"/>
  <c r="BI2" i="2"/>
  <c r="BH2" i="2"/>
  <c r="BG2" i="2"/>
  <c r="BF2" i="2"/>
  <c r="BD2" i="2"/>
  <c r="AY2" i="2"/>
  <c r="AX2" i="2"/>
  <c r="AV2" i="2"/>
  <c r="AU2" i="2"/>
  <c r="AW2" i="2" s="1"/>
  <c r="AQ2" i="2"/>
  <c r="AP2" i="2"/>
  <c r="AN2" i="2"/>
  <c r="AM2" i="2"/>
  <c r="AK2" i="2"/>
  <c r="AI2" i="2"/>
  <c r="BS2" i="2" s="1"/>
  <c r="AH2" i="2"/>
  <c r="AG2" i="2"/>
  <c r="AL2" i="2" s="1"/>
  <c r="AF2" i="2"/>
  <c r="AC2" i="2"/>
  <c r="AB2" i="2"/>
  <c r="AA2" i="2"/>
  <c r="Z2" i="2"/>
  <c r="W2" i="2"/>
  <c r="AE2" i="2" s="1"/>
  <c r="O2" i="2"/>
  <c r="L2" i="2"/>
  <c r="K2" i="2"/>
  <c r="I2" i="2"/>
  <c r="H2" i="2"/>
  <c r="G2" i="2"/>
  <c r="M2" i="2" s="1"/>
  <c r="F2" i="2"/>
  <c r="E2" i="2"/>
  <c r="D2" i="2"/>
  <c r="C2" i="2"/>
  <c r="B2" i="2"/>
  <c r="A2" i="2"/>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AI4" i="1"/>
  <c r="R4" i="1"/>
  <c r="R3" i="1"/>
  <c r="R2" i="1"/>
  <c r="BD20" i="2" l="1"/>
  <c r="BA20" i="2"/>
  <c r="BZ2" i="2"/>
  <c r="CG2" i="2"/>
  <c r="AU18" i="2"/>
  <c r="BB18" i="2"/>
  <c r="AB4" i="2"/>
  <c r="AA4" i="2"/>
  <c r="AF4" i="2"/>
  <c r="X4" i="2"/>
  <c r="AI21" i="2"/>
  <c r="AM21" i="2"/>
  <c r="AL21" i="2"/>
  <c r="BN21" i="2" s="1"/>
  <c r="K21" i="19" s="1"/>
  <c r="AK21" i="2"/>
  <c r="CU32" i="2"/>
  <c r="CM32" i="2"/>
  <c r="CE32" i="2"/>
  <c r="AQ32" i="2"/>
  <c r="CT32" i="2"/>
  <c r="CL32" i="2"/>
  <c r="CS32" i="2"/>
  <c r="BU32" i="2"/>
  <c r="CW32" i="2"/>
  <c r="BX32" i="2"/>
  <c r="CV32" i="2"/>
  <c r="CR32" i="2"/>
  <c r="CQ32" i="2"/>
  <c r="BS42" i="2"/>
  <c r="AS42" i="2"/>
  <c r="AT42" i="2" s="1"/>
  <c r="BR42" i="2"/>
  <c r="Z3" i="2"/>
  <c r="M6" i="2"/>
  <c r="T12" i="2"/>
  <c r="Q12" i="2"/>
  <c r="P12" i="2"/>
  <c r="BD13" i="2"/>
  <c r="BB13" i="2"/>
  <c r="BA13" i="2"/>
  <c r="BC13" i="2" s="1"/>
  <c r="CS19" i="2"/>
  <c r="BU19" i="2"/>
  <c r="CP19" i="2"/>
  <c r="BX19" i="2"/>
  <c r="CO19" i="2"/>
  <c r="CW19" i="2"/>
  <c r="CN19" i="2"/>
  <c r="CE19" i="2"/>
  <c r="CV19" i="2"/>
  <c r="CM19" i="2"/>
  <c r="CU19" i="2"/>
  <c r="CL19" i="2"/>
  <c r="CA2" i="2"/>
  <c r="R22" i="2"/>
  <c r="Q2" i="2"/>
  <c r="V2" i="2"/>
  <c r="M5" i="19"/>
  <c r="H5" i="2"/>
  <c r="R5" i="2" s="1"/>
  <c r="T29" i="2"/>
  <c r="P29" i="2"/>
  <c r="CS3" i="2"/>
  <c r="DC13" i="2"/>
  <c r="AK16" i="2"/>
  <c r="BZ18" i="2"/>
  <c r="CG18" i="2"/>
  <c r="BV18" i="2"/>
  <c r="R2" i="2"/>
  <c r="BB8" i="2"/>
  <c r="BA10" i="2"/>
  <c r="AL11" i="2"/>
  <c r="AI11" i="2"/>
  <c r="AK11" i="2" s="1"/>
  <c r="AM11" i="2" s="1"/>
  <c r="AP11" i="2" s="1"/>
  <c r="CB13" i="2"/>
  <c r="AH16" i="2"/>
  <c r="M21" i="19"/>
  <c r="K21" i="2"/>
  <c r="N21" i="2" s="1"/>
  <c r="L21" i="2"/>
  <c r="CZ25" i="2"/>
  <c r="CJ25" i="2"/>
  <c r="CB25" i="2"/>
  <c r="CY25" i="2"/>
  <c r="CA25" i="2"/>
  <c r="CD25" i="2"/>
  <c r="DB25" i="2"/>
  <c r="CC25" i="2"/>
  <c r="CV46" i="2"/>
  <c r="CN46" i="2"/>
  <c r="BX46" i="2"/>
  <c r="CU46" i="2"/>
  <c r="CM46" i="2"/>
  <c r="CE46" i="2"/>
  <c r="AQ46" i="2"/>
  <c r="CS46" i="2"/>
  <c r="BU46" i="2"/>
  <c r="CL46" i="2"/>
  <c r="CX46" i="2"/>
  <c r="CW46" i="2"/>
  <c r="CT46" i="2"/>
  <c r="CR46" i="2"/>
  <c r="CP46" i="2"/>
  <c r="CO46" i="2"/>
  <c r="T4" i="2"/>
  <c r="S4" i="2"/>
  <c r="P4" i="2"/>
  <c r="J5" i="2"/>
  <c r="AJ5" i="2" s="1"/>
  <c r="AO5" i="2"/>
  <c r="AS5" i="2"/>
  <c r="AT5" i="2" s="1"/>
  <c r="CH5" i="2"/>
  <c r="AI6" i="2"/>
  <c r="CC6" i="2"/>
  <c r="AI7" i="2"/>
  <c r="AP7" i="2"/>
  <c r="AH7" i="2"/>
  <c r="AM7" i="2"/>
  <c r="CU7" i="2"/>
  <c r="CM7" i="2"/>
  <c r="CE7" i="2"/>
  <c r="BW7" i="2"/>
  <c r="AQ7" i="2"/>
  <c r="CT7" i="2"/>
  <c r="CL7" i="2"/>
  <c r="BV7" i="2"/>
  <c r="CR7" i="2"/>
  <c r="BT7" i="2"/>
  <c r="CQ7" i="2"/>
  <c r="CW7" i="2"/>
  <c r="M8" i="19"/>
  <c r="H8" i="2"/>
  <c r="G8" i="2"/>
  <c r="L8" i="2"/>
  <c r="DC8" i="2"/>
  <c r="AC9" i="2"/>
  <c r="AB9" i="2"/>
  <c r="Z9" i="2"/>
  <c r="Y9" i="2"/>
  <c r="BA9" i="2"/>
  <c r="DA9" i="2"/>
  <c r="BS9" i="2"/>
  <c r="CI9" i="2"/>
  <c r="AK10" i="2"/>
  <c r="CG10" i="2"/>
  <c r="CH10" i="2" s="1"/>
  <c r="AH11" i="2"/>
  <c r="D12" i="19"/>
  <c r="E12" i="3"/>
  <c r="M13" i="2"/>
  <c r="AL15" i="2"/>
  <c r="AM15" i="2" s="1"/>
  <c r="AP15" i="2" s="1"/>
  <c r="AI16" i="2"/>
  <c r="AL16" i="2" s="1"/>
  <c r="DA17" i="2"/>
  <c r="AK18" i="2"/>
  <c r="AR19" i="2"/>
  <c r="AZ19" i="2" s="1"/>
  <c r="BY19" i="2"/>
  <c r="CT19" i="2"/>
  <c r="P20" i="2"/>
  <c r="AL20" i="2"/>
  <c r="AM20" i="2" s="1"/>
  <c r="AP20" i="2" s="1"/>
  <c r="AK20" i="2"/>
  <c r="G21" i="2"/>
  <c r="CU21" i="2"/>
  <c r="CM21" i="2"/>
  <c r="CE21" i="2"/>
  <c r="BW21" i="2"/>
  <c r="AQ21" i="2"/>
  <c r="CP21" i="2"/>
  <c r="BX21" i="2"/>
  <c r="CX21" i="2"/>
  <c r="CO21" i="2"/>
  <c r="BV21" i="2"/>
  <c r="CW21" i="2"/>
  <c r="CN21" i="2"/>
  <c r="BU21" i="2"/>
  <c r="CV21" i="2"/>
  <c r="CL21" i="2"/>
  <c r="BT21" i="2"/>
  <c r="CT21" i="2"/>
  <c r="CQ21" i="2"/>
  <c r="BA23" i="2"/>
  <c r="BD23" i="2"/>
  <c r="AB27" i="2"/>
  <c r="AU28" i="2"/>
  <c r="AW28" i="2" s="1"/>
  <c r="AY28" i="2"/>
  <c r="AX28" i="2"/>
  <c r="AV28" i="2"/>
  <c r="X32" i="2"/>
  <c r="CN35" i="2"/>
  <c r="BS37" i="2"/>
  <c r="P42" i="2"/>
  <c r="T42" i="2"/>
  <c r="T43" i="2"/>
  <c r="R43" i="2"/>
  <c r="CF46" i="2"/>
  <c r="AR46" i="2"/>
  <c r="AZ46" i="2" s="1"/>
  <c r="BY46" i="2"/>
  <c r="DA49" i="2"/>
  <c r="DC49" i="2"/>
  <c r="BA49" i="2"/>
  <c r="BD49" i="2"/>
  <c r="D50" i="19"/>
  <c r="E50" i="3"/>
  <c r="CJ2" i="2"/>
  <c r="AJ12" i="2"/>
  <c r="BA14" i="2"/>
  <c r="CF18" i="2"/>
  <c r="AR18" i="2"/>
  <c r="AZ18" i="2" s="1"/>
  <c r="BY18" i="2"/>
  <c r="P2" i="2"/>
  <c r="Y4" i="2"/>
  <c r="D7" i="19"/>
  <c r="E7" i="3"/>
  <c r="CI10" i="2"/>
  <c r="Q22" i="2"/>
  <c r="P22" i="2"/>
  <c r="V22" i="2"/>
  <c r="U22" i="2"/>
  <c r="T22" i="2"/>
  <c r="AY45" i="2"/>
  <c r="AV45" i="2"/>
  <c r="CZ2" i="2"/>
  <c r="CV4" i="2"/>
  <c r="CN4" i="2"/>
  <c r="BX4" i="2"/>
  <c r="CU4" i="2"/>
  <c r="CM4" i="2"/>
  <c r="CE4" i="2"/>
  <c r="BW4" i="2"/>
  <c r="AQ4" i="2"/>
  <c r="CR4" i="2"/>
  <c r="BT4" i="2"/>
  <c r="AJ10" i="2"/>
  <c r="BD16" i="2"/>
  <c r="BA16" i="2"/>
  <c r="S2" i="2"/>
  <c r="BV3" i="2"/>
  <c r="CV3" i="2"/>
  <c r="AC4" i="2"/>
  <c r="AD6" i="2"/>
  <c r="Z6" i="2"/>
  <c r="J2" i="2"/>
  <c r="AJ2" i="2" s="1"/>
  <c r="T2" i="2"/>
  <c r="DA2" i="2"/>
  <c r="BB2" i="2"/>
  <c r="CT2" i="2"/>
  <c r="CL2" i="2"/>
  <c r="BV2" i="2"/>
  <c r="CS2" i="2"/>
  <c r="BU2" i="2"/>
  <c r="CX2" i="2"/>
  <c r="CP2" i="2"/>
  <c r="CE2" i="2"/>
  <c r="CQ2" i="2"/>
  <c r="BX3" i="2"/>
  <c r="D4" i="19"/>
  <c r="E4" i="3"/>
  <c r="Q4" i="2"/>
  <c r="AD4" i="2"/>
  <c r="CS4" i="2"/>
  <c r="K5" i="2"/>
  <c r="Y5" i="2"/>
  <c r="AA5" i="2" s="1"/>
  <c r="X5" i="2"/>
  <c r="X6" i="2"/>
  <c r="DA6" i="2"/>
  <c r="CX7" i="2"/>
  <c r="X9" i="2"/>
  <c r="AL9" i="2"/>
  <c r="AM9" i="2" s="1"/>
  <c r="AP9" i="2" s="1"/>
  <c r="BB9" i="2"/>
  <c r="D10" i="19"/>
  <c r="E10" i="3"/>
  <c r="L12" i="2"/>
  <c r="K12" i="2"/>
  <c r="N12" i="2" s="1"/>
  <c r="J12" i="2"/>
  <c r="H12" i="2"/>
  <c r="R12" i="2" s="1"/>
  <c r="AB12" i="2"/>
  <c r="AA12" i="2"/>
  <c r="Z12" i="2"/>
  <c r="Y12" i="2"/>
  <c r="AF12" i="2"/>
  <c r="X12" i="2"/>
  <c r="CI13" i="2"/>
  <c r="T14" i="2"/>
  <c r="R14" i="2"/>
  <c r="S14" i="2" s="1"/>
  <c r="AI14" i="2"/>
  <c r="AL14" i="2" s="1"/>
  <c r="AH14" i="2"/>
  <c r="D15" i="19"/>
  <c r="E15" i="3"/>
  <c r="DC17" i="2"/>
  <c r="AL18" i="2"/>
  <c r="Q19" i="2"/>
  <c r="T19" i="2"/>
  <c r="S19" i="2"/>
  <c r="V19" i="2" s="1"/>
  <c r="AH20" i="2"/>
  <c r="H21" i="2"/>
  <c r="AP21" i="2"/>
  <c r="CR21" i="2"/>
  <c r="R23" i="2"/>
  <c r="AM25" i="2"/>
  <c r="AL25" i="2"/>
  <c r="AK25" i="2"/>
  <c r="AI25" i="2"/>
  <c r="AH25" i="2"/>
  <c r="CK25" i="2"/>
  <c r="BB31" i="2"/>
  <c r="BA31" i="2"/>
  <c r="DC31" i="2"/>
  <c r="BF31" i="2"/>
  <c r="DA31" i="2"/>
  <c r="BD31" i="2"/>
  <c r="CN32" i="2"/>
  <c r="CO35" i="2"/>
  <c r="AI41" i="2"/>
  <c r="AJ41" i="2" s="1"/>
  <c r="AK41" i="2"/>
  <c r="CQ46" i="2"/>
  <c r="D3" i="19"/>
  <c r="E3" i="3"/>
  <c r="CQ3" i="2"/>
  <c r="CX3" i="2"/>
  <c r="CP3" i="2"/>
  <c r="CU3" i="2"/>
  <c r="CM3" i="2"/>
  <c r="CE3" i="2"/>
  <c r="BW3" i="2"/>
  <c r="AQ3" i="2"/>
  <c r="CR3" i="2"/>
  <c r="DB6" i="2"/>
  <c r="CD6" i="2"/>
  <c r="BD10" i="2"/>
  <c r="AV20" i="2"/>
  <c r="CV29" i="2"/>
  <c r="CN29" i="2"/>
  <c r="BX29" i="2"/>
  <c r="CU29" i="2"/>
  <c r="CM29" i="2"/>
  <c r="CE29" i="2"/>
  <c r="BW29" i="2"/>
  <c r="AQ29" i="2"/>
  <c r="CT29" i="2"/>
  <c r="CL29" i="2"/>
  <c r="BV29" i="2"/>
  <c r="CO29" i="2"/>
  <c r="CX29" i="2"/>
  <c r="CW29" i="2"/>
  <c r="BU29" i="2"/>
  <c r="CS29" i="2"/>
  <c r="BT29" i="2"/>
  <c r="CK30" i="2"/>
  <c r="CC30" i="2"/>
  <c r="CZ30" i="2"/>
  <c r="CJ30" i="2"/>
  <c r="CB30" i="2"/>
  <c r="CY30" i="2"/>
  <c r="CA30" i="2"/>
  <c r="CD30" i="2"/>
  <c r="DB30" i="2"/>
  <c r="N51" i="2"/>
  <c r="G5" i="2"/>
  <c r="M9" i="19"/>
  <c r="L9" i="2"/>
  <c r="CQ19" i="2"/>
  <c r="CF35" i="2"/>
  <c r="BY35" i="2"/>
  <c r="Z4" i="2"/>
  <c r="M7" i="19"/>
  <c r="K7" i="2"/>
  <c r="H7" i="2"/>
  <c r="G7" i="2"/>
  <c r="M7" i="2" s="1"/>
  <c r="L62" i="2"/>
  <c r="K62" i="2"/>
  <c r="N62" i="2" s="1"/>
  <c r="J62" i="2"/>
  <c r="H62" i="2"/>
  <c r="Q62" i="2" s="1"/>
  <c r="G62" i="2"/>
  <c r="U2" i="2"/>
  <c r="R4" i="2"/>
  <c r="AV8" i="2"/>
  <c r="AU8" i="2"/>
  <c r="AW8" i="2" s="1"/>
  <c r="K9" i="2"/>
  <c r="N9" i="2" s="1"/>
  <c r="AV10" i="2"/>
  <c r="CT10" i="2"/>
  <c r="CL10" i="2"/>
  <c r="BV10" i="2"/>
  <c r="CS10" i="2"/>
  <c r="BU10" i="2"/>
  <c r="CR10" i="2"/>
  <c r="BT10" i="2"/>
  <c r="CQ10" i="2"/>
  <c r="CX10" i="2"/>
  <c r="CP10" i="2"/>
  <c r="CN10" i="2"/>
  <c r="BD14" i="2"/>
  <c r="K15" i="2"/>
  <c r="H15" i="2"/>
  <c r="G15" i="2"/>
  <c r="M15" i="2" s="1"/>
  <c r="CU15" i="2"/>
  <c r="CM15" i="2"/>
  <c r="CE15" i="2"/>
  <c r="AQ15" i="2"/>
  <c r="CT15" i="2"/>
  <c r="CL15" i="2"/>
  <c r="CS15" i="2"/>
  <c r="BU15" i="2"/>
  <c r="CR15" i="2"/>
  <c r="CQ15" i="2"/>
  <c r="CN15" i="2"/>
  <c r="CI16" i="2"/>
  <c r="BY17" i="2"/>
  <c r="CF17" i="2"/>
  <c r="M18" i="2"/>
  <c r="M20" i="2"/>
  <c r="J20" i="2"/>
  <c r="AE25" i="2"/>
  <c r="T31" i="2"/>
  <c r="S31" i="2"/>
  <c r="V31" i="2" s="1"/>
  <c r="R31" i="2"/>
  <c r="Q31" i="2"/>
  <c r="CO32" i="2"/>
  <c r="CK33" i="2"/>
  <c r="CC33" i="2"/>
  <c r="CZ33" i="2"/>
  <c r="CJ33" i="2"/>
  <c r="CB33" i="2"/>
  <c r="CY33" i="2"/>
  <c r="CA33" i="2"/>
  <c r="CD33" i="2"/>
  <c r="CI36" i="2"/>
  <c r="CH36" i="2"/>
  <c r="R39" i="2"/>
  <c r="Q39" i="2"/>
  <c r="S39" i="2" s="1"/>
  <c r="AB40" i="2"/>
  <c r="AA40" i="2"/>
  <c r="Z40" i="2"/>
  <c r="Y40" i="2"/>
  <c r="AF40" i="2"/>
  <c r="X40" i="2"/>
  <c r="AE40" i="2"/>
  <c r="AD40" i="2"/>
  <c r="BR41" i="2"/>
  <c r="M47" i="2"/>
  <c r="J47" i="2"/>
  <c r="AS2" i="2"/>
  <c r="AT2" i="2" s="1"/>
  <c r="DB2" i="2"/>
  <c r="CD2" i="2"/>
  <c r="CK2" i="2"/>
  <c r="CC2" i="2"/>
  <c r="D24" i="19"/>
  <c r="E24" i="3"/>
  <c r="BT3" i="2"/>
  <c r="CP4" i="2"/>
  <c r="AL6" i="2"/>
  <c r="AK6" i="2"/>
  <c r="AP6" i="2"/>
  <c r="AH6" i="2"/>
  <c r="T20" i="2"/>
  <c r="R20" i="2"/>
  <c r="S20" i="2" s="1"/>
  <c r="BY37" i="2"/>
  <c r="CF37" i="2"/>
  <c r="AR37" i="2"/>
  <c r="AZ37" i="2" s="1"/>
  <c r="AM3" i="2"/>
  <c r="AL3" i="2"/>
  <c r="AI3" i="2"/>
  <c r="CL3" i="2"/>
  <c r="BU4" i="2"/>
  <c r="AU5" i="2"/>
  <c r="AW5" i="2" s="1"/>
  <c r="CK5" i="2"/>
  <c r="CC5" i="2"/>
  <c r="CZ5" i="2"/>
  <c r="CJ5" i="2"/>
  <c r="CB5" i="2"/>
  <c r="AM6" i="2"/>
  <c r="BT2" i="2"/>
  <c r="AE3" i="2"/>
  <c r="CN3" i="2"/>
  <c r="U4" i="2"/>
  <c r="BV4" i="2"/>
  <c r="CW4" i="2"/>
  <c r="AX5" i="2"/>
  <c r="BZ5" i="2"/>
  <c r="R6" i="2"/>
  <c r="S6" i="2" s="1"/>
  <c r="AA6" i="2"/>
  <c r="N7" i="2"/>
  <c r="AL7" i="2"/>
  <c r="BX7" i="2"/>
  <c r="CN7" i="2"/>
  <c r="K8" i="2"/>
  <c r="AM8" i="2"/>
  <c r="AK8" i="2"/>
  <c r="AD9" i="2"/>
  <c r="BD9" i="2"/>
  <c r="BW10" i="2"/>
  <c r="CO10" i="2"/>
  <c r="CV12" i="2"/>
  <c r="CN12" i="2"/>
  <c r="BX12" i="2"/>
  <c r="CU12" i="2"/>
  <c r="CM12" i="2"/>
  <c r="CE12" i="2"/>
  <c r="AQ12" i="2"/>
  <c r="M12" i="19" s="1"/>
  <c r="CT12" i="2"/>
  <c r="CL12" i="2"/>
  <c r="CS12" i="2"/>
  <c r="BU12" i="2"/>
  <c r="CR12" i="2"/>
  <c r="AV13" i="2"/>
  <c r="CO15" i="2"/>
  <c r="J18" i="2"/>
  <c r="DA18" i="2"/>
  <c r="BA18" i="2"/>
  <c r="BC18" i="2" s="1"/>
  <c r="BS19" i="2"/>
  <c r="BT19" i="2" s="1"/>
  <c r="AS19" i="2"/>
  <c r="AT19" i="2" s="1"/>
  <c r="AJ19" i="2"/>
  <c r="S21" i="2"/>
  <c r="V21" i="2"/>
  <c r="U21" i="2"/>
  <c r="T21" i="2"/>
  <c r="R21" i="2"/>
  <c r="H22" i="2"/>
  <c r="L22" i="2"/>
  <c r="K22" i="2"/>
  <c r="N22" i="2" s="1"/>
  <c r="CK22" i="2"/>
  <c r="CC22" i="2"/>
  <c r="CZ22" i="2"/>
  <c r="CJ22" i="2"/>
  <c r="CB22" i="2"/>
  <c r="DB22" i="2"/>
  <c r="CY22" i="2"/>
  <c r="CD22" i="2"/>
  <c r="CA22" i="2"/>
  <c r="S24" i="2"/>
  <c r="V24" i="2" s="1"/>
  <c r="R24" i="2"/>
  <c r="Q24" i="2"/>
  <c r="U24" i="2"/>
  <c r="T24" i="2"/>
  <c r="P24" i="2"/>
  <c r="CU24" i="2"/>
  <c r="CM24" i="2"/>
  <c r="CE24" i="2"/>
  <c r="AQ24" i="2"/>
  <c r="CT24" i="2"/>
  <c r="CL24" i="2"/>
  <c r="CS24" i="2"/>
  <c r="BU24" i="2"/>
  <c r="CO24" i="2"/>
  <c r="CN24" i="2"/>
  <c r="CW24" i="2"/>
  <c r="BX24" i="2"/>
  <c r="CV24" i="2"/>
  <c r="CR24" i="2"/>
  <c r="T26" i="2"/>
  <c r="R26" i="2"/>
  <c r="Q26" i="2"/>
  <c r="S26" i="2" s="1"/>
  <c r="V26" i="2" s="1"/>
  <c r="AS27" i="2"/>
  <c r="AT27" i="2" s="1"/>
  <c r="CP29" i="2"/>
  <c r="AV30" i="2"/>
  <c r="AU30" i="2"/>
  <c r="AW30" i="2" s="1"/>
  <c r="AY30" i="2"/>
  <c r="AX30" i="2"/>
  <c r="P31" i="2"/>
  <c r="U31" i="2" s="1"/>
  <c r="CP32" i="2"/>
  <c r="T37" i="2"/>
  <c r="R37" i="2"/>
  <c r="Q37" i="2"/>
  <c r="S37" i="2" s="1"/>
  <c r="CI38" i="2"/>
  <c r="CH38" i="2"/>
  <c r="AC40" i="2"/>
  <c r="M41" i="2"/>
  <c r="BB6" i="2"/>
  <c r="BA6" i="2"/>
  <c r="DC6" i="2"/>
  <c r="BF6" i="2"/>
  <c r="CK6" i="2"/>
  <c r="U18" i="2"/>
  <c r="AV25" i="2"/>
  <c r="AU25" i="2"/>
  <c r="AW25" i="2" s="1"/>
  <c r="AY25" i="2"/>
  <c r="AX25" i="2"/>
  <c r="CU35" i="2"/>
  <c r="CM35" i="2"/>
  <c r="CE35" i="2"/>
  <c r="AQ35" i="2"/>
  <c r="CT35" i="2"/>
  <c r="CL35" i="2"/>
  <c r="CS35" i="2"/>
  <c r="BU35" i="2"/>
  <c r="CR35" i="2"/>
  <c r="CX35" i="2" s="1"/>
  <c r="BT35" i="2"/>
  <c r="CQ35" i="2"/>
  <c r="CW35" i="2"/>
  <c r="CV35" i="2"/>
  <c r="M40" i="19"/>
  <c r="L40" i="2"/>
  <c r="K40" i="2"/>
  <c r="N40" i="2" s="1"/>
  <c r="J40" i="2"/>
  <c r="H40" i="2"/>
  <c r="CY2" i="2"/>
  <c r="CA6" i="2"/>
  <c r="BD8" i="2"/>
  <c r="BC8" i="2"/>
  <c r="BE8" i="2" s="1"/>
  <c r="BA8" i="2"/>
  <c r="DA8" i="2"/>
  <c r="AO13" i="2"/>
  <c r="BS13" i="2"/>
  <c r="BR13" i="2"/>
  <c r="AS13" i="2"/>
  <c r="AT13" i="2" s="1"/>
  <c r="DA13" i="2" s="1"/>
  <c r="AH21" i="2"/>
  <c r="Z27" i="2"/>
  <c r="Y27" i="2"/>
  <c r="AF27" i="2"/>
  <c r="X27" i="2"/>
  <c r="AE27" i="2"/>
  <c r="AD27" i="2"/>
  <c r="AC27" i="2"/>
  <c r="G40" i="2"/>
  <c r="M40" i="2" s="1"/>
  <c r="BS43" i="2"/>
  <c r="BR43" i="2"/>
  <c r="AY44" i="2"/>
  <c r="AV44" i="2"/>
  <c r="BU3" i="2"/>
  <c r="CT3" i="2"/>
  <c r="CB6" i="2"/>
  <c r="CY6" i="2"/>
  <c r="G9" i="2"/>
  <c r="BY9" i="2"/>
  <c r="CF9" i="2"/>
  <c r="AR9" i="2"/>
  <c r="AZ9" i="2" s="1"/>
  <c r="BT18" i="2"/>
  <c r="AQ19" i="2"/>
  <c r="CR19" i="2"/>
  <c r="CX19" i="2" s="1"/>
  <c r="J23" i="2"/>
  <c r="CT27" i="2"/>
  <c r="CL27" i="2"/>
  <c r="BV27" i="2"/>
  <c r="CS27" i="2"/>
  <c r="BU27" i="2"/>
  <c r="CR27" i="2"/>
  <c r="BT27" i="2"/>
  <c r="CX27" i="2"/>
  <c r="CM27" i="2"/>
  <c r="AQ27" i="2"/>
  <c r="CW27" i="2"/>
  <c r="BX27" i="2"/>
  <c r="CV27" i="2"/>
  <c r="BW27" i="2"/>
  <c r="CU27" i="2"/>
  <c r="CQ27" i="2"/>
  <c r="AA32" i="2"/>
  <c r="Z32" i="2"/>
  <c r="Y32" i="2"/>
  <c r="AF32" i="2"/>
  <c r="AE32" i="2"/>
  <c r="AD32" i="2"/>
  <c r="AC32" i="2"/>
  <c r="BX35" i="2"/>
  <c r="BA39" i="2"/>
  <c r="BD39" i="2"/>
  <c r="BR48" i="2"/>
  <c r="BS61" i="2"/>
  <c r="BR61" i="2"/>
  <c r="AS61" i="2"/>
  <c r="AT61" i="2" s="1"/>
  <c r="AU61" i="2" s="1"/>
  <c r="AW61" i="2" s="1"/>
  <c r="T36" i="3"/>
  <c r="M4" i="19"/>
  <c r="L4" i="2"/>
  <c r="M4" i="2" s="1"/>
  <c r="K4" i="2"/>
  <c r="N4" i="2" s="1"/>
  <c r="H4" i="2"/>
  <c r="J4" i="2" s="1"/>
  <c r="AJ4" i="2" s="1"/>
  <c r="AE4" i="2"/>
  <c r="CT4" i="2"/>
  <c r="L5" i="2"/>
  <c r="AE7" i="2"/>
  <c r="Y2" i="2"/>
  <c r="AD2" i="2"/>
  <c r="BA2" i="2"/>
  <c r="CU2" i="2"/>
  <c r="AH3" i="2"/>
  <c r="AI4" i="2"/>
  <c r="N5" i="2"/>
  <c r="D2" i="19"/>
  <c r="D10" i="4"/>
  <c r="D9" i="4"/>
  <c r="B9" i="4"/>
  <c r="B12" i="4"/>
  <c r="B10" i="4"/>
  <c r="B13" i="4"/>
  <c r="B11" i="4"/>
  <c r="D8" i="4"/>
  <c r="D14" i="4" s="1"/>
  <c r="E2" i="3"/>
  <c r="D11" i="4"/>
  <c r="B8" i="4"/>
  <c r="X2" i="2"/>
  <c r="AO2" i="2"/>
  <c r="BR2" i="2"/>
  <c r="BC2" i="2"/>
  <c r="BE2" i="2" s="1"/>
  <c r="BW2" i="2"/>
  <c r="CV2" i="2"/>
  <c r="AJ3" i="2"/>
  <c r="CO3" i="2"/>
  <c r="V4" i="2"/>
  <c r="AH4" i="2"/>
  <c r="CX4" i="2"/>
  <c r="Q5" i="2"/>
  <c r="S5" i="2" s="1"/>
  <c r="V5" i="2" s="1"/>
  <c r="P5" i="2"/>
  <c r="U5" i="2" s="1"/>
  <c r="AB5" i="2"/>
  <c r="AC5" i="2" s="1"/>
  <c r="AF5" i="2" s="1"/>
  <c r="AY5" i="2"/>
  <c r="BR5" i="2"/>
  <c r="CA5" i="2"/>
  <c r="P6" i="2"/>
  <c r="AB6" i="2"/>
  <c r="AC6" i="2" s="1"/>
  <c r="AF6" i="2" s="1"/>
  <c r="BD6" i="2"/>
  <c r="CJ6" i="2"/>
  <c r="CO7" i="2"/>
  <c r="N8" i="2"/>
  <c r="AH8" i="2"/>
  <c r="T9" i="2"/>
  <c r="R9" i="2"/>
  <c r="Q9" i="2"/>
  <c r="AE9" i="2"/>
  <c r="AX9" i="2"/>
  <c r="DC9" i="2"/>
  <c r="AL10" i="2"/>
  <c r="AS10" i="2"/>
  <c r="AT10" i="2" s="1"/>
  <c r="DC10" i="2" s="1"/>
  <c r="BX10" i="2"/>
  <c r="CU10" i="2"/>
  <c r="DA10" i="2" s="1"/>
  <c r="AE12" i="2"/>
  <c r="CF12" i="2"/>
  <c r="AR12" i="2"/>
  <c r="AZ12" i="2" s="1"/>
  <c r="CO12" i="2"/>
  <c r="J14" i="2"/>
  <c r="AD14" i="2"/>
  <c r="AC14" i="2"/>
  <c r="AB14" i="2"/>
  <c r="AA14" i="2"/>
  <c r="Z14" i="2"/>
  <c r="L15" i="2"/>
  <c r="BX15" i="2"/>
  <c r="CP15" i="2"/>
  <c r="AV16" i="2"/>
  <c r="BA17" i="2"/>
  <c r="BC17" i="2" s="1"/>
  <c r="AL19" i="2"/>
  <c r="AK19" i="2"/>
  <c r="CP20" i="2"/>
  <c r="CQ20" i="2"/>
  <c r="BX20" i="2"/>
  <c r="CO20" i="2"/>
  <c r="CW20" i="2"/>
  <c r="CN20" i="2"/>
  <c r="CE20" i="2"/>
  <c r="CV20" i="2"/>
  <c r="CM20" i="2"/>
  <c r="BU20" i="2"/>
  <c r="CU20" i="2"/>
  <c r="CL20" i="2"/>
  <c r="CR20" i="2"/>
  <c r="P21" i="2"/>
  <c r="G22" i="2"/>
  <c r="J22" i="2" s="1"/>
  <c r="AJ22" i="2" s="1"/>
  <c r="AP25" i="2"/>
  <c r="P26" i="2"/>
  <c r="CE27" i="2"/>
  <c r="CQ29" i="2"/>
  <c r="P37" i="2"/>
  <c r="D40" i="19"/>
  <c r="E40" i="3"/>
  <c r="BR45" i="2"/>
  <c r="E46" i="3"/>
  <c r="D46" i="19"/>
  <c r="CK52" i="2"/>
  <c r="CC52" i="2"/>
  <c r="CZ52" i="2"/>
  <c r="CJ52" i="2"/>
  <c r="CB52" i="2"/>
  <c r="CY52" i="2"/>
  <c r="CA52" i="2"/>
  <c r="CD52" i="2"/>
  <c r="M2" i="19"/>
  <c r="N2" i="2"/>
  <c r="S3" i="2"/>
  <c r="U3" i="2" s="1"/>
  <c r="AA3" i="2"/>
  <c r="AC3" i="2" s="1"/>
  <c r="D5" i="19"/>
  <c r="E5" i="3"/>
  <c r="CO5" i="2"/>
  <c r="AX6" i="2"/>
  <c r="BV6" i="2"/>
  <c r="CL6" i="2"/>
  <c r="CT6" i="2"/>
  <c r="AB8" i="2"/>
  <c r="BX8" i="2"/>
  <c r="CN8" i="2"/>
  <c r="CV8" i="2"/>
  <c r="AO9" i="2"/>
  <c r="BU9" i="2"/>
  <c r="CS9" i="2"/>
  <c r="M10" i="19"/>
  <c r="N10" i="2"/>
  <c r="V10" i="2"/>
  <c r="AD10" i="2"/>
  <c r="BR10" i="2"/>
  <c r="S11" i="2"/>
  <c r="U11" i="2" s="1"/>
  <c r="AA11" i="2"/>
  <c r="AQ11" i="2"/>
  <c r="CE11" i="2"/>
  <c r="CM11" i="2"/>
  <c r="CU11" i="2"/>
  <c r="D13" i="19"/>
  <c r="E13" i="3"/>
  <c r="AC13" i="2"/>
  <c r="CO13" i="2"/>
  <c r="CL14" i="2"/>
  <c r="CT14" i="2"/>
  <c r="AB16" i="2"/>
  <c r="BX16" i="2"/>
  <c r="CO16" i="2"/>
  <c r="AV17" i="2"/>
  <c r="CE17" i="2"/>
  <c r="CN17" i="2"/>
  <c r="CW17" i="2"/>
  <c r="AD18" i="2"/>
  <c r="AV18" i="2"/>
  <c r="BU18" i="2"/>
  <c r="BW18" i="2" s="1"/>
  <c r="CM18" i="2"/>
  <c r="CW18" i="2"/>
  <c r="DC18" i="2" s="1"/>
  <c r="AB19" i="2"/>
  <c r="AA20" i="2"/>
  <c r="CL22" i="2"/>
  <c r="AD23" i="2"/>
  <c r="AC23" i="2"/>
  <c r="AL23" i="2"/>
  <c r="AK23" i="2"/>
  <c r="M24" i="19"/>
  <c r="K24" i="2"/>
  <c r="N24" i="2" s="1"/>
  <c r="AD24" i="2"/>
  <c r="M26" i="19"/>
  <c r="L26" i="2"/>
  <c r="K26" i="2"/>
  <c r="N26" i="2" s="1"/>
  <c r="D27" i="19"/>
  <c r="E27" i="3"/>
  <c r="R27" i="2"/>
  <c r="Q27" i="2"/>
  <c r="P27" i="2"/>
  <c r="AM28" i="2"/>
  <c r="AL28" i="2"/>
  <c r="BN28" i="2" s="1"/>
  <c r="K28" i="19" s="1"/>
  <c r="AK28" i="2"/>
  <c r="CY28" i="2"/>
  <c r="CA28" i="2"/>
  <c r="CZ28" i="2"/>
  <c r="D29" i="19"/>
  <c r="E29" i="3"/>
  <c r="AD29" i="2"/>
  <c r="AO30" i="2"/>
  <c r="BS30" i="2"/>
  <c r="AR30" i="2"/>
  <c r="AZ30" i="2" s="1"/>
  <c r="BY30" i="2"/>
  <c r="CM30" i="2"/>
  <c r="D32" i="19"/>
  <c r="E32" i="3"/>
  <c r="Q32" i="2"/>
  <c r="AV33" i="2"/>
  <c r="AU33" i="2"/>
  <c r="AW33" i="2" s="1"/>
  <c r="V34" i="2"/>
  <c r="U34" i="2"/>
  <c r="T34" i="2"/>
  <c r="S34" i="2"/>
  <c r="R34" i="2"/>
  <c r="AI34" i="2"/>
  <c r="AL34" i="2" s="1"/>
  <c r="AH34" i="2"/>
  <c r="AV36" i="2"/>
  <c r="AU36" i="2"/>
  <c r="AW36" i="2" s="1"/>
  <c r="L37" i="2"/>
  <c r="K37" i="2"/>
  <c r="N37" i="2" s="1"/>
  <c r="AC37" i="2"/>
  <c r="AB37" i="2"/>
  <c r="AA37" i="2"/>
  <c r="Z37" i="2"/>
  <c r="Y37" i="2"/>
  <c r="D38" i="19"/>
  <c r="E38" i="3"/>
  <c r="CP40" i="2"/>
  <c r="CO40" i="2"/>
  <c r="BX40" i="2"/>
  <c r="CW40" i="2"/>
  <c r="CN40" i="2"/>
  <c r="CE40" i="2"/>
  <c r="AQ40" i="2"/>
  <c r="CV40" i="2"/>
  <c r="CM40" i="2"/>
  <c r="CU40" i="2"/>
  <c r="CL40" i="2"/>
  <c r="BU40" i="2"/>
  <c r="CT40" i="2"/>
  <c r="T41" i="2"/>
  <c r="CR42" i="2"/>
  <c r="CX42" i="2" s="1"/>
  <c r="BT42" i="2"/>
  <c r="CO42" i="2"/>
  <c r="CW42" i="2"/>
  <c r="CN42" i="2"/>
  <c r="CE42" i="2"/>
  <c r="BV42" i="2"/>
  <c r="BW42" i="2" s="1"/>
  <c r="CV42" i="2"/>
  <c r="CM42" i="2"/>
  <c r="BU42" i="2"/>
  <c r="CU42" i="2"/>
  <c r="CL42" i="2"/>
  <c r="CT42" i="2"/>
  <c r="CQ42" i="2"/>
  <c r="AC43" i="2"/>
  <c r="AE43" i="2"/>
  <c r="AD43" i="2"/>
  <c r="AB43" i="2"/>
  <c r="AA43" i="2"/>
  <c r="Z43" i="2"/>
  <c r="CB44" i="2"/>
  <c r="D45" i="19"/>
  <c r="E45" i="3"/>
  <c r="U45" i="2"/>
  <c r="M46" i="19"/>
  <c r="L46" i="2"/>
  <c r="K46" i="2"/>
  <c r="N46" i="2" s="1"/>
  <c r="H46" i="2"/>
  <c r="Q46" i="2" s="1"/>
  <c r="S46" i="2" s="1"/>
  <c r="G46" i="2"/>
  <c r="M46" i="2" s="1"/>
  <c r="CU51" i="2"/>
  <c r="CM51" i="2"/>
  <c r="CE51" i="2"/>
  <c r="AQ51" i="2"/>
  <c r="CT51" i="2"/>
  <c r="CL51" i="2"/>
  <c r="CS51" i="2"/>
  <c r="CR51" i="2"/>
  <c r="BX51" i="2"/>
  <c r="CQ51" i="2"/>
  <c r="BU51" i="2"/>
  <c r="CP51" i="2"/>
  <c r="CO51" i="2"/>
  <c r="CN51" i="2"/>
  <c r="CI66" i="2"/>
  <c r="CH66" i="2"/>
  <c r="D8" i="19"/>
  <c r="E8" i="3"/>
  <c r="CO8" i="2"/>
  <c r="CW8" i="2"/>
  <c r="AE10" i="2"/>
  <c r="BX11" i="2"/>
  <c r="CN11" i="2"/>
  <c r="CV11" i="2"/>
  <c r="M13" i="19"/>
  <c r="N13" i="2"/>
  <c r="AD13" i="2"/>
  <c r="D16" i="19"/>
  <c r="E16" i="3"/>
  <c r="CT16" i="2"/>
  <c r="CL16" i="2"/>
  <c r="CP16" i="2"/>
  <c r="D17" i="19"/>
  <c r="E17" i="3"/>
  <c r="AE18" i="2"/>
  <c r="CS22" i="2"/>
  <c r="BU22" i="2"/>
  <c r="CR22" i="2"/>
  <c r="BT22" i="2"/>
  <c r="CM22" i="2"/>
  <c r="CW22" i="2"/>
  <c r="X23" i="2"/>
  <c r="AH23" i="2"/>
  <c r="CI23" i="2"/>
  <c r="G24" i="2"/>
  <c r="M24" i="2" s="1"/>
  <c r="D25" i="19"/>
  <c r="E25" i="3"/>
  <c r="G26" i="2"/>
  <c r="BA26" i="2"/>
  <c r="DC26" i="2"/>
  <c r="BD26" i="2"/>
  <c r="M27" i="19"/>
  <c r="J27" i="2"/>
  <c r="AJ27" i="2" s="1"/>
  <c r="H27" i="2"/>
  <c r="S27" i="2"/>
  <c r="BS28" i="2"/>
  <c r="BR28" i="2"/>
  <c r="AS28" i="2"/>
  <c r="AT28" i="2" s="1"/>
  <c r="M29" i="19"/>
  <c r="L29" i="2"/>
  <c r="K29" i="2"/>
  <c r="J29" i="2"/>
  <c r="AJ29" i="2" s="1"/>
  <c r="M31" i="2"/>
  <c r="M32" i="19"/>
  <c r="K32" i="2"/>
  <c r="J32" i="2"/>
  <c r="AM33" i="2"/>
  <c r="AL33" i="2"/>
  <c r="BN33" i="2" s="1"/>
  <c r="K33" i="19" s="1"/>
  <c r="AK33" i="2"/>
  <c r="CI33" i="2"/>
  <c r="CH33" i="2"/>
  <c r="D35" i="19"/>
  <c r="E35" i="3"/>
  <c r="M36" i="2"/>
  <c r="G37" i="2"/>
  <c r="X37" i="2"/>
  <c r="AX38" i="2"/>
  <c r="AV38" i="2"/>
  <c r="AU38" i="2"/>
  <c r="AW38" i="2" s="1"/>
  <c r="CT38" i="2"/>
  <c r="CL38" i="2"/>
  <c r="BV38" i="2"/>
  <c r="CS38" i="2"/>
  <c r="BU38" i="2"/>
  <c r="CR38" i="2"/>
  <c r="BT38" i="2"/>
  <c r="CQ38" i="2"/>
  <c r="CX38" i="2"/>
  <c r="CP38" i="2"/>
  <c r="CN38" i="2"/>
  <c r="CQ40" i="2"/>
  <c r="P41" i="2"/>
  <c r="CU41" i="2"/>
  <c r="CM41" i="2"/>
  <c r="CE41" i="2"/>
  <c r="AQ41" i="2"/>
  <c r="CO41" i="2"/>
  <c r="CW41" i="2"/>
  <c r="CN41" i="2"/>
  <c r="BU41" i="2"/>
  <c r="CV41" i="2"/>
  <c r="CL41" i="2"/>
  <c r="CT41" i="2"/>
  <c r="CS41" i="2"/>
  <c r="CQ41" i="2"/>
  <c r="AF42" i="2"/>
  <c r="X42" i="2"/>
  <c r="AE42" i="2"/>
  <c r="AD42" i="2"/>
  <c r="AC42" i="2"/>
  <c r="AB42" i="2"/>
  <c r="AA42" i="2"/>
  <c r="BX42" i="2"/>
  <c r="CS42" i="2"/>
  <c r="X43" i="2"/>
  <c r="AV43" i="2"/>
  <c r="R48" i="2"/>
  <c r="Q48" i="2"/>
  <c r="S48" i="2" s="1"/>
  <c r="AD78" i="2"/>
  <c r="AC78" i="2"/>
  <c r="AB78" i="2"/>
  <c r="AA78" i="2"/>
  <c r="AF78" i="2"/>
  <c r="AE78" i="2"/>
  <c r="Z78" i="2"/>
  <c r="Y78" i="2"/>
  <c r="X78" i="2"/>
  <c r="M16" i="19"/>
  <c r="N16" i="2"/>
  <c r="M17" i="19"/>
  <c r="G17" i="2"/>
  <c r="D18" i="19"/>
  <c r="E18" i="3"/>
  <c r="AF18" i="2"/>
  <c r="AK26" i="2"/>
  <c r="AI26" i="2"/>
  <c r="D30" i="19"/>
  <c r="E30" i="3"/>
  <c r="AL31" i="2"/>
  <c r="BN31" i="2" s="1"/>
  <c r="K31" i="19" s="1"/>
  <c r="AK31" i="2"/>
  <c r="AJ31" i="2"/>
  <c r="BS33" i="2"/>
  <c r="BR33" i="2"/>
  <c r="AS33" i="2"/>
  <c r="AT33" i="2" s="1"/>
  <c r="M35" i="19"/>
  <c r="K35" i="2"/>
  <c r="J35" i="2"/>
  <c r="H35" i="2"/>
  <c r="G35" i="2"/>
  <c r="AM36" i="2"/>
  <c r="AL36" i="2"/>
  <c r="AK36" i="2"/>
  <c r="AJ36" i="2"/>
  <c r="AI39" i="2"/>
  <c r="AL39" i="2" s="1"/>
  <c r="AP40" i="2"/>
  <c r="AA41" i="2"/>
  <c r="AE41" i="2"/>
  <c r="AD41" i="2"/>
  <c r="AC41" i="2"/>
  <c r="AB41" i="2"/>
  <c r="Z41" i="2"/>
  <c r="CB41" i="2"/>
  <c r="D42" i="19"/>
  <c r="E42" i="3"/>
  <c r="AV42" i="2"/>
  <c r="AU42" i="2"/>
  <c r="AW42" i="2" s="1"/>
  <c r="M43" i="19"/>
  <c r="L43" i="2"/>
  <c r="K43" i="2"/>
  <c r="J43" i="2"/>
  <c r="H43" i="2"/>
  <c r="Q43" i="2" s="1"/>
  <c r="S43" i="2" s="1"/>
  <c r="V55" i="2"/>
  <c r="U55" i="2"/>
  <c r="D11" i="19"/>
  <c r="E11" i="3"/>
  <c r="CO11" i="2"/>
  <c r="CW11" i="2"/>
  <c r="AE13" i="2"/>
  <c r="M3" i="19"/>
  <c r="N3" i="2"/>
  <c r="AD3" i="2"/>
  <c r="D6" i="19"/>
  <c r="E6" i="3"/>
  <c r="CO6" i="2"/>
  <c r="CQ8" i="2"/>
  <c r="AJ9" i="2"/>
  <c r="BX9" i="2"/>
  <c r="CN9" i="2"/>
  <c r="CV9" i="2"/>
  <c r="Q10" i="2"/>
  <c r="S10" i="2" s="1"/>
  <c r="U10" i="2" s="1"/>
  <c r="Y10" i="2"/>
  <c r="M11" i="19"/>
  <c r="N11" i="2"/>
  <c r="AD11" i="2"/>
  <c r="CP11" i="2"/>
  <c r="AI12" i="2"/>
  <c r="H13" i="2"/>
  <c r="R13" i="2" s="1"/>
  <c r="P13" i="2"/>
  <c r="X13" i="2"/>
  <c r="AF13" i="2"/>
  <c r="D14" i="19"/>
  <c r="E14" i="3"/>
  <c r="CO14" i="2"/>
  <c r="AH15" i="2"/>
  <c r="G16" i="2"/>
  <c r="CR16" i="2"/>
  <c r="H17" i="2"/>
  <c r="AM17" i="2"/>
  <c r="AO17" i="2" s="1"/>
  <c r="AP17" i="2"/>
  <c r="CR17" i="2"/>
  <c r="M18" i="19"/>
  <c r="L18" i="2"/>
  <c r="N18" i="2" s="1"/>
  <c r="X18" i="2"/>
  <c r="AJ18" i="2"/>
  <c r="CH18" i="2"/>
  <c r="D19" i="19"/>
  <c r="E19" i="3"/>
  <c r="AE19" i="2"/>
  <c r="AE20" i="2"/>
  <c r="AE21" i="2"/>
  <c r="Y22" i="2"/>
  <c r="AF22" i="2"/>
  <c r="X22" i="2"/>
  <c r="AQ22" i="2"/>
  <c r="BS22" i="2"/>
  <c r="CE22" i="2"/>
  <c r="CO22" i="2"/>
  <c r="P23" i="2"/>
  <c r="U23" i="2" s="1"/>
  <c r="Z23" i="2"/>
  <c r="CR25" i="2"/>
  <c r="BT25" i="2"/>
  <c r="CQ25" i="2"/>
  <c r="CX25" i="2"/>
  <c r="CP25" i="2"/>
  <c r="CE25" i="2"/>
  <c r="CS25" i="2"/>
  <c r="AB26" i="2"/>
  <c r="AA26" i="2"/>
  <c r="AC26" i="2" s="1"/>
  <c r="AH26" i="2"/>
  <c r="BF26" i="2"/>
  <c r="U27" i="2"/>
  <c r="AJ28" i="2"/>
  <c r="H29" i="2"/>
  <c r="Q29" i="2" s="1"/>
  <c r="AI29" i="2"/>
  <c r="AP29" i="2"/>
  <c r="AH29" i="2"/>
  <c r="M30" i="19"/>
  <c r="H30" i="2"/>
  <c r="G30" i="2"/>
  <c r="CS30" i="2"/>
  <c r="BU30" i="2"/>
  <c r="CR30" i="2"/>
  <c r="BT30" i="2"/>
  <c r="CQ30" i="2"/>
  <c r="CE30" i="2"/>
  <c r="CP30" i="2"/>
  <c r="AD31" i="2"/>
  <c r="AC31" i="2"/>
  <c r="AB31" i="2"/>
  <c r="AH31" i="2"/>
  <c r="H32" i="2"/>
  <c r="R32" i="2" s="1"/>
  <c r="U33" i="2"/>
  <c r="AD34" i="2"/>
  <c r="AC34" i="2"/>
  <c r="AB34" i="2"/>
  <c r="AA34" i="2"/>
  <c r="Z34" i="2"/>
  <c r="AH36" i="2"/>
  <c r="BD36" i="2"/>
  <c r="BC36" i="2"/>
  <c r="BE36" i="2" s="1"/>
  <c r="BB36" i="2"/>
  <c r="BA36" i="2"/>
  <c r="DB38" i="2"/>
  <c r="CD38" i="2"/>
  <c r="CK38" i="2"/>
  <c r="CC38" i="2"/>
  <c r="CZ38" i="2"/>
  <c r="CJ38" i="2"/>
  <c r="CB38" i="2"/>
  <c r="CY38" i="2"/>
  <c r="CA38" i="2"/>
  <c r="AH39" i="2"/>
  <c r="AJ39" i="2" s="1"/>
  <c r="T40" i="2"/>
  <c r="R40" i="2"/>
  <c r="Q40" i="2"/>
  <c r="S40" i="2" s="1"/>
  <c r="V40" i="2" s="1"/>
  <c r="P40" i="2"/>
  <c r="D41" i="19"/>
  <c r="E41" i="3"/>
  <c r="X41" i="2"/>
  <c r="M42" i="19"/>
  <c r="H42" i="2"/>
  <c r="R42" i="2" s="1"/>
  <c r="L42" i="2"/>
  <c r="K42" i="2"/>
  <c r="J42" i="2"/>
  <c r="AX42" i="2"/>
  <c r="G43" i="2"/>
  <c r="M43" i="2" s="1"/>
  <c r="BA43" i="2"/>
  <c r="BD43" i="2"/>
  <c r="T46" i="2"/>
  <c r="R46" i="2"/>
  <c r="AV47" i="2"/>
  <c r="AY47" i="2"/>
  <c r="J48" i="2"/>
  <c r="D49" i="19"/>
  <c r="E49" i="3"/>
  <c r="AV52" i="2"/>
  <c r="AU52" i="2"/>
  <c r="AW52" i="2" s="1"/>
  <c r="AY52" i="2"/>
  <c r="AX52" i="2"/>
  <c r="AL75" i="2"/>
  <c r="BN75" i="2" s="1"/>
  <c r="K75" i="19" s="1"/>
  <c r="AK75" i="2"/>
  <c r="AM75" i="2" s="1"/>
  <c r="AP75" i="2" s="1"/>
  <c r="AI75" i="2"/>
  <c r="AH75" i="2"/>
  <c r="CI75" i="2"/>
  <c r="T76" i="2"/>
  <c r="R76" i="2"/>
  <c r="Q76" i="2"/>
  <c r="S76" i="2" s="1"/>
  <c r="P76" i="2"/>
  <c r="M6" i="19"/>
  <c r="N6" i="2"/>
  <c r="BT8" i="2"/>
  <c r="D9" i="19"/>
  <c r="E9" i="3"/>
  <c r="CO9" i="2"/>
  <c r="M14" i="19"/>
  <c r="N14" i="2"/>
  <c r="H16" i="2"/>
  <c r="CS16" i="2"/>
  <c r="BS17" i="2"/>
  <c r="BV17" i="2" s="1"/>
  <c r="BW17" i="2" s="1"/>
  <c r="AU17" i="2"/>
  <c r="CS17" i="2"/>
  <c r="Y18" i="2"/>
  <c r="CV18" i="2"/>
  <c r="CN18" i="2"/>
  <c r="BX18" i="2"/>
  <c r="CR18" i="2"/>
  <c r="CX18" i="2" s="1"/>
  <c r="M19" i="19"/>
  <c r="N19" i="2"/>
  <c r="AF19" i="2"/>
  <c r="D20" i="19"/>
  <c r="E20" i="3"/>
  <c r="AF20" i="2"/>
  <c r="D21" i="19"/>
  <c r="E21" i="3"/>
  <c r="AF21" i="2"/>
  <c r="D22" i="19"/>
  <c r="E22" i="3"/>
  <c r="AR22" i="2"/>
  <c r="AZ22" i="2" s="1"/>
  <c r="BV22" i="2"/>
  <c r="CP22" i="2"/>
  <c r="M23" i="2"/>
  <c r="Q23" i="2"/>
  <c r="S23" i="2" s="1"/>
  <c r="V23" i="2" s="1"/>
  <c r="AA23" i="2"/>
  <c r="AM23" i="2"/>
  <c r="AP23" i="2" s="1"/>
  <c r="L24" i="2"/>
  <c r="AA24" i="2"/>
  <c r="Z24" i="2"/>
  <c r="Y24" i="2"/>
  <c r="J26" i="2"/>
  <c r="AJ26" i="2" s="1"/>
  <c r="AL26" i="2"/>
  <c r="V27" i="2"/>
  <c r="CI28" i="2"/>
  <c r="CH28" i="2"/>
  <c r="AB29" i="2"/>
  <c r="AA29" i="2"/>
  <c r="Z29" i="2"/>
  <c r="AI31" i="2"/>
  <c r="AP32" i="2"/>
  <c r="DA33" i="2"/>
  <c r="BD33" i="2"/>
  <c r="BC33" i="2"/>
  <c r="BE33" i="2" s="1"/>
  <c r="BB33" i="2"/>
  <c r="BA33" i="2"/>
  <c r="L35" i="2"/>
  <c r="AI36" i="2"/>
  <c r="BF38" i="2"/>
  <c r="DA38" i="2"/>
  <c r="BD38" i="2"/>
  <c r="BC38" i="2"/>
  <c r="BE38" i="2" s="1"/>
  <c r="BB38" i="2"/>
  <c r="M41" i="19"/>
  <c r="K41" i="2"/>
  <c r="L41" i="2"/>
  <c r="J41" i="2"/>
  <c r="H41" i="2"/>
  <c r="R41" i="2" s="1"/>
  <c r="Y41" i="2"/>
  <c r="AL42" i="2"/>
  <c r="AK42" i="2"/>
  <c r="AM42" i="2" s="1"/>
  <c r="AJ42" i="2"/>
  <c r="AY42" i="2"/>
  <c r="AK43" i="2"/>
  <c r="AI43" i="2"/>
  <c r="AL43" i="2" s="1"/>
  <c r="AM45" i="2"/>
  <c r="AO45" i="2" s="1"/>
  <c r="AL45" i="2"/>
  <c r="AJ45" i="2"/>
  <c r="AP45" i="2"/>
  <c r="AK45" i="2"/>
  <c r="AI45" i="2"/>
  <c r="BS45" i="2" s="1"/>
  <c r="CC47" i="2"/>
  <c r="CJ47" i="2"/>
  <c r="CB47" i="2"/>
  <c r="CD47" i="2" s="1"/>
  <c r="CA47" i="2"/>
  <c r="M53" i="2"/>
  <c r="J53" i="2"/>
  <c r="AY53" i="2"/>
  <c r="AV53" i="2"/>
  <c r="E54" i="3"/>
  <c r="D54" i="19"/>
  <c r="D33" i="19"/>
  <c r="E33" i="3"/>
  <c r="CO33" i="2"/>
  <c r="CW33" i="2"/>
  <c r="J34" i="2"/>
  <c r="CL34" i="2"/>
  <c r="CT34" i="2"/>
  <c r="AE35" i="2"/>
  <c r="BS35" i="2"/>
  <c r="T36" i="2"/>
  <c r="V36" i="2" s="1"/>
  <c r="AB36" i="2"/>
  <c r="BX36" i="2"/>
  <c r="CN36" i="2"/>
  <c r="CV36" i="2"/>
  <c r="BU37" i="2"/>
  <c r="CS37" i="2"/>
  <c r="M38" i="19"/>
  <c r="N38" i="2"/>
  <c r="AD38" i="2"/>
  <c r="AL38" i="2"/>
  <c r="BR38" i="2"/>
  <c r="K39" i="2"/>
  <c r="N39" i="2" s="1"/>
  <c r="AA39" i="2"/>
  <c r="L44" i="2"/>
  <c r="N44" i="2" s="1"/>
  <c r="AE46" i="2"/>
  <c r="BS46" i="2"/>
  <c r="BV46" i="2" s="1"/>
  <c r="BW46" i="2" s="1"/>
  <c r="AO47" i="2"/>
  <c r="BR47" i="2"/>
  <c r="CQ47" i="2"/>
  <c r="M49" i="19"/>
  <c r="K49" i="2"/>
  <c r="N49" i="2" s="1"/>
  <c r="J49" i="2"/>
  <c r="G49" i="2"/>
  <c r="K54" i="2"/>
  <c r="M54" i="2" s="1"/>
  <c r="J54" i="2"/>
  <c r="L54" i="2"/>
  <c r="H54" i="2"/>
  <c r="L57" i="2"/>
  <c r="K57" i="2"/>
  <c r="M57" i="2" s="1"/>
  <c r="J57" i="2"/>
  <c r="H57" i="2"/>
  <c r="R57" i="2" s="1"/>
  <c r="S57" i="2" s="1"/>
  <c r="V57" i="2" s="1"/>
  <c r="BF66" i="2"/>
  <c r="DA66" i="2"/>
  <c r="BD66" i="2"/>
  <c r="BC66" i="2"/>
  <c r="BE66" i="2" s="1"/>
  <c r="BB66" i="2"/>
  <c r="DC66" i="2"/>
  <c r="BA66" i="2"/>
  <c r="AF69" i="2"/>
  <c r="M25" i="19"/>
  <c r="N25" i="2"/>
  <c r="D28" i="19"/>
  <c r="E28" i="3"/>
  <c r="U28" i="2"/>
  <c r="AC28" i="2"/>
  <c r="CO28" i="2"/>
  <c r="CW28" i="2"/>
  <c r="AE30" i="2"/>
  <c r="M33" i="19"/>
  <c r="N33" i="2"/>
  <c r="K34" i="2"/>
  <c r="AQ34" i="2"/>
  <c r="CE34" i="2"/>
  <c r="CM34" i="2"/>
  <c r="CU34" i="2"/>
  <c r="D36" i="19"/>
  <c r="E36" i="3"/>
  <c r="U36" i="2"/>
  <c r="AC36" i="2"/>
  <c r="CO36" i="2"/>
  <c r="CW36" i="2"/>
  <c r="BV37" i="2"/>
  <c r="CL37" i="2"/>
  <c r="CT37" i="2"/>
  <c r="AE38" i="2"/>
  <c r="BS38" i="2"/>
  <c r="T39" i="2"/>
  <c r="AB39" i="2"/>
  <c r="CQ45" i="2"/>
  <c r="CP45" i="2"/>
  <c r="CV45" i="2"/>
  <c r="CN45" i="2"/>
  <c r="BX45" i="2"/>
  <c r="CR45" i="2"/>
  <c r="Y47" i="2"/>
  <c r="AF47" i="2"/>
  <c r="X47" i="2"/>
  <c r="AD47" i="2"/>
  <c r="AS47" i="2"/>
  <c r="AT47" i="2" s="1"/>
  <c r="AU47" i="2" s="1"/>
  <c r="CE47" i="2"/>
  <c r="CU47" i="2"/>
  <c r="CV48" i="2"/>
  <c r="CN48" i="2"/>
  <c r="BX48" i="2"/>
  <c r="CO48" i="2"/>
  <c r="CE48" i="2"/>
  <c r="CW48" i="2"/>
  <c r="CM48" i="2"/>
  <c r="BU48" i="2"/>
  <c r="CU48" i="2"/>
  <c r="CL48" i="2"/>
  <c r="CS48" i="2"/>
  <c r="H49" i="2"/>
  <c r="R49" i="2" s="1"/>
  <c r="CB49" i="2"/>
  <c r="AO52" i="2"/>
  <c r="BS52" i="2"/>
  <c r="BR52" i="2"/>
  <c r="AS52" i="2"/>
  <c r="AT52" i="2" s="1"/>
  <c r="M83" i="19"/>
  <c r="J83" i="2"/>
  <c r="AJ83" i="2" s="1"/>
  <c r="H83" i="2"/>
  <c r="G83" i="2"/>
  <c r="N83" i="2"/>
  <c r="L83" i="2"/>
  <c r="K83" i="2"/>
  <c r="M20" i="19"/>
  <c r="N20" i="2"/>
  <c r="D23" i="19"/>
  <c r="E23" i="3"/>
  <c r="CO23" i="2"/>
  <c r="AH24" i="2"/>
  <c r="AP24" i="2"/>
  <c r="G25" i="2"/>
  <c r="BX26" i="2"/>
  <c r="CN26" i="2"/>
  <c r="CV26" i="2"/>
  <c r="M28" i="19"/>
  <c r="N28" i="2"/>
  <c r="AD28" i="2"/>
  <c r="CP28" i="2"/>
  <c r="CX28" i="2"/>
  <c r="X30" i="2"/>
  <c r="D31" i="19"/>
  <c r="E31" i="3"/>
  <c r="CO31" i="2"/>
  <c r="AH32" i="2"/>
  <c r="G33" i="2"/>
  <c r="BX34" i="2"/>
  <c r="CN34" i="2"/>
  <c r="CV34" i="2"/>
  <c r="M36" i="19"/>
  <c r="N36" i="2"/>
  <c r="AD36" i="2"/>
  <c r="CP36" i="2"/>
  <c r="AQ37" i="2"/>
  <c r="M37" i="19" s="1"/>
  <c r="BW37" i="2"/>
  <c r="CE37" i="2"/>
  <c r="CM37" i="2"/>
  <c r="CU37" i="2"/>
  <c r="H38" i="2"/>
  <c r="X38" i="2"/>
  <c r="D39" i="19"/>
  <c r="E39" i="3"/>
  <c r="AC39" i="2"/>
  <c r="CO39" i="2"/>
  <c r="AH40" i="2"/>
  <c r="CT44" i="2"/>
  <c r="CL44" i="2"/>
  <c r="CS44" i="2"/>
  <c r="BU44" i="2"/>
  <c r="CQ44" i="2"/>
  <c r="CE44" i="2"/>
  <c r="CP44" i="2"/>
  <c r="CE45" i="2"/>
  <c r="CS45" i="2"/>
  <c r="AJ46" i="2"/>
  <c r="Z47" i="2"/>
  <c r="AJ47" i="2"/>
  <c r="AQ48" i="2"/>
  <c r="CI49" i="2"/>
  <c r="CB50" i="2"/>
  <c r="T56" i="2"/>
  <c r="P56" i="2"/>
  <c r="BY56" i="2"/>
  <c r="CF56" i="2"/>
  <c r="AR56" i="2"/>
  <c r="AZ56" i="2" s="1"/>
  <c r="CB63" i="2"/>
  <c r="M23" i="19"/>
  <c r="N23" i="2"/>
  <c r="H25" i="2"/>
  <c r="D26" i="19"/>
  <c r="E26" i="3"/>
  <c r="CO26" i="2"/>
  <c r="M31" i="19"/>
  <c r="N31" i="2"/>
  <c r="D34" i="19"/>
  <c r="E34" i="3"/>
  <c r="CO34" i="2"/>
  <c r="BX37" i="2"/>
  <c r="CN37" i="2"/>
  <c r="CV37" i="2"/>
  <c r="M39" i="19"/>
  <c r="AD39" i="2"/>
  <c r="D44" i="19"/>
  <c r="E44" i="3"/>
  <c r="R44" i="2"/>
  <c r="AB46" i="2"/>
  <c r="AA46" i="2"/>
  <c r="Y46" i="2"/>
  <c r="AO46" i="2"/>
  <c r="D47" i="19"/>
  <c r="E47" i="3"/>
  <c r="CT47" i="2"/>
  <c r="CZ47" i="2" s="1"/>
  <c r="CL47" i="2"/>
  <c r="BV47" i="2"/>
  <c r="CS47" i="2"/>
  <c r="CY47" i="2" s="1"/>
  <c r="BU47" i="2"/>
  <c r="BW47" i="2" s="1"/>
  <c r="CR47" i="2"/>
  <c r="CX47" i="2" s="1"/>
  <c r="BT47" i="2"/>
  <c r="CP47" i="2"/>
  <c r="CG47" i="2"/>
  <c r="DB47" i="2" s="1"/>
  <c r="CW47" i="2"/>
  <c r="Y49" i="2"/>
  <c r="AC49" i="2"/>
  <c r="AB49" i="2"/>
  <c r="AA49" i="2"/>
  <c r="Z49" i="2"/>
  <c r="X49" i="2"/>
  <c r="AD50" i="2"/>
  <c r="AB50" i="2"/>
  <c r="AA50" i="2"/>
  <c r="Z50" i="2"/>
  <c r="Y50" i="2"/>
  <c r="X50" i="2"/>
  <c r="R54" i="2"/>
  <c r="Q54" i="2"/>
  <c r="S54" i="2" s="1"/>
  <c r="AV58" i="2"/>
  <c r="AY58" i="2"/>
  <c r="M34" i="19"/>
  <c r="N34" i="2"/>
  <c r="D37" i="19"/>
  <c r="E37" i="3"/>
  <c r="CO37" i="2"/>
  <c r="M44" i="19"/>
  <c r="G44" i="2"/>
  <c r="M44" i="2" s="1"/>
  <c r="Q47" i="2"/>
  <c r="S47" i="2" s="1"/>
  <c r="V47" i="2" s="1"/>
  <c r="P47" i="2"/>
  <c r="U47" i="2" s="1"/>
  <c r="M48" i="2"/>
  <c r="AJ48" i="2"/>
  <c r="AI48" i="2"/>
  <c r="AK48" i="2" s="1"/>
  <c r="AP49" i="2"/>
  <c r="D52" i="19"/>
  <c r="E52" i="3"/>
  <c r="AB57" i="2"/>
  <c r="AA57" i="2"/>
  <c r="Z57" i="2"/>
  <c r="Y57" i="2"/>
  <c r="AF57" i="2"/>
  <c r="X57" i="2"/>
  <c r="AE57" i="2"/>
  <c r="M59" i="2"/>
  <c r="AK62" i="2"/>
  <c r="AM62" i="2" s="1"/>
  <c r="AP62" i="2" s="1"/>
  <c r="AI62" i="2"/>
  <c r="AL62" i="2" s="1"/>
  <c r="BN62" i="2" s="1"/>
  <c r="K62" i="19" s="1"/>
  <c r="AH62" i="2"/>
  <c r="AE44" i="2"/>
  <c r="AM44" i="2"/>
  <c r="AP44" i="2" s="1"/>
  <c r="M47" i="19"/>
  <c r="N47" i="2"/>
  <c r="AA48" i="2"/>
  <c r="Q49" i="2"/>
  <c r="AL50" i="2"/>
  <c r="AM50" i="2" s="1"/>
  <c r="AO50" i="2" s="1"/>
  <c r="AY50" i="2"/>
  <c r="L51" i="2"/>
  <c r="M52" i="19"/>
  <c r="H52" i="2"/>
  <c r="G52" i="2"/>
  <c r="AL53" i="2"/>
  <c r="AK53" i="2"/>
  <c r="AJ53" i="2"/>
  <c r="BX54" i="2"/>
  <c r="CW54" i="2"/>
  <c r="D55" i="19"/>
  <c r="E55" i="3"/>
  <c r="AM55" i="2"/>
  <c r="AL55" i="2"/>
  <c r="AQ55" i="2"/>
  <c r="M55" i="19" s="1"/>
  <c r="BX55" i="2"/>
  <c r="CL55" i="2"/>
  <c r="CW55" i="2"/>
  <c r="CV57" i="2"/>
  <c r="CN57" i="2"/>
  <c r="BX57" i="2"/>
  <c r="CU57" i="2"/>
  <c r="CM57" i="2"/>
  <c r="CE57" i="2"/>
  <c r="AQ57" i="2"/>
  <c r="CT57" i="2"/>
  <c r="CL57" i="2"/>
  <c r="BV57" i="2"/>
  <c r="CS57" i="2"/>
  <c r="BU57" i="2"/>
  <c r="BW57" i="2" s="1"/>
  <c r="CR57" i="2"/>
  <c r="CX57" i="2" s="1"/>
  <c r="BT57" i="2"/>
  <c r="D60" i="19"/>
  <c r="E60" i="3"/>
  <c r="T61" i="2"/>
  <c r="V61" i="2" s="1"/>
  <c r="S61" i="2"/>
  <c r="R61" i="2"/>
  <c r="Q61" i="2"/>
  <c r="P61" i="2"/>
  <c r="U61" i="2" s="1"/>
  <c r="AY61" i="2"/>
  <c r="AX61" i="2"/>
  <c r="AV61" i="2"/>
  <c r="DA77" i="2"/>
  <c r="BD77" i="2"/>
  <c r="BC77" i="2"/>
  <c r="BE77" i="2" s="1"/>
  <c r="BB77" i="2"/>
  <c r="BF77" i="2"/>
  <c r="BA77" i="2"/>
  <c r="DC77" i="2"/>
  <c r="AO49" i="2"/>
  <c r="CS49" i="2"/>
  <c r="BU49" i="2"/>
  <c r="CR49" i="2"/>
  <c r="AA51" i="2"/>
  <c r="Z51" i="2"/>
  <c r="AI51" i="2"/>
  <c r="AH51" i="2"/>
  <c r="CS52" i="2"/>
  <c r="BU52" i="2"/>
  <c r="CR52" i="2"/>
  <c r="BT52" i="2"/>
  <c r="CQ52" i="2"/>
  <c r="CE52" i="2"/>
  <c r="CP52" i="2"/>
  <c r="AD53" i="2"/>
  <c r="AB53" i="2"/>
  <c r="BR53" i="2"/>
  <c r="AS53" i="2"/>
  <c r="AT53" i="2" s="1"/>
  <c r="AU53" i="2" s="1"/>
  <c r="AP54" i="2"/>
  <c r="BS55" i="2"/>
  <c r="BR55" i="2"/>
  <c r="M56" i="19"/>
  <c r="L56" i="2"/>
  <c r="K56" i="2"/>
  <c r="N56" i="2" s="1"/>
  <c r="CF57" i="2"/>
  <c r="AR57" i="2"/>
  <c r="AZ57" i="2" s="1"/>
  <c r="BS58" i="2"/>
  <c r="BR58" i="2"/>
  <c r="AS58" i="2"/>
  <c r="AT58" i="2" s="1"/>
  <c r="AU58" i="2" s="1"/>
  <c r="T59" i="2"/>
  <c r="R59" i="2"/>
  <c r="AL59" i="2"/>
  <c r="AK59" i="2"/>
  <c r="AI59" i="2"/>
  <c r="AP59" i="2"/>
  <c r="AH59" i="2"/>
  <c r="M60" i="19"/>
  <c r="K60" i="2"/>
  <c r="J60" i="2"/>
  <c r="H60" i="2"/>
  <c r="G60" i="2"/>
  <c r="AD61" i="2"/>
  <c r="AC61" i="2"/>
  <c r="AF61" i="2"/>
  <c r="AE61" i="2"/>
  <c r="AB61" i="2"/>
  <c r="AA61" i="2"/>
  <c r="Z61" i="2"/>
  <c r="D63" i="19"/>
  <c r="E63" i="3"/>
  <c r="CI64" i="2"/>
  <c r="CH64" i="2"/>
  <c r="AV69" i="2"/>
  <c r="AU69" i="2"/>
  <c r="AW69" i="2" s="1"/>
  <c r="AY69" i="2"/>
  <c r="AX69" i="2"/>
  <c r="M78" i="2"/>
  <c r="J78" i="2"/>
  <c r="BR78" i="2"/>
  <c r="BS78" i="2"/>
  <c r="AP99" i="2"/>
  <c r="AH99" i="2"/>
  <c r="AM99" i="2"/>
  <c r="AL99" i="2"/>
  <c r="AI99" i="2"/>
  <c r="AK99" i="2"/>
  <c r="Q44" i="2"/>
  <c r="S44" i="2" s="1"/>
  <c r="Y44" i="2"/>
  <c r="M45" i="19"/>
  <c r="N45" i="2"/>
  <c r="D48" i="19"/>
  <c r="E48" i="3"/>
  <c r="AC48" i="2"/>
  <c r="BR49" i="2"/>
  <c r="CT49" i="2"/>
  <c r="AR50" i="2"/>
  <c r="AZ50" i="2" s="1"/>
  <c r="BS50" i="2"/>
  <c r="CX50" i="2" s="1"/>
  <c r="X51" i="2"/>
  <c r="AJ51" i="2"/>
  <c r="CT52" i="2"/>
  <c r="X53" i="2"/>
  <c r="AA54" i="2"/>
  <c r="Z54" i="2"/>
  <c r="Y54" i="2"/>
  <c r="AS55" i="2"/>
  <c r="AT55" i="2" s="1"/>
  <c r="G56" i="2"/>
  <c r="BA56" i="2"/>
  <c r="BD56" i="2"/>
  <c r="T57" i="2"/>
  <c r="Q57" i="2"/>
  <c r="P57" i="2"/>
  <c r="U57" i="2" s="1"/>
  <c r="AO57" i="2"/>
  <c r="CB58" i="2"/>
  <c r="P59" i="2"/>
  <c r="U59" i="2" s="1"/>
  <c r="AM59" i="2"/>
  <c r="Y60" i="2"/>
  <c r="AF60" i="2"/>
  <c r="AC60" i="2"/>
  <c r="AB60" i="2"/>
  <c r="AA60" i="2"/>
  <c r="Z60" i="2"/>
  <c r="X60" i="2"/>
  <c r="CS60" i="2"/>
  <c r="BU60" i="2"/>
  <c r="CR60" i="2"/>
  <c r="CX60" i="2" s="1"/>
  <c r="CU60" i="2"/>
  <c r="CT60" i="2"/>
  <c r="BX60" i="2"/>
  <c r="CQ60" i="2"/>
  <c r="CP60" i="2"/>
  <c r="BV60" i="2"/>
  <c r="BW60" i="2" s="1"/>
  <c r="CO60" i="2"/>
  <c r="CE60" i="2"/>
  <c r="AQ60" i="2"/>
  <c r="CV60" i="2"/>
  <c r="X61" i="2"/>
  <c r="AM64" i="2"/>
  <c r="AL64" i="2"/>
  <c r="AK64" i="2"/>
  <c r="AJ64" i="2"/>
  <c r="AP64" i="2"/>
  <c r="AI64" i="2"/>
  <c r="BB70" i="2"/>
  <c r="BA70" i="2"/>
  <c r="DC70" i="2"/>
  <c r="BF70" i="2"/>
  <c r="DA70" i="2"/>
  <c r="BD70" i="2"/>
  <c r="BC70" i="2"/>
  <c r="BE70" i="2" s="1"/>
  <c r="D43" i="19"/>
  <c r="E43" i="3"/>
  <c r="CO43" i="2"/>
  <c r="AH44" i="2"/>
  <c r="G45" i="2"/>
  <c r="M48" i="19"/>
  <c r="N48" i="2"/>
  <c r="AD48" i="2"/>
  <c r="S49" i="2"/>
  <c r="V49" i="2" s="1"/>
  <c r="AJ49" i="2"/>
  <c r="AS49" i="2"/>
  <c r="AT49" i="2" s="1"/>
  <c r="AU49" i="2" s="1"/>
  <c r="BS49" i="2"/>
  <c r="CL49" i="2"/>
  <c r="CU49" i="2"/>
  <c r="R50" i="2"/>
  <c r="S50" i="2" s="1"/>
  <c r="AJ50" i="2"/>
  <c r="AS50" i="2"/>
  <c r="AT50" i="2" s="1"/>
  <c r="AU50" i="2" s="1"/>
  <c r="D51" i="19"/>
  <c r="E51" i="3"/>
  <c r="S51" i="2"/>
  <c r="R51" i="2"/>
  <c r="Y51" i="2"/>
  <c r="AK51" i="2"/>
  <c r="K52" i="2"/>
  <c r="N52" i="2" s="1"/>
  <c r="BV52" i="2"/>
  <c r="CU52" i="2"/>
  <c r="Y53" i="2"/>
  <c r="AA53" i="2" s="1"/>
  <c r="AC53" i="2" s="1"/>
  <c r="AF53" i="2" s="1"/>
  <c r="AM53" i="2"/>
  <c r="X54" i="2"/>
  <c r="AJ55" i="2"/>
  <c r="H56" i="2"/>
  <c r="R56" i="2" s="1"/>
  <c r="AJ56" i="2"/>
  <c r="AI56" i="2"/>
  <c r="BY57" i="2"/>
  <c r="CQ57" i="2"/>
  <c r="V58" i="2"/>
  <c r="AJ58" i="2"/>
  <c r="Q59" i="2"/>
  <c r="S59" i="2" s="1"/>
  <c r="V59" i="2" s="1"/>
  <c r="L60" i="2"/>
  <c r="AD60" i="2"/>
  <c r="BY60" i="2"/>
  <c r="CF60" i="2"/>
  <c r="AR60" i="2"/>
  <c r="AZ60" i="2" s="1"/>
  <c r="CW60" i="2"/>
  <c r="Y61" i="2"/>
  <c r="AL63" i="2"/>
  <c r="BN63" i="2" s="1"/>
  <c r="K63" i="19" s="1"/>
  <c r="AK63" i="2"/>
  <c r="AH64" i="2"/>
  <c r="D66" i="19"/>
  <c r="E66" i="3"/>
  <c r="DB71" i="2"/>
  <c r="CD71" i="2"/>
  <c r="CZ71" i="2"/>
  <c r="CY71" i="2"/>
  <c r="CC71" i="2"/>
  <c r="CB71" i="2"/>
  <c r="CK71" i="2"/>
  <c r="CA71" i="2"/>
  <c r="CJ71" i="2"/>
  <c r="CM49" i="2"/>
  <c r="CV49" i="2"/>
  <c r="M51" i="19"/>
  <c r="K51" i="2"/>
  <c r="M51" i="2" s="1"/>
  <c r="J51" i="2"/>
  <c r="AB51" i="2"/>
  <c r="AL51" i="2"/>
  <c r="BW52" i="2"/>
  <c r="CV52" i="2"/>
  <c r="U53" i="2"/>
  <c r="T53" i="2"/>
  <c r="V53" i="2" s="1"/>
  <c r="BS53" i="2"/>
  <c r="AB54" i="2"/>
  <c r="CU54" i="2"/>
  <c r="CM54" i="2"/>
  <c r="CE54" i="2"/>
  <c r="AQ54" i="2"/>
  <c r="M54" i="19" s="1"/>
  <c r="CT54" i="2"/>
  <c r="CL54" i="2"/>
  <c r="CS54" i="2"/>
  <c r="BU54" i="2"/>
  <c r="CP54" i="2"/>
  <c r="CR55" i="2"/>
  <c r="CX55" i="2" s="1"/>
  <c r="BT55" i="2"/>
  <c r="CQ55" i="2"/>
  <c r="CP55" i="2"/>
  <c r="CE55" i="2"/>
  <c r="CS55" i="2"/>
  <c r="AC56" i="2"/>
  <c r="AB56" i="2"/>
  <c r="AA56" i="2"/>
  <c r="D57" i="19"/>
  <c r="E57" i="3"/>
  <c r="CW57" i="2"/>
  <c r="U58" i="2"/>
  <c r="CI58" i="2"/>
  <c r="AD59" i="2"/>
  <c r="AB59" i="2"/>
  <c r="BN59" i="2" s="1"/>
  <c r="K59" i="19" s="1"/>
  <c r="AA59" i="2"/>
  <c r="AC59" i="2" s="1"/>
  <c r="Z59" i="2"/>
  <c r="AE60" i="2"/>
  <c r="AL61" i="2"/>
  <c r="AK61" i="2"/>
  <c r="AM61" i="2"/>
  <c r="AP61" i="2" s="1"/>
  <c r="AJ61" i="2"/>
  <c r="CB61" i="2"/>
  <c r="AC62" i="2"/>
  <c r="AB62" i="2"/>
  <c r="AA62" i="2"/>
  <c r="Z62" i="2"/>
  <c r="AF62" i="2"/>
  <c r="AE62" i="2"/>
  <c r="AD62" i="2"/>
  <c r="Y62" i="2"/>
  <c r="X62" i="2"/>
  <c r="V66" i="2"/>
  <c r="CO50" i="2"/>
  <c r="CW50" i="2"/>
  <c r="AE52" i="2"/>
  <c r="N55" i="2"/>
  <c r="CE56" i="2"/>
  <c r="CM56" i="2"/>
  <c r="CU56" i="2"/>
  <c r="D58" i="19"/>
  <c r="E58" i="3"/>
  <c r="AK58" i="2"/>
  <c r="AM58" i="2" s="1"/>
  <c r="CO58" i="2"/>
  <c r="CW58" i="2"/>
  <c r="J59" i="2"/>
  <c r="AJ59" i="2" s="1"/>
  <c r="BV59" i="2"/>
  <c r="CL59" i="2"/>
  <c r="CT59" i="2"/>
  <c r="Q60" i="2"/>
  <c r="AO60" i="2"/>
  <c r="BS60" i="2"/>
  <c r="J63" i="2"/>
  <c r="H63" i="2"/>
  <c r="G63" i="2"/>
  <c r="M63" i="2" s="1"/>
  <c r="CO63" i="2"/>
  <c r="AY64" i="2"/>
  <c r="T65" i="2"/>
  <c r="S65" i="2"/>
  <c r="V65" i="2" s="1"/>
  <c r="R65" i="2"/>
  <c r="Q65" i="2"/>
  <c r="D68" i="19"/>
  <c r="E68" i="3"/>
  <c r="AB68" i="2"/>
  <c r="Z71" i="2"/>
  <c r="AD71" i="2"/>
  <c r="AB71" i="2"/>
  <c r="BN71" i="2" s="1"/>
  <c r="K71" i="19" s="1"/>
  <c r="Y71" i="2"/>
  <c r="AA71" i="2" s="1"/>
  <c r="AC71" i="2" s="1"/>
  <c r="AF71" i="2" s="1"/>
  <c r="BA75" i="2"/>
  <c r="BD75" i="2"/>
  <c r="AP80" i="2"/>
  <c r="BA82" i="2"/>
  <c r="DC82" i="2"/>
  <c r="BF82" i="2"/>
  <c r="BC82" i="2"/>
  <c r="BE82" i="2" s="1"/>
  <c r="BB82" i="2"/>
  <c r="DA82" i="2"/>
  <c r="BD82" i="2"/>
  <c r="M50" i="19"/>
  <c r="N50" i="2"/>
  <c r="CP50" i="2"/>
  <c r="X52" i="2"/>
  <c r="E53" i="3"/>
  <c r="D53" i="19"/>
  <c r="CO53" i="2"/>
  <c r="AH54" i="2"/>
  <c r="G55" i="2"/>
  <c r="BX56" i="2"/>
  <c r="CN56" i="2"/>
  <c r="CV56" i="2"/>
  <c r="M58" i="19"/>
  <c r="N58" i="2"/>
  <c r="AD58" i="2"/>
  <c r="AL58" i="2"/>
  <c r="CP58" i="2"/>
  <c r="K59" i="2"/>
  <c r="N59" i="2" s="1"/>
  <c r="AQ59" i="2"/>
  <c r="BW59" i="2"/>
  <c r="CE59" i="2"/>
  <c r="CM59" i="2"/>
  <c r="CU59" i="2"/>
  <c r="P60" i="2"/>
  <c r="M61" i="2"/>
  <c r="CP63" i="2"/>
  <c r="P65" i="2"/>
  <c r="AO65" i="2"/>
  <c r="Z67" i="2"/>
  <c r="L68" i="2"/>
  <c r="K68" i="2"/>
  <c r="H68" i="2"/>
  <c r="G68" i="2"/>
  <c r="CV68" i="2"/>
  <c r="CN68" i="2"/>
  <c r="BX68" i="2"/>
  <c r="CU68" i="2"/>
  <c r="CM68" i="2"/>
  <c r="CE68" i="2"/>
  <c r="BW68" i="2"/>
  <c r="AQ68" i="2"/>
  <c r="M68" i="19" s="1"/>
  <c r="CT68" i="2"/>
  <c r="CL68" i="2"/>
  <c r="BV68" i="2"/>
  <c r="CS68" i="2"/>
  <c r="BU68" i="2"/>
  <c r="CR68" i="2"/>
  <c r="BT68" i="2"/>
  <c r="CQ68" i="2"/>
  <c r="CP68" i="2"/>
  <c r="J70" i="2"/>
  <c r="X71" i="2"/>
  <c r="AE71" i="2" s="1"/>
  <c r="BD72" i="2"/>
  <c r="BC72" i="2"/>
  <c r="BE72" i="2" s="1"/>
  <c r="DA72" i="2"/>
  <c r="BA72" i="2"/>
  <c r="BF72" i="2"/>
  <c r="M53" i="19"/>
  <c r="N53" i="2"/>
  <c r="D56" i="19"/>
  <c r="E56" i="3"/>
  <c r="CO56" i="2"/>
  <c r="BX59" i="2"/>
  <c r="CN59" i="2"/>
  <c r="CV59" i="2"/>
  <c r="R60" i="2"/>
  <c r="AJ60" i="2"/>
  <c r="AS60" i="2"/>
  <c r="AT60" i="2" s="1"/>
  <c r="CI61" i="2"/>
  <c r="K63" i="2"/>
  <c r="N63" i="2" s="1"/>
  <c r="CE63" i="2"/>
  <c r="CU63" i="2"/>
  <c r="BY65" i="2"/>
  <c r="CF65" i="2"/>
  <c r="AR65" i="2"/>
  <c r="AZ65" i="2" s="1"/>
  <c r="AX66" i="2"/>
  <c r="AV66" i="2"/>
  <c r="AU66" i="2"/>
  <c r="AW66" i="2" s="1"/>
  <c r="CF68" i="2"/>
  <c r="AR68" i="2"/>
  <c r="AZ68" i="2" s="1"/>
  <c r="M69" i="2"/>
  <c r="AI71" i="2"/>
  <c r="AP71" i="2"/>
  <c r="AH71" i="2"/>
  <c r="AM71" i="2"/>
  <c r="AL71" i="2"/>
  <c r="AK71" i="2"/>
  <c r="AR72" i="2"/>
  <c r="AZ72" i="2" s="1"/>
  <c r="L85" i="2"/>
  <c r="K85" i="2"/>
  <c r="N85" i="2" s="1"/>
  <c r="H85" i="2"/>
  <c r="AD87" i="2"/>
  <c r="AC87" i="2"/>
  <c r="AB87" i="2"/>
  <c r="AA87" i="2"/>
  <c r="AF87" i="2"/>
  <c r="AE87" i="2"/>
  <c r="Z87" i="2"/>
  <c r="Y87" i="2"/>
  <c r="X87" i="2"/>
  <c r="BS90" i="2"/>
  <c r="D59" i="19"/>
  <c r="E59" i="3"/>
  <c r="CO59" i="2"/>
  <c r="CW59" i="2"/>
  <c r="CX61" i="2"/>
  <c r="T62" i="2"/>
  <c r="S62" i="2"/>
  <c r="R62" i="2"/>
  <c r="AQ63" i="2"/>
  <c r="M63" i="19" s="1"/>
  <c r="M65" i="19"/>
  <c r="L65" i="2"/>
  <c r="K65" i="2"/>
  <c r="N65" i="2" s="1"/>
  <c r="J65" i="2"/>
  <c r="AJ65" i="2" s="1"/>
  <c r="AB65" i="2"/>
  <c r="Z65" i="2"/>
  <c r="Y65" i="2"/>
  <c r="AA65" i="2" s="1"/>
  <c r="AC65" i="2" s="1"/>
  <c r="AO69" i="2"/>
  <c r="BS69" i="2"/>
  <c r="BR69" i="2"/>
  <c r="AS69" i="2"/>
  <c r="AT69" i="2" s="1"/>
  <c r="AJ71" i="2"/>
  <c r="G85" i="2"/>
  <c r="M85" i="2" s="1"/>
  <c r="M59" i="19"/>
  <c r="CP59" i="2"/>
  <c r="P62" i="2"/>
  <c r="U62" i="2" s="1"/>
  <c r="CT63" i="2"/>
  <c r="CL63" i="2"/>
  <c r="CS63" i="2"/>
  <c r="BU63" i="2"/>
  <c r="CR63" i="2"/>
  <c r="CQ63" i="2"/>
  <c r="CW63" i="2"/>
  <c r="M65" i="2"/>
  <c r="DB66" i="2"/>
  <c r="CD66" i="2"/>
  <c r="CK66" i="2"/>
  <c r="CC66" i="2"/>
  <c r="CZ66" i="2"/>
  <c r="CJ66" i="2"/>
  <c r="CB66" i="2"/>
  <c r="CY66" i="2"/>
  <c r="CA66" i="2"/>
  <c r="AM67" i="2"/>
  <c r="AL67" i="2"/>
  <c r="AK67" i="2"/>
  <c r="AJ67" i="2"/>
  <c r="AI67" i="2"/>
  <c r="AP67" i="2"/>
  <c r="AH67" i="2"/>
  <c r="CI69" i="2"/>
  <c r="CH69" i="2"/>
  <c r="N73" i="2"/>
  <c r="S75" i="2"/>
  <c r="CI78" i="2"/>
  <c r="CU80" i="2"/>
  <c r="CM80" i="2"/>
  <c r="CE80" i="2"/>
  <c r="AQ80" i="2"/>
  <c r="CT80" i="2"/>
  <c r="CL80" i="2"/>
  <c r="CS80" i="2"/>
  <c r="BU80" i="2"/>
  <c r="CR80" i="2"/>
  <c r="BT80" i="2"/>
  <c r="CO80" i="2"/>
  <c r="CN80" i="2"/>
  <c r="BX80" i="2"/>
  <c r="CP80" i="2"/>
  <c r="CW80" i="2"/>
  <c r="BC84" i="2"/>
  <c r="BE84" i="2" s="1"/>
  <c r="BB84" i="2"/>
  <c r="BA84" i="2"/>
  <c r="BF84" i="2"/>
  <c r="DC84" i="2"/>
  <c r="DA84" i="2"/>
  <c r="CO66" i="2"/>
  <c r="CW66" i="2"/>
  <c r="AD70" i="2"/>
  <c r="AL70" i="2"/>
  <c r="AK70" i="2"/>
  <c r="D71" i="19"/>
  <c r="E71" i="3"/>
  <c r="S71" i="2"/>
  <c r="V71" i="2" s="1"/>
  <c r="R71" i="2"/>
  <c r="CZ72" i="2"/>
  <c r="CJ72" i="2"/>
  <c r="CB72" i="2"/>
  <c r="CY72" i="2"/>
  <c r="CA72" i="2"/>
  <c r="D76" i="19"/>
  <c r="E76" i="3"/>
  <c r="CV76" i="2"/>
  <c r="CN76" i="2"/>
  <c r="BX76" i="2"/>
  <c r="CU76" i="2"/>
  <c r="CM76" i="2"/>
  <c r="CE76" i="2"/>
  <c r="BW76" i="2"/>
  <c r="AQ76" i="2"/>
  <c r="CT76" i="2"/>
  <c r="CL76" i="2"/>
  <c r="BV76" i="2"/>
  <c r="CS76" i="2"/>
  <c r="BU76" i="2"/>
  <c r="CW76" i="2"/>
  <c r="E77" i="3"/>
  <c r="D77" i="19"/>
  <c r="BX77" i="2"/>
  <c r="CN77" i="2"/>
  <c r="CI83" i="2"/>
  <c r="CH83" i="2"/>
  <c r="M87" i="2"/>
  <c r="J87" i="2"/>
  <c r="Q91" i="2"/>
  <c r="S91" i="2" s="1"/>
  <c r="V91" i="2" s="1"/>
  <c r="T91" i="2"/>
  <c r="R91" i="2"/>
  <c r="P91" i="2"/>
  <c r="U91" i="2" s="1"/>
  <c r="E61" i="3"/>
  <c r="D61" i="19"/>
  <c r="CO61" i="2"/>
  <c r="CW61" i="2"/>
  <c r="CL62" i="2"/>
  <c r="CT62" i="2"/>
  <c r="T64" i="2"/>
  <c r="AB64" i="2"/>
  <c r="AC64" i="2" s="1"/>
  <c r="BX64" i="2"/>
  <c r="CN64" i="2"/>
  <c r="CV64" i="2"/>
  <c r="BU65" i="2"/>
  <c r="CS65" i="2"/>
  <c r="M66" i="19"/>
  <c r="N66" i="2"/>
  <c r="AD66" i="2"/>
  <c r="AF66" i="2" s="1"/>
  <c r="AL66" i="2"/>
  <c r="BR66" i="2"/>
  <c r="CP66" i="2"/>
  <c r="CX66" i="2"/>
  <c r="K67" i="2"/>
  <c r="M67" i="2" s="1"/>
  <c r="S67" i="2"/>
  <c r="U67" i="2" s="1"/>
  <c r="AA67" i="2"/>
  <c r="AQ67" i="2"/>
  <c r="BW67" i="2"/>
  <c r="CE67" i="2"/>
  <c r="CM67" i="2"/>
  <c r="CU67" i="2"/>
  <c r="P68" i="2"/>
  <c r="X68" i="2"/>
  <c r="AE68" i="2" s="1"/>
  <c r="E69" i="3"/>
  <c r="D69" i="19"/>
  <c r="U69" i="2"/>
  <c r="AC69" i="2"/>
  <c r="AK69" i="2"/>
  <c r="CO69" i="2"/>
  <c r="X70" i="2"/>
  <c r="AH70" i="2"/>
  <c r="K71" i="2"/>
  <c r="J71" i="2"/>
  <c r="P71" i="2"/>
  <c r="AL72" i="2"/>
  <c r="CK72" i="2"/>
  <c r="CU72" i="2"/>
  <c r="J73" i="2"/>
  <c r="BB73" i="2"/>
  <c r="BR73" i="2"/>
  <c r="AQ74" i="2"/>
  <c r="CF74" i="2"/>
  <c r="V75" i="2"/>
  <c r="M76" i="19"/>
  <c r="L76" i="2"/>
  <c r="K76" i="2"/>
  <c r="J76" i="2"/>
  <c r="AJ76" i="2" s="1"/>
  <c r="CX76" i="2"/>
  <c r="CO77" i="2"/>
  <c r="CI79" i="2"/>
  <c r="AV81" i="2"/>
  <c r="AU81" i="2"/>
  <c r="AW81" i="2" s="1"/>
  <c r="AY81" i="2"/>
  <c r="AX81" i="2"/>
  <c r="CV85" i="2"/>
  <c r="CN85" i="2"/>
  <c r="BX85" i="2"/>
  <c r="CU85" i="2"/>
  <c r="CM85" i="2"/>
  <c r="CE85" i="2"/>
  <c r="BW85" i="2"/>
  <c r="AQ85" i="2"/>
  <c r="M85" i="19" s="1"/>
  <c r="CT85" i="2"/>
  <c r="CL85" i="2"/>
  <c r="BV85" i="2"/>
  <c r="CS85" i="2"/>
  <c r="BU85" i="2"/>
  <c r="CQ85" i="2"/>
  <c r="CP85" i="2"/>
  <c r="CO85" i="2"/>
  <c r="BT85" i="2"/>
  <c r="CX85" i="2"/>
  <c r="BR87" i="2"/>
  <c r="AA88" i="2"/>
  <c r="AC88" i="2" s="1"/>
  <c r="AF88" i="2" s="1"/>
  <c r="M103" i="19"/>
  <c r="G103" i="2"/>
  <c r="M103" i="2" s="1"/>
  <c r="H103" i="2"/>
  <c r="Q103" i="2" s="1"/>
  <c r="N103" i="2"/>
  <c r="L103" i="2"/>
  <c r="K103" i="2"/>
  <c r="M61" i="19"/>
  <c r="N61" i="2"/>
  <c r="CP61" i="2"/>
  <c r="AQ62" i="2"/>
  <c r="M62" i="19" s="1"/>
  <c r="CE62" i="2"/>
  <c r="CM62" i="2"/>
  <c r="CU62" i="2"/>
  <c r="D64" i="19"/>
  <c r="E64" i="3"/>
  <c r="CO64" i="2"/>
  <c r="BV65" i="2"/>
  <c r="CL65" i="2"/>
  <c r="CT65" i="2"/>
  <c r="BS66" i="2"/>
  <c r="CQ66" i="2"/>
  <c r="T67" i="2"/>
  <c r="AB67" i="2"/>
  <c r="BX67" i="2"/>
  <c r="CN67" i="2"/>
  <c r="CV67" i="2"/>
  <c r="Q68" i="2"/>
  <c r="S68" i="2" s="1"/>
  <c r="V68" i="2" s="1"/>
  <c r="Y68" i="2"/>
  <c r="M69" i="19"/>
  <c r="N69" i="2"/>
  <c r="V69" i="2"/>
  <c r="AD69" i="2"/>
  <c r="AL69" i="2"/>
  <c r="V70" i="2"/>
  <c r="Y70" i="2"/>
  <c r="AI70" i="2"/>
  <c r="AU70" i="2"/>
  <c r="AW70" i="2" s="1"/>
  <c r="DB70" i="2"/>
  <c r="Q71" i="2"/>
  <c r="CU71" i="2"/>
  <c r="CM71" i="2"/>
  <c r="CE71" i="2"/>
  <c r="BW71" i="2"/>
  <c r="AQ71" i="2"/>
  <c r="CT71" i="2"/>
  <c r="CL71" i="2"/>
  <c r="BV71" i="2"/>
  <c r="CW71" i="2"/>
  <c r="AX72" i="2"/>
  <c r="CL72" i="2"/>
  <c r="K73" i="2"/>
  <c r="AC73" i="2"/>
  <c r="AB73" i="2"/>
  <c r="AK73" i="2"/>
  <c r="AJ73" i="2"/>
  <c r="BC73" i="2"/>
  <c r="BE73" i="2" s="1"/>
  <c r="BS73" i="2"/>
  <c r="Z74" i="2"/>
  <c r="Y74" i="2"/>
  <c r="CT74" i="2"/>
  <c r="CZ74" i="2" s="1"/>
  <c r="CL74" i="2"/>
  <c r="BV74" i="2"/>
  <c r="CS74" i="2"/>
  <c r="BU74" i="2"/>
  <c r="CR74" i="2"/>
  <c r="CX74" i="2" s="1"/>
  <c r="BT74" i="2"/>
  <c r="CQ74" i="2"/>
  <c r="CW74" i="2"/>
  <c r="U75" i="2"/>
  <c r="G76" i="2"/>
  <c r="M76" i="2" s="1"/>
  <c r="CT77" i="2"/>
  <c r="CZ81" i="2"/>
  <c r="CJ81" i="2"/>
  <c r="CB81" i="2"/>
  <c r="CY81" i="2"/>
  <c r="CA81" i="2"/>
  <c r="DB81" i="2"/>
  <c r="CK81" i="2"/>
  <c r="AX83" i="2"/>
  <c r="AV83" i="2"/>
  <c r="AU83" i="2"/>
  <c r="AW83" i="2" s="1"/>
  <c r="AY83" i="2"/>
  <c r="AB89" i="2"/>
  <c r="AA89" i="2"/>
  <c r="AC89" i="2" s="1"/>
  <c r="AF89" i="2" s="1"/>
  <c r="BZ97" i="2"/>
  <c r="CG97" i="2"/>
  <c r="CH97" i="2"/>
  <c r="CI97" i="2"/>
  <c r="AX102" i="2"/>
  <c r="AU102" i="2"/>
  <c r="AW102" i="2" s="1"/>
  <c r="AY102" i="2"/>
  <c r="AV102" i="2"/>
  <c r="M64" i="19"/>
  <c r="N64" i="2"/>
  <c r="AQ65" i="2"/>
  <c r="BW65" i="2"/>
  <c r="CE65" i="2"/>
  <c r="CM65" i="2"/>
  <c r="CU65" i="2"/>
  <c r="BT66" i="2"/>
  <c r="CR66" i="2"/>
  <c r="D67" i="19"/>
  <c r="E67" i="3"/>
  <c r="AC67" i="2"/>
  <c r="AE67" i="2" s="1"/>
  <c r="CO67" i="2"/>
  <c r="CW67" i="2"/>
  <c r="R68" i="2"/>
  <c r="Z68" i="2"/>
  <c r="CA69" i="2"/>
  <c r="CY69" i="2"/>
  <c r="Z70" i="2"/>
  <c r="AJ70" i="2"/>
  <c r="AV70" i="2"/>
  <c r="T71" i="2"/>
  <c r="D72" i="19"/>
  <c r="E72" i="3"/>
  <c r="AO72" i="2"/>
  <c r="CR72" i="2"/>
  <c r="BT72" i="2"/>
  <c r="CQ72" i="2"/>
  <c r="CC72" i="2"/>
  <c r="CM72" i="2"/>
  <c r="CW72" i="2"/>
  <c r="BD73" i="2"/>
  <c r="D74" i="19"/>
  <c r="E74" i="3"/>
  <c r="AO74" i="2"/>
  <c r="CH74" i="2"/>
  <c r="AB76" i="2"/>
  <c r="AA76" i="2"/>
  <c r="AC76" i="2" s="1"/>
  <c r="AF76" i="2" s="1"/>
  <c r="Z76" i="2"/>
  <c r="Y76" i="2"/>
  <c r="BT76" i="2"/>
  <c r="AO77" i="2"/>
  <c r="BS77" i="2"/>
  <c r="BR77" i="2"/>
  <c r="AV77" i="2"/>
  <c r="AU77" i="2"/>
  <c r="AW77" i="2" s="1"/>
  <c r="CI77" i="2"/>
  <c r="CH77" i="2"/>
  <c r="T78" i="2"/>
  <c r="S78" i="2"/>
  <c r="V78" i="2" s="1"/>
  <c r="BA78" i="2"/>
  <c r="CC81" i="2"/>
  <c r="E86" i="3"/>
  <c r="D86" i="19"/>
  <c r="CI89" i="2"/>
  <c r="CH89" i="2"/>
  <c r="AI94" i="2"/>
  <c r="AP94" i="2"/>
  <c r="AH94" i="2"/>
  <c r="AM94" i="2"/>
  <c r="AL94" i="2"/>
  <c r="AK94" i="2"/>
  <c r="AJ94" i="2"/>
  <c r="E62" i="3"/>
  <c r="D62" i="19"/>
  <c r="CO62" i="2"/>
  <c r="AH63" i="2"/>
  <c r="G64" i="2"/>
  <c r="M64" i="2" s="1"/>
  <c r="BX65" i="2"/>
  <c r="CN65" i="2"/>
  <c r="CV65" i="2"/>
  <c r="BU66" i="2"/>
  <c r="CS66" i="2"/>
  <c r="AD67" i="2"/>
  <c r="CP67" i="2"/>
  <c r="AA68" i="2"/>
  <c r="AC68" i="2" s="1"/>
  <c r="AF68" i="2" s="1"/>
  <c r="X69" i="2"/>
  <c r="Z69" i="2" s="1"/>
  <c r="CB69" i="2"/>
  <c r="CJ69" i="2"/>
  <c r="DB69" i="2"/>
  <c r="M70" i="2"/>
  <c r="Q70" i="2"/>
  <c r="S70" i="2" s="1"/>
  <c r="U70" i="2" s="1"/>
  <c r="AA70" i="2"/>
  <c r="AM70" i="2"/>
  <c r="U71" i="2"/>
  <c r="M72" i="19"/>
  <c r="H72" i="2"/>
  <c r="G72" i="2"/>
  <c r="AP72" i="2"/>
  <c r="CD72" i="2"/>
  <c r="CN72" i="2"/>
  <c r="CX72" i="2"/>
  <c r="U73" i="2"/>
  <c r="T73" i="2"/>
  <c r="DA73" i="2"/>
  <c r="M74" i="19"/>
  <c r="J74" i="2"/>
  <c r="R74" i="2"/>
  <c r="Q74" i="2"/>
  <c r="AA74" i="2"/>
  <c r="BW74" i="2"/>
  <c r="CM74" i="2"/>
  <c r="X76" i="2"/>
  <c r="CO76" i="2"/>
  <c r="P78" i="2"/>
  <c r="U78" i="2" s="1"/>
  <c r="CD81" i="2"/>
  <c r="Z84" i="2"/>
  <c r="BS87" i="2"/>
  <c r="CX87" i="2" s="1"/>
  <c r="N88" i="2"/>
  <c r="AB101" i="2"/>
  <c r="AD101" i="2"/>
  <c r="Z101" i="2"/>
  <c r="Y101" i="2"/>
  <c r="AA101" i="2"/>
  <c r="AC101" i="2" s="1"/>
  <c r="D65" i="19"/>
  <c r="E65" i="3"/>
  <c r="CO65" i="2"/>
  <c r="BV66" i="2"/>
  <c r="CL66" i="2"/>
  <c r="CC69" i="2"/>
  <c r="CK69" i="2"/>
  <c r="AB70" i="2"/>
  <c r="BN70" i="2" s="1"/>
  <c r="K70" i="19" s="1"/>
  <c r="BS72" i="2"/>
  <c r="AV72" i="2"/>
  <c r="AU72" i="2"/>
  <c r="AW72" i="2" s="1"/>
  <c r="M73" i="19"/>
  <c r="L73" i="2"/>
  <c r="M73" i="2" s="1"/>
  <c r="BF73" i="2"/>
  <c r="AB74" i="2"/>
  <c r="DB74" i="2"/>
  <c r="CK74" i="2"/>
  <c r="CC74" i="2"/>
  <c r="CJ74" i="2"/>
  <c r="CB74" i="2"/>
  <c r="CD74" i="2" s="1"/>
  <c r="CY74" i="2"/>
  <c r="CA74" i="2"/>
  <c r="CP76" i="2"/>
  <c r="AS77" i="2"/>
  <c r="AT77" i="2" s="1"/>
  <c r="CS77" i="2"/>
  <c r="BU77" i="2"/>
  <c r="CR77" i="2"/>
  <c r="BT77" i="2"/>
  <c r="CQ77" i="2"/>
  <c r="CX77" i="2"/>
  <c r="CP77" i="2"/>
  <c r="CW77" i="2"/>
  <c r="Q78" i="2"/>
  <c r="AL78" i="2"/>
  <c r="AK78" i="2"/>
  <c r="AI78" i="2"/>
  <c r="AJ78" i="2" s="1"/>
  <c r="AB84" i="2"/>
  <c r="AA84" i="2"/>
  <c r="AC84" i="2" s="1"/>
  <c r="AF84" i="2" s="1"/>
  <c r="CR85" i="2"/>
  <c r="X101" i="2"/>
  <c r="T82" i="2"/>
  <c r="R82" i="2"/>
  <c r="U84" i="2"/>
  <c r="Y85" i="2"/>
  <c r="AB85" i="2" s="1"/>
  <c r="CF85" i="2"/>
  <c r="AR85" i="2"/>
  <c r="AZ85" i="2" s="1"/>
  <c r="CK86" i="2"/>
  <c r="CC86" i="2"/>
  <c r="CZ86" i="2"/>
  <c r="CJ86" i="2"/>
  <c r="CB86" i="2"/>
  <c r="CY86" i="2"/>
  <c r="CA86" i="2"/>
  <c r="CU88" i="2"/>
  <c r="CM88" i="2"/>
  <c r="CE88" i="2"/>
  <c r="BW88" i="2"/>
  <c r="AQ88" i="2"/>
  <c r="CT88" i="2"/>
  <c r="CL88" i="2"/>
  <c r="BV88" i="2"/>
  <c r="CS88" i="2"/>
  <c r="BU88" i="2"/>
  <c r="CR88" i="2"/>
  <c r="BT88" i="2"/>
  <c r="CQ88" i="2"/>
  <c r="CN88" i="2"/>
  <c r="AV89" i="2"/>
  <c r="AU89" i="2"/>
  <c r="AW89" i="2" s="1"/>
  <c r="CX90" i="2"/>
  <c r="CP90" i="2"/>
  <c r="CQ90" i="2"/>
  <c r="BX90" i="2"/>
  <c r="CO90" i="2"/>
  <c r="BW90" i="2"/>
  <c r="CW90" i="2"/>
  <c r="CN90" i="2"/>
  <c r="CE90" i="2"/>
  <c r="BV90" i="2"/>
  <c r="CV90" i="2"/>
  <c r="CM90" i="2"/>
  <c r="BU90" i="2"/>
  <c r="CU90" i="2"/>
  <c r="CL90" i="2"/>
  <c r="BT90" i="2"/>
  <c r="CR90" i="2"/>
  <c r="AV95" i="2"/>
  <c r="AU95" i="2"/>
  <c r="AW95" i="2" s="1"/>
  <c r="AY95" i="2"/>
  <c r="AX95" i="2"/>
  <c r="BX75" i="2"/>
  <c r="CN75" i="2"/>
  <c r="CV75" i="2"/>
  <c r="M77" i="19"/>
  <c r="N77" i="2"/>
  <c r="D79" i="19"/>
  <c r="E79" i="3"/>
  <c r="AF79" i="2"/>
  <c r="D80" i="19"/>
  <c r="E80" i="3"/>
  <c r="AF80" i="2"/>
  <c r="AM81" i="2"/>
  <c r="AL81" i="2"/>
  <c r="AK81" i="2"/>
  <c r="CI81" i="2"/>
  <c r="CH81" i="2"/>
  <c r="P82" i="2"/>
  <c r="CT83" i="2"/>
  <c r="CL83" i="2"/>
  <c r="BV83" i="2"/>
  <c r="CS83" i="2"/>
  <c r="BU83" i="2"/>
  <c r="CR83" i="2"/>
  <c r="BT83" i="2"/>
  <c r="CQ83" i="2"/>
  <c r="CW83" i="2"/>
  <c r="X85" i="2"/>
  <c r="Z85" i="2" s="1"/>
  <c r="CO86" i="2"/>
  <c r="CO88" i="2"/>
  <c r="M90" i="2"/>
  <c r="J90" i="2"/>
  <c r="AQ90" i="2"/>
  <c r="CS90" i="2"/>
  <c r="M95" i="19"/>
  <c r="H95" i="2"/>
  <c r="J95" i="2" s="1"/>
  <c r="AJ95" i="2" s="1"/>
  <c r="G95" i="2"/>
  <c r="M95" i="2" s="1"/>
  <c r="L95" i="2"/>
  <c r="K95" i="2"/>
  <c r="N95" i="2" s="1"/>
  <c r="AF96" i="2"/>
  <c r="X96" i="2"/>
  <c r="AC96" i="2"/>
  <c r="AB96" i="2"/>
  <c r="Z96" i="2"/>
  <c r="AE96" i="2"/>
  <c r="AD96" i="2"/>
  <c r="AA96" i="2"/>
  <c r="D75" i="19"/>
  <c r="E75" i="3"/>
  <c r="CO75" i="2"/>
  <c r="CW75" i="2"/>
  <c r="AH76" i="2"/>
  <c r="AP76" i="2"/>
  <c r="G77" i="2"/>
  <c r="AE77" i="2"/>
  <c r="X79" i="2"/>
  <c r="M80" i="19"/>
  <c r="K80" i="2"/>
  <c r="N80" i="2" s="1"/>
  <c r="X80" i="2"/>
  <c r="AR80" i="2"/>
  <c r="AZ80" i="2" s="1"/>
  <c r="BS80" i="2"/>
  <c r="BV80" i="2" s="1"/>
  <c r="BW80" i="2" s="1"/>
  <c r="AH81" i="2"/>
  <c r="Q82" i="2"/>
  <c r="S82" i="2" s="1"/>
  <c r="AK82" i="2"/>
  <c r="AJ82" i="2"/>
  <c r="AI82" i="2"/>
  <c r="AP82" i="2"/>
  <c r="AH82" i="2"/>
  <c r="CX83" i="2"/>
  <c r="CD86" i="2"/>
  <c r="CT86" i="2"/>
  <c r="BX88" i="2"/>
  <c r="CP88" i="2"/>
  <c r="AM89" i="2"/>
  <c r="AL89" i="2"/>
  <c r="AK89" i="2"/>
  <c r="AX89" i="2"/>
  <c r="AB90" i="2"/>
  <c r="AA90" i="2"/>
  <c r="CT90" i="2"/>
  <c r="CV91" i="2"/>
  <c r="CN91" i="2"/>
  <c r="BX91" i="2"/>
  <c r="CU91" i="2"/>
  <c r="CM91" i="2"/>
  <c r="CE91" i="2"/>
  <c r="BW91" i="2"/>
  <c r="AQ91" i="2"/>
  <c r="CS91" i="2"/>
  <c r="BU91" i="2"/>
  <c r="CO91" i="2"/>
  <c r="CL91" i="2"/>
  <c r="CX91" i="2"/>
  <c r="CW91" i="2"/>
  <c r="BV91" i="2"/>
  <c r="CT91" i="2"/>
  <c r="BT91" i="2"/>
  <c r="CR91" i="2"/>
  <c r="Y92" i="2"/>
  <c r="AA92" i="2" s="1"/>
  <c r="AC92" i="2" s="1"/>
  <c r="AF92" i="2" s="1"/>
  <c r="X92" i="2"/>
  <c r="Z92" i="2" s="1"/>
  <c r="AD92" i="2"/>
  <c r="AB92" i="2"/>
  <c r="AV92" i="2"/>
  <c r="AY92" i="2"/>
  <c r="AX92" i="2"/>
  <c r="AU92" i="2"/>
  <c r="AW92" i="2" s="1"/>
  <c r="CK92" i="2"/>
  <c r="CC92" i="2"/>
  <c r="CZ92" i="2"/>
  <c r="CJ92" i="2"/>
  <c r="CB92" i="2"/>
  <c r="CD92" i="2"/>
  <c r="CY92" i="2"/>
  <c r="M93" i="2"/>
  <c r="J93" i="2"/>
  <c r="BC93" i="2"/>
  <c r="BE93" i="2" s="1"/>
  <c r="E94" i="3"/>
  <c r="D94" i="19"/>
  <c r="CC95" i="2"/>
  <c r="CK95" i="2"/>
  <c r="CB95" i="2"/>
  <c r="CD95" i="2"/>
  <c r="CA95" i="2"/>
  <c r="Y96" i="2"/>
  <c r="T99" i="2"/>
  <c r="Q99" i="2"/>
  <c r="P99" i="2"/>
  <c r="CS105" i="2"/>
  <c r="CT105" i="2"/>
  <c r="CR105" i="2"/>
  <c r="BX105" i="2"/>
  <c r="CQ105" i="2"/>
  <c r="BW105" i="2"/>
  <c r="CP105" i="2"/>
  <c r="BV105" i="2"/>
  <c r="CV105" i="2"/>
  <c r="CU105" i="2"/>
  <c r="CN105" i="2"/>
  <c r="CM105" i="2"/>
  <c r="BU105" i="2"/>
  <c r="CO105" i="2"/>
  <c r="CL105" i="2"/>
  <c r="CE105" i="2"/>
  <c r="CX105" i="2"/>
  <c r="CW105" i="2"/>
  <c r="AQ105" i="2"/>
  <c r="BT105" i="2"/>
  <c r="E70" i="3"/>
  <c r="D70" i="19"/>
  <c r="CO70" i="2"/>
  <c r="CW70" i="2"/>
  <c r="BX73" i="2"/>
  <c r="CN73" i="2"/>
  <c r="CV73" i="2"/>
  <c r="M75" i="19"/>
  <c r="N75" i="2"/>
  <c r="AD75" i="2"/>
  <c r="CP75" i="2"/>
  <c r="AI76" i="2"/>
  <c r="H77" i="2"/>
  <c r="R77" i="2" s="1"/>
  <c r="P77" i="2"/>
  <c r="X77" i="2"/>
  <c r="AF77" i="2"/>
  <c r="E78" i="3"/>
  <c r="D78" i="19"/>
  <c r="CS78" i="2"/>
  <c r="BU78" i="2"/>
  <c r="CR78" i="2"/>
  <c r="P79" i="2"/>
  <c r="U79" i="2" s="1"/>
  <c r="Y79" i="2"/>
  <c r="AH79" i="2"/>
  <c r="CP79" i="2"/>
  <c r="CS79" i="2"/>
  <c r="G80" i="2"/>
  <c r="P80" i="2"/>
  <c r="Y80" i="2"/>
  <c r="AO80" i="2"/>
  <c r="AS80" i="2"/>
  <c r="AT80" i="2" s="1"/>
  <c r="AI81" i="2"/>
  <c r="M82" i="19"/>
  <c r="L82" i="2"/>
  <c r="K82" i="2"/>
  <c r="J82" i="2"/>
  <c r="AL82" i="2"/>
  <c r="BW83" i="2"/>
  <c r="CM83" i="2"/>
  <c r="AV84" i="2"/>
  <c r="AD85" i="2"/>
  <c r="BY85" i="2"/>
  <c r="AO86" i="2"/>
  <c r="BS86" i="2"/>
  <c r="BR86" i="2"/>
  <c r="AQ86" i="2"/>
  <c r="CE86" i="2"/>
  <c r="CU86" i="2"/>
  <c r="T87" i="2"/>
  <c r="S87" i="2"/>
  <c r="V87" i="2" s="1"/>
  <c r="BA87" i="2"/>
  <c r="CV88" i="2"/>
  <c r="AH89" i="2"/>
  <c r="AY89" i="2"/>
  <c r="Z90" i="2"/>
  <c r="K91" i="2"/>
  <c r="N91" i="2"/>
  <c r="L91" i="2"/>
  <c r="J91" i="2"/>
  <c r="AJ91" i="2" s="1"/>
  <c r="CF91" i="2"/>
  <c r="AR91" i="2"/>
  <c r="AZ91" i="2" s="1"/>
  <c r="BY91" i="2"/>
  <c r="DB92" i="2"/>
  <c r="K94" i="2"/>
  <c r="J94" i="2"/>
  <c r="H94" i="2"/>
  <c r="Q94" i="2" s="1"/>
  <c r="N94" i="2"/>
  <c r="L94" i="2"/>
  <c r="DB94" i="2"/>
  <c r="CD94" i="2"/>
  <c r="CZ94" i="2"/>
  <c r="CJ94" i="2"/>
  <c r="CB94" i="2"/>
  <c r="CC94" i="2"/>
  <c r="CA94" i="2"/>
  <c r="CY94" i="2"/>
  <c r="BD96" i="2"/>
  <c r="BC96" i="2"/>
  <c r="BE96" i="2" s="1"/>
  <c r="BB96" i="2"/>
  <c r="DC96" i="2"/>
  <c r="BF96" i="2"/>
  <c r="DA96" i="2"/>
  <c r="BA96" i="2"/>
  <c r="AO97" i="2"/>
  <c r="BR97" i="2"/>
  <c r="AS97" i="2"/>
  <c r="AT97" i="2" s="1"/>
  <c r="M70" i="19"/>
  <c r="N70" i="2"/>
  <c r="CP70" i="2"/>
  <c r="D73" i="19"/>
  <c r="E73" i="3"/>
  <c r="CO73" i="2"/>
  <c r="M78" i="19"/>
  <c r="N78" i="2"/>
  <c r="CT78" i="2"/>
  <c r="Q79" i="2"/>
  <c r="S79" i="2" s="1"/>
  <c r="V79" i="2" s="1"/>
  <c r="Z79" i="2"/>
  <c r="AI79" i="2"/>
  <c r="AK79" i="2" s="1"/>
  <c r="BA79" i="2"/>
  <c r="CB79" i="2"/>
  <c r="H80" i="2"/>
  <c r="R80" i="2" s="1"/>
  <c r="Q80" i="2"/>
  <c r="S80" i="2" s="1"/>
  <c r="V80" i="2" s="1"/>
  <c r="Z80" i="2"/>
  <c r="M82" i="2"/>
  <c r="AC82" i="2"/>
  <c r="AB82" i="2"/>
  <c r="BN82" i="2" s="1"/>
  <c r="K82" i="19" s="1"/>
  <c r="AA82" i="2"/>
  <c r="Z82" i="2"/>
  <c r="AM82" i="2"/>
  <c r="BX83" i="2"/>
  <c r="CN83" i="2"/>
  <c r="AM84" i="2"/>
  <c r="AL84" i="2"/>
  <c r="AK84" i="2"/>
  <c r="CI84" i="2"/>
  <c r="CH84" i="2"/>
  <c r="T85" i="2"/>
  <c r="R85" i="2"/>
  <c r="Q85" i="2"/>
  <c r="S85" i="2" s="1"/>
  <c r="D88" i="19"/>
  <c r="E88" i="3"/>
  <c r="CW88" i="2"/>
  <c r="AI89" i="2"/>
  <c r="AL90" i="2"/>
  <c r="AM90" i="2"/>
  <c r="AK90" i="2"/>
  <c r="AJ90" i="2"/>
  <c r="M91" i="2"/>
  <c r="AO92" i="2"/>
  <c r="BR92" i="2"/>
  <c r="BS92" i="2"/>
  <c r="AS92" i="2"/>
  <c r="AT92" i="2" s="1"/>
  <c r="BB93" i="2"/>
  <c r="BA93" i="2"/>
  <c r="DC93" i="2"/>
  <c r="BF93" i="2"/>
  <c r="DA93" i="2"/>
  <c r="M94" i="2"/>
  <c r="AM95" i="2"/>
  <c r="AK95" i="2"/>
  <c r="AL95" i="2"/>
  <c r="AI95" i="2"/>
  <c r="CJ95" i="2"/>
  <c r="CY95" i="2"/>
  <c r="M96" i="19"/>
  <c r="H96" i="2"/>
  <c r="K96" i="2"/>
  <c r="J96" i="2"/>
  <c r="AJ96" i="2" s="1"/>
  <c r="G96" i="2"/>
  <c r="M96" i="2" s="1"/>
  <c r="N96" i="2"/>
  <c r="V97" i="2"/>
  <c r="U97" i="2"/>
  <c r="T97" i="2"/>
  <c r="S97" i="2"/>
  <c r="Q97" i="2"/>
  <c r="R97" i="2"/>
  <c r="AY101" i="2"/>
  <c r="AX101" i="2"/>
  <c r="AV101" i="2"/>
  <c r="AU101" i="2"/>
  <c r="AW101" i="2" s="1"/>
  <c r="D83" i="19"/>
  <c r="E83" i="3"/>
  <c r="AE84" i="2"/>
  <c r="BS84" i="2"/>
  <c r="BR84" i="2"/>
  <c r="AS84" i="2"/>
  <c r="AT84" i="2" s="1"/>
  <c r="E85" i="3"/>
  <c r="D85" i="19"/>
  <c r="CS86" i="2"/>
  <c r="BU86" i="2"/>
  <c r="CR86" i="2"/>
  <c r="BT86" i="2"/>
  <c r="CQ86" i="2"/>
  <c r="CX86" i="2"/>
  <c r="CP86" i="2"/>
  <c r="CW86" i="2"/>
  <c r="AK87" i="2"/>
  <c r="AJ87" i="2"/>
  <c r="AI87" i="2"/>
  <c r="AS87" i="2" s="1"/>
  <c r="AT87" i="2" s="1"/>
  <c r="K88" i="2"/>
  <c r="J88" i="2"/>
  <c r="AJ88" i="2" s="1"/>
  <c r="H88" i="2"/>
  <c r="Q88" i="2" s="1"/>
  <c r="S88" i="2" s="1"/>
  <c r="V88" i="2" s="1"/>
  <c r="G88" i="2"/>
  <c r="CX88" i="2"/>
  <c r="T90" i="2"/>
  <c r="S90" i="2"/>
  <c r="V90" i="2" s="1"/>
  <c r="R90" i="2"/>
  <c r="BR90" i="2"/>
  <c r="AO90" i="2"/>
  <c r="AS90" i="2"/>
  <c r="AT90" i="2" s="1"/>
  <c r="BS95" i="2"/>
  <c r="AS95" i="2"/>
  <c r="AT95" i="2" s="1"/>
  <c r="AO95" i="2"/>
  <c r="BR95" i="2"/>
  <c r="M98" i="2"/>
  <c r="AL93" i="2"/>
  <c r="AK93" i="2"/>
  <c r="AI93" i="2"/>
  <c r="DA97" i="2"/>
  <c r="BD97" i="2"/>
  <c r="BB97" i="2"/>
  <c r="BA97" i="2"/>
  <c r="BC97" i="2"/>
  <c r="BE97" i="2" s="1"/>
  <c r="DB98" i="2"/>
  <c r="CD98" i="2"/>
  <c r="CZ98" i="2"/>
  <c r="CC98" i="2"/>
  <c r="CY98" i="2"/>
  <c r="CB98" i="2"/>
  <c r="CA98" i="2"/>
  <c r="CF105" i="2"/>
  <c r="AR105" i="2"/>
  <c r="AZ105" i="2" s="1"/>
  <c r="BY105" i="2"/>
  <c r="T39" i="3"/>
  <c r="D81" i="19"/>
  <c r="E81" i="3"/>
  <c r="CO81" i="2"/>
  <c r="CW81" i="2"/>
  <c r="AX82" i="2"/>
  <c r="AE83" i="2"/>
  <c r="AM83" i="2"/>
  <c r="BX84" i="2"/>
  <c r="CN84" i="2"/>
  <c r="CV84" i="2"/>
  <c r="M86" i="19"/>
  <c r="N86" i="2"/>
  <c r="V86" i="2"/>
  <c r="AD86" i="2"/>
  <c r="AF86" i="2" s="1"/>
  <c r="CE87" i="2"/>
  <c r="CM87" i="2"/>
  <c r="CU87" i="2"/>
  <c r="P88" i="2"/>
  <c r="X88" i="2"/>
  <c r="Z88" i="2" s="1"/>
  <c r="D89" i="19"/>
  <c r="E89" i="3"/>
  <c r="CO89" i="2"/>
  <c r="CW89" i="2"/>
  <c r="CS92" i="2"/>
  <c r="BU92" i="2"/>
  <c r="CR92" i="2"/>
  <c r="BT92" i="2"/>
  <c r="CX92" i="2"/>
  <c r="CP92" i="2"/>
  <c r="CE92" i="2"/>
  <c r="CQ92" i="2"/>
  <c r="AD93" i="2"/>
  <c r="AC93" i="2"/>
  <c r="AA93" i="2"/>
  <c r="AH93" i="2"/>
  <c r="AA94" i="2"/>
  <c r="Z94" i="2"/>
  <c r="AF94" i="2"/>
  <c r="X94" i="2"/>
  <c r="CZ96" i="2"/>
  <c r="CJ96" i="2"/>
  <c r="CB96" i="2"/>
  <c r="CD96" i="2"/>
  <c r="CC96" i="2"/>
  <c r="DB96" i="2"/>
  <c r="AF97" i="2"/>
  <c r="AD97" i="2"/>
  <c r="AC97" i="2"/>
  <c r="AE97" i="2"/>
  <c r="AA97" i="2"/>
  <c r="BF99" i="2"/>
  <c r="BD99" i="2"/>
  <c r="BB99" i="2"/>
  <c r="DC99" i="2"/>
  <c r="BA99" i="2"/>
  <c r="DA99" i="2"/>
  <c r="E101" i="3"/>
  <c r="D101" i="19"/>
  <c r="M81" i="19"/>
  <c r="N81" i="2"/>
  <c r="CP81" i="2"/>
  <c r="CX81" i="2"/>
  <c r="D84" i="19"/>
  <c r="E84" i="3"/>
  <c r="CO84" i="2"/>
  <c r="CW84" i="2"/>
  <c r="AE86" i="2"/>
  <c r="BX87" i="2"/>
  <c r="CN87" i="2"/>
  <c r="CV87" i="2"/>
  <c r="Y88" i="2"/>
  <c r="AB88" i="2" s="1"/>
  <c r="M89" i="19"/>
  <c r="N89" i="2"/>
  <c r="CP89" i="2"/>
  <c r="CX89" i="2"/>
  <c r="D92" i="19"/>
  <c r="E92" i="3"/>
  <c r="P92" i="2"/>
  <c r="CT92" i="2"/>
  <c r="AJ93" i="2"/>
  <c r="CJ93" i="2"/>
  <c r="CU94" i="2"/>
  <c r="CM94" i="2"/>
  <c r="CE94" i="2"/>
  <c r="BW94" i="2"/>
  <c r="AQ94" i="2"/>
  <c r="CT94" i="2"/>
  <c r="CL94" i="2"/>
  <c r="BV94" i="2"/>
  <c r="CR94" i="2"/>
  <c r="BT94" i="2"/>
  <c r="CP94" i="2"/>
  <c r="P96" i="2"/>
  <c r="T96" i="2"/>
  <c r="S96" i="2"/>
  <c r="Q96" i="2"/>
  <c r="BF97" i="2"/>
  <c r="M101" i="19"/>
  <c r="L101" i="2"/>
  <c r="K101" i="2"/>
  <c r="J101" i="2"/>
  <c r="AJ101" i="2" s="1"/>
  <c r="H101" i="2"/>
  <c r="R101" i="2" s="1"/>
  <c r="G101" i="2"/>
  <c r="N101" i="2"/>
  <c r="CR102" i="2"/>
  <c r="CV102" i="2"/>
  <c r="CM102" i="2"/>
  <c r="BV102" i="2"/>
  <c r="CU102" i="2"/>
  <c r="CL102" i="2"/>
  <c r="BU102" i="2"/>
  <c r="CS102" i="2"/>
  <c r="CO102" i="2"/>
  <c r="CN102" i="2"/>
  <c r="CX102" i="2"/>
  <c r="BW102" i="2"/>
  <c r="CW102" i="2"/>
  <c r="BT102" i="2"/>
  <c r="CE102" i="2"/>
  <c r="G81" i="2"/>
  <c r="AE81" i="2"/>
  <c r="CQ81" i="2"/>
  <c r="Q83" i="2"/>
  <c r="Y83" i="2"/>
  <c r="M84" i="19"/>
  <c r="N84" i="2"/>
  <c r="CP84" i="2"/>
  <c r="CX84" i="2"/>
  <c r="AI85" i="2"/>
  <c r="P86" i="2"/>
  <c r="U86" i="2" s="1"/>
  <c r="X86" i="2"/>
  <c r="Z86" i="2" s="1"/>
  <c r="D87" i="19"/>
  <c r="E87" i="3"/>
  <c r="CO87" i="2"/>
  <c r="CW87" i="2"/>
  <c r="R88" i="2"/>
  <c r="AH88" i="2"/>
  <c r="AP88" i="2"/>
  <c r="G89" i="2"/>
  <c r="CA89" i="2"/>
  <c r="CQ89" i="2"/>
  <c r="CY89" i="2"/>
  <c r="AA91" i="2"/>
  <c r="Y91" i="2"/>
  <c r="AB91" i="2" s="1"/>
  <c r="AO91" i="2"/>
  <c r="BV92" i="2"/>
  <c r="CU92" i="2"/>
  <c r="Y93" i="2"/>
  <c r="AM93" i="2"/>
  <c r="CA93" i="2"/>
  <c r="CK93" i="2"/>
  <c r="CQ94" i="2"/>
  <c r="R96" i="2"/>
  <c r="AL96" i="2"/>
  <c r="AK96" i="2"/>
  <c r="AI96" i="2"/>
  <c r="AD98" i="2"/>
  <c r="AC98" i="2"/>
  <c r="AA98" i="2"/>
  <c r="Z98" i="2"/>
  <c r="AF98" i="2"/>
  <c r="AE98" i="2"/>
  <c r="BB98" i="2"/>
  <c r="BA98" i="2"/>
  <c r="DC98" i="2"/>
  <c r="BF98" i="2"/>
  <c r="DA98" i="2"/>
  <c r="D100" i="19"/>
  <c r="E100" i="3"/>
  <c r="CY100" i="2"/>
  <c r="CA100" i="2"/>
  <c r="CD100" i="2"/>
  <c r="CK100" i="2"/>
  <c r="CB100" i="2"/>
  <c r="DB100" i="2"/>
  <c r="CJ100" i="2"/>
  <c r="CZ100" i="2"/>
  <c r="BY102" i="2"/>
  <c r="AR102" i="2"/>
  <c r="AZ102" i="2" s="1"/>
  <c r="CF102" i="2"/>
  <c r="K107" i="2"/>
  <c r="H107" i="2"/>
  <c r="N107" i="2"/>
  <c r="L107" i="2"/>
  <c r="J107" i="2"/>
  <c r="AJ107" i="2" s="1"/>
  <c r="G107" i="2"/>
  <c r="M107" i="2" s="1"/>
  <c r="M79" i="19"/>
  <c r="N79" i="2"/>
  <c r="H81" i="2"/>
  <c r="X81" i="2"/>
  <c r="BT81" i="2"/>
  <c r="D82" i="19"/>
  <c r="E82" i="3"/>
  <c r="CO82" i="2"/>
  <c r="AH83" i="2"/>
  <c r="G84" i="2"/>
  <c r="M87" i="19"/>
  <c r="N87" i="2"/>
  <c r="CP87" i="2"/>
  <c r="H89" i="2"/>
  <c r="X89" i="2"/>
  <c r="Z89" i="2" s="1"/>
  <c r="BT89" i="2"/>
  <c r="CB89" i="2"/>
  <c r="CJ89" i="2"/>
  <c r="D90" i="19"/>
  <c r="E90" i="3"/>
  <c r="D91" i="19"/>
  <c r="E91" i="3"/>
  <c r="X91" i="2"/>
  <c r="BW92" i="2"/>
  <c r="CV92" i="2"/>
  <c r="V93" i="2"/>
  <c r="U93" i="2"/>
  <c r="S93" i="2"/>
  <c r="Z93" i="2"/>
  <c r="P94" i="2"/>
  <c r="AC94" i="2"/>
  <c r="CS94" i="2"/>
  <c r="D96" i="19"/>
  <c r="E96" i="3"/>
  <c r="U96" i="2"/>
  <c r="AH96" i="2"/>
  <c r="Z97" i="2"/>
  <c r="X98" i="2"/>
  <c r="CJ98" i="2"/>
  <c r="M100" i="19"/>
  <c r="G100" i="2"/>
  <c r="M100" i="2" s="1"/>
  <c r="L100" i="2"/>
  <c r="J100" i="2"/>
  <c r="AJ100" i="2" s="1"/>
  <c r="N100" i="2"/>
  <c r="K100" i="2"/>
  <c r="H100" i="2"/>
  <c r="BY101" i="2"/>
  <c r="CF101" i="2"/>
  <c r="AR101" i="2"/>
  <c r="AZ101" i="2" s="1"/>
  <c r="CI101" i="2"/>
  <c r="CH101" i="2"/>
  <c r="BX102" i="2"/>
  <c r="BR106" i="2"/>
  <c r="AO106" i="2"/>
  <c r="AS106" i="2"/>
  <c r="AT106" i="2" s="1"/>
  <c r="M92" i="19"/>
  <c r="N92" i="2"/>
  <c r="D95" i="19"/>
  <c r="E95" i="3"/>
  <c r="CU95" i="2"/>
  <c r="CM95" i="2"/>
  <c r="CE95" i="2"/>
  <c r="BW95" i="2"/>
  <c r="CR95" i="2"/>
  <c r="CR96" i="2"/>
  <c r="BT96" i="2"/>
  <c r="CS96" i="2"/>
  <c r="M97" i="2"/>
  <c r="S98" i="2"/>
  <c r="V98" i="2" s="1"/>
  <c r="R98" i="2"/>
  <c r="D99" i="19"/>
  <c r="E99" i="3"/>
  <c r="Z99" i="2"/>
  <c r="AD99" i="2"/>
  <c r="AC99" i="2"/>
  <c r="AA99" i="2"/>
  <c r="Y99" i="2"/>
  <c r="AM100" i="2"/>
  <c r="AL100" i="2"/>
  <c r="AK100" i="2"/>
  <c r="AI100" i="2"/>
  <c r="AH100" i="2"/>
  <c r="AK101" i="2"/>
  <c r="AL101" i="2"/>
  <c r="AI101" i="2"/>
  <c r="BS101" i="2" s="1"/>
  <c r="M102" i="19"/>
  <c r="J102" i="2"/>
  <c r="AJ102" i="2" s="1"/>
  <c r="G102" i="2"/>
  <c r="M102" i="2" s="1"/>
  <c r="L102" i="2"/>
  <c r="K102" i="2"/>
  <c r="N102" i="2" s="1"/>
  <c r="Z102" i="2"/>
  <c r="AK103" i="2"/>
  <c r="AL103" i="2"/>
  <c r="AH103" i="2"/>
  <c r="AM103" i="2"/>
  <c r="AI103" i="2"/>
  <c r="BA103" i="2"/>
  <c r="BD103" i="2"/>
  <c r="DC103" i="2"/>
  <c r="BC103" i="2"/>
  <c r="BE103" i="2" s="1"/>
  <c r="DA103" i="2"/>
  <c r="BF103" i="2"/>
  <c r="D104" i="19"/>
  <c r="E104" i="3"/>
  <c r="U105" i="2"/>
  <c r="N106" i="2"/>
  <c r="AK26" i="3"/>
  <c r="M99" i="19"/>
  <c r="J99" i="2"/>
  <c r="AJ99" i="2" s="1"/>
  <c r="L99" i="2"/>
  <c r="K99" i="2"/>
  <c r="H99" i="2"/>
  <c r="R99" i="2" s="1"/>
  <c r="S99" i="2" s="1"/>
  <c r="V99" i="2" s="1"/>
  <c r="G99" i="2"/>
  <c r="M99" i="2" s="1"/>
  <c r="AX99" i="2"/>
  <c r="AV99" i="2"/>
  <c r="AU99" i="2"/>
  <c r="AW99" i="2" s="1"/>
  <c r="CT99" i="2"/>
  <c r="CL99" i="2"/>
  <c r="BV99" i="2"/>
  <c r="CX99" i="2"/>
  <c r="CO99" i="2"/>
  <c r="BW99" i="2"/>
  <c r="CW99" i="2"/>
  <c r="CN99" i="2"/>
  <c r="CE99" i="2"/>
  <c r="BU99" i="2"/>
  <c r="CU99" i="2"/>
  <c r="CS99" i="2"/>
  <c r="AE100" i="2"/>
  <c r="T101" i="2"/>
  <c r="Q101" i="2"/>
  <c r="S101" i="2" s="1"/>
  <c r="P101" i="2"/>
  <c r="AO101" i="2"/>
  <c r="S107" i="2"/>
  <c r="Q107" i="2"/>
  <c r="V107" i="2"/>
  <c r="U107" i="2"/>
  <c r="T107" i="2"/>
  <c r="R107" i="2"/>
  <c r="P107" i="2"/>
  <c r="AK11" i="3"/>
  <c r="N90" i="2"/>
  <c r="H92" i="2"/>
  <c r="Q92" i="2" s="1"/>
  <c r="E93" i="3"/>
  <c r="D93" i="19"/>
  <c r="CO93" i="2"/>
  <c r="CW93" i="2"/>
  <c r="CT95" i="2"/>
  <c r="CL96" i="2"/>
  <c r="CU96" i="2"/>
  <c r="CK97" i="2"/>
  <c r="CC97" i="2"/>
  <c r="CZ97" i="2"/>
  <c r="CJ97" i="2"/>
  <c r="CB97" i="2"/>
  <c r="Q98" i="2"/>
  <c r="AL98" i="2"/>
  <c r="AK98" i="2"/>
  <c r="AI98" i="2"/>
  <c r="AP98" i="2"/>
  <c r="AH98" i="2"/>
  <c r="AB99" i="2"/>
  <c r="BT99" i="2"/>
  <c r="CM99" i="2"/>
  <c r="BC100" i="2"/>
  <c r="BE100" i="2" s="1"/>
  <c r="BD100" i="2"/>
  <c r="DC100" i="2"/>
  <c r="BA100" i="2"/>
  <c r="AM101" i="2"/>
  <c r="M104" i="2"/>
  <c r="CI104" i="2"/>
  <c r="A10" i="5"/>
  <c r="I10" i="5"/>
  <c r="AK2" i="3"/>
  <c r="J6" i="3"/>
  <c r="A2" i="5"/>
  <c r="M93" i="19"/>
  <c r="N93" i="2"/>
  <c r="CP93" i="2"/>
  <c r="BT95" i="2"/>
  <c r="CL95" i="2"/>
  <c r="CV95" i="2"/>
  <c r="BU96" i="2"/>
  <c r="CM96" i="2"/>
  <c r="CV96" i="2"/>
  <c r="J97" i="2"/>
  <c r="AJ97" i="2" s="1"/>
  <c r="K98" i="2"/>
  <c r="T98" i="2"/>
  <c r="AE99" i="2"/>
  <c r="BX99" i="2"/>
  <c r="CP99" i="2"/>
  <c r="AP103" i="2"/>
  <c r="CU107" i="2"/>
  <c r="CM107" i="2"/>
  <c r="CE107" i="2"/>
  <c r="BW107" i="2"/>
  <c r="AQ107" i="2"/>
  <c r="CS107" i="2"/>
  <c r="CQ107" i="2"/>
  <c r="CP107" i="2"/>
  <c r="BX107" i="2"/>
  <c r="CO107" i="2"/>
  <c r="CN107" i="2"/>
  <c r="CL107" i="2"/>
  <c r="BV107" i="2"/>
  <c r="CX107" i="2"/>
  <c r="BU107" i="2"/>
  <c r="CW107" i="2"/>
  <c r="BT107" i="2"/>
  <c r="CT107" i="2"/>
  <c r="CR107" i="2"/>
  <c r="D97" i="19"/>
  <c r="E97" i="3"/>
  <c r="AK97" i="2"/>
  <c r="CO97" i="2"/>
  <c r="J98" i="2"/>
  <c r="AJ98" i="2" s="1"/>
  <c r="AX98" i="2"/>
  <c r="BV98" i="2"/>
  <c r="CL98" i="2"/>
  <c r="CT98" i="2"/>
  <c r="CS100" i="2"/>
  <c r="S103" i="2"/>
  <c r="V103" i="2" s="1"/>
  <c r="R103" i="2"/>
  <c r="P103" i="2"/>
  <c r="CT104" i="2"/>
  <c r="CL104" i="2"/>
  <c r="BV104" i="2"/>
  <c r="CQ104" i="2"/>
  <c r="CP104" i="2"/>
  <c r="BX104" i="2"/>
  <c r="AQ104" i="2"/>
  <c r="CX104" i="2"/>
  <c r="CO104" i="2"/>
  <c r="BW104" i="2"/>
  <c r="CR104" i="2"/>
  <c r="CN104" i="2"/>
  <c r="BU104" i="2"/>
  <c r="CW104" i="2"/>
  <c r="BT104" i="2"/>
  <c r="CS104" i="2"/>
  <c r="G10" i="5"/>
  <c r="N97" i="2"/>
  <c r="CC103" i="2"/>
  <c r="CK103" i="2"/>
  <c r="CB103" i="2"/>
  <c r="M10" i="5"/>
  <c r="M11" i="5" s="1"/>
  <c r="M18" i="5" s="1"/>
  <c r="AK19" i="3"/>
  <c r="AK43" i="3"/>
  <c r="D98" i="19"/>
  <c r="E98" i="3"/>
  <c r="CO98" i="2"/>
  <c r="CD103" i="2"/>
  <c r="CY103" i="2"/>
  <c r="G6" i="5"/>
  <c r="G7" i="5" s="1"/>
  <c r="G17" i="5" s="1"/>
  <c r="F10" i="5"/>
  <c r="F11" i="5" s="1"/>
  <c r="N16" i="5" s="1"/>
  <c r="N10" i="5"/>
  <c r="J10" i="5"/>
  <c r="M98" i="19"/>
  <c r="N98" i="2"/>
  <c r="E102" i="3"/>
  <c r="D102" i="19"/>
  <c r="R102" i="2"/>
  <c r="AA103" i="2"/>
  <c r="Y103" i="2"/>
  <c r="Z103" i="2" s="1"/>
  <c r="CZ103" i="2"/>
  <c r="AB105" i="2"/>
  <c r="AA105" i="2"/>
  <c r="Q106" i="2"/>
  <c r="S106" i="2" s="1"/>
  <c r="V106" i="2" s="1"/>
  <c r="R106" i="2"/>
  <c r="P106" i="2"/>
  <c r="D2" i="5"/>
  <c r="D3" i="5" s="1"/>
  <c r="C15" i="5" s="1"/>
  <c r="J2" i="3"/>
  <c r="AK6" i="3"/>
  <c r="T20" i="3"/>
  <c r="J24" i="3"/>
  <c r="T51" i="3"/>
  <c r="T85" i="3"/>
  <c r="AA104" i="2"/>
  <c r="AC104" i="2" s="1"/>
  <c r="AF104" i="2" s="1"/>
  <c r="AI104" i="2"/>
  <c r="AP104" i="2"/>
  <c r="AH104" i="2"/>
  <c r="N105" i="2"/>
  <c r="AD106" i="2"/>
  <c r="Z106" i="2"/>
  <c r="AC106" i="2"/>
  <c r="AE106" i="2" s="1"/>
  <c r="AB106" i="2"/>
  <c r="AA106" i="2"/>
  <c r="T28" i="3"/>
  <c r="T53" i="3"/>
  <c r="CT101" i="2"/>
  <c r="BS102" i="2"/>
  <c r="M104" i="19"/>
  <c r="J104" i="2"/>
  <c r="AJ104" i="2" s="1"/>
  <c r="X104" i="2"/>
  <c r="X106" i="2"/>
  <c r="AX106" i="2"/>
  <c r="AY106" i="2"/>
  <c r="C2" i="5"/>
  <c r="C3" i="5" s="1"/>
  <c r="B15" i="5" s="1"/>
  <c r="D15" i="5" s="1"/>
  <c r="AK3" i="3"/>
  <c r="T9" i="3"/>
  <c r="AK17" i="3"/>
  <c r="AK32" i="3"/>
  <c r="T41" i="3"/>
  <c r="AK47" i="3"/>
  <c r="J67" i="3"/>
  <c r="T72" i="3"/>
  <c r="AK72" i="3"/>
  <c r="AK100" i="3"/>
  <c r="BX101" i="2"/>
  <c r="CN101" i="2"/>
  <c r="CV101" i="2"/>
  <c r="Q102" i="2"/>
  <c r="Y102" i="2"/>
  <c r="H104" i="2"/>
  <c r="Q104" i="2" s="1"/>
  <c r="AB104" i="2"/>
  <c r="AL104" i="2"/>
  <c r="AM105" i="2"/>
  <c r="AL105" i="2"/>
  <c r="AU106" i="2"/>
  <c r="AW106" i="2" s="1"/>
  <c r="O10" i="5"/>
  <c r="D6" i="5"/>
  <c r="T33" i="3"/>
  <c r="AK35" i="3"/>
  <c r="AK37" i="3"/>
  <c r="AK60" i="3"/>
  <c r="AK82" i="3"/>
  <c r="T105" i="3"/>
  <c r="CO101" i="2"/>
  <c r="AM104" i="2"/>
  <c r="BS105" i="2"/>
  <c r="AO105" i="2"/>
  <c r="AS105" i="2"/>
  <c r="AT105" i="2" s="1"/>
  <c r="D106" i="19"/>
  <c r="E106" i="3"/>
  <c r="AL106" i="2"/>
  <c r="AI106" i="2"/>
  <c r="BS106" i="2" s="1"/>
  <c r="AP106" i="2"/>
  <c r="AM106" i="2"/>
  <c r="AV106" i="2"/>
  <c r="T4" i="3"/>
  <c r="AK48" i="3"/>
  <c r="T73" i="3"/>
  <c r="AK80" i="3"/>
  <c r="T89" i="3"/>
  <c r="AK89" i="3"/>
  <c r="AK15" i="3"/>
  <c r="J23" i="3"/>
  <c r="AK51" i="3"/>
  <c r="J52" i="3"/>
  <c r="AK55" i="3"/>
  <c r="AK68" i="3"/>
  <c r="T102" i="3"/>
  <c r="E105" i="3"/>
  <c r="D103" i="19"/>
  <c r="E103" i="3"/>
  <c r="CO103" i="2"/>
  <c r="CX106" i="2"/>
  <c r="CP106" i="2"/>
  <c r="CT106" i="2"/>
  <c r="CQ106" i="2"/>
  <c r="BX106" i="2"/>
  <c r="CO106" i="2"/>
  <c r="C6" i="5"/>
  <c r="AK7" i="3"/>
  <c r="T14" i="3"/>
  <c r="J15" i="3"/>
  <c r="J27" i="3"/>
  <c r="AK39" i="3"/>
  <c r="T54" i="3"/>
  <c r="J61" i="3"/>
  <c r="T71" i="3"/>
  <c r="J84" i="3"/>
  <c r="AK85" i="3"/>
  <c r="T87" i="3"/>
  <c r="AK87" i="3"/>
  <c r="AK104" i="3"/>
  <c r="AK106" i="3"/>
  <c r="BT106" i="2"/>
  <c r="CE106" i="2"/>
  <c r="CR106" i="2"/>
  <c r="AI107" i="2"/>
  <c r="BS107" i="2" s="1"/>
  <c r="C10" i="5"/>
  <c r="K10" i="5"/>
  <c r="AK9" i="3"/>
  <c r="J10" i="3"/>
  <c r="AK24" i="3"/>
  <c r="T26" i="3"/>
  <c r="AK41" i="3"/>
  <c r="AK50" i="3"/>
  <c r="J58" i="3"/>
  <c r="T67" i="3"/>
  <c r="AK67" i="3"/>
  <c r="T69" i="3"/>
  <c r="J70" i="3"/>
  <c r="T101" i="3"/>
  <c r="M105" i="19"/>
  <c r="G105" i="2"/>
  <c r="BR107" i="2"/>
  <c r="AS107" i="2"/>
  <c r="AT107" i="2" s="1"/>
  <c r="AO107" i="2"/>
  <c r="B2" i="5"/>
  <c r="B3" i="5" s="1"/>
  <c r="B16" i="5" s="1"/>
  <c r="E6" i="5"/>
  <c r="D10" i="5"/>
  <c r="L10" i="5"/>
  <c r="L11" i="5" s="1"/>
  <c r="P17" i="5" s="1"/>
  <c r="T6" i="3"/>
  <c r="J7" i="3"/>
  <c r="J19" i="3"/>
  <c r="AK31" i="3"/>
  <c r="T38" i="3"/>
  <c r="J39" i="3"/>
  <c r="T45" i="3"/>
  <c r="J46" i="3"/>
  <c r="T47" i="3"/>
  <c r="AK52" i="3"/>
  <c r="T64" i="3"/>
  <c r="AK64" i="3"/>
  <c r="AK69" i="3"/>
  <c r="J90" i="3"/>
  <c r="T93" i="3"/>
  <c r="AK101" i="3"/>
  <c r="F6" i="5"/>
  <c r="F7" i="5" s="1"/>
  <c r="I16" i="5" s="1"/>
  <c r="E10" i="5"/>
  <c r="T3" i="3"/>
  <c r="AK16" i="3"/>
  <c r="T18" i="3"/>
  <c r="AK33" i="3"/>
  <c r="J34" i="3"/>
  <c r="AK45" i="3"/>
  <c r="J50" i="3"/>
  <c r="T59" i="3"/>
  <c r="T61" i="3"/>
  <c r="J62" i="3"/>
  <c r="AK73" i="3"/>
  <c r="AK75" i="3"/>
  <c r="T91" i="3"/>
  <c r="AK91" i="3"/>
  <c r="J92" i="3"/>
  <c r="AK95" i="3"/>
  <c r="J98" i="3"/>
  <c r="J100" i="3"/>
  <c r="J106" i="3"/>
  <c r="T107" i="3"/>
  <c r="AK107" i="3"/>
  <c r="D107" i="19"/>
  <c r="E107" i="3"/>
  <c r="AF107" i="2"/>
  <c r="A6" i="5"/>
  <c r="A7" i="5" s="1"/>
  <c r="G15" i="5" s="1"/>
  <c r="I6" i="5"/>
  <c r="AK4" i="3"/>
  <c r="T8" i="3"/>
  <c r="J9" i="3"/>
  <c r="AK12" i="3"/>
  <c r="T16" i="3"/>
  <c r="J17" i="3"/>
  <c r="AK20" i="3"/>
  <c r="T24" i="3"/>
  <c r="J25" i="3"/>
  <c r="AK28" i="3"/>
  <c r="T32" i="3"/>
  <c r="J33" i="3"/>
  <c r="AK36" i="3"/>
  <c r="T40" i="3"/>
  <c r="J41" i="3"/>
  <c r="AK44" i="3"/>
  <c r="J51" i="3"/>
  <c r="AK53" i="3"/>
  <c r="T55" i="3"/>
  <c r="J66" i="3"/>
  <c r="T77" i="3"/>
  <c r="J78" i="3"/>
  <c r="J83" i="3"/>
  <c r="AK93" i="3"/>
  <c r="T95" i="3"/>
  <c r="J96" i="3"/>
  <c r="T98" i="3"/>
  <c r="T100" i="3"/>
  <c r="J101" i="3"/>
  <c r="T106" i="3"/>
  <c r="J107" i="3"/>
  <c r="B6" i="5"/>
  <c r="T2" i="3"/>
  <c r="H10" i="5"/>
  <c r="P10" i="5"/>
  <c r="T11" i="3"/>
  <c r="T19" i="3"/>
  <c r="T27" i="3"/>
  <c r="T35" i="3"/>
  <c r="T43" i="3"/>
  <c r="AK59" i="3"/>
  <c r="J75" i="3"/>
  <c r="AK77" i="3"/>
  <c r="T79" i="3"/>
  <c r="J80" i="3"/>
  <c r="T82" i="3"/>
  <c r="T84" i="3"/>
  <c r="J85" i="3"/>
  <c r="T90" i="3"/>
  <c r="J91" i="3"/>
  <c r="AK98" i="3"/>
  <c r="Z107" i="2"/>
  <c r="B10" i="5"/>
  <c r="B11" i="5" s="1"/>
  <c r="N15" i="5" s="1"/>
  <c r="J59" i="3"/>
  <c r="AK61" i="3"/>
  <c r="T63" i="3"/>
  <c r="J74" i="3"/>
  <c r="AK86" i="3"/>
  <c r="T52" i="3"/>
  <c r="T60" i="3"/>
  <c r="T68" i="3"/>
  <c r="T76" i="3"/>
  <c r="AK83" i="3"/>
  <c r="T92" i="3"/>
  <c r="AK99" i="3"/>
  <c r="AK46" i="3"/>
  <c r="AK54" i="3"/>
  <c r="AK62" i="3"/>
  <c r="AK70" i="3"/>
  <c r="AK78" i="3"/>
  <c r="AK94" i="3"/>
  <c r="BZ106" i="2" l="1"/>
  <c r="CG106" i="2"/>
  <c r="AP58" i="2"/>
  <c r="AO58" i="2"/>
  <c r="U56" i="2"/>
  <c r="U76" i="2"/>
  <c r="V76" i="2"/>
  <c r="V85" i="2"/>
  <c r="U85" i="2"/>
  <c r="AO42" i="2"/>
  <c r="AP42" i="2"/>
  <c r="BE17" i="2"/>
  <c r="BF17" i="2"/>
  <c r="U43" i="2"/>
  <c r="V43" i="2"/>
  <c r="V6" i="2"/>
  <c r="U6" i="2"/>
  <c r="V20" i="2"/>
  <c r="U20" i="2"/>
  <c r="BE13" i="2"/>
  <c r="BF13" i="2"/>
  <c r="AW58" i="2"/>
  <c r="AX58" i="2"/>
  <c r="DC87" i="2"/>
  <c r="AF64" i="2"/>
  <c r="AE64" i="2"/>
  <c r="AF59" i="2"/>
  <c r="AE59" i="2"/>
  <c r="U54" i="2"/>
  <c r="V54" i="2"/>
  <c r="AM16" i="2"/>
  <c r="AP16" i="2" s="1"/>
  <c r="U99" i="2"/>
  <c r="V82" i="2"/>
  <c r="U82" i="2"/>
  <c r="AE101" i="2"/>
  <c r="AF101" i="2"/>
  <c r="AX50" i="2"/>
  <c r="AW50" i="2"/>
  <c r="AW53" i="2"/>
  <c r="AX53" i="2"/>
  <c r="AW47" i="2"/>
  <c r="AX47" i="2"/>
  <c r="S32" i="2"/>
  <c r="U39" i="2"/>
  <c r="V39" i="2"/>
  <c r="AU87" i="2"/>
  <c r="BB87" i="2"/>
  <c r="AM48" i="2"/>
  <c r="BE18" i="2"/>
  <c r="BF18" i="2"/>
  <c r="U14" i="2"/>
  <c r="V14" i="2"/>
  <c r="U50" i="2"/>
  <c r="V50" i="2"/>
  <c r="AM43" i="2"/>
  <c r="V46" i="2"/>
  <c r="U46" i="2"/>
  <c r="U26" i="2"/>
  <c r="S12" i="2"/>
  <c r="AF65" i="2"/>
  <c r="AE65" i="2"/>
  <c r="V101" i="2"/>
  <c r="U101" i="2"/>
  <c r="BZ45" i="2"/>
  <c r="CC45" i="2" s="1"/>
  <c r="BV45" i="2"/>
  <c r="BW45" i="2" s="1"/>
  <c r="CG45" i="2"/>
  <c r="BT45" i="2"/>
  <c r="CX45" i="2"/>
  <c r="AF26" i="2"/>
  <c r="AE26" i="2"/>
  <c r="CX16" i="2"/>
  <c r="U13" i="2"/>
  <c r="V48" i="2"/>
  <c r="U48" i="2"/>
  <c r="V37" i="2"/>
  <c r="U37" i="2"/>
  <c r="BZ49" i="2"/>
  <c r="CZ49" i="2" s="1"/>
  <c r="CG49" i="2"/>
  <c r="DB49" i="2" s="1"/>
  <c r="BV49" i="2"/>
  <c r="CF48" i="2"/>
  <c r="AR48" i="2"/>
  <c r="AZ48" i="2" s="1"/>
  <c r="BY48" i="2"/>
  <c r="CG43" i="2"/>
  <c r="BV43" i="2"/>
  <c r="BW43" i="2" s="1"/>
  <c r="BT43" i="2"/>
  <c r="BZ43" i="2"/>
  <c r="V11" i="2"/>
  <c r="Z5" i="2"/>
  <c r="AE5" i="2"/>
  <c r="M8" i="2"/>
  <c r="J8" i="2"/>
  <c r="AJ8" i="2" s="1"/>
  <c r="BS7" i="2"/>
  <c r="AO7" i="2"/>
  <c r="AS7" i="2"/>
  <c r="AT7" i="2" s="1"/>
  <c r="BR7" i="2"/>
  <c r="CI19" i="2"/>
  <c r="CF42" i="2"/>
  <c r="AR42" i="2"/>
  <c r="AZ42" i="2" s="1"/>
  <c r="BY42" i="2"/>
  <c r="E11" i="5"/>
  <c r="M16" i="5" s="1"/>
  <c r="Q16" i="5" s="1"/>
  <c r="BY107" i="2"/>
  <c r="AR107" i="2"/>
  <c r="AZ107" i="2" s="1"/>
  <c r="CF107" i="2"/>
  <c r="K11" i="5"/>
  <c r="O17" i="5" s="1"/>
  <c r="R104" i="2"/>
  <c r="S104" i="2" s="1"/>
  <c r="AC105" i="2"/>
  <c r="U103" i="2"/>
  <c r="A3" i="5"/>
  <c r="C16" i="5" s="1"/>
  <c r="D16" i="5" s="1"/>
  <c r="BR98" i="2"/>
  <c r="AS98" i="2"/>
  <c r="AT98" i="2" s="1"/>
  <c r="BS98" i="2"/>
  <c r="AO98" i="2"/>
  <c r="R89" i="2"/>
  <c r="Q89" i="2"/>
  <c r="S89" i="2" s="1"/>
  <c r="CI102" i="2"/>
  <c r="CH102" i="2"/>
  <c r="M101" i="2"/>
  <c r="BR93" i="2"/>
  <c r="AS93" i="2"/>
  <c r="AT93" i="2" s="1"/>
  <c r="AO93" i="2"/>
  <c r="BS93" i="2"/>
  <c r="AE88" i="2"/>
  <c r="CF90" i="2"/>
  <c r="BY90" i="2"/>
  <c r="AR90" i="2"/>
  <c r="AZ90" i="2" s="1"/>
  <c r="M88" i="2"/>
  <c r="AL87" i="2"/>
  <c r="BD89" i="2"/>
  <c r="BC89" i="2"/>
  <c r="BE89" i="2" s="1"/>
  <c r="BB89" i="2"/>
  <c r="BA89" i="2"/>
  <c r="BF89" i="2"/>
  <c r="DC89" i="2"/>
  <c r="DA89" i="2"/>
  <c r="U80" i="2"/>
  <c r="BR79" i="2"/>
  <c r="BS79" i="2"/>
  <c r="AJ79" i="2"/>
  <c r="AS79" i="2"/>
  <c r="AT79" i="2" s="1"/>
  <c r="AE92" i="2"/>
  <c r="AC90" i="2"/>
  <c r="DB88" i="2"/>
  <c r="CD88" i="2"/>
  <c r="CK88" i="2"/>
  <c r="CC88" i="2"/>
  <c r="CZ88" i="2"/>
  <c r="CJ88" i="2"/>
  <c r="CB88" i="2"/>
  <c r="CY88" i="2"/>
  <c r="CA88" i="2"/>
  <c r="DC95" i="2"/>
  <c r="BD95" i="2"/>
  <c r="BC95" i="2"/>
  <c r="BE95" i="2" s="1"/>
  <c r="DA95" i="2"/>
  <c r="BA95" i="2"/>
  <c r="BF95" i="2"/>
  <c r="BB95" i="2"/>
  <c r="CZ90" i="2"/>
  <c r="CY90" i="2"/>
  <c r="CD90" i="2"/>
  <c r="CC90" i="2"/>
  <c r="DB90" i="2"/>
  <c r="CB90" i="2"/>
  <c r="CA90" i="2"/>
  <c r="CJ90" i="2"/>
  <c r="CK90" i="2"/>
  <c r="S74" i="2"/>
  <c r="BF102" i="2"/>
  <c r="BC102" i="2"/>
  <c r="BE102" i="2" s="1"/>
  <c r="DC102" i="2"/>
  <c r="DA102" i="2"/>
  <c r="BD102" i="2"/>
  <c r="BA102" i="2"/>
  <c r="BB102" i="2"/>
  <c r="BZ66" i="2"/>
  <c r="CG66" i="2"/>
  <c r="N76" i="2"/>
  <c r="BR70" i="2"/>
  <c r="AS70" i="2"/>
  <c r="AT70" i="2" s="1"/>
  <c r="AO70" i="2"/>
  <c r="BS70" i="2"/>
  <c r="CK77" i="2"/>
  <c r="CC77" i="2"/>
  <c r="CZ77" i="2"/>
  <c r="CJ77" i="2"/>
  <c r="CB77" i="2"/>
  <c r="CY77" i="2"/>
  <c r="CA77" i="2"/>
  <c r="CD77" i="2"/>
  <c r="DB77" i="2"/>
  <c r="CI80" i="2"/>
  <c r="Q77" i="2"/>
  <c r="S77" i="2" s="1"/>
  <c r="V77" i="2" s="1"/>
  <c r="DB68" i="2"/>
  <c r="CD68" i="2"/>
  <c r="CK68" i="2"/>
  <c r="CC68" i="2"/>
  <c r="CZ68" i="2"/>
  <c r="CJ68" i="2"/>
  <c r="CB68" i="2"/>
  <c r="CY68" i="2"/>
  <c r="CA68" i="2"/>
  <c r="CI54" i="2"/>
  <c r="AW49" i="2"/>
  <c r="AX49" i="2"/>
  <c r="AE53" i="2"/>
  <c r="N60" i="2"/>
  <c r="BZ55" i="2"/>
  <c r="CG55" i="2"/>
  <c r="BV55" i="2"/>
  <c r="BW55" i="2" s="1"/>
  <c r="CI52" i="2"/>
  <c r="CH52" i="2"/>
  <c r="AO32" i="2"/>
  <c r="AS32" i="2"/>
  <c r="AT32" i="2" s="1"/>
  <c r="BS32" i="2"/>
  <c r="CX32" i="2" s="1"/>
  <c r="BR32" i="2"/>
  <c r="AJ32" i="2"/>
  <c r="M83" i="2"/>
  <c r="CF52" i="2"/>
  <c r="BY52" i="2"/>
  <c r="AR52" i="2"/>
  <c r="AZ52" i="2" s="1"/>
  <c r="CI34" i="2"/>
  <c r="N57" i="2"/>
  <c r="N54" i="2"/>
  <c r="CG35" i="2"/>
  <c r="CY35" i="2" s="1"/>
  <c r="BZ35" i="2"/>
  <c r="BB53" i="2"/>
  <c r="BA53" i="2"/>
  <c r="DC53" i="2"/>
  <c r="DA53" i="2"/>
  <c r="BD53" i="2"/>
  <c r="BC53" i="2"/>
  <c r="BE53" i="2" s="1"/>
  <c r="BD42" i="2"/>
  <c r="BB42" i="2"/>
  <c r="DC42" i="2"/>
  <c r="BA42" i="2"/>
  <c r="BC42" i="2" s="1"/>
  <c r="DA42" i="2"/>
  <c r="Q30" i="2"/>
  <c r="S30" i="2" s="1"/>
  <c r="R30" i="2"/>
  <c r="N43" i="2"/>
  <c r="M35" i="2"/>
  <c r="M17" i="2"/>
  <c r="J17" i="2"/>
  <c r="CB11" i="2"/>
  <c r="CI42" i="2"/>
  <c r="Q41" i="2"/>
  <c r="S41" i="2" s="1"/>
  <c r="V41" i="2" s="1"/>
  <c r="CI40" i="2"/>
  <c r="AJ34" i="2"/>
  <c r="CI17" i="2"/>
  <c r="AR10" i="2"/>
  <c r="AZ10" i="2" s="1"/>
  <c r="CF10" i="2"/>
  <c r="BY10" i="2"/>
  <c r="DB10" i="2"/>
  <c r="CC10" i="2"/>
  <c r="CZ10" i="2"/>
  <c r="CJ10" i="2"/>
  <c r="CK10" i="2" s="1"/>
  <c r="CB10" i="2"/>
  <c r="CD10" i="2" s="1"/>
  <c r="CY10" i="2"/>
  <c r="CA10" i="2"/>
  <c r="AR2" i="2"/>
  <c r="AZ2" i="2" s="1"/>
  <c r="CF2" i="2"/>
  <c r="BY2" i="2"/>
  <c r="AO61" i="2"/>
  <c r="AV19" i="2"/>
  <c r="AX19" i="2" s="1"/>
  <c r="AU19" i="2"/>
  <c r="AW19" i="2" s="1"/>
  <c r="AY19" i="2"/>
  <c r="AS43" i="2"/>
  <c r="AT43" i="2" s="1"/>
  <c r="CI35" i="2"/>
  <c r="CI12" i="2"/>
  <c r="BR6" i="2"/>
  <c r="AS6" i="2"/>
  <c r="AT6" i="2" s="1"/>
  <c r="AO6" i="2"/>
  <c r="BS6" i="2"/>
  <c r="CI29" i="2"/>
  <c r="CH29" i="2"/>
  <c r="AL41" i="2"/>
  <c r="AM41" i="2" s="1"/>
  <c r="BR20" i="2"/>
  <c r="AO20" i="2"/>
  <c r="AS20" i="2"/>
  <c r="AT20" i="2" s="1"/>
  <c r="BS20" i="2"/>
  <c r="CX20" i="2" s="1"/>
  <c r="AJ14" i="2"/>
  <c r="CY3" i="2"/>
  <c r="CA3" i="2"/>
  <c r="DB3" i="2"/>
  <c r="CC3" i="2"/>
  <c r="CB3" i="2"/>
  <c r="CD3" i="2"/>
  <c r="CZ3" i="2"/>
  <c r="CK3" i="2"/>
  <c r="CJ3" i="2"/>
  <c r="CI4" i="2"/>
  <c r="CH4" i="2"/>
  <c r="V3" i="2"/>
  <c r="BB49" i="2"/>
  <c r="BC49" i="2" s="1"/>
  <c r="BC28" i="2"/>
  <c r="BE28" i="2" s="1"/>
  <c r="BB28" i="2"/>
  <c r="BA28" i="2"/>
  <c r="DC28" i="2"/>
  <c r="DA28" i="2"/>
  <c r="BF28" i="2"/>
  <c r="BD28" i="2"/>
  <c r="CI21" i="2"/>
  <c r="CH21" i="2"/>
  <c r="BC9" i="2"/>
  <c r="Q8" i="2"/>
  <c r="R8" i="2"/>
  <c r="CI46" i="2"/>
  <c r="R29" i="2"/>
  <c r="S29" i="2" s="1"/>
  <c r="CI32" i="2"/>
  <c r="AX18" i="2"/>
  <c r="AW18" i="2"/>
  <c r="M81" i="2"/>
  <c r="J81" i="2"/>
  <c r="AJ81" i="2" s="1"/>
  <c r="C11" i="5"/>
  <c r="O15" i="5" s="1"/>
  <c r="D7" i="5"/>
  <c r="G16" i="5" s="1"/>
  <c r="J16" i="5" s="1"/>
  <c r="E2" i="5"/>
  <c r="AY107" i="2"/>
  <c r="AX107" i="2"/>
  <c r="AV107" i="2"/>
  <c r="AU107" i="2"/>
  <c r="AW107" i="2" s="1"/>
  <c r="DB99" i="2"/>
  <c r="CD99" i="2"/>
  <c r="CK99" i="2"/>
  <c r="CB99" i="2"/>
  <c r="CJ99" i="2"/>
  <c r="CA99" i="2"/>
  <c r="CZ99" i="2"/>
  <c r="CC99" i="2"/>
  <c r="CY99" i="2"/>
  <c r="CG101" i="2"/>
  <c r="BZ101" i="2"/>
  <c r="R92" i="2"/>
  <c r="S92" i="2" s="1"/>
  <c r="AE89" i="2"/>
  <c r="AY94" i="2"/>
  <c r="AX94" i="2"/>
  <c r="AV94" i="2"/>
  <c r="AU94" i="2"/>
  <c r="AW94" i="2" s="1"/>
  <c r="BZ92" i="2"/>
  <c r="CG92" i="2"/>
  <c r="DB83" i="2"/>
  <c r="CD83" i="2"/>
  <c r="CK83" i="2"/>
  <c r="CC83" i="2"/>
  <c r="CZ83" i="2"/>
  <c r="CJ83" i="2"/>
  <c r="CB83" i="2"/>
  <c r="CY83" i="2"/>
  <c r="CA83" i="2"/>
  <c r="BS89" i="2"/>
  <c r="BR89" i="2"/>
  <c r="AS89" i="2"/>
  <c r="AT89" i="2" s="1"/>
  <c r="AO89" i="2"/>
  <c r="U87" i="2"/>
  <c r="N82" i="2"/>
  <c r="J80" i="2"/>
  <c r="M80" i="2"/>
  <c r="CI91" i="2"/>
  <c r="CH91" i="2"/>
  <c r="AY88" i="2"/>
  <c r="AX88" i="2"/>
  <c r="AV88" i="2"/>
  <c r="AU88" i="2"/>
  <c r="AW88" i="2" s="1"/>
  <c r="AA85" i="2"/>
  <c r="AC85" i="2" s="1"/>
  <c r="DB65" i="2"/>
  <c r="CD65" i="2"/>
  <c r="CK65" i="2"/>
  <c r="CC65" i="2"/>
  <c r="CJ65" i="2"/>
  <c r="CZ65" i="2"/>
  <c r="CB65" i="2"/>
  <c r="CA65" i="2"/>
  <c r="CY65" i="2"/>
  <c r="CF77" i="2"/>
  <c r="AR77" i="2"/>
  <c r="AZ77" i="2" s="1"/>
  <c r="BY77" i="2"/>
  <c r="BF83" i="2"/>
  <c r="DA83" i="2"/>
  <c r="BD83" i="2"/>
  <c r="BC83" i="2"/>
  <c r="BE83" i="2" s="1"/>
  <c r="BA83" i="2"/>
  <c r="DC83" i="2"/>
  <c r="BB83" i="2"/>
  <c r="CI71" i="2"/>
  <c r="CH71" i="2"/>
  <c r="AM63" i="2"/>
  <c r="AP63" i="2" s="1"/>
  <c r="AY76" i="2"/>
  <c r="AX76" i="2"/>
  <c r="AV76" i="2"/>
  <c r="AU76" i="2"/>
  <c r="AW76" i="2" s="1"/>
  <c r="BS67" i="2"/>
  <c r="BR67" i="2"/>
  <c r="AS67" i="2"/>
  <c r="AT67" i="2" s="1"/>
  <c r="AO67" i="2"/>
  <c r="V62" i="2"/>
  <c r="BZ90" i="2"/>
  <c r="CG90" i="2"/>
  <c r="CH59" i="2"/>
  <c r="CI59" i="2"/>
  <c r="U65" i="2"/>
  <c r="CG60" i="2"/>
  <c r="BZ60" i="2"/>
  <c r="CA60" i="2" s="1"/>
  <c r="BS56" i="2"/>
  <c r="AL56" i="2"/>
  <c r="AS78" i="2"/>
  <c r="AT78" i="2" s="1"/>
  <c r="DB57" i="2"/>
  <c r="CC57" i="2"/>
  <c r="CZ57" i="2"/>
  <c r="CJ57" i="2"/>
  <c r="CB57" i="2"/>
  <c r="CD57" i="2" s="1"/>
  <c r="CY57" i="2"/>
  <c r="CA57" i="2"/>
  <c r="AP55" i="2"/>
  <c r="AO55" i="2"/>
  <c r="J52" i="2"/>
  <c r="AJ52" i="2" s="1"/>
  <c r="M52" i="2"/>
  <c r="V67" i="2"/>
  <c r="CI45" i="2"/>
  <c r="CH45" i="2"/>
  <c r="CG52" i="2"/>
  <c r="BZ52" i="2"/>
  <c r="AX17" i="2"/>
  <c r="AW17" i="2"/>
  <c r="N42" i="2"/>
  <c r="U40" i="2"/>
  <c r="CI30" i="2"/>
  <c r="CH30" i="2"/>
  <c r="CI22" i="2"/>
  <c r="CH22" i="2"/>
  <c r="AO15" i="2"/>
  <c r="BS15" i="2"/>
  <c r="BR15" i="2"/>
  <c r="AS15" i="2"/>
  <c r="AT15" i="2" s="1"/>
  <c r="AU15" i="2" s="1"/>
  <c r="AJ15" i="2"/>
  <c r="AS12" i="2"/>
  <c r="AT12" i="2" s="1"/>
  <c r="AK12" i="2"/>
  <c r="BS12" i="2"/>
  <c r="AL12" i="2"/>
  <c r="AK39" i="2"/>
  <c r="AM39" i="2" s="1"/>
  <c r="AP39" i="2" s="1"/>
  <c r="AY41" i="2"/>
  <c r="AV41" i="2"/>
  <c r="M37" i="2"/>
  <c r="AK34" i="2"/>
  <c r="AM34" i="2" s="1"/>
  <c r="AP34" i="2" s="1"/>
  <c r="AS45" i="2"/>
  <c r="AT45" i="2" s="1"/>
  <c r="AU45" i="2" s="1"/>
  <c r="AM19" i="2"/>
  <c r="CB15" i="2"/>
  <c r="AS4" i="2"/>
  <c r="AT4" i="2" s="1"/>
  <c r="BS4" i="2"/>
  <c r="AO4" i="2"/>
  <c r="BR4" i="2"/>
  <c r="AO21" i="2"/>
  <c r="BS21" i="2"/>
  <c r="AS21" i="2"/>
  <c r="AT21" i="2" s="1"/>
  <c r="BR21" i="2"/>
  <c r="CB24" i="2"/>
  <c r="M5" i="2"/>
  <c r="BB10" i="2"/>
  <c r="BC10" i="2" s="1"/>
  <c r="AU3" i="2"/>
  <c r="AW3" i="2" s="1"/>
  <c r="AY3" i="2"/>
  <c r="AV3" i="2"/>
  <c r="AX3" i="2"/>
  <c r="AK14" i="2"/>
  <c r="AM14" i="2" s="1"/>
  <c r="AP14" i="2" s="1"/>
  <c r="BD45" i="2"/>
  <c r="BA45" i="2"/>
  <c r="DC45" i="2"/>
  <c r="DA45" i="2"/>
  <c r="BS11" i="2"/>
  <c r="BR11" i="2"/>
  <c r="AS11" i="2"/>
  <c r="AT11" i="2" s="1"/>
  <c r="AO11" i="2"/>
  <c r="AY7" i="2"/>
  <c r="AX7" i="2"/>
  <c r="AV7" i="2"/>
  <c r="AU7" i="2"/>
  <c r="AW7" i="2" s="1"/>
  <c r="CG42" i="2"/>
  <c r="DB42" i="2" s="1"/>
  <c r="BZ42" i="2"/>
  <c r="DB101" i="2"/>
  <c r="CD101" i="2"/>
  <c r="CY101" i="2"/>
  <c r="CA101" i="2"/>
  <c r="CK101" i="2"/>
  <c r="CZ101" i="2"/>
  <c r="CC101" i="2"/>
  <c r="CB101" i="2"/>
  <c r="CJ101" i="2"/>
  <c r="AS104" i="2"/>
  <c r="AT104" i="2" s="1"/>
  <c r="BR104" i="2"/>
  <c r="AO104" i="2"/>
  <c r="BS104" i="2"/>
  <c r="AM87" i="2"/>
  <c r="BZ87" i="2"/>
  <c r="CC87" i="2" s="1"/>
  <c r="CG87" i="2"/>
  <c r="BV87" i="2"/>
  <c r="BW87" i="2" s="1"/>
  <c r="BT87" i="2"/>
  <c r="AU67" i="2"/>
  <c r="AW67" i="2" s="1"/>
  <c r="AY67" i="2"/>
  <c r="AX67" i="2"/>
  <c r="AV67" i="2"/>
  <c r="AO54" i="2"/>
  <c r="AJ54" i="2"/>
  <c r="AS54" i="2"/>
  <c r="AT54" i="2" s="1"/>
  <c r="BS54" i="2"/>
  <c r="BR54" i="2"/>
  <c r="CI56" i="2"/>
  <c r="AR49" i="2"/>
  <c r="AZ49" i="2" s="1"/>
  <c r="BY49" i="2"/>
  <c r="CF49" i="2"/>
  <c r="BS75" i="2"/>
  <c r="BR75" i="2"/>
  <c r="AS75" i="2"/>
  <c r="AT75" i="2" s="1"/>
  <c r="AO75" i="2"/>
  <c r="DA47" i="2"/>
  <c r="BD47" i="2"/>
  <c r="BB47" i="2"/>
  <c r="BC47" i="2" s="1"/>
  <c r="DC47" i="2"/>
  <c r="BA47" i="2"/>
  <c r="M89" i="2"/>
  <c r="J89" i="2"/>
  <c r="AJ89" i="2" s="1"/>
  <c r="CI62" i="2"/>
  <c r="BC64" i="2"/>
  <c r="BE64" i="2" s="1"/>
  <c r="BB64" i="2"/>
  <c r="BA64" i="2"/>
  <c r="DA64" i="2"/>
  <c r="BF64" i="2"/>
  <c r="BD64" i="2"/>
  <c r="DC64" i="2"/>
  <c r="BZ17" i="2"/>
  <c r="CG17" i="2"/>
  <c r="CY17" i="2" s="1"/>
  <c r="BT17" i="2"/>
  <c r="AJ75" i="2"/>
  <c r="BZ30" i="2"/>
  <c r="CG30" i="2"/>
  <c r="CZ8" i="2"/>
  <c r="CJ8" i="2"/>
  <c r="CB8" i="2"/>
  <c r="CY8" i="2"/>
  <c r="CA8" i="2"/>
  <c r="CD8" i="2"/>
  <c r="CC8" i="2"/>
  <c r="DB8" i="2"/>
  <c r="CK8" i="2"/>
  <c r="BS8" i="2"/>
  <c r="AS8" i="2"/>
  <c r="AT8" i="2" s="1"/>
  <c r="BR8" i="2"/>
  <c r="AO8" i="2"/>
  <c r="BS3" i="2"/>
  <c r="BR3" i="2"/>
  <c r="AS3" i="2"/>
  <c r="AT3" i="2" s="1"/>
  <c r="AO3" i="2"/>
  <c r="R15" i="2"/>
  <c r="Q15" i="2"/>
  <c r="CH2" i="2"/>
  <c r="CI2" i="2"/>
  <c r="AE104" i="2"/>
  <c r="AY71" i="2"/>
  <c r="AX71" i="2"/>
  <c r="AV71" i="2"/>
  <c r="AU71" i="2"/>
  <c r="AW71" i="2" s="1"/>
  <c r="AP53" i="2"/>
  <c r="AO53" i="2"/>
  <c r="BZ78" i="2"/>
  <c r="CG78" i="2"/>
  <c r="BV78" i="2"/>
  <c r="BT78" i="2"/>
  <c r="BY55" i="2"/>
  <c r="AR55" i="2"/>
  <c r="AZ55" i="2" s="1"/>
  <c r="CF55" i="2"/>
  <c r="M33" i="2"/>
  <c r="J33" i="2"/>
  <c r="AJ33" i="2" s="1"/>
  <c r="CI25" i="2"/>
  <c r="CH25" i="2"/>
  <c r="O11" i="5"/>
  <c r="O18" i="5" s="1"/>
  <c r="U88" i="2"/>
  <c r="CF92" i="2"/>
  <c r="BY92" i="2"/>
  <c r="AR92" i="2"/>
  <c r="AZ92" i="2" s="1"/>
  <c r="AX90" i="2"/>
  <c r="AV90" i="2"/>
  <c r="AU90" i="2"/>
  <c r="AW90" i="2" s="1"/>
  <c r="AY90" i="2"/>
  <c r="BZ77" i="2"/>
  <c r="CG77" i="2"/>
  <c r="CI65" i="2"/>
  <c r="CH65" i="2"/>
  <c r="BR59" i="2"/>
  <c r="AS59" i="2"/>
  <c r="AT59" i="2" s="1"/>
  <c r="AO59" i="2"/>
  <c r="BS59" i="2"/>
  <c r="DB37" i="2"/>
  <c r="CD37" i="2"/>
  <c r="CK37" i="2"/>
  <c r="CC37" i="2"/>
  <c r="CZ37" i="2"/>
  <c r="CY37" i="2"/>
  <c r="CB37" i="2"/>
  <c r="CA37" i="2"/>
  <c r="CJ37" i="2"/>
  <c r="AY34" i="2"/>
  <c r="AV34" i="2"/>
  <c r="CF47" i="2"/>
  <c r="AR47" i="2"/>
  <c r="AZ47" i="2" s="1"/>
  <c r="BY47" i="2"/>
  <c r="AS29" i="2"/>
  <c r="AT29" i="2" s="1"/>
  <c r="AO29" i="2"/>
  <c r="BS29" i="2"/>
  <c r="BR29" i="2"/>
  <c r="CX17" i="2"/>
  <c r="CI27" i="2"/>
  <c r="CH27" i="2"/>
  <c r="BY5" i="2"/>
  <c r="CF5" i="2"/>
  <c r="AR5" i="2"/>
  <c r="AZ5" i="2" s="1"/>
  <c r="P11" i="5"/>
  <c r="P18" i="5" s="1"/>
  <c r="D11" i="5"/>
  <c r="P15" i="5" s="1"/>
  <c r="CG107" i="2"/>
  <c r="BZ107" i="2"/>
  <c r="AA102" i="2"/>
  <c r="AC102" i="2" s="1"/>
  <c r="AB102" i="2"/>
  <c r="BB106" i="2"/>
  <c r="DC106" i="2"/>
  <c r="BA106" i="2"/>
  <c r="BC106" i="2"/>
  <c r="BE106" i="2" s="1"/>
  <c r="DA106" i="2"/>
  <c r="BF106" i="2"/>
  <c r="BD106" i="2"/>
  <c r="BZ102" i="2"/>
  <c r="CG102" i="2"/>
  <c r="AF106" i="2"/>
  <c r="U106" i="2"/>
  <c r="CH107" i="2"/>
  <c r="CI107" i="2"/>
  <c r="I11" i="5"/>
  <c r="M17" i="5" s="1"/>
  <c r="Q17" i="5" s="1"/>
  <c r="U98" i="2"/>
  <c r="CI95" i="2"/>
  <c r="CH95" i="2"/>
  <c r="R81" i="2"/>
  <c r="Q81" i="2"/>
  <c r="CH94" i="2"/>
  <c r="CI94" i="2"/>
  <c r="DA87" i="2"/>
  <c r="U77" i="2"/>
  <c r="AU105" i="2"/>
  <c r="AW105" i="2" s="1"/>
  <c r="AX105" i="2"/>
  <c r="AV105" i="2"/>
  <c r="AY105" i="2"/>
  <c r="J77" i="2"/>
  <c r="AJ77" i="2" s="1"/>
  <c r="M77" i="2"/>
  <c r="CH90" i="2"/>
  <c r="CI90" i="2"/>
  <c r="CI88" i="2"/>
  <c r="CH88" i="2"/>
  <c r="M72" i="2"/>
  <c r="J72" i="2"/>
  <c r="AJ72" i="2" s="1"/>
  <c r="N67" i="2"/>
  <c r="AO63" i="2"/>
  <c r="BS63" i="2"/>
  <c r="CX63" i="2" s="1"/>
  <c r="AJ63" i="2"/>
  <c r="BR63" i="2"/>
  <c r="AS63" i="2"/>
  <c r="AT63" i="2" s="1"/>
  <c r="BS94" i="2"/>
  <c r="BR94" i="2"/>
  <c r="AS94" i="2"/>
  <c r="AT94" i="2" s="1"/>
  <c r="AO94" i="2"/>
  <c r="CI76" i="2"/>
  <c r="CH76" i="2"/>
  <c r="CX80" i="2"/>
  <c r="BY69" i="2"/>
  <c r="CF69" i="2"/>
  <c r="AR69" i="2"/>
  <c r="AZ69" i="2" s="1"/>
  <c r="AY68" i="2"/>
  <c r="AX68" i="2"/>
  <c r="AV68" i="2"/>
  <c r="AU68" i="2"/>
  <c r="AW68" i="2" s="1"/>
  <c r="M68" i="2"/>
  <c r="AY59" i="2"/>
  <c r="AX59" i="2"/>
  <c r="AV59" i="2"/>
  <c r="AU59" i="2"/>
  <c r="AW59" i="2" s="1"/>
  <c r="S60" i="2"/>
  <c r="V60" i="2" s="1"/>
  <c r="BT49" i="2"/>
  <c r="AK56" i="2"/>
  <c r="AM56" i="2" s="1"/>
  <c r="CJ60" i="2"/>
  <c r="CB60" i="2"/>
  <c r="DB60" i="2"/>
  <c r="CY60" i="2"/>
  <c r="M56" i="2"/>
  <c r="J56" i="2"/>
  <c r="BY53" i="2"/>
  <c r="CF53" i="2"/>
  <c r="AR53" i="2"/>
  <c r="AZ53" i="2" s="1"/>
  <c r="R25" i="2"/>
  <c r="Q25" i="2"/>
  <c r="Q56" i="2"/>
  <c r="S56" i="2" s="1"/>
  <c r="V56" i="2" s="1"/>
  <c r="AJ40" i="2"/>
  <c r="AO40" i="2"/>
  <c r="BS40" i="2"/>
  <c r="BR40" i="2"/>
  <c r="AS40" i="2"/>
  <c r="AT40" i="2" s="1"/>
  <c r="CY45" i="2"/>
  <c r="CJ45" i="2"/>
  <c r="DB45" i="2"/>
  <c r="CK45" i="2"/>
  <c r="CB45" i="2"/>
  <c r="CZ45" i="2"/>
  <c r="BZ38" i="2"/>
  <c r="CG38" i="2"/>
  <c r="BY38" i="2"/>
  <c r="AR38" i="2"/>
  <c r="AZ38" i="2" s="1"/>
  <c r="CF38" i="2"/>
  <c r="N41" i="2"/>
  <c r="AV22" i="2"/>
  <c r="AY22" i="2"/>
  <c r="AX22" i="2"/>
  <c r="AU22" i="2"/>
  <c r="AW22" i="2" s="1"/>
  <c r="CA9" i="2"/>
  <c r="CZ9" i="2"/>
  <c r="CB9" i="2"/>
  <c r="N35" i="2"/>
  <c r="CI41" i="2"/>
  <c r="N32" i="2"/>
  <c r="M32" i="2"/>
  <c r="BY28" i="2"/>
  <c r="AR28" i="2"/>
  <c r="AZ28" i="2" s="1"/>
  <c r="CF28" i="2"/>
  <c r="J46" i="2"/>
  <c r="CB40" i="2"/>
  <c r="CI11" i="2"/>
  <c r="AF3" i="2"/>
  <c r="CF45" i="2"/>
  <c r="AR45" i="2"/>
  <c r="AZ45" i="2" s="1"/>
  <c r="BY45" i="2"/>
  <c r="DA5" i="2"/>
  <c r="BD5" i="2"/>
  <c r="BA5" i="2"/>
  <c r="DC5" i="2"/>
  <c r="BB5" i="2"/>
  <c r="BC5" i="2"/>
  <c r="BE5" i="2" s="1"/>
  <c r="BF5" i="2"/>
  <c r="B14" i="4"/>
  <c r="BT61" i="2"/>
  <c r="BZ61" i="2"/>
  <c r="CG61" i="2"/>
  <c r="BV61" i="2"/>
  <c r="BW61" i="2" s="1"/>
  <c r="BD44" i="2"/>
  <c r="BA44" i="2"/>
  <c r="BV35" i="2"/>
  <c r="BW35" i="2" s="1"/>
  <c r="DA30" i="2"/>
  <c r="BD30" i="2"/>
  <c r="BC30" i="2"/>
  <c r="BE30" i="2" s="1"/>
  <c r="DC30" i="2"/>
  <c r="BF30" i="2"/>
  <c r="BB30" i="2"/>
  <c r="BA30" i="2"/>
  <c r="AY24" i="2"/>
  <c r="AV24" i="2"/>
  <c r="CB12" i="2"/>
  <c r="J15" i="2"/>
  <c r="AU10" i="2"/>
  <c r="M62" i="2"/>
  <c r="R7" i="2"/>
  <c r="Q7" i="2"/>
  <c r="S7" i="2" s="1"/>
  <c r="DB29" i="2"/>
  <c r="CD29" i="2"/>
  <c r="CZ29" i="2"/>
  <c r="CA29" i="2"/>
  <c r="CY29" i="2"/>
  <c r="CK29" i="2"/>
  <c r="CJ29" i="2"/>
  <c r="CC29" i="2"/>
  <c r="CB29" i="2"/>
  <c r="CI3" i="2"/>
  <c r="CH3" i="2"/>
  <c r="M39" i="2"/>
  <c r="U19" i="2"/>
  <c r="CZ4" i="2"/>
  <c r="CJ4" i="2"/>
  <c r="CB4" i="2"/>
  <c r="CK4" i="2"/>
  <c r="CY4" i="2"/>
  <c r="DB4" i="2"/>
  <c r="CC4" i="2"/>
  <c r="CD4" i="2"/>
  <c r="CA4" i="2"/>
  <c r="CG37" i="2"/>
  <c r="BZ37" i="2"/>
  <c r="M21" i="2"/>
  <c r="AM10" i="2"/>
  <c r="CI7" i="2"/>
  <c r="CH7" i="2"/>
  <c r="CC46" i="2"/>
  <c r="CY46" i="2"/>
  <c r="CJ46" i="2"/>
  <c r="CK46" i="2" s="1"/>
  <c r="CD46" i="2"/>
  <c r="CB46" i="2"/>
  <c r="CZ46" i="2"/>
  <c r="BS16" i="2"/>
  <c r="BR16" i="2"/>
  <c r="AS16" i="2"/>
  <c r="AT16" i="2" s="1"/>
  <c r="AO16" i="2"/>
  <c r="BZ86" i="2"/>
  <c r="CG86" i="2"/>
  <c r="AY91" i="2"/>
  <c r="AV91" i="2"/>
  <c r="AU91" i="2"/>
  <c r="AW91" i="2" s="1"/>
  <c r="AX91" i="2"/>
  <c r="V51" i="2"/>
  <c r="U51" i="2"/>
  <c r="DA69" i="2"/>
  <c r="DC69" i="2"/>
  <c r="BD69" i="2"/>
  <c r="BC69" i="2"/>
  <c r="BE69" i="2" s="1"/>
  <c r="BB69" i="2"/>
  <c r="BA69" i="2"/>
  <c r="BF69" i="2"/>
  <c r="BT58" i="2"/>
  <c r="BZ58" i="2"/>
  <c r="CG58" i="2"/>
  <c r="BV58" i="2"/>
  <c r="BW58" i="2" s="1"/>
  <c r="AO24" i="2"/>
  <c r="AJ24" i="2"/>
  <c r="AS24" i="2"/>
  <c r="AT24" i="2" s="1"/>
  <c r="AU24" i="2" s="1"/>
  <c r="BR24" i="2"/>
  <c r="BS24" i="2"/>
  <c r="CX24" i="2" s="1"/>
  <c r="DA52" i="2"/>
  <c r="BD52" i="2"/>
  <c r="BC52" i="2"/>
  <c r="BE52" i="2" s="1"/>
  <c r="BA52" i="2"/>
  <c r="DC52" i="2"/>
  <c r="BF52" i="2"/>
  <c r="BB52" i="2"/>
  <c r="M30" i="2"/>
  <c r="J30" i="2"/>
  <c r="AJ30" i="2" s="1"/>
  <c r="N29" i="2"/>
  <c r="M29" i="2"/>
  <c r="BY87" i="2"/>
  <c r="CF87" i="2"/>
  <c r="AR87" i="2"/>
  <c r="AZ87" i="2" s="1"/>
  <c r="U68" i="2"/>
  <c r="R38" i="2"/>
  <c r="Q38" i="2"/>
  <c r="BZ22" i="2"/>
  <c r="CG22" i="2"/>
  <c r="H11" i="5"/>
  <c r="P16" i="5" s="1"/>
  <c r="E7" i="5"/>
  <c r="H16" i="5" s="1"/>
  <c r="S102" i="2"/>
  <c r="J11" i="5"/>
  <c r="N17" i="5" s="1"/>
  <c r="G11" i="5"/>
  <c r="O16" i="5" s="1"/>
  <c r="A11" i="5"/>
  <c r="M15" i="5" s="1"/>
  <c r="R100" i="2"/>
  <c r="Q100" i="2"/>
  <c r="S100" i="2" s="1"/>
  <c r="M84" i="2"/>
  <c r="J84" i="2"/>
  <c r="AJ84" i="2" s="1"/>
  <c r="M107" i="19"/>
  <c r="AC91" i="2"/>
  <c r="AF91" i="2" s="1"/>
  <c r="AO88" i="2"/>
  <c r="BS88" i="2"/>
  <c r="BR88" i="2"/>
  <c r="AS88" i="2"/>
  <c r="AT88" i="2" s="1"/>
  <c r="U90" i="2"/>
  <c r="M88" i="19"/>
  <c r="CI86" i="2"/>
  <c r="CH86" i="2"/>
  <c r="CX78" i="2"/>
  <c r="CK91" i="2"/>
  <c r="CC91" i="2"/>
  <c r="CZ91" i="2"/>
  <c r="CA91" i="2"/>
  <c r="CY91" i="2"/>
  <c r="CJ91" i="2"/>
  <c r="CB91" i="2"/>
  <c r="DB91" i="2"/>
  <c r="CD91" i="2"/>
  <c r="BS81" i="2"/>
  <c r="BR81" i="2"/>
  <c r="AS81" i="2"/>
  <c r="AT81" i="2" s="1"/>
  <c r="AO81" i="2"/>
  <c r="M90" i="19"/>
  <c r="BZ72" i="2"/>
  <c r="CG72" i="2"/>
  <c r="AE76" i="2"/>
  <c r="M67" i="19"/>
  <c r="AY65" i="2"/>
  <c r="AX65" i="2"/>
  <c r="AV65" i="2"/>
  <c r="AU65" i="2"/>
  <c r="AW65" i="2" s="1"/>
  <c r="CY67" i="2"/>
  <c r="CA67" i="2"/>
  <c r="DB67" i="2"/>
  <c r="CD67" i="2"/>
  <c r="CK67" i="2"/>
  <c r="CJ67" i="2"/>
  <c r="CZ67" i="2"/>
  <c r="CC67" i="2"/>
  <c r="CB67" i="2"/>
  <c r="AY62" i="2"/>
  <c r="AV62" i="2"/>
  <c r="DB80" i="2"/>
  <c r="CB80" i="2"/>
  <c r="CA80" i="2"/>
  <c r="BZ69" i="2"/>
  <c r="CG69" i="2"/>
  <c r="CI63" i="2"/>
  <c r="BZ53" i="2"/>
  <c r="CG53" i="2"/>
  <c r="BV53" i="2"/>
  <c r="BW53" i="2" s="1"/>
  <c r="BT53" i="2"/>
  <c r="AM51" i="2"/>
  <c r="AP51" i="2" s="1"/>
  <c r="AV60" i="2"/>
  <c r="AU60" i="2"/>
  <c r="AW60" i="2" s="1"/>
  <c r="AY60" i="2"/>
  <c r="BZ50" i="2"/>
  <c r="CG50" i="2"/>
  <c r="BT50" i="2"/>
  <c r="BV50" i="2"/>
  <c r="BW50" i="2" s="1"/>
  <c r="CX49" i="2"/>
  <c r="AY57" i="2"/>
  <c r="AV57" i="2"/>
  <c r="AU57" i="2"/>
  <c r="AW57" i="2" s="1"/>
  <c r="AL48" i="2"/>
  <c r="BN48" i="2" s="1"/>
  <c r="K48" i="19" s="1"/>
  <c r="J44" i="2"/>
  <c r="DA58" i="2"/>
  <c r="BD58" i="2"/>
  <c r="BF58" i="2" s="1"/>
  <c r="BC58" i="2"/>
  <c r="BE58" i="2" s="1"/>
  <c r="BB58" i="2"/>
  <c r="BA58" i="2"/>
  <c r="DC58" i="2"/>
  <c r="CX53" i="2"/>
  <c r="AV48" i="2"/>
  <c r="AY48" i="2"/>
  <c r="CI44" i="2"/>
  <c r="DB26" i="2"/>
  <c r="CZ26" i="2"/>
  <c r="CD26" i="2"/>
  <c r="CY26" i="2"/>
  <c r="CC26" i="2"/>
  <c r="CJ26" i="2"/>
  <c r="CK26" i="2"/>
  <c r="CB26" i="2"/>
  <c r="CA26" i="2"/>
  <c r="CI48" i="2"/>
  <c r="CH47" i="2"/>
  <c r="CI47" i="2"/>
  <c r="CK47" i="2" s="1"/>
  <c r="BZ46" i="2"/>
  <c r="CA46" i="2" s="1"/>
  <c r="CG46" i="2"/>
  <c r="DB46" i="2" s="1"/>
  <c r="AJ43" i="2"/>
  <c r="BS36" i="2"/>
  <c r="BR36" i="2"/>
  <c r="AS36" i="2"/>
  <c r="AT36" i="2" s="1"/>
  <c r="AO36" i="2"/>
  <c r="BR31" i="2"/>
  <c r="AS31" i="2"/>
  <c r="AT31" i="2" s="1"/>
  <c r="BS31" i="2"/>
  <c r="AO31" i="2"/>
  <c r="BZ28" i="2"/>
  <c r="CG28" i="2"/>
  <c r="M26" i="2"/>
  <c r="AY51" i="2"/>
  <c r="AV51" i="2"/>
  <c r="CB16" i="2"/>
  <c r="CB20" i="2"/>
  <c r="AX27" i="2"/>
  <c r="AV27" i="2"/>
  <c r="AY27" i="2"/>
  <c r="AU27" i="2"/>
  <c r="AW27" i="2" s="1"/>
  <c r="BY13" i="2"/>
  <c r="AR13" i="2"/>
  <c r="AZ13" i="2" s="1"/>
  <c r="CF13" i="2"/>
  <c r="BD25" i="2"/>
  <c r="BC25" i="2"/>
  <c r="BE25" i="2" s="1"/>
  <c r="BB25" i="2"/>
  <c r="DC25" i="2"/>
  <c r="DA25" i="2"/>
  <c r="BF25" i="2"/>
  <c r="BA25" i="2"/>
  <c r="AS41" i="2"/>
  <c r="AT41" i="2" s="1"/>
  <c r="AU41" i="2" s="1"/>
  <c r="AY15" i="2"/>
  <c r="AV15" i="2"/>
  <c r="N15" i="2"/>
  <c r="J7" i="2"/>
  <c r="AJ7" i="2" s="1"/>
  <c r="CX43" i="2"/>
  <c r="Q42" i="2"/>
  <c r="S42" i="2" s="1"/>
  <c r="V42" i="2" s="1"/>
  <c r="CY21" i="2"/>
  <c r="CD21" i="2"/>
  <c r="CC21" i="2"/>
  <c r="CK21" i="2"/>
  <c r="CB21" i="2"/>
  <c r="CA21" i="2"/>
  <c r="CZ21" i="2"/>
  <c r="DB21" i="2"/>
  <c r="CJ21" i="2"/>
  <c r="AJ20" i="2"/>
  <c r="AJ11" i="2"/>
  <c r="M12" i="2"/>
  <c r="DB104" i="2"/>
  <c r="CD104" i="2"/>
  <c r="CZ104" i="2"/>
  <c r="CY104" i="2"/>
  <c r="CB104" i="2"/>
  <c r="CA104" i="2"/>
  <c r="CK104" i="2"/>
  <c r="CJ104" i="2"/>
  <c r="CC104" i="2"/>
  <c r="CI99" i="2"/>
  <c r="CH99" i="2"/>
  <c r="BY97" i="2"/>
  <c r="AR97" i="2"/>
  <c r="AZ97" i="2" s="1"/>
  <c r="CF97" i="2"/>
  <c r="CI85" i="2"/>
  <c r="CH85" i="2"/>
  <c r="M71" i="19"/>
  <c r="BS64" i="2"/>
  <c r="BR64" i="2"/>
  <c r="AS64" i="2"/>
  <c r="AT64" i="2" s="1"/>
  <c r="AO64" i="2"/>
  <c r="V44" i="2"/>
  <c r="U44" i="2"/>
  <c r="AY37" i="2"/>
  <c r="AX37" i="2"/>
  <c r="AV37" i="2"/>
  <c r="AU37" i="2"/>
  <c r="AW37" i="2" s="1"/>
  <c r="CB48" i="2"/>
  <c r="M16" i="2"/>
  <c r="J16" i="2"/>
  <c r="M105" i="2"/>
  <c r="J105" i="2"/>
  <c r="AJ105" i="2" s="1"/>
  <c r="Z104" i="2"/>
  <c r="CK105" i="2"/>
  <c r="CC105" i="2"/>
  <c r="CJ105" i="2"/>
  <c r="CA105" i="2"/>
  <c r="DB105" i="2"/>
  <c r="CZ105" i="2"/>
  <c r="CD105" i="2"/>
  <c r="CB105" i="2"/>
  <c r="CY105" i="2"/>
  <c r="DA92" i="2"/>
  <c r="BD92" i="2"/>
  <c r="BB92" i="2"/>
  <c r="BA92" i="2"/>
  <c r="DC92" i="2"/>
  <c r="BC92" i="2"/>
  <c r="BE92" i="2" s="1"/>
  <c r="BF92" i="2"/>
  <c r="AF67" i="2"/>
  <c r="CG73" i="2"/>
  <c r="BZ73" i="2"/>
  <c r="BB61" i="2"/>
  <c r="BA61" i="2"/>
  <c r="BC61" i="2" s="1"/>
  <c r="DC61" i="2"/>
  <c r="BD61" i="2"/>
  <c r="DA61" i="2"/>
  <c r="AS62" i="2"/>
  <c r="AT62" i="2" s="1"/>
  <c r="AU62" i="2" s="1"/>
  <c r="BR62" i="2"/>
  <c r="AO62" i="2"/>
  <c r="BS62" i="2"/>
  <c r="CZ18" i="2"/>
  <c r="CY18" i="2"/>
  <c r="DB18" i="2"/>
  <c r="CJ18" i="2"/>
  <c r="CC18" i="2"/>
  <c r="CK18" i="2"/>
  <c r="CB18" i="2"/>
  <c r="CD18" i="2" s="1"/>
  <c r="CA18" i="2"/>
  <c r="AS26" i="2"/>
  <c r="AT26" i="2" s="1"/>
  <c r="BS26" i="2"/>
  <c r="AO26" i="2"/>
  <c r="BR26" i="2"/>
  <c r="BR23" i="2"/>
  <c r="AS23" i="2"/>
  <c r="AT23" i="2" s="1"/>
  <c r="AO23" i="2"/>
  <c r="BS23" i="2"/>
  <c r="BY61" i="2"/>
  <c r="CF61" i="2"/>
  <c r="AR61" i="2"/>
  <c r="AZ61" i="2" s="1"/>
  <c r="DB27" i="2"/>
  <c r="CD27" i="2"/>
  <c r="CK27" i="2"/>
  <c r="CC27" i="2"/>
  <c r="CZ27" i="2"/>
  <c r="CJ27" i="2"/>
  <c r="CB27" i="2"/>
  <c r="CA27" i="2"/>
  <c r="CY27" i="2"/>
  <c r="DB7" i="2"/>
  <c r="CD7" i="2"/>
  <c r="CZ7" i="2"/>
  <c r="CJ7" i="2"/>
  <c r="CB7" i="2"/>
  <c r="CY7" i="2"/>
  <c r="CA7" i="2"/>
  <c r="CK7" i="2"/>
  <c r="CC7" i="2"/>
  <c r="J6" i="5"/>
  <c r="CH106" i="2"/>
  <c r="CI106" i="2"/>
  <c r="C7" i="5"/>
  <c r="I15" i="5" s="1"/>
  <c r="AB103" i="2"/>
  <c r="AC103" i="2" s="1"/>
  <c r="N11" i="5"/>
  <c r="N18" i="5" s="1"/>
  <c r="Q18" i="5" s="1"/>
  <c r="DB107" i="2"/>
  <c r="CJ107" i="2"/>
  <c r="CA107" i="2"/>
  <c r="CZ107" i="2"/>
  <c r="CY107" i="2"/>
  <c r="CB107" i="2"/>
  <c r="CK107" i="2"/>
  <c r="CC107" i="2"/>
  <c r="CD107" i="2"/>
  <c r="AS101" i="2"/>
  <c r="AT101" i="2" s="1"/>
  <c r="N99" i="2"/>
  <c r="BS100" i="2"/>
  <c r="BR100" i="2"/>
  <c r="AO100" i="2"/>
  <c r="AS100" i="2"/>
  <c r="AT100" i="2" s="1"/>
  <c r="AR106" i="2"/>
  <c r="AZ106" i="2" s="1"/>
  <c r="CF106" i="2"/>
  <c r="BY106" i="2"/>
  <c r="R94" i="2"/>
  <c r="S94" i="2" s="1"/>
  <c r="AO83" i="2"/>
  <c r="BS83" i="2"/>
  <c r="BR83" i="2"/>
  <c r="AS83" i="2"/>
  <c r="AT83" i="2" s="1"/>
  <c r="CH92" i="2"/>
  <c r="CI92" i="2"/>
  <c r="CH87" i="2"/>
  <c r="CI87" i="2"/>
  <c r="CK87" i="2" s="1"/>
  <c r="CY84" i="2"/>
  <c r="CA84" i="2"/>
  <c r="CZ84" i="2"/>
  <c r="CJ84" i="2"/>
  <c r="CD84" i="2"/>
  <c r="CC84" i="2"/>
  <c r="CB84" i="2"/>
  <c r="DB84" i="2"/>
  <c r="CK84" i="2"/>
  <c r="BZ95" i="2"/>
  <c r="CG95" i="2"/>
  <c r="BY84" i="2"/>
  <c r="CF84" i="2"/>
  <c r="AR84" i="2"/>
  <c r="AZ84" i="2" s="1"/>
  <c r="BA101" i="2"/>
  <c r="BF101" i="2"/>
  <c r="DC101" i="2"/>
  <c r="BD101" i="2"/>
  <c r="DA101" i="2"/>
  <c r="BC101" i="2"/>
  <c r="BE101" i="2" s="1"/>
  <c r="BB101" i="2"/>
  <c r="H7" i="5"/>
  <c r="H17" i="5" s="1"/>
  <c r="J17" i="5" s="1"/>
  <c r="M94" i="19"/>
  <c r="BC87" i="2"/>
  <c r="AV86" i="2"/>
  <c r="AU86" i="2"/>
  <c r="AW86" i="2" s="1"/>
  <c r="AX86" i="2"/>
  <c r="AY86" i="2"/>
  <c r="BW78" i="2"/>
  <c r="DB73" i="2"/>
  <c r="CZ73" i="2"/>
  <c r="CD73" i="2"/>
  <c r="CY73" i="2"/>
  <c r="CC73" i="2"/>
  <c r="CB73" i="2"/>
  <c r="CK73" i="2"/>
  <c r="CA73" i="2"/>
  <c r="CJ73" i="2"/>
  <c r="CG80" i="2"/>
  <c r="CH80" i="2" s="1"/>
  <c r="BZ80" i="2"/>
  <c r="CC80" i="2" s="1"/>
  <c r="CD80" i="2" s="1"/>
  <c r="AO76" i="2"/>
  <c r="BS76" i="2"/>
  <c r="BR76" i="2"/>
  <c r="AS76" i="2"/>
  <c r="AT76" i="2" s="1"/>
  <c r="AE69" i="2"/>
  <c r="J103" i="2"/>
  <c r="AJ103" i="2" s="1"/>
  <c r="AY85" i="2"/>
  <c r="AX85" i="2"/>
  <c r="AV85" i="2"/>
  <c r="AU85" i="2"/>
  <c r="AW85" i="2" s="1"/>
  <c r="AV74" i="2"/>
  <c r="AU74" i="2"/>
  <c r="AW74" i="2" s="1"/>
  <c r="AY74" i="2"/>
  <c r="CI67" i="2"/>
  <c r="CH67" i="2"/>
  <c r="BY66" i="2"/>
  <c r="AR66" i="2"/>
  <c r="AZ66" i="2" s="1"/>
  <c r="CF66" i="2"/>
  <c r="J85" i="2"/>
  <c r="AJ85" i="2" s="1"/>
  <c r="BS71" i="2"/>
  <c r="AO71" i="2"/>
  <c r="BR71" i="2"/>
  <c r="AS71" i="2"/>
  <c r="AT71" i="2" s="1"/>
  <c r="DB59" i="2"/>
  <c r="CD59" i="2"/>
  <c r="CJ59" i="2"/>
  <c r="CZ59" i="2"/>
  <c r="CC59" i="2"/>
  <c r="CY59" i="2"/>
  <c r="CB59" i="2"/>
  <c r="CA59" i="2"/>
  <c r="CK59" i="2"/>
  <c r="CI68" i="2"/>
  <c r="CH68" i="2"/>
  <c r="J68" i="2"/>
  <c r="AJ68" i="2" s="1"/>
  <c r="CX58" i="2"/>
  <c r="CB56" i="2"/>
  <c r="R63" i="2"/>
  <c r="Q63" i="2"/>
  <c r="AS56" i="2"/>
  <c r="AT56" i="2" s="1"/>
  <c r="Z53" i="2"/>
  <c r="CI60" i="2"/>
  <c r="CK60" i="2" s="1"/>
  <c r="CH60" i="2"/>
  <c r="BS99" i="2"/>
  <c r="AS99" i="2"/>
  <c r="AT99" i="2" s="1"/>
  <c r="BR99" i="2"/>
  <c r="AO99" i="2"/>
  <c r="M60" i="2"/>
  <c r="BW49" i="2"/>
  <c r="CB54" i="2"/>
  <c r="BB50" i="2"/>
  <c r="DA50" i="2"/>
  <c r="BD50" i="2"/>
  <c r="BA50" i="2"/>
  <c r="BC50" i="2" s="1"/>
  <c r="DC50" i="2"/>
  <c r="AJ62" i="2"/>
  <c r="CI37" i="2"/>
  <c r="CH37" i="2"/>
  <c r="J25" i="2"/>
  <c r="AJ25" i="2" s="1"/>
  <c r="M25" i="2"/>
  <c r="M57" i="19"/>
  <c r="M49" i="2"/>
  <c r="CZ36" i="2"/>
  <c r="CJ36" i="2"/>
  <c r="CB36" i="2"/>
  <c r="CY36" i="2"/>
  <c r="CA36" i="2"/>
  <c r="DB36" i="2"/>
  <c r="CK36" i="2"/>
  <c r="CD36" i="2"/>
  <c r="CC36" i="2"/>
  <c r="M42" i="2"/>
  <c r="R16" i="2"/>
  <c r="Q16" i="2"/>
  <c r="AJ23" i="2"/>
  <c r="Q17" i="2"/>
  <c r="R17" i="2"/>
  <c r="CZ42" i="2"/>
  <c r="CB42" i="2"/>
  <c r="CD42" i="2"/>
  <c r="CC42" i="2"/>
  <c r="CA42" i="2"/>
  <c r="BR34" i="2"/>
  <c r="AS34" i="2"/>
  <c r="AT34" i="2" s="1"/>
  <c r="AU34" i="2" s="1"/>
  <c r="AO34" i="2"/>
  <c r="BS34" i="2"/>
  <c r="AU11" i="2"/>
  <c r="AW11" i="2" s="1"/>
  <c r="AY11" i="2"/>
  <c r="AV11" i="2"/>
  <c r="AX11" i="2"/>
  <c r="M22" i="2"/>
  <c r="BS48" i="2"/>
  <c r="M9" i="2"/>
  <c r="BT13" i="2"/>
  <c r="CX13" i="2"/>
  <c r="BZ13" i="2"/>
  <c r="CG13" i="2"/>
  <c r="BV13" i="2"/>
  <c r="BW13" i="2" s="1"/>
  <c r="CI24" i="2"/>
  <c r="M22" i="19"/>
  <c r="CG19" i="2"/>
  <c r="CH19" i="2" s="1"/>
  <c r="BZ19" i="2"/>
  <c r="CA19" i="2" s="1"/>
  <c r="AU13" i="2"/>
  <c r="CF41" i="2"/>
  <c r="BY41" i="2"/>
  <c r="AR41" i="2"/>
  <c r="AZ41" i="2" s="1"/>
  <c r="M15" i="19"/>
  <c r="BS25" i="2"/>
  <c r="BR25" i="2"/>
  <c r="AS25" i="2"/>
  <c r="AT25" i="2" s="1"/>
  <c r="AO25" i="2"/>
  <c r="BR14" i="2"/>
  <c r="AS14" i="2"/>
  <c r="AT14" i="2" s="1"/>
  <c r="BS14" i="2"/>
  <c r="AE6" i="2"/>
  <c r="AM18" i="2"/>
  <c r="CG9" i="2"/>
  <c r="CH9" i="2" s="1"/>
  <c r="BV9" i="2"/>
  <c r="BZ9" i="2"/>
  <c r="CC9" i="2" s="1"/>
  <c r="BT9" i="2"/>
  <c r="CC19" i="2"/>
  <c r="CD19" i="2" s="1"/>
  <c r="CY19" i="2"/>
  <c r="CB19" i="2"/>
  <c r="CZ19" i="2"/>
  <c r="CX9" i="2"/>
  <c r="CK106" i="2"/>
  <c r="CB106" i="2"/>
  <c r="CZ106" i="2"/>
  <c r="DB106" i="2"/>
  <c r="CD106" i="2"/>
  <c r="CY106" i="2"/>
  <c r="CJ106" i="2"/>
  <c r="CC106" i="2"/>
  <c r="CA106" i="2"/>
  <c r="AX63" i="2"/>
  <c r="AV63" i="2"/>
  <c r="AU63" i="2"/>
  <c r="AW63" i="2" s="1"/>
  <c r="AY63" i="2"/>
  <c r="AO44" i="2"/>
  <c r="BS44" i="2"/>
  <c r="BR44" i="2"/>
  <c r="AJ44" i="2"/>
  <c r="AS44" i="2"/>
  <c r="AT44" i="2" s="1"/>
  <c r="AU44" i="2" s="1"/>
  <c r="AV55" i="2"/>
  <c r="AU55" i="2"/>
  <c r="AW55" i="2" s="1"/>
  <c r="AY55" i="2"/>
  <c r="BZ33" i="2"/>
  <c r="CG33" i="2"/>
  <c r="CX51" i="2"/>
  <c r="CI20" i="2"/>
  <c r="Q10" i="5"/>
  <c r="CF95" i="2"/>
  <c r="BY95" i="2"/>
  <c r="AR95" i="2"/>
  <c r="AZ95" i="2" s="1"/>
  <c r="DB85" i="2"/>
  <c r="CD85" i="2"/>
  <c r="CK85" i="2"/>
  <c r="CC85" i="2"/>
  <c r="CA85" i="2"/>
  <c r="CZ85" i="2"/>
  <c r="CJ85" i="2"/>
  <c r="CY85" i="2"/>
  <c r="CB85" i="2"/>
  <c r="CI55" i="2"/>
  <c r="CK55" i="2" s="1"/>
  <c r="CH55" i="2"/>
  <c r="BY78" i="2"/>
  <c r="AR78" i="2"/>
  <c r="AZ78" i="2" s="1"/>
  <c r="CF78" i="2"/>
  <c r="B7" i="5"/>
  <c r="H15" i="5" s="1"/>
  <c r="J15" i="5" s="1"/>
  <c r="I7" i="5"/>
  <c r="I17" i="5" s="1"/>
  <c r="CG105" i="2"/>
  <c r="BZ105" i="2"/>
  <c r="AY104" i="2"/>
  <c r="AX104" i="2"/>
  <c r="AV104" i="2"/>
  <c r="AU104" i="2"/>
  <c r="AW104" i="2" s="1"/>
  <c r="AS103" i="2"/>
  <c r="AT103" i="2" s="1"/>
  <c r="BS103" i="2"/>
  <c r="BR103" i="2"/>
  <c r="AO103" i="2"/>
  <c r="CZ102" i="2"/>
  <c r="CJ102" i="2"/>
  <c r="CD102" i="2"/>
  <c r="CC102" i="2"/>
  <c r="DB102" i="2"/>
  <c r="CA102" i="2"/>
  <c r="CK102" i="2"/>
  <c r="CB102" i="2"/>
  <c r="CY102" i="2"/>
  <c r="BS96" i="2"/>
  <c r="AS96" i="2"/>
  <c r="AT96" i="2" s="1"/>
  <c r="AO96" i="2"/>
  <c r="BR96" i="2"/>
  <c r="AE91" i="2"/>
  <c r="Z91" i="2"/>
  <c r="AS85" i="2"/>
  <c r="AT85" i="2" s="1"/>
  <c r="BS85" i="2"/>
  <c r="DB87" i="2"/>
  <c r="CY87" i="2"/>
  <c r="CB87" i="2"/>
  <c r="CD87" i="2" s="1"/>
  <c r="CA87" i="2"/>
  <c r="CJ87" i="2"/>
  <c r="BZ84" i="2"/>
  <c r="CG84" i="2"/>
  <c r="AF82" i="2"/>
  <c r="AE82" i="2"/>
  <c r="M91" i="19"/>
  <c r="CF86" i="2"/>
  <c r="AR86" i="2"/>
  <c r="AZ86" i="2" s="1"/>
  <c r="BY86" i="2"/>
  <c r="CH105" i="2"/>
  <c r="CI105" i="2"/>
  <c r="AS82" i="2"/>
  <c r="AT82" i="2" s="1"/>
  <c r="BS82" i="2"/>
  <c r="BR82" i="2"/>
  <c r="AO82" i="2"/>
  <c r="AL79" i="2"/>
  <c r="AM79" i="2" s="1"/>
  <c r="CB75" i="2"/>
  <c r="AM78" i="2"/>
  <c r="BD81" i="2"/>
  <c r="BC81" i="2"/>
  <c r="BE81" i="2" s="1"/>
  <c r="BB81" i="2"/>
  <c r="BA81" i="2"/>
  <c r="DC81" i="2"/>
  <c r="DA81" i="2"/>
  <c r="BF81" i="2"/>
  <c r="BY73" i="2"/>
  <c r="CF73" i="2"/>
  <c r="AR73" i="2"/>
  <c r="AZ73" i="2" s="1"/>
  <c r="N71" i="2"/>
  <c r="M71" i="2"/>
  <c r="CY64" i="2"/>
  <c r="CA64" i="2"/>
  <c r="DB64" i="2"/>
  <c r="CC64" i="2"/>
  <c r="CB64" i="2"/>
  <c r="CZ64" i="2"/>
  <c r="CK64" i="2"/>
  <c r="CJ64" i="2"/>
  <c r="CD64" i="2"/>
  <c r="DB76" i="2"/>
  <c r="CD76" i="2"/>
  <c r="CK76" i="2"/>
  <c r="CC76" i="2"/>
  <c r="CZ76" i="2"/>
  <c r="CJ76" i="2"/>
  <c r="CY76" i="2"/>
  <c r="CB76" i="2"/>
  <c r="CA76" i="2"/>
  <c r="AC70" i="2"/>
  <c r="AF70" i="2" s="1"/>
  <c r="AY80" i="2"/>
  <c r="AV80" i="2"/>
  <c r="AU80" i="2"/>
  <c r="AW80" i="2" s="1"/>
  <c r="N68" i="2"/>
  <c r="J55" i="2"/>
  <c r="M55" i="2"/>
  <c r="AY54" i="2"/>
  <c r="AV54" i="2"/>
  <c r="AX54" i="2" s="1"/>
  <c r="AU54" i="2"/>
  <c r="AW54" i="2" s="1"/>
  <c r="J45" i="2"/>
  <c r="M45" i="2"/>
  <c r="BT60" i="2"/>
  <c r="BY58" i="2"/>
  <c r="AR58" i="2"/>
  <c r="AZ58" i="2" s="1"/>
  <c r="CF58" i="2"/>
  <c r="AS51" i="2"/>
  <c r="AT51" i="2" s="1"/>
  <c r="AU51" i="2" s="1"/>
  <c r="BS51" i="2"/>
  <c r="BR51" i="2"/>
  <c r="CI57" i="2"/>
  <c r="CK57" i="2" s="1"/>
  <c r="CH57" i="2"/>
  <c r="CZ55" i="2"/>
  <c r="CJ55" i="2"/>
  <c r="CB55" i="2"/>
  <c r="CD55" i="2" s="1"/>
  <c r="CY55" i="2"/>
  <c r="CA55" i="2"/>
  <c r="DB55" i="2"/>
  <c r="CC55" i="2"/>
  <c r="AP50" i="2"/>
  <c r="CB34" i="2"/>
  <c r="BS39" i="2"/>
  <c r="BR39" i="2"/>
  <c r="AS39" i="2"/>
  <c r="AT39" i="2" s="1"/>
  <c r="AO39" i="2"/>
  <c r="BY33" i="2"/>
  <c r="CF33" i="2"/>
  <c r="AR33" i="2"/>
  <c r="AZ33" i="2" s="1"/>
  <c r="U49" i="2"/>
  <c r="CB51" i="2"/>
  <c r="CI51" i="2"/>
  <c r="AY40" i="2"/>
  <c r="AV40" i="2"/>
  <c r="AU40" i="2"/>
  <c r="AW40" i="2" s="1"/>
  <c r="J37" i="2"/>
  <c r="AJ37" i="2" s="1"/>
  <c r="J24" i="2"/>
  <c r="BW9" i="2"/>
  <c r="S9" i="2"/>
  <c r="AS48" i="2"/>
  <c r="AT48" i="2" s="1"/>
  <c r="AU48" i="2" s="1"/>
  <c r="CD35" i="2"/>
  <c r="CC35" i="2"/>
  <c r="CZ35" i="2"/>
  <c r="CB35" i="2"/>
  <c r="CA35" i="2"/>
  <c r="BY43" i="2"/>
  <c r="CF43" i="2"/>
  <c r="AR43" i="2"/>
  <c r="AZ43" i="2" s="1"/>
  <c r="AY35" i="2"/>
  <c r="AV35" i="2"/>
  <c r="AU35" i="2"/>
  <c r="AW35" i="2" s="1"/>
  <c r="AY12" i="2"/>
  <c r="AV12" i="2"/>
  <c r="AX12" i="2" s="1"/>
  <c r="AU12" i="2"/>
  <c r="AW12" i="2" s="1"/>
  <c r="BS41" i="2"/>
  <c r="CX15" i="2"/>
  <c r="CI15" i="2"/>
  <c r="J9" i="2"/>
  <c r="AY29" i="2"/>
  <c r="AX29" i="2"/>
  <c r="AV29" i="2"/>
  <c r="AU29" i="2"/>
  <c r="AW29" i="2" s="1"/>
  <c r="AY4" i="2"/>
  <c r="AV4" i="2"/>
  <c r="AX4" i="2"/>
  <c r="AU4" i="2"/>
  <c r="AW4" i="2" s="1"/>
  <c r="Q13" i="2"/>
  <c r="S13" i="2" s="1"/>
  <c r="V13" i="2" s="1"/>
  <c r="AY21" i="2"/>
  <c r="AX21" i="2"/>
  <c r="AV21" i="2"/>
  <c r="AU21" i="2"/>
  <c r="AW21" i="2" s="1"/>
  <c r="BT46" i="2"/>
  <c r="AY46" i="2"/>
  <c r="AU46" i="2"/>
  <c r="AW46" i="2" s="1"/>
  <c r="AV46" i="2"/>
  <c r="AX46" i="2" s="1"/>
  <c r="J21" i="2"/>
  <c r="AJ21" i="2" s="1"/>
  <c r="AJ16" i="2"/>
  <c r="BV19" i="2"/>
  <c r="BW19" i="2" s="1"/>
  <c r="CB32" i="2"/>
  <c r="AY32" i="2"/>
  <c r="AV32" i="2"/>
  <c r="AU32" i="2"/>
  <c r="AW32" i="2" s="1"/>
  <c r="BE50" i="2" l="1"/>
  <c r="BF50" i="2"/>
  <c r="AW15" i="2"/>
  <c r="AX15" i="2"/>
  <c r="AW34" i="2"/>
  <c r="AX34" i="2"/>
  <c r="BE47" i="2"/>
  <c r="BF47" i="2"/>
  <c r="CD45" i="2"/>
  <c r="BE49" i="2"/>
  <c r="BF49" i="2"/>
  <c r="AW51" i="2"/>
  <c r="AX51" i="2"/>
  <c r="AW48" i="2"/>
  <c r="AX48" i="2"/>
  <c r="AW24" i="2"/>
  <c r="AX24" i="2"/>
  <c r="CD9" i="2"/>
  <c r="V92" i="2"/>
  <c r="U92" i="2"/>
  <c r="V29" i="2"/>
  <c r="U29" i="2"/>
  <c r="AP41" i="2"/>
  <c r="AO41" i="2"/>
  <c r="BE42" i="2"/>
  <c r="BF42" i="2"/>
  <c r="AW41" i="2"/>
  <c r="AX41" i="2"/>
  <c r="AP79" i="2"/>
  <c r="AO79" i="2"/>
  <c r="V94" i="2"/>
  <c r="U94" i="2"/>
  <c r="BE61" i="2"/>
  <c r="BF61" i="2"/>
  <c r="AW62" i="2"/>
  <c r="AX62" i="2"/>
  <c r="V104" i="2"/>
  <c r="U104" i="2"/>
  <c r="DA74" i="2"/>
  <c r="BD74" i="2"/>
  <c r="DC74" i="2"/>
  <c r="BB74" i="2"/>
  <c r="BA74" i="2"/>
  <c r="BC74" i="2" s="1"/>
  <c r="AE85" i="2"/>
  <c r="AF85" i="2"/>
  <c r="CH42" i="2"/>
  <c r="CG51" i="2"/>
  <c r="BZ51" i="2"/>
  <c r="BT51" i="2"/>
  <c r="BV51" i="2"/>
  <c r="BW51" i="2" s="1"/>
  <c r="BY82" i="2"/>
  <c r="CF82" i="2"/>
  <c r="AR82" i="2"/>
  <c r="AZ82" i="2" s="1"/>
  <c r="CZ87" i="2"/>
  <c r="AW44" i="2"/>
  <c r="AX44" i="2"/>
  <c r="AO18" i="2"/>
  <c r="AP18" i="2"/>
  <c r="CF25" i="2"/>
  <c r="BY25" i="2"/>
  <c r="AR25" i="2"/>
  <c r="AZ25" i="2" s="1"/>
  <c r="BZ34" i="2"/>
  <c r="CG34" i="2"/>
  <c r="BT34" i="2"/>
  <c r="CX34" i="2"/>
  <c r="BV34" i="2"/>
  <c r="BW34" i="2" s="1"/>
  <c r="S16" i="2"/>
  <c r="CG99" i="2"/>
  <c r="BZ99" i="2"/>
  <c r="DC85" i="2"/>
  <c r="BF85" i="2"/>
  <c r="DA85" i="2"/>
  <c r="BD85" i="2"/>
  <c r="BC85" i="2"/>
  <c r="BE85" i="2" s="1"/>
  <c r="BB85" i="2"/>
  <c r="BA85" i="2"/>
  <c r="CG62" i="2"/>
  <c r="BZ62" i="2"/>
  <c r="CX62" i="2"/>
  <c r="BT62" i="2"/>
  <c r="BV62" i="2"/>
  <c r="BW62" i="2" s="1"/>
  <c r="BF27" i="2"/>
  <c r="DA27" i="2"/>
  <c r="BD27" i="2"/>
  <c r="BB27" i="2"/>
  <c r="BA27" i="2"/>
  <c r="BC27" i="2"/>
  <c r="BE27" i="2" s="1"/>
  <c r="DC27" i="2"/>
  <c r="DC51" i="2"/>
  <c r="DA51" i="2"/>
  <c r="BD51" i="2"/>
  <c r="BB51" i="2"/>
  <c r="BA51" i="2"/>
  <c r="BC51" i="2" s="1"/>
  <c r="BY24" i="2"/>
  <c r="AR24" i="2"/>
  <c r="AZ24" i="2" s="1"/>
  <c r="CF24" i="2"/>
  <c r="DA44" i="2"/>
  <c r="CY9" i="2"/>
  <c r="CA45" i="2"/>
  <c r="S25" i="2"/>
  <c r="AP56" i="2"/>
  <c r="AO56" i="2"/>
  <c r="BZ59" i="2"/>
  <c r="CG59" i="2"/>
  <c r="BB90" i="2"/>
  <c r="BF90" i="2"/>
  <c r="BD90" i="2"/>
  <c r="BC90" i="2"/>
  <c r="BE90" i="2" s="1"/>
  <c r="DC90" i="2"/>
  <c r="BA90" i="2"/>
  <c r="DA90" i="2"/>
  <c r="S15" i="2"/>
  <c r="CC17" i="2"/>
  <c r="CD17" i="2" s="1"/>
  <c r="CA17" i="2"/>
  <c r="CZ17" i="2"/>
  <c r="BY11" i="2"/>
  <c r="CF11" i="2"/>
  <c r="AR11" i="2"/>
  <c r="AZ11" i="2" s="1"/>
  <c r="AU20" i="2"/>
  <c r="BB20" i="2"/>
  <c r="BC20" i="2" s="1"/>
  <c r="BZ70" i="2"/>
  <c r="CG70" i="2"/>
  <c r="AE90" i="2"/>
  <c r="AF90" i="2"/>
  <c r="BY93" i="2"/>
  <c r="CF93" i="2"/>
  <c r="AR93" i="2"/>
  <c r="AZ93" i="2" s="1"/>
  <c r="BY7" i="2"/>
  <c r="CF7" i="2"/>
  <c r="AR7" i="2"/>
  <c r="AZ7" i="2" s="1"/>
  <c r="DA20" i="2"/>
  <c r="U42" i="2"/>
  <c r="U41" i="2"/>
  <c r="BZ25" i="2"/>
  <c r="CG25" i="2"/>
  <c r="AU23" i="2"/>
  <c r="DC23" i="2"/>
  <c r="DA23" i="2"/>
  <c r="BB23" i="2"/>
  <c r="BC23" i="2" s="1"/>
  <c r="V7" i="2"/>
  <c r="U7" i="2"/>
  <c r="AF102" i="2"/>
  <c r="AE102" i="2"/>
  <c r="CG8" i="2"/>
  <c r="BZ8" i="2"/>
  <c r="BY6" i="2"/>
  <c r="AR6" i="2"/>
  <c r="AZ6" i="2" s="1"/>
  <c r="CF6" i="2"/>
  <c r="CZ43" i="2"/>
  <c r="CC43" i="2"/>
  <c r="CD43" i="2" s="1"/>
  <c r="CA43" i="2"/>
  <c r="CG48" i="2"/>
  <c r="BZ48" i="2"/>
  <c r="CX48" i="2"/>
  <c r="BT48" i="2"/>
  <c r="BV48" i="2"/>
  <c r="BW48" i="2" s="1"/>
  <c r="BY36" i="2"/>
  <c r="CF36" i="2"/>
  <c r="AR36" i="2"/>
  <c r="AZ36" i="2" s="1"/>
  <c r="BY16" i="2"/>
  <c r="CF16" i="2"/>
  <c r="AR16" i="2"/>
  <c r="AZ16" i="2" s="1"/>
  <c r="DC24" i="2"/>
  <c r="DA24" i="2"/>
  <c r="BD24" i="2"/>
  <c r="BB24" i="2"/>
  <c r="BA24" i="2"/>
  <c r="BC24" i="2" s="1"/>
  <c r="CY49" i="2"/>
  <c r="DC54" i="2"/>
  <c r="DA54" i="2"/>
  <c r="BD54" i="2"/>
  <c r="BB54" i="2"/>
  <c r="BA54" i="2"/>
  <c r="BC54" i="2" s="1"/>
  <c r="AX80" i="2"/>
  <c r="AR96" i="2"/>
  <c r="AZ96" i="2" s="1"/>
  <c r="BY96" i="2"/>
  <c r="CF96" i="2"/>
  <c r="CG44" i="2"/>
  <c r="BT44" i="2"/>
  <c r="BZ44" i="2"/>
  <c r="CX44" i="2"/>
  <c r="BV44" i="2"/>
  <c r="BW44" i="2" s="1"/>
  <c r="AO14" i="2"/>
  <c r="BY34" i="2"/>
  <c r="CF34" i="2"/>
  <c r="AR34" i="2"/>
  <c r="AZ34" i="2" s="1"/>
  <c r="CJ42" i="2"/>
  <c r="CK42" i="2" s="1"/>
  <c r="DA86" i="2"/>
  <c r="BD86" i="2"/>
  <c r="BC86" i="2"/>
  <c r="BE86" i="2" s="1"/>
  <c r="BB86" i="2"/>
  <c r="BF86" i="2"/>
  <c r="BA86" i="2"/>
  <c r="DC86" i="2"/>
  <c r="BY26" i="2"/>
  <c r="CF26" i="2"/>
  <c r="AR26" i="2"/>
  <c r="AZ26" i="2" s="1"/>
  <c r="DC15" i="2"/>
  <c r="DA15" i="2"/>
  <c r="BD15" i="2"/>
  <c r="BA15" i="2"/>
  <c r="BC15" i="2" s="1"/>
  <c r="BB15" i="2"/>
  <c r="BZ36" i="2"/>
  <c r="CG36" i="2"/>
  <c r="DB50" i="2"/>
  <c r="CJ50" i="2"/>
  <c r="CK50" i="2" s="1"/>
  <c r="CY50" i="2"/>
  <c r="CH50" i="2"/>
  <c r="CY80" i="2"/>
  <c r="BA65" i="2"/>
  <c r="DC65" i="2"/>
  <c r="BF65" i="2"/>
  <c r="DA65" i="2"/>
  <c r="BB65" i="2"/>
  <c r="BD65" i="2"/>
  <c r="BC65" i="2"/>
  <c r="BE65" i="2" s="1"/>
  <c r="BY81" i="2"/>
  <c r="CF81" i="2"/>
  <c r="AR81" i="2"/>
  <c r="AZ81" i="2" s="1"/>
  <c r="BZ16" i="2"/>
  <c r="CG16" i="2"/>
  <c r="BV16" i="2"/>
  <c r="BW16" i="2" s="1"/>
  <c r="BT16" i="2"/>
  <c r="CH61" i="2"/>
  <c r="CY61" i="2"/>
  <c r="DB61" i="2"/>
  <c r="CJ61" i="2"/>
  <c r="CK61" i="2" s="1"/>
  <c r="CF40" i="2"/>
  <c r="AR40" i="2"/>
  <c r="AZ40" i="2" s="1"/>
  <c r="BY40" i="2"/>
  <c r="DC68" i="2"/>
  <c r="BF68" i="2"/>
  <c r="DA68" i="2"/>
  <c r="BD68" i="2"/>
  <c r="BC68" i="2"/>
  <c r="BE68" i="2" s="1"/>
  <c r="BB68" i="2"/>
  <c r="BA68" i="2"/>
  <c r="BY59" i="2"/>
  <c r="CF59" i="2"/>
  <c r="AR59" i="2"/>
  <c r="AZ59" i="2" s="1"/>
  <c r="CH78" i="2"/>
  <c r="DB78" i="2"/>
  <c r="CJ78" i="2"/>
  <c r="CK78" i="2" s="1"/>
  <c r="CY78" i="2"/>
  <c r="CG104" i="2"/>
  <c r="BZ104" i="2"/>
  <c r="CG21" i="2"/>
  <c r="BZ21" i="2"/>
  <c r="AW45" i="2"/>
  <c r="AX45" i="2"/>
  <c r="BZ15" i="2"/>
  <c r="CG15" i="2"/>
  <c r="BT15" i="2"/>
  <c r="BV15" i="2"/>
  <c r="BW15" i="2" s="1"/>
  <c r="AE70" i="2"/>
  <c r="CH46" i="2"/>
  <c r="CH17" i="2"/>
  <c r="BY70" i="2"/>
  <c r="CF70" i="2"/>
  <c r="AR70" i="2"/>
  <c r="AZ70" i="2" s="1"/>
  <c r="BZ7" i="2"/>
  <c r="CG7" i="2"/>
  <c r="DC21" i="2"/>
  <c r="BF21" i="2"/>
  <c r="BD21" i="2"/>
  <c r="BC21" i="2"/>
  <c r="BE21" i="2" s="1"/>
  <c r="DA21" i="2"/>
  <c r="BA21" i="2"/>
  <c r="BB21" i="2"/>
  <c r="BY103" i="2"/>
  <c r="AR103" i="2"/>
  <c r="AZ103" i="2" s="1"/>
  <c r="CF103" i="2"/>
  <c r="V102" i="2"/>
  <c r="U102" i="2"/>
  <c r="BZ11" i="2"/>
  <c r="CG11" i="2"/>
  <c r="BV11" i="2"/>
  <c r="BW11" i="2" s="1"/>
  <c r="BT11" i="2"/>
  <c r="CX11" i="2"/>
  <c r="V30" i="2"/>
  <c r="U30" i="2"/>
  <c r="DC29" i="2"/>
  <c r="BF29" i="2"/>
  <c r="BD29" i="2"/>
  <c r="BC29" i="2"/>
  <c r="BE29" i="2" s="1"/>
  <c r="BB29" i="2"/>
  <c r="BA29" i="2"/>
  <c r="DA29" i="2"/>
  <c r="BZ14" i="2"/>
  <c r="CG14" i="2"/>
  <c r="BT14" i="2"/>
  <c r="CX14" i="2"/>
  <c r="BV14" i="2"/>
  <c r="BW14" i="2" s="1"/>
  <c r="BY23" i="2"/>
  <c r="CF23" i="2"/>
  <c r="AR23" i="2"/>
  <c r="AZ23" i="2" s="1"/>
  <c r="DC71" i="2"/>
  <c r="BF71" i="2"/>
  <c r="BB71" i="2"/>
  <c r="BA71" i="2"/>
  <c r="BD71" i="2"/>
  <c r="BC71" i="2"/>
  <c r="BE71" i="2" s="1"/>
  <c r="DA71" i="2"/>
  <c r="AP87" i="2"/>
  <c r="AO87" i="2"/>
  <c r="DC41" i="2"/>
  <c r="BD41" i="2"/>
  <c r="BB41" i="2"/>
  <c r="DA41" i="2"/>
  <c r="BA41" i="2"/>
  <c r="BC41" i="2" s="1"/>
  <c r="AX32" i="2"/>
  <c r="DC12" i="2"/>
  <c r="BF12" i="2"/>
  <c r="DA12" i="2"/>
  <c r="BD12" i="2"/>
  <c r="BA12" i="2"/>
  <c r="BB12" i="2"/>
  <c r="BC12" i="2"/>
  <c r="BE12" i="2" s="1"/>
  <c r="AX40" i="2"/>
  <c r="DC80" i="2"/>
  <c r="DA80" i="2"/>
  <c r="BD80" i="2"/>
  <c r="BB80" i="2"/>
  <c r="BC80" i="2" s="1"/>
  <c r="BA80" i="2"/>
  <c r="AP78" i="2"/>
  <c r="AO78" i="2"/>
  <c r="BD55" i="2"/>
  <c r="BB55" i="2"/>
  <c r="DC55" i="2"/>
  <c r="DA55" i="2"/>
  <c r="BA55" i="2"/>
  <c r="BC55" i="2" s="1"/>
  <c r="CJ19" i="2"/>
  <c r="CK19" i="2" s="1"/>
  <c r="AU14" i="2"/>
  <c r="BB14" i="2"/>
  <c r="BC14" i="2" s="1"/>
  <c r="DC14" i="2"/>
  <c r="DA14" i="2"/>
  <c r="CY42" i="2"/>
  <c r="AU56" i="2"/>
  <c r="BB56" i="2"/>
  <c r="BC56" i="2" s="1"/>
  <c r="DC56" i="2"/>
  <c r="AX74" i="2"/>
  <c r="CF76" i="2"/>
  <c r="AR76" i="2"/>
  <c r="AZ76" i="2" s="1"/>
  <c r="BY76" i="2"/>
  <c r="AF103" i="2"/>
  <c r="AE103" i="2"/>
  <c r="BY64" i="2"/>
  <c r="CF64" i="2"/>
  <c r="AR64" i="2"/>
  <c r="AZ64" i="2" s="1"/>
  <c r="CZ50" i="2"/>
  <c r="CC50" i="2"/>
  <c r="CD50" i="2" s="1"/>
  <c r="CA50" i="2"/>
  <c r="CY53" i="2"/>
  <c r="CJ53" i="2"/>
  <c r="CK53" i="2" s="1"/>
  <c r="DB53" i="2"/>
  <c r="CH53" i="2"/>
  <c r="BZ81" i="2"/>
  <c r="CG81" i="2"/>
  <c r="CF88" i="2"/>
  <c r="BY88" i="2"/>
  <c r="AR88" i="2"/>
  <c r="AZ88" i="2" s="1"/>
  <c r="V100" i="2"/>
  <c r="U100" i="2"/>
  <c r="DC91" i="2"/>
  <c r="DA91" i="2"/>
  <c r="BF91" i="2"/>
  <c r="BD91" i="2"/>
  <c r="BC91" i="2"/>
  <c r="BE91" i="2" s="1"/>
  <c r="BB91" i="2"/>
  <c r="BA91" i="2"/>
  <c r="AW10" i="2"/>
  <c r="AX10" i="2"/>
  <c r="BB44" i="2"/>
  <c r="BC44" i="2" s="1"/>
  <c r="CA61" i="2"/>
  <c r="CC61" i="2"/>
  <c r="CD61" i="2" s="1"/>
  <c r="CZ61" i="2"/>
  <c r="BZ40" i="2"/>
  <c r="CG40" i="2"/>
  <c r="CX40" i="2"/>
  <c r="BT40" i="2"/>
  <c r="BV40" i="2"/>
  <c r="BW40" i="2" s="1"/>
  <c r="CF94" i="2"/>
  <c r="BY94" i="2"/>
  <c r="AR94" i="2"/>
  <c r="AZ94" i="2" s="1"/>
  <c r="DA105" i="2"/>
  <c r="DC105" i="2"/>
  <c r="BC105" i="2"/>
  <c r="BE105" i="2" s="1"/>
  <c r="BF105" i="2"/>
  <c r="BB105" i="2"/>
  <c r="BA105" i="2"/>
  <c r="BD105" i="2"/>
  <c r="CF29" i="2"/>
  <c r="AR29" i="2"/>
  <c r="AZ29" i="2" s="1"/>
  <c r="BY29" i="2"/>
  <c r="CA78" i="2"/>
  <c r="CC78" i="2"/>
  <c r="CD78" i="2" s="1"/>
  <c r="BY3" i="2"/>
  <c r="AR3" i="2"/>
  <c r="AZ3" i="2" s="1"/>
  <c r="CF3" i="2"/>
  <c r="BC67" i="2"/>
  <c r="BE67" i="2" s="1"/>
  <c r="BB67" i="2"/>
  <c r="BA67" i="2"/>
  <c r="DC67" i="2"/>
  <c r="BF67" i="2"/>
  <c r="DA67" i="2"/>
  <c r="BD67" i="2"/>
  <c r="BC3" i="2"/>
  <c r="BE3" i="2" s="1"/>
  <c r="BB3" i="2"/>
  <c r="DC3" i="2"/>
  <c r="DA3" i="2"/>
  <c r="BF3" i="2"/>
  <c r="BD3" i="2"/>
  <c r="BA3" i="2"/>
  <c r="BY67" i="2"/>
  <c r="CF67" i="2"/>
  <c r="AR67" i="2"/>
  <c r="AZ67" i="2" s="1"/>
  <c r="CH35" i="2"/>
  <c r="BF53" i="2"/>
  <c r="BY32" i="2"/>
  <c r="AR32" i="2"/>
  <c r="AZ32" i="2" s="1"/>
  <c r="CF32" i="2"/>
  <c r="V89" i="2"/>
  <c r="U89" i="2"/>
  <c r="AF105" i="2"/>
  <c r="AE105" i="2"/>
  <c r="CH43" i="2"/>
  <c r="CJ43" i="2"/>
  <c r="CK43" i="2" s="1"/>
  <c r="DB43" i="2"/>
  <c r="CY43" i="2"/>
  <c r="AX87" i="2"/>
  <c r="AW87" i="2"/>
  <c r="CG82" i="2"/>
  <c r="BZ82" i="2"/>
  <c r="BZ71" i="2"/>
  <c r="CG71" i="2"/>
  <c r="CG63" i="2"/>
  <c r="BZ63" i="2"/>
  <c r="BT63" i="2"/>
  <c r="BV63" i="2"/>
  <c r="BW63" i="2" s="1"/>
  <c r="CF21" i="2"/>
  <c r="BY21" i="2"/>
  <c r="AR21" i="2"/>
  <c r="AZ21" i="2" s="1"/>
  <c r="CG56" i="2"/>
  <c r="BV56" i="2"/>
  <c r="BW56" i="2" s="1"/>
  <c r="BT56" i="2"/>
  <c r="BZ56" i="2"/>
  <c r="CX56" i="2"/>
  <c r="CF44" i="2"/>
  <c r="BY44" i="2"/>
  <c r="AR44" i="2"/>
  <c r="AZ44" i="2" s="1"/>
  <c r="CF15" i="2"/>
  <c r="BY15" i="2"/>
  <c r="AR15" i="2"/>
  <c r="AZ15" i="2" s="1"/>
  <c r="CF20" i="2"/>
  <c r="BY20" i="2"/>
  <c r="AR20" i="2"/>
  <c r="AZ20" i="2" s="1"/>
  <c r="DC32" i="2"/>
  <c r="DA32" i="2"/>
  <c r="BD32" i="2"/>
  <c r="BB32" i="2"/>
  <c r="BA32" i="2"/>
  <c r="BC32" i="2" s="1"/>
  <c r="V9" i="2"/>
  <c r="U9" i="2"/>
  <c r="AU39" i="2"/>
  <c r="BB39" i="2"/>
  <c r="BC39" i="2" s="1"/>
  <c r="DC39" i="2"/>
  <c r="DA39" i="2"/>
  <c r="AX55" i="2"/>
  <c r="DA63" i="2"/>
  <c r="BD63" i="2"/>
  <c r="BC63" i="2"/>
  <c r="BE63" i="2" s="1"/>
  <c r="BB63" i="2"/>
  <c r="BA63" i="2"/>
  <c r="DC63" i="2"/>
  <c r="BY14" i="2"/>
  <c r="CF14" i="2"/>
  <c r="AR14" i="2"/>
  <c r="AZ14" i="2" s="1"/>
  <c r="DB13" i="2"/>
  <c r="CY13" i="2"/>
  <c r="CH13" i="2"/>
  <c r="CJ13" i="2"/>
  <c r="CK13" i="2" s="1"/>
  <c r="DA56" i="2"/>
  <c r="BZ76" i="2"/>
  <c r="CG76" i="2"/>
  <c r="BY83" i="2"/>
  <c r="CF83" i="2"/>
  <c r="AR83" i="2"/>
  <c r="AZ83" i="2" s="1"/>
  <c r="CG26" i="2"/>
  <c r="BZ26" i="2"/>
  <c r="BZ64" i="2"/>
  <c r="CG64" i="2"/>
  <c r="BZ31" i="2"/>
  <c r="CG31" i="2"/>
  <c r="DA60" i="2"/>
  <c r="BD60" i="2"/>
  <c r="DC60" i="2"/>
  <c r="BB60" i="2"/>
  <c r="BA60" i="2"/>
  <c r="BC60" i="2" s="1"/>
  <c r="CC53" i="2"/>
  <c r="CD53" i="2" s="1"/>
  <c r="CA53" i="2"/>
  <c r="CZ53" i="2"/>
  <c r="CJ80" i="2"/>
  <c r="CK80" i="2" s="1"/>
  <c r="BZ88" i="2"/>
  <c r="CG88" i="2"/>
  <c r="DB58" i="2"/>
  <c r="CJ58" i="2"/>
  <c r="CK58" i="2" s="1"/>
  <c r="CH58" i="2"/>
  <c r="CY58" i="2"/>
  <c r="CZ60" i="2"/>
  <c r="CG94" i="2"/>
  <c r="BZ94" i="2"/>
  <c r="S81" i="2"/>
  <c r="BZ29" i="2"/>
  <c r="CG29" i="2"/>
  <c r="BZ3" i="2"/>
  <c r="CG3" i="2"/>
  <c r="BB75" i="2"/>
  <c r="BC75" i="2" s="1"/>
  <c r="AU75" i="2"/>
  <c r="DA75" i="2"/>
  <c r="BY54" i="2"/>
  <c r="AR54" i="2"/>
  <c r="AZ54" i="2" s="1"/>
  <c r="CF54" i="2"/>
  <c r="BY104" i="2"/>
  <c r="CF104" i="2"/>
  <c r="AR104" i="2"/>
  <c r="AZ104" i="2" s="1"/>
  <c r="DC7" i="2"/>
  <c r="BF7" i="2"/>
  <c r="BD7" i="2"/>
  <c r="BC7" i="2"/>
  <c r="BE7" i="2" s="1"/>
  <c r="BB7" i="2"/>
  <c r="BA7" i="2"/>
  <c r="DA7" i="2"/>
  <c r="CF4" i="2"/>
  <c r="AR4" i="2"/>
  <c r="AZ4" i="2" s="1"/>
  <c r="BY4" i="2"/>
  <c r="CG12" i="2"/>
  <c r="BZ12" i="2"/>
  <c r="BV12" i="2"/>
  <c r="BW12" i="2" s="1"/>
  <c r="CX12" i="2"/>
  <c r="BT12" i="2"/>
  <c r="BZ67" i="2"/>
  <c r="CG67" i="2"/>
  <c r="DC88" i="2"/>
  <c r="BF88" i="2"/>
  <c r="DA88" i="2"/>
  <c r="BD88" i="2"/>
  <c r="BC88" i="2"/>
  <c r="BE88" i="2" s="1"/>
  <c r="BB88" i="2"/>
  <c r="BA88" i="2"/>
  <c r="CG32" i="2"/>
  <c r="BZ32" i="2"/>
  <c r="BT32" i="2"/>
  <c r="BV32" i="2"/>
  <c r="BW32" i="2" s="1"/>
  <c r="BZ79" i="2"/>
  <c r="CG79" i="2"/>
  <c r="BV79" i="2"/>
  <c r="BW79" i="2" s="1"/>
  <c r="BT79" i="2"/>
  <c r="CX79" i="2"/>
  <c r="BZ93" i="2"/>
  <c r="CG93" i="2"/>
  <c r="DC75" i="2"/>
  <c r="DC20" i="2"/>
  <c r="BB16" i="2"/>
  <c r="BC16" i="2" s="1"/>
  <c r="AU16" i="2"/>
  <c r="DC16" i="2"/>
  <c r="DA16" i="2"/>
  <c r="DA22" i="2"/>
  <c r="BD22" i="2"/>
  <c r="BB22" i="2"/>
  <c r="BA22" i="2"/>
  <c r="BC22" i="2"/>
  <c r="BE22" i="2" s="1"/>
  <c r="DC22" i="2"/>
  <c r="BF22" i="2"/>
  <c r="DC76" i="2"/>
  <c r="BF76" i="2"/>
  <c r="DA76" i="2"/>
  <c r="BD76" i="2"/>
  <c r="BC76" i="2"/>
  <c r="BE76" i="2" s="1"/>
  <c r="BB76" i="2"/>
  <c r="BA76" i="2"/>
  <c r="CJ49" i="2"/>
  <c r="CK49" i="2" s="1"/>
  <c r="CH49" i="2"/>
  <c r="AP48" i="2"/>
  <c r="AO48" i="2"/>
  <c r="CG103" i="2"/>
  <c r="BZ103" i="2"/>
  <c r="AP19" i="2"/>
  <c r="AO19" i="2"/>
  <c r="CA49" i="2"/>
  <c r="CC49" i="2"/>
  <c r="CD49" i="2" s="1"/>
  <c r="CJ35" i="2"/>
  <c r="CK35" i="2" s="1"/>
  <c r="BY39" i="2"/>
  <c r="CF39" i="2"/>
  <c r="AR39" i="2"/>
  <c r="AZ39" i="2" s="1"/>
  <c r="AO51" i="2"/>
  <c r="U60" i="2"/>
  <c r="BZ96" i="2"/>
  <c r="CG96" i="2"/>
  <c r="DB19" i="2"/>
  <c r="AW13" i="2"/>
  <c r="AX13" i="2"/>
  <c r="CA13" i="2"/>
  <c r="CC13" i="2"/>
  <c r="CD13" i="2" s="1"/>
  <c r="CZ13" i="2"/>
  <c r="BB11" i="2"/>
  <c r="BC11" i="2" s="1"/>
  <c r="BA11" i="2"/>
  <c r="DC11" i="2"/>
  <c r="DA11" i="2"/>
  <c r="BD11" i="2"/>
  <c r="S17" i="2"/>
  <c r="CF99" i="2"/>
  <c r="AR99" i="2"/>
  <c r="AZ99" i="2" s="1"/>
  <c r="BY99" i="2"/>
  <c r="S63" i="2"/>
  <c r="CG83" i="2"/>
  <c r="BZ83" i="2"/>
  <c r="AR100" i="2"/>
  <c r="AZ100" i="2" s="1"/>
  <c r="CF100" i="2"/>
  <c r="BY100" i="2"/>
  <c r="BD48" i="2"/>
  <c r="BB48" i="2"/>
  <c r="DC48" i="2"/>
  <c r="DA48" i="2"/>
  <c r="BA48" i="2"/>
  <c r="BC48" i="2" s="1"/>
  <c r="AX57" i="2"/>
  <c r="AX60" i="2"/>
  <c r="CZ80" i="2"/>
  <c r="BA62" i="2"/>
  <c r="DC62" i="2"/>
  <c r="DA62" i="2"/>
  <c r="BD62" i="2"/>
  <c r="BB62" i="2"/>
  <c r="BC62" i="2" s="1"/>
  <c r="Q15" i="5"/>
  <c r="S38" i="2"/>
  <c r="CA58" i="2"/>
  <c r="CZ58" i="2"/>
  <c r="CC58" i="2"/>
  <c r="CD58" i="2" s="1"/>
  <c r="DC44" i="2"/>
  <c r="DB9" i="2"/>
  <c r="CC60" i="2"/>
  <c r="CD60" i="2" s="1"/>
  <c r="BB59" i="2"/>
  <c r="BA59" i="2"/>
  <c r="DC59" i="2"/>
  <c r="BF59" i="2"/>
  <c r="DA59" i="2"/>
  <c r="BD59" i="2"/>
  <c r="BC59" i="2"/>
  <c r="BE59" i="2" s="1"/>
  <c r="BB34" i="2"/>
  <c r="BA34" i="2"/>
  <c r="DC34" i="2"/>
  <c r="DA34" i="2"/>
  <c r="BD34" i="2"/>
  <c r="BC34" i="2"/>
  <c r="BE34" i="2" s="1"/>
  <c r="BY75" i="2"/>
  <c r="CF75" i="2"/>
  <c r="AR75" i="2"/>
  <c r="AZ75" i="2" s="1"/>
  <c r="BZ54" i="2"/>
  <c r="CG54" i="2"/>
  <c r="BT54" i="2"/>
  <c r="CX54" i="2"/>
  <c r="BV54" i="2"/>
  <c r="BW54" i="2" s="1"/>
  <c r="BE10" i="2"/>
  <c r="BF10" i="2"/>
  <c r="AM12" i="2"/>
  <c r="BY89" i="2"/>
  <c r="CF89" i="2"/>
  <c r="AR89" i="2"/>
  <c r="AZ89" i="2" s="1"/>
  <c r="DC94" i="2"/>
  <c r="BF94" i="2"/>
  <c r="BD94" i="2"/>
  <c r="BA94" i="2"/>
  <c r="DA94" i="2"/>
  <c r="BC94" i="2"/>
  <c r="BE94" i="2" s="1"/>
  <c r="BB94" i="2"/>
  <c r="S8" i="2"/>
  <c r="BZ6" i="2"/>
  <c r="CG6" i="2"/>
  <c r="DC43" i="2"/>
  <c r="AU43" i="2"/>
  <c r="BB43" i="2"/>
  <c r="BC43" i="2" s="1"/>
  <c r="DA43" i="2"/>
  <c r="U74" i="2"/>
  <c r="V74" i="2"/>
  <c r="AR79" i="2"/>
  <c r="AZ79" i="2" s="1"/>
  <c r="BY79" i="2"/>
  <c r="CF79" i="2"/>
  <c r="BY98" i="2"/>
  <c r="AR98" i="2"/>
  <c r="AZ98" i="2" s="1"/>
  <c r="CF98" i="2"/>
  <c r="V12" i="2"/>
  <c r="U12" i="2"/>
  <c r="V32" i="2"/>
  <c r="U32" i="2"/>
  <c r="BY62" i="2"/>
  <c r="CF62" i="2"/>
  <c r="AR62" i="2"/>
  <c r="AZ62" i="2" s="1"/>
  <c r="AU79" i="2"/>
  <c r="BB79" i="2"/>
  <c r="BC79" i="2" s="1"/>
  <c r="DC79" i="2"/>
  <c r="DA79" i="2"/>
  <c r="DB35" i="2"/>
  <c r="DC46" i="2"/>
  <c r="DA46" i="2"/>
  <c r="BD46" i="2"/>
  <c r="BB46" i="2"/>
  <c r="BA46" i="2"/>
  <c r="BC46" i="2" s="1"/>
  <c r="BF40" i="2"/>
  <c r="DC40" i="2"/>
  <c r="BD40" i="2"/>
  <c r="BB40" i="2"/>
  <c r="BA40" i="2"/>
  <c r="DA40" i="2"/>
  <c r="BC40" i="2"/>
  <c r="BE40" i="2" s="1"/>
  <c r="DC4" i="2"/>
  <c r="BD4" i="2"/>
  <c r="BF4" i="2"/>
  <c r="BC4" i="2"/>
  <c r="BE4" i="2" s="1"/>
  <c r="BB4" i="2"/>
  <c r="BA4" i="2"/>
  <c r="DA4" i="2"/>
  <c r="AX35" i="2"/>
  <c r="BZ41" i="2"/>
  <c r="CG41" i="2"/>
  <c r="BV41" i="2"/>
  <c r="BW41" i="2" s="1"/>
  <c r="CX41" i="2"/>
  <c r="BT41" i="2"/>
  <c r="DC35" i="2"/>
  <c r="DA35" i="2"/>
  <c r="BD35" i="2"/>
  <c r="BC35" i="2"/>
  <c r="BE35" i="2" s="1"/>
  <c r="BB35" i="2"/>
  <c r="BA35" i="2"/>
  <c r="BZ39" i="2"/>
  <c r="CG39" i="2"/>
  <c r="BV39" i="2"/>
  <c r="BW39" i="2" s="1"/>
  <c r="BT39" i="2"/>
  <c r="CX39" i="2"/>
  <c r="BY51" i="2"/>
  <c r="CF51" i="2"/>
  <c r="AR51" i="2"/>
  <c r="AZ51" i="2" s="1"/>
  <c r="BZ85" i="2"/>
  <c r="CG85" i="2"/>
  <c r="BF104" i="2"/>
  <c r="DA104" i="2"/>
  <c r="BD104" i="2"/>
  <c r="BC104" i="2"/>
  <c r="BE104" i="2" s="1"/>
  <c r="BB104" i="2"/>
  <c r="DC104" i="2"/>
  <c r="BA104" i="2"/>
  <c r="CF71" i="2"/>
  <c r="AR71" i="2"/>
  <c r="AZ71" i="2" s="1"/>
  <c r="BY71" i="2"/>
  <c r="BE87" i="2"/>
  <c r="BF87" i="2"/>
  <c r="BZ100" i="2"/>
  <c r="CG100" i="2"/>
  <c r="BZ23" i="2"/>
  <c r="CG23" i="2"/>
  <c r="BV23" i="2"/>
  <c r="BW23" i="2" s="1"/>
  <c r="BT23" i="2"/>
  <c r="CX23" i="2"/>
  <c r="BA37" i="2"/>
  <c r="DC37" i="2"/>
  <c r="BF37" i="2"/>
  <c r="DA37" i="2"/>
  <c r="BD37" i="2"/>
  <c r="BC37" i="2"/>
  <c r="BE37" i="2" s="1"/>
  <c r="BB37" i="2"/>
  <c r="BY31" i="2"/>
  <c r="CF31" i="2"/>
  <c r="AR31" i="2"/>
  <c r="AZ31" i="2" s="1"/>
  <c r="DC57" i="2"/>
  <c r="DA57" i="2"/>
  <c r="BD57" i="2"/>
  <c r="BB57" i="2"/>
  <c r="BA57" i="2"/>
  <c r="BC57" i="2"/>
  <c r="BE57" i="2" s="1"/>
  <c r="BZ24" i="2"/>
  <c r="CG24" i="2"/>
  <c r="BV24" i="2"/>
  <c r="BW24" i="2" s="1"/>
  <c r="BT24" i="2"/>
  <c r="AP10" i="2"/>
  <c r="AO10" i="2"/>
  <c r="CJ9" i="2"/>
  <c r="CK9" i="2" s="1"/>
  <c r="AR63" i="2"/>
  <c r="AZ63" i="2" s="1"/>
  <c r="CF63" i="2"/>
  <c r="BY63" i="2"/>
  <c r="BY8" i="2"/>
  <c r="CF8" i="2"/>
  <c r="AR8" i="2"/>
  <c r="AZ8" i="2" s="1"/>
  <c r="DB17" i="2"/>
  <c r="CJ17" i="2"/>
  <c r="CK17" i="2" s="1"/>
  <c r="BZ75" i="2"/>
  <c r="CG75" i="2"/>
  <c r="BV75" i="2"/>
  <c r="BW75" i="2" s="1"/>
  <c r="BT75" i="2"/>
  <c r="CX75" i="2"/>
  <c r="BB45" i="2"/>
  <c r="BC45" i="2" s="1"/>
  <c r="BZ4" i="2"/>
  <c r="CG4" i="2"/>
  <c r="AU78" i="2"/>
  <c r="BB78" i="2"/>
  <c r="BC78" i="2" s="1"/>
  <c r="DC78" i="2"/>
  <c r="DA78" i="2"/>
  <c r="BZ89" i="2"/>
  <c r="CG89" i="2"/>
  <c r="DC107" i="2"/>
  <c r="BB107" i="2"/>
  <c r="BF107" i="2"/>
  <c r="DA107" i="2"/>
  <c r="BD107" i="2"/>
  <c r="BC107" i="2"/>
  <c r="BE107" i="2" s="1"/>
  <c r="BA107" i="2"/>
  <c r="BE9" i="2"/>
  <c r="BF9" i="2"/>
  <c r="BZ20" i="2"/>
  <c r="CG20" i="2"/>
  <c r="BV20" i="2"/>
  <c r="BW20" i="2" s="1"/>
  <c r="BT20" i="2"/>
  <c r="DA19" i="2"/>
  <c r="BD19" i="2"/>
  <c r="BB19" i="2"/>
  <c r="BC19" i="2" s="1"/>
  <c r="DC19" i="2"/>
  <c r="BA19" i="2"/>
  <c r="BZ98" i="2"/>
  <c r="CG98" i="2"/>
  <c r="AO43" i="2"/>
  <c r="AP43" i="2"/>
  <c r="CZ78" i="2"/>
  <c r="BE62" i="2" l="1"/>
  <c r="BF62" i="2"/>
  <c r="BE48" i="2"/>
  <c r="BF48" i="2"/>
  <c r="BE11" i="2"/>
  <c r="BF11" i="2"/>
  <c r="BE32" i="2"/>
  <c r="BF32" i="2"/>
  <c r="BE54" i="2"/>
  <c r="BF54" i="2"/>
  <c r="BE51" i="2"/>
  <c r="BF51" i="2"/>
  <c r="BE44" i="2"/>
  <c r="BF44" i="2"/>
  <c r="BE24" i="2"/>
  <c r="BF24" i="2"/>
  <c r="BE41" i="2"/>
  <c r="BF41" i="2"/>
  <c r="BE80" i="2"/>
  <c r="BF80" i="2"/>
  <c r="BE74" i="2"/>
  <c r="BF74" i="2"/>
  <c r="BE19" i="2"/>
  <c r="BF19" i="2"/>
  <c r="BE60" i="2"/>
  <c r="BF60" i="2"/>
  <c r="BE55" i="2"/>
  <c r="BF55" i="2"/>
  <c r="BE46" i="2"/>
  <c r="BF46" i="2"/>
  <c r="BE15" i="2"/>
  <c r="BF15" i="2"/>
  <c r="V17" i="2"/>
  <c r="U17" i="2"/>
  <c r="AW14" i="2"/>
  <c r="AX14" i="2"/>
  <c r="BE16" i="2"/>
  <c r="BF16" i="2"/>
  <c r="CJ14" i="2"/>
  <c r="CK14" i="2" s="1"/>
  <c r="DB14" i="2"/>
  <c r="CH14" i="2"/>
  <c r="CY14" i="2"/>
  <c r="CY48" i="2"/>
  <c r="CH48" i="2"/>
  <c r="DB48" i="2"/>
  <c r="CJ48" i="2"/>
  <c r="CK48" i="2" s="1"/>
  <c r="V15" i="2"/>
  <c r="U15" i="2"/>
  <c r="BE45" i="2"/>
  <c r="BF45" i="2"/>
  <c r="CY20" i="2"/>
  <c r="CJ20" i="2"/>
  <c r="CK20" i="2" s="1"/>
  <c r="DB20" i="2"/>
  <c r="CH20" i="2"/>
  <c r="AW78" i="2"/>
  <c r="AX78" i="2"/>
  <c r="CZ75" i="2"/>
  <c r="CA75" i="2"/>
  <c r="CC75" i="2"/>
  <c r="CD75" i="2" s="1"/>
  <c r="BE75" i="2"/>
  <c r="BF75" i="2"/>
  <c r="BE39" i="2"/>
  <c r="BF39" i="2"/>
  <c r="DB63" i="2"/>
  <c r="CJ63" i="2"/>
  <c r="CK63" i="2" s="1"/>
  <c r="CH63" i="2"/>
  <c r="CY63" i="2"/>
  <c r="BE14" i="2"/>
  <c r="BF14" i="2"/>
  <c r="CJ11" i="2"/>
  <c r="CK11" i="2" s="1"/>
  <c r="CY11" i="2"/>
  <c r="CH11" i="2"/>
  <c r="DB11" i="2"/>
  <c r="CJ15" i="2"/>
  <c r="CK15" i="2" s="1"/>
  <c r="CH15" i="2"/>
  <c r="CY15" i="2"/>
  <c r="DB15" i="2"/>
  <c r="CC16" i="2"/>
  <c r="CD16" i="2" s="1"/>
  <c r="CA16" i="2"/>
  <c r="CZ16" i="2"/>
  <c r="CA20" i="2"/>
  <c r="CZ20" i="2"/>
  <c r="CC20" i="2"/>
  <c r="CD20" i="2" s="1"/>
  <c r="AX16" i="2"/>
  <c r="AW16" i="2"/>
  <c r="CJ79" i="2"/>
  <c r="CK79" i="2" s="1"/>
  <c r="CH79" i="2"/>
  <c r="DB79" i="2"/>
  <c r="CY79" i="2"/>
  <c r="BE20" i="2"/>
  <c r="BF20" i="2"/>
  <c r="CJ41" i="2"/>
  <c r="CK41" i="2" s="1"/>
  <c r="CY41" i="2"/>
  <c r="DB41" i="2"/>
  <c r="CH41" i="2"/>
  <c r="CC44" i="2"/>
  <c r="CD44" i="2" s="1"/>
  <c r="CA44" i="2"/>
  <c r="CZ44" i="2"/>
  <c r="U8" i="2"/>
  <c r="V8" i="2"/>
  <c r="CC79" i="2"/>
  <c r="CD79" i="2" s="1"/>
  <c r="CA79" i="2"/>
  <c r="CZ79" i="2"/>
  <c r="CH40" i="2"/>
  <c r="CJ40" i="2"/>
  <c r="CK40" i="2" s="1"/>
  <c r="DB40" i="2"/>
  <c r="CY40" i="2"/>
  <c r="BE56" i="2"/>
  <c r="BF56" i="2"/>
  <c r="CA14" i="2"/>
  <c r="CC14" i="2"/>
  <c r="CD14" i="2" s="1"/>
  <c r="CZ14" i="2"/>
  <c r="AW20" i="2"/>
  <c r="AX20" i="2"/>
  <c r="AX39" i="2"/>
  <c r="AW39" i="2"/>
  <c r="CZ11" i="2"/>
  <c r="CC11" i="2"/>
  <c r="CD11" i="2" s="1"/>
  <c r="CA11" i="2"/>
  <c r="CA41" i="2"/>
  <c r="CC41" i="2"/>
  <c r="CD41" i="2" s="1"/>
  <c r="CZ41" i="2"/>
  <c r="AW23" i="2"/>
  <c r="AX23" i="2"/>
  <c r="BF63" i="2"/>
  <c r="CZ40" i="2"/>
  <c r="CC40" i="2"/>
  <c r="CD40" i="2" s="1"/>
  <c r="CA40" i="2"/>
  <c r="AX56" i="2"/>
  <c r="AW56" i="2"/>
  <c r="CJ44" i="2"/>
  <c r="CK44" i="2" s="1"/>
  <c r="DB44" i="2"/>
  <c r="CH44" i="2"/>
  <c r="CY44" i="2"/>
  <c r="CA51" i="2"/>
  <c r="CZ51" i="2"/>
  <c r="CC51" i="2"/>
  <c r="CD51" i="2" s="1"/>
  <c r="CJ56" i="2"/>
  <c r="CK56" i="2" s="1"/>
  <c r="DB56" i="2"/>
  <c r="CH56" i="2"/>
  <c r="CY56" i="2"/>
  <c r="CA48" i="2"/>
  <c r="CC48" i="2"/>
  <c r="CD48" i="2" s="1"/>
  <c r="CZ48" i="2"/>
  <c r="BF35" i="2"/>
  <c r="CJ54" i="2"/>
  <c r="CK54" i="2" s="1"/>
  <c r="CY54" i="2"/>
  <c r="DB54" i="2"/>
  <c r="CH54" i="2"/>
  <c r="BF34" i="2"/>
  <c r="CA12" i="2"/>
  <c r="CC12" i="2"/>
  <c r="CD12" i="2" s="1"/>
  <c r="CZ12" i="2"/>
  <c r="CJ23" i="2"/>
  <c r="CK23" i="2" s="1"/>
  <c r="DB23" i="2"/>
  <c r="CY23" i="2"/>
  <c r="CH23" i="2"/>
  <c r="CH39" i="2"/>
  <c r="CJ39" i="2"/>
  <c r="CK39" i="2" s="1"/>
  <c r="DB39" i="2"/>
  <c r="CY39" i="2"/>
  <c r="AX79" i="2"/>
  <c r="AW79" i="2"/>
  <c r="CC54" i="2"/>
  <c r="CD54" i="2" s="1"/>
  <c r="CZ54" i="2"/>
  <c r="CA54" i="2"/>
  <c r="U38" i="2"/>
  <c r="V38" i="2"/>
  <c r="V63" i="2"/>
  <c r="U63" i="2"/>
  <c r="CY12" i="2"/>
  <c r="DB12" i="2"/>
  <c r="CH12" i="2"/>
  <c r="CJ12" i="2"/>
  <c r="CK12" i="2" s="1"/>
  <c r="V81" i="2"/>
  <c r="U81" i="2"/>
  <c r="CJ34" i="2"/>
  <c r="CK34" i="2" s="1"/>
  <c r="CY34" i="2"/>
  <c r="CH34" i="2"/>
  <c r="DB34" i="2"/>
  <c r="DB51" i="2"/>
  <c r="CY51" i="2"/>
  <c r="CH51" i="2"/>
  <c r="CJ51" i="2"/>
  <c r="CK51" i="2" s="1"/>
  <c r="CC15" i="2"/>
  <c r="CD15" i="2" s="1"/>
  <c r="CZ15" i="2"/>
  <c r="CA15" i="2"/>
  <c r="BE79" i="2"/>
  <c r="BF79" i="2"/>
  <c r="CY24" i="2"/>
  <c r="CH24" i="2"/>
  <c r="DB24" i="2"/>
  <c r="CJ24" i="2"/>
  <c r="CK24" i="2" s="1"/>
  <c r="BF57" i="2"/>
  <c r="CA23" i="2"/>
  <c r="CC23" i="2"/>
  <c r="CD23" i="2" s="1"/>
  <c r="CZ23" i="2"/>
  <c r="CA39" i="2"/>
  <c r="CZ39" i="2"/>
  <c r="CC39" i="2"/>
  <c r="CD39" i="2" s="1"/>
  <c r="BE43" i="2"/>
  <c r="BF43" i="2"/>
  <c r="AP12" i="2"/>
  <c r="AO12" i="2"/>
  <c r="CZ32" i="2"/>
  <c r="CA32" i="2"/>
  <c r="CC32" i="2"/>
  <c r="CD32" i="2" s="1"/>
  <c r="CZ56" i="2"/>
  <c r="CC56" i="2"/>
  <c r="CD56" i="2" s="1"/>
  <c r="CA56" i="2"/>
  <c r="V25" i="2"/>
  <c r="U25" i="2"/>
  <c r="CC62" i="2"/>
  <c r="CD62" i="2" s="1"/>
  <c r="CA62" i="2"/>
  <c r="CZ62" i="2"/>
  <c r="CZ34" i="2"/>
  <c r="CC34" i="2"/>
  <c r="CD34" i="2" s="1"/>
  <c r="CA34" i="2"/>
  <c r="V16" i="2"/>
  <c r="U16" i="2"/>
  <c r="BE78" i="2"/>
  <c r="BF78" i="2"/>
  <c r="CH75" i="2"/>
  <c r="CJ75" i="2"/>
  <c r="CK75" i="2" s="1"/>
  <c r="DB75" i="2"/>
  <c r="CY75" i="2"/>
  <c r="CC24" i="2"/>
  <c r="CD24" i="2" s="1"/>
  <c r="CZ24" i="2"/>
  <c r="CA24" i="2"/>
  <c r="AW43" i="2"/>
  <c r="AX43" i="2"/>
  <c r="DB32" i="2"/>
  <c r="CJ32" i="2"/>
  <c r="CK32" i="2" s="1"/>
  <c r="CH32" i="2"/>
  <c r="CY32" i="2"/>
  <c r="AX75" i="2"/>
  <c r="AW75" i="2"/>
  <c r="CA63" i="2"/>
  <c r="CC63" i="2"/>
  <c r="CD63" i="2" s="1"/>
  <c r="CZ63" i="2"/>
  <c r="CH16" i="2"/>
  <c r="CY16" i="2"/>
  <c r="DB16" i="2"/>
  <c r="CJ16" i="2"/>
  <c r="CK16" i="2" s="1"/>
  <c r="BE23" i="2"/>
  <c r="BF23" i="2"/>
  <c r="CJ62" i="2"/>
  <c r="CK62" i="2" s="1"/>
  <c r="CY62" i="2"/>
  <c r="DB62" i="2"/>
  <c r="CH6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K35" authorId="0" shapeId="0" xr:uid="{00000000-0006-0000-0000-000001000000}">
      <text>
        <r>
          <rPr>
            <sz val="10"/>
            <color rgb="FF000000"/>
            <rFont val="Arial"/>
          </rPr>
          <t>Jessica Opie:
Double check data entry
-different sample size used at 4-way level, contrasted to 2-way</t>
        </r>
      </text>
    </comment>
    <comment ref="AL53" authorId="0" shapeId="0" xr:uid="{00000000-0006-0000-0000-000002000000}">
      <text>
        <r>
          <rPr>
            <sz val="10"/>
            <color rgb="FF000000"/>
            <rFont val="Arial"/>
          </rPr>
          <t>Timothy Esler:
Wartner separately reported ABC and ABCD (this wasn't hacked together from a 4x4 analysis)</t>
        </r>
      </text>
    </comment>
  </commentList>
</comments>
</file>

<file path=xl/sharedStrings.xml><?xml version="1.0" encoding="utf-8"?>
<sst xmlns="http://schemas.openxmlformats.org/spreadsheetml/2006/main" count="2335" uniqueCount="522">
  <si>
    <t>Study ID</t>
  </si>
  <si>
    <t>Authors</t>
  </si>
  <si>
    <t>Subsample ID</t>
  </si>
  <si>
    <t>Subsample Desciption</t>
  </si>
  <si>
    <t>Interval</t>
  </si>
  <si>
    <t>IS-IS-2</t>
  </si>
  <si>
    <t>2-way Inclusion</t>
  </si>
  <si>
    <t>2-way Inclusion Type</t>
  </si>
  <si>
    <t>2-way n - Reported</t>
  </si>
  <si>
    <t>Checked</t>
  </si>
  <si>
    <t>Independent papers</t>
  </si>
  <si>
    <t>Caregiver Gender</t>
  </si>
  <si>
    <t>Title</t>
  </si>
  <si>
    <t>IS-S-2</t>
  </si>
  <si>
    <t>S-S-2</t>
  </si>
  <si>
    <t>S-IS-2</t>
  </si>
  <si>
    <t>n-2</t>
  </si>
  <si>
    <t>T1 month</t>
  </si>
  <si>
    <t>2-way n - Calculated</t>
  </si>
  <si>
    <t>A-A-3</t>
  </si>
  <si>
    <t>A-B-3</t>
  </si>
  <si>
    <t>A-C-3</t>
  </si>
  <si>
    <t>B-A-3</t>
  </si>
  <si>
    <t>B-B-3</t>
  </si>
  <si>
    <t>B-C-3</t>
  </si>
  <si>
    <t>C-A-3</t>
  </si>
  <si>
    <t>C-B-3</t>
  </si>
  <si>
    <t>C-C-3</t>
  </si>
  <si>
    <t>n-3</t>
  </si>
  <si>
    <t>A-A-4</t>
  </si>
  <si>
    <t>A-B-4</t>
  </si>
  <si>
    <t>A-C-4</t>
  </si>
  <si>
    <t>A-D-4</t>
  </si>
  <si>
    <t>B-A-4</t>
  </si>
  <si>
    <t>B-B-4</t>
  </si>
  <si>
    <t>B-C-4</t>
  </si>
  <si>
    <t>B-D-4</t>
  </si>
  <si>
    <t>C-A-4</t>
  </si>
  <si>
    <t>C-B-4</t>
  </si>
  <si>
    <t>C-C-4</t>
  </si>
  <si>
    <t>C-D-4</t>
  </si>
  <si>
    <t>D-A-4</t>
  </si>
  <si>
    <t>D-B-4</t>
  </si>
  <si>
    <t>D-C-4</t>
  </si>
  <si>
    <t>D-D-4</t>
  </si>
  <si>
    <t>n-4</t>
  </si>
  <si>
    <t>2-way n - Final</t>
  </si>
  <si>
    <t>2-way r - Calculated</t>
  </si>
  <si>
    <t>T2 month</t>
  </si>
  <si>
    <t>Year</t>
  </si>
  <si>
    <t>Country</t>
  </si>
  <si>
    <t>Coding Method</t>
  </si>
  <si>
    <t>Previously included S/IS</t>
  </si>
  <si>
    <t>2-way r - Reported</t>
  </si>
  <si>
    <t>Previously included D/O</t>
  </si>
  <si>
    <t>Social Risk</t>
  </si>
  <si>
    <t>Medical Risk</t>
  </si>
  <si>
    <t>Risk</t>
  </si>
  <si>
    <t>Publication Status</t>
  </si>
  <si>
    <t>Published</t>
  </si>
  <si>
    <t>T1 Interrater Reliability - PA</t>
  </si>
  <si>
    <t>T1 Interrater Reliability - k</t>
  </si>
  <si>
    <t>T2 Interrater Reliability - PA</t>
  </si>
  <si>
    <t>T2 Interrater Reliability - k</t>
  </si>
  <si>
    <t>Reliability Test Level</t>
  </si>
  <si>
    <t>Reliability Notes</t>
  </si>
  <si>
    <t>IS-IS</t>
  </si>
  <si>
    <t>2-way r - Final</t>
  </si>
  <si>
    <t>2-way r Within 5%</t>
  </si>
  <si>
    <t>2-way k Inclusion</t>
  </si>
  <si>
    <t>IS-S</t>
  </si>
  <si>
    <t>S-S</t>
  </si>
  <si>
    <t>S-IS</t>
  </si>
  <si>
    <t>2-way k Inclusion Type</t>
  </si>
  <si>
    <t>2-way PA - Calculated</t>
  </si>
  <si>
    <t>2-way Chance PA - Calculated</t>
  </si>
  <si>
    <t>2-way k - Calculated</t>
  </si>
  <si>
    <t>2-way k - Reported</t>
  </si>
  <si>
    <t>2-way r - Pinquart</t>
  </si>
  <si>
    <t>2-way k - Final</t>
  </si>
  <si>
    <t>2-way k Within 5%</t>
  </si>
  <si>
    <t>3-way Inclusion</t>
  </si>
  <si>
    <t>3-way Inclusion Type</t>
  </si>
  <si>
    <t>3-way n - Calculated</t>
  </si>
  <si>
    <t>3-way n - Final</t>
  </si>
  <si>
    <t>3-way PA - Calculated</t>
  </si>
  <si>
    <t>3-way Chance PA - Calculated</t>
  </si>
  <si>
    <t>3-way k - Calculated</t>
  </si>
  <si>
    <t>3-way k - Reported</t>
  </si>
  <si>
    <t>3-way k - Final</t>
  </si>
  <si>
    <t>3-way k Within 5%</t>
  </si>
  <si>
    <t>4-way Inclusion</t>
  </si>
  <si>
    <t>4-way Inclusion Type</t>
  </si>
  <si>
    <t>4-way n - Calculated</t>
  </si>
  <si>
    <t>4-way n - Final</t>
  </si>
  <si>
    <t>4-way PA - Calculated</t>
  </si>
  <si>
    <t>4-way Chance PA - Calculated</t>
  </si>
  <si>
    <t>4-way k - Calculated</t>
  </si>
  <si>
    <t>2 way r - Fraley</t>
  </si>
  <si>
    <t>4-way k - Reported</t>
  </si>
  <si>
    <t>4-way k - Final</t>
  </si>
  <si>
    <t>2-way chiSq - Reported</t>
  </si>
  <si>
    <t>4-way k Within 5%</t>
  </si>
  <si>
    <t>IsD Inclusion</t>
  </si>
  <si>
    <t>IsD Inclusion Type</t>
  </si>
  <si>
    <t>IsD n - Calculated</t>
  </si>
  <si>
    <t>IsD n - Final</t>
  </si>
  <si>
    <t>IsD r - Calculated</t>
  </si>
  <si>
    <t>Is D r - Reported</t>
  </si>
  <si>
    <t>IsD r - Final</t>
  </si>
  <si>
    <t>IsD r Within 5%</t>
  </si>
  <si>
    <t>IsD k Inclusion</t>
  </si>
  <si>
    <t>IsD k Inclusion Type</t>
  </si>
  <si>
    <t>IsD PA - Calculated</t>
  </si>
  <si>
    <t>IsD Chance PA - Calculated</t>
  </si>
  <si>
    <t>IsD k - Calculated</t>
  </si>
  <si>
    <t>IsD k - Reported</t>
  </si>
  <si>
    <t>IsD k - Final</t>
  </si>
  <si>
    <t>IsD k Within 5%</t>
  </si>
  <si>
    <t>Included in Prior Meta-analysis S/IS</t>
  </si>
  <si>
    <t>Reported Direction</t>
  </si>
  <si>
    <t>Interrater Reliability - PA</t>
  </si>
  <si>
    <t>Included in Prior Meta-analysis D/O</t>
  </si>
  <si>
    <t>Gender</t>
  </si>
  <si>
    <t>AA Inclusion</t>
  </si>
  <si>
    <t>AA Inclusion Type</t>
  </si>
  <si>
    <t>AA n - Calculated</t>
  </si>
  <si>
    <t>AA r - Calculated</t>
  </si>
  <si>
    <t>AA PA - Calculated</t>
  </si>
  <si>
    <t>AA Chance PA - Calculated</t>
  </si>
  <si>
    <t>AA k - Calculated</t>
  </si>
  <si>
    <t>CC Inclusion</t>
  </si>
  <si>
    <t>CC Inclusion Type</t>
  </si>
  <si>
    <t>CC n - Calculated</t>
  </si>
  <si>
    <t>CC r - Calculated</t>
  </si>
  <si>
    <t>CC PA - Calculated</t>
  </si>
  <si>
    <t>CC Chance PA - Calculated</t>
  </si>
  <si>
    <t>CC k - Calculated</t>
  </si>
  <si>
    <t>BB Inclusion</t>
  </si>
  <si>
    <t>BB Inclusion Type</t>
  </si>
  <si>
    <t>BB n - Calculated</t>
  </si>
  <si>
    <t>BB r - Calculated</t>
  </si>
  <si>
    <t>A-A</t>
  </si>
  <si>
    <t>BB PA - Calculated</t>
  </si>
  <si>
    <t>BB Chance PA - Calculated</t>
  </si>
  <si>
    <t>A-B</t>
  </si>
  <si>
    <t>A-C</t>
  </si>
  <si>
    <t>B-A</t>
  </si>
  <si>
    <t>B-B</t>
  </si>
  <si>
    <t>B-C</t>
  </si>
  <si>
    <t>C-A</t>
  </si>
  <si>
    <t>C-B</t>
  </si>
  <si>
    <t>C-C</t>
  </si>
  <si>
    <t>A-D</t>
  </si>
  <si>
    <t>B-D</t>
  </si>
  <si>
    <t>C-D</t>
  </si>
  <si>
    <t>D-A</t>
  </si>
  <si>
    <t>D-B</t>
  </si>
  <si>
    <t>D-C</t>
  </si>
  <si>
    <t>D-D</t>
  </si>
  <si>
    <t>BB k - Calculated</t>
  </si>
  <si>
    <t>AA Proportion</t>
  </si>
  <si>
    <t>O-O</t>
  </si>
  <si>
    <t>BB Proportion</t>
  </si>
  <si>
    <t>O-D</t>
  </si>
  <si>
    <t>CC Proportion</t>
  </si>
  <si>
    <t>DD Proportion</t>
  </si>
  <si>
    <t>ISIS Proportion</t>
  </si>
  <si>
    <t>OO Proportion</t>
  </si>
  <si>
    <t>D-O</t>
  </si>
  <si>
    <t>AA n</t>
  </si>
  <si>
    <t>BB n</t>
  </si>
  <si>
    <t>CC n</t>
  </si>
  <si>
    <t>Is D chiSq - Reported</t>
  </si>
  <si>
    <t>DD n</t>
  </si>
  <si>
    <t>ISIS n</t>
  </si>
  <si>
    <t>OO n</t>
  </si>
  <si>
    <t>Notes</t>
  </si>
  <si>
    <t>AA expected proportion</t>
  </si>
  <si>
    <t>BB expected proportion</t>
  </si>
  <si>
    <t>CC expected proportion</t>
  </si>
  <si>
    <t>DD expected proportion</t>
  </si>
  <si>
    <t>ISIS expected proportion</t>
  </si>
  <si>
    <t>OO expected proportion</t>
  </si>
  <si>
    <t>Aikins, Howes, &amp; Hamilton (2009)</t>
  </si>
  <si>
    <t>36 month interval</t>
  </si>
  <si>
    <t>Mixed</t>
  </si>
  <si>
    <t xml:space="preserve">Attachment stability and the emergence of unresolved represenations during adolescence </t>
  </si>
  <si>
    <t>USA</t>
  </si>
  <si>
    <t>Ainsworth/Cassidy-Marvin</t>
  </si>
  <si>
    <t>Published journal article</t>
  </si>
  <si>
    <t>Ammaniti, Speranza, &amp; Fedele (2005)</t>
  </si>
  <si>
    <t>51 month interval</t>
  </si>
  <si>
    <t>Female</t>
  </si>
  <si>
    <t>Attachment in Infancy and in Early and Late Childhood: A Longitudinal Study</t>
  </si>
  <si>
    <t>Italy</t>
  </si>
  <si>
    <t>Edited book chapter</t>
  </si>
  <si>
    <t>Atkinson et al. (1999)</t>
  </si>
  <si>
    <t>Single sample</t>
  </si>
  <si>
    <t>Maternal sensitivity, child functional level, and attachment in Down syndrome -have emailed to obtain addition specific stability data</t>
  </si>
  <si>
    <t>Canada</t>
  </si>
  <si>
    <t>Ainsworth/Ainsworth</t>
  </si>
  <si>
    <t>4-way</t>
  </si>
  <si>
    <t xml:space="preserve">Bar-Haim et al. (2000) </t>
  </si>
  <si>
    <t>10 month interval</t>
  </si>
  <si>
    <t>Stability and change of attachment at 14, 24, and 58 months of age: Behavior, representation, and life events</t>
  </si>
  <si>
    <t>34 month interval</t>
  </si>
  <si>
    <t xml:space="preserve">Bar-Haimet al. (2000) </t>
  </si>
  <si>
    <t>44 month interval</t>
  </si>
  <si>
    <t>Barnett et al. (2006)</t>
  </si>
  <si>
    <t>Maternal resolution of child diagnosis: Stability and relations with child attachment across the toddler to preschooler transition</t>
  </si>
  <si>
    <t>NA</t>
  </si>
  <si>
    <t>Barnett, Ganiban &amp; Cicchetti (1999)</t>
  </si>
  <si>
    <t>Comparison</t>
  </si>
  <si>
    <t>Maltreatment, negative expressivity, and the development of Type D attachments from 12 to 24 months of age</t>
  </si>
  <si>
    <t>Maltreated</t>
  </si>
  <si>
    <t>Cicchetti &amp; Barnett (1991)</t>
  </si>
  <si>
    <t>Maltreated, 18 month interval</t>
  </si>
  <si>
    <t>Attachment organization in maltreated preschoolers</t>
  </si>
  <si>
    <t>Cassidy-Marvin/Cassidy-Marvin</t>
  </si>
  <si>
    <t>2-way</t>
  </si>
  <si>
    <t>Maltreated, 12 month interval</t>
  </si>
  <si>
    <t>Comparison, 18 month interval</t>
  </si>
  <si>
    <t>Comparison, 12 month interval</t>
  </si>
  <si>
    <t>Cicchetti, Rogosch &amp; Toth (2006)</t>
  </si>
  <si>
    <t>Fostering secure attachment in infants in maltreating families through preventive interventions</t>
  </si>
  <si>
    <t>Ainsworth/Schneider-Rosen</t>
  </si>
  <si>
    <t>Easterbrooks (1989)</t>
  </si>
  <si>
    <t>Father-child</t>
  </si>
  <si>
    <t>Male</t>
  </si>
  <si>
    <t>Quality of Attachment to Mother and to Father: Effects of Perinatal Risk Status</t>
  </si>
  <si>
    <t>Mother-child</t>
  </si>
  <si>
    <t>Fish (2004)</t>
  </si>
  <si>
    <t>Attachment in infancy and preschool in low socioeconomic status rural Appalachian children: Stability and change and relations to preschool and kindergarten competence</t>
  </si>
  <si>
    <t>Ganiban, Barnett &amp; Cicchetti (2000)</t>
  </si>
  <si>
    <t>Negative reactivity and attachment: Down's syndrome's contribution to the attachment-temperament debate</t>
  </si>
  <si>
    <t>Hautamaki et al. (2010)</t>
  </si>
  <si>
    <t>Transmission of attachment across three generations</t>
  </si>
  <si>
    <t>Finland</t>
  </si>
  <si>
    <t>Ainsworth/Crittenden</t>
  </si>
  <si>
    <t>3-way</t>
  </si>
  <si>
    <t>Howes &amp; Hamilton (1992)</t>
  </si>
  <si>
    <t>Sample 2</t>
  </si>
  <si>
    <t>Children's relationships with child care teachers: Stability and concordance with parental attachments</t>
  </si>
  <si>
    <t>Jacobsen et al. (1997)</t>
  </si>
  <si>
    <t>60 month interval</t>
  </si>
  <si>
    <t>Children's ability to delay gratification: longitudinal relations to mother-child attachment</t>
  </si>
  <si>
    <t>Germany</t>
  </si>
  <si>
    <t>Ainsworth/Main-Cassidy</t>
  </si>
  <si>
    <t>54 month interval</t>
  </si>
  <si>
    <t>Jacobsen et al. (2014)</t>
  </si>
  <si>
    <t>Foster children</t>
  </si>
  <si>
    <t>Attachment security in young foster children: continuity from 2 to 3 years of age</t>
  </si>
  <si>
    <t>Norway</t>
  </si>
  <si>
    <t xml:space="preserve">Korntheuer, Lissmann &amp; Lohaus (2010) </t>
  </si>
  <si>
    <t>Change and stability: Longitudinal associations between security of attachment and developmental status in the areas of speech and social functioning</t>
  </si>
  <si>
    <t>Ainsworth/Grossmann</t>
  </si>
  <si>
    <t>Levendosky et al. (2011)</t>
  </si>
  <si>
    <t>Domestic violence dyads</t>
  </si>
  <si>
    <t xml:space="preserve">The effects of domestic violence on the stability of attachment from infancy to preschool </t>
  </si>
  <si>
    <t>Lounds et al. (2005)</t>
  </si>
  <si>
    <t>Adolescent Parenting and Attachment During Infancy and Early Childhood</t>
  </si>
  <si>
    <t>Main &amp; Cassidy (1988)</t>
  </si>
  <si>
    <t>Categories of response to reunion with the parent at age 6: Predictable from infant attachment classifications and stable over a 1-month period</t>
  </si>
  <si>
    <t>Maris et al. (2000)</t>
  </si>
  <si>
    <t>Cleft lip and palate</t>
  </si>
  <si>
    <t>Are infants with orofacial clefts at risk for insecure mother–child attachments?</t>
  </si>
  <si>
    <t>Cleft palate only</t>
  </si>
  <si>
    <t>Milentijevic, Altman &amp; Ward (1995)</t>
  </si>
  <si>
    <t>Adolescent mothers and their children: Stability of attachment organization from 1 to 3.5 years</t>
  </si>
  <si>
    <t>Conference paper</t>
  </si>
  <si>
    <t>Moss et al. (2005)</t>
  </si>
  <si>
    <t>Stability of Attachment During the Preschool Period</t>
  </si>
  <si>
    <t>Cassidy-Marvin/Main-Cassidy</t>
  </si>
  <si>
    <t>NICHD (2001)</t>
  </si>
  <si>
    <t>Child-care and family predictors of preschool attachment and stability from infancy</t>
  </si>
  <si>
    <t>Rauh et al. (2000)</t>
  </si>
  <si>
    <t>Ainsworth-Ainsworth</t>
  </si>
  <si>
    <t>Stability and change in infant-mother attachments in the second year of life</t>
  </si>
  <si>
    <t>Main-Main</t>
  </si>
  <si>
    <t>Main-Cassidy/Main-Cassidy</t>
  </si>
  <si>
    <t>Main-Ainsworth</t>
  </si>
  <si>
    <t>Main-Cassidy/Ainsworth</t>
  </si>
  <si>
    <t>Ainsworth-Main</t>
  </si>
  <si>
    <t>Main-Crittenden</t>
  </si>
  <si>
    <t>Main-Cassidy/Crittenden</t>
  </si>
  <si>
    <t>Ainsworth-Crittenden</t>
  </si>
  <si>
    <t xml:space="preserve">Seifer et al. (2004) </t>
  </si>
  <si>
    <t>Attachment Status in Children Prenatally Exposed to Cocaine and Other Substances</t>
  </si>
  <si>
    <t>Steele, Steele &amp; Fonagy (1996)</t>
  </si>
  <si>
    <t>Mothers’ attachment representations as a contextual determinant of children’s mental health: a 16-year longitudinal study</t>
  </si>
  <si>
    <t>UK</t>
  </si>
  <si>
    <t xml:space="preserve">Conference paper </t>
  </si>
  <si>
    <t>Stevenson-Hinde &amp; Shouldice (1990)</t>
  </si>
  <si>
    <t>Wariness to strangers: A behvaioural systems perspective</t>
  </si>
  <si>
    <t xml:space="preserve">Takahashi (1990) </t>
  </si>
  <si>
    <t xml:space="preserve">Are the key assumptions of the 'Strange Situation' procedure universal? A view from Japanese research </t>
  </si>
  <si>
    <t>Japan</t>
  </si>
  <si>
    <t xml:space="preserve">Wartner et al. (1994) </t>
  </si>
  <si>
    <t>Attachment patterns at age six in south germany: predictability from infancy and implications for preschool behaviour</t>
  </si>
  <si>
    <t>Waters &amp; Valenzuela (1999)</t>
  </si>
  <si>
    <t>Well nourished</t>
  </si>
  <si>
    <t>Explaining Disorganized Attachment: Clues From Research On Mild-to-Moderately Undernourished Children in Chile</t>
  </si>
  <si>
    <t>Chile</t>
  </si>
  <si>
    <t>Undernourished</t>
  </si>
  <si>
    <t>Entered value was 0.18 as opposed to -0.18. Not sure where this value came from.</t>
  </si>
  <si>
    <t>Vondra et al. (2001)</t>
  </si>
  <si>
    <t>12/24 months (12 month interval)</t>
  </si>
  <si>
    <t>Attachment stability and emotional and behavioral regulation from infancy to preschool age</t>
  </si>
  <si>
    <t>12/18 months (6 month interval)</t>
  </si>
  <si>
    <t>Xue (2010)</t>
  </si>
  <si>
    <t>13/42 months (29 month interval)</t>
  </si>
  <si>
    <t>Factors influencing Continuity of Attachment</t>
  </si>
  <si>
    <t>Unpublished dissertation</t>
  </si>
  <si>
    <t>Fargot &amp; Pears (1996)</t>
  </si>
  <si>
    <t>Change in attachment during the third year: Consequences and predictions</t>
  </si>
  <si>
    <t>Toth et al. (2006)</t>
  </si>
  <si>
    <t>Non-depressed control</t>
  </si>
  <si>
    <t>The efficacy of toddler-parent psychotherapy to reorganize attachment in the young offspring of mothers with major depressive disorder: A randomized preventive trial.</t>
  </si>
  <si>
    <t>Depressed control</t>
  </si>
  <si>
    <t>Kreppner et al. (2011)</t>
  </si>
  <si>
    <t>Family care &lt; 6 mo</t>
  </si>
  <si>
    <t>Assessing the Concept of the ‘Insecure-Other’ Category in the Cassidy–Marvin Scheme: Changes Between 4 and 6 Years in the English and Romanian Adoptee Study</t>
  </si>
  <si>
    <t>Institutionalised &gt; 6 mo</t>
  </si>
  <si>
    <t>Romania</t>
  </si>
  <si>
    <t>Nakano (1984)</t>
  </si>
  <si>
    <t>Female children only</t>
  </si>
  <si>
    <t>Does quality of attachment in a strange situation relate to later competence in different situations?</t>
  </si>
  <si>
    <t>Frodi, Grolnick &amp; Bridges (1985)</t>
  </si>
  <si>
    <t>Maternal correlates of stability and change in infant-mother attachment</t>
  </si>
  <si>
    <t>Thompson, Lamb &amp; Estes (1982)</t>
  </si>
  <si>
    <t>Stability of infant-mother attachment and its relationship to changing life circumstances in an unselected middle-class sample</t>
  </si>
  <si>
    <t>Owen et al. (1984)</t>
  </si>
  <si>
    <t>The Relation between Maternal Employment Status and the Stability of Attachments to Mother and to Father</t>
  </si>
  <si>
    <t>Belsky et al. (1996)</t>
  </si>
  <si>
    <t>Father-son (Penn. State)</t>
  </si>
  <si>
    <t xml:space="preserve">Instability of Infant-Parent Attachment Security </t>
  </si>
  <si>
    <t>Mother-son (Penn. State)</t>
  </si>
  <si>
    <t>Mother-child (Univ. Pitt.)</t>
  </si>
  <si>
    <t>Main &amp; Weston (1981)</t>
  </si>
  <si>
    <t>The Quality of the Toddler's Relationship to Mother and to Father: Related to Conflict Behavior and the Readiness to Estahlish New Relationships</t>
  </si>
  <si>
    <t>Meins, Bureau &amp; Fernyhough (2017)</t>
  </si>
  <si>
    <t>Mother–child attachment from infancy to the preschool years: Predicting security and stability</t>
  </si>
  <si>
    <t>Waters (1978)</t>
  </si>
  <si>
    <t>The reliability and stability of individual differences in infant-mother attachment</t>
  </si>
  <si>
    <t>Lyons-Ruth et al. (1991)</t>
  </si>
  <si>
    <t>Low income</t>
  </si>
  <si>
    <t>Disorganised attachment behavior in infancy: Short-term stability, maternal and infant correlates, and risk-related subtypes</t>
  </si>
  <si>
    <t>Ziegenhain &amp; Wolff (2000)</t>
  </si>
  <si>
    <t>Der umgang mit unvertrautem - Bindungsbeziehung und krippeneintritt</t>
  </si>
  <si>
    <t>Edwards et al. (2004)</t>
  </si>
  <si>
    <t>Impact of father's alcoholism and associated risk factors on parent-infant attachment stability from 12 to 18 months</t>
  </si>
  <si>
    <t>Ahnert et al. (2004)</t>
  </si>
  <si>
    <t>Transition to Child Care: Associations with Infant-Mother Attachments, Infant Negative Emtoions, and Cortisol Elevations</t>
  </si>
  <si>
    <t>Connell (1977)</t>
  </si>
  <si>
    <t>Individual Differences in Attachment Behaviour: Long-Term Stability and Relationships to Language Development</t>
  </si>
  <si>
    <t>Carlson (1998)</t>
  </si>
  <si>
    <t>A Prospective Longitudinal Study of Attachment Disorganisation/Disorientation</t>
  </si>
  <si>
    <t>Ainsworthet al. (1978)</t>
  </si>
  <si>
    <t>Patterns of Attachment</t>
  </si>
  <si>
    <t>Cassidy (1988)</t>
  </si>
  <si>
    <t>Child Mother Attachment and the Self in Six-Year-Olds</t>
  </si>
  <si>
    <t>Goossens et al. (1986)</t>
  </si>
  <si>
    <t>Stability of attachment across time and context in a Dutch sample</t>
  </si>
  <si>
    <t>Netherlands</t>
  </si>
  <si>
    <t>Vondra, Hommerding, &amp; Shaw (1999)</t>
  </si>
  <si>
    <t>Stability and change in infant attachment in a low-income sample</t>
  </si>
  <si>
    <t>Vaughn et al. (1979)</t>
  </si>
  <si>
    <t>Attachment at Twelve and Eighteen Months: Stability and Change in Families under Stress</t>
  </si>
  <si>
    <t xml:space="preserve">Schneider-Rosen et al. (1985) </t>
  </si>
  <si>
    <t>Comparison (12-18 mo.)</t>
  </si>
  <si>
    <t>Current perspectives in attachment theory: Illustration from the study of maltreated infants</t>
  </si>
  <si>
    <t>Comparison (18-24 mo.)</t>
  </si>
  <si>
    <t>Maltreated (12-18 mo.)</t>
  </si>
  <si>
    <t>Maltreated (18-24 mo.)</t>
  </si>
  <si>
    <t>Mangelsdorf et al. (1996)</t>
  </si>
  <si>
    <t>Full-term births</t>
  </si>
  <si>
    <t>Attachment security in very low birth weight infants</t>
  </si>
  <si>
    <t>Low birth weight</t>
  </si>
  <si>
    <t>Sutton (1994)</t>
  </si>
  <si>
    <t>14-24 months</t>
  </si>
  <si>
    <t>Attachment, emotion socialisation and emotion regulation: Relationships between 14, 24, and 58 months</t>
  </si>
  <si>
    <t>14-58 months</t>
  </si>
  <si>
    <t>24-58 months</t>
  </si>
  <si>
    <t>Touris, Krimelow, &amp; Harding (1995)</t>
  </si>
  <si>
    <t>At-risk</t>
  </si>
  <si>
    <t>Mother-Firstborn Attachments</t>
  </si>
  <si>
    <t>Egeland &amp; Farber (1984)</t>
  </si>
  <si>
    <t>Infant-Mother Attachment: Factors Related to its Development and Changes over Time</t>
  </si>
  <si>
    <t>Egeland &amp; Sroufe (1981)</t>
  </si>
  <si>
    <t>Attachment and Early Maltreatment</t>
  </si>
  <si>
    <t xml:space="preserve">Vaughn, Gove, &amp; Egeland (1980) </t>
  </si>
  <si>
    <t>Early return to work</t>
  </si>
  <si>
    <t>The Relationship between Out-of-Home Care and the Quality of Infant-Mother Attachment in an Economically Disadvantaged Population</t>
  </si>
  <si>
    <t>Late return to work</t>
  </si>
  <si>
    <t>Did not return</t>
  </si>
  <si>
    <t xml:space="preserve">Wijnroks (1994) </t>
  </si>
  <si>
    <t>Dimensions of mother-infant interaction and the development of social and cognitive competence in preterm infants</t>
  </si>
  <si>
    <t>Bakermans-Kranenberg &amp; van IJzendoorn (1997)</t>
  </si>
  <si>
    <t>Stability of disorganized attachment in the second year of life</t>
  </si>
  <si>
    <t>Unpublished manuscript</t>
  </si>
  <si>
    <t>Upper limit</t>
  </si>
  <si>
    <t>Infancy</t>
  </si>
  <si>
    <t>Toddlerhood</t>
  </si>
  <si>
    <t>Preschool</t>
  </si>
  <si>
    <t>School entry</t>
  </si>
  <si>
    <t>CORRECT</t>
  </si>
  <si>
    <t>Counts</t>
  </si>
  <si>
    <t>ERRORS</t>
  </si>
  <si>
    <t>Infancy - Toddlerhood</t>
  </si>
  <si>
    <t>Infancy - Infancy</t>
  </si>
  <si>
    <t>Infancy - Preschool</t>
  </si>
  <si>
    <t>Preschool - Preschool</t>
  </si>
  <si>
    <t>Infancy - School entry</t>
  </si>
  <si>
    <t>Toddlerhood - Toddlerhood</t>
  </si>
  <si>
    <t>Toddlerhood - Preschool</t>
  </si>
  <si>
    <t>School entry - School entry</t>
  </si>
  <si>
    <t>Toddlerhood - School entry</t>
  </si>
  <si>
    <t>Preschool - School entry</t>
  </si>
  <si>
    <t>Total</t>
  </si>
  <si>
    <t>2-Way Stability Table</t>
  </si>
  <si>
    <t>3-way Stability Table</t>
  </si>
  <si>
    <t>4-Way Stability Table</t>
  </si>
  <si>
    <t>S</t>
  </si>
  <si>
    <t>IS</t>
  </si>
  <si>
    <t>Totals</t>
  </si>
  <si>
    <t>A</t>
  </si>
  <si>
    <t>B</t>
  </si>
  <si>
    <t>C</t>
  </si>
  <si>
    <t>D</t>
  </si>
  <si>
    <t>Study Name (Year)</t>
  </si>
  <si>
    <t>T1/T2 (mo)</t>
  </si>
  <si>
    <t>Prior Inclusion</t>
  </si>
  <si>
    <t>IRR (%)</t>
  </si>
  <si>
    <t>Parent Sex</t>
  </si>
  <si>
    <t>Data Level</t>
  </si>
  <si>
    <t>N</t>
  </si>
  <si>
    <t>4-way Data</t>
  </si>
  <si>
    <t>I-P</t>
  </si>
  <si>
    <t>M,F</t>
  </si>
  <si>
    <t>I-T</t>
  </si>
  <si>
    <t>A-CM</t>
  </si>
  <si>
    <t>M</t>
  </si>
  <si>
    <t>Infancy - Early school</t>
  </si>
  <si>
    <t>I-E</t>
  </si>
  <si>
    <t>CM-CM</t>
  </si>
  <si>
    <t>F</t>
  </si>
  <si>
    <t>T-P</t>
  </si>
  <si>
    <t>A-SR</t>
  </si>
  <si>
    <t>Toddlerhood - Early school</t>
  </si>
  <si>
    <t>T-E</t>
  </si>
  <si>
    <t>Preschool - Early school</t>
  </si>
  <si>
    <t>P-E</t>
  </si>
  <si>
    <t>A-MC</t>
  </si>
  <si>
    <t>I-I</t>
  </si>
  <si>
    <t>A-G</t>
  </si>
  <si>
    <t>P-P</t>
  </si>
  <si>
    <t>T-T</t>
  </si>
  <si>
    <t>MC-MC</t>
  </si>
  <si>
    <t>MC-A</t>
  </si>
  <si>
    <t>MC-C</t>
  </si>
  <si>
    <t>A/CM-CM</t>
  </si>
  <si>
    <t>STATIC VERSION BELOW (UPDATE IT MANUALLY)</t>
  </si>
  <si>
    <t>15/18</t>
  </si>
  <si>
    <t>No</t>
  </si>
  <si>
    <t>Yes</t>
  </si>
  <si>
    <t>S/IS</t>
  </si>
  <si>
    <t>2S</t>
  </si>
  <si>
    <t>12/48</t>
  </si>
  <si>
    <t>-</t>
  </si>
  <si>
    <t>Ainsworth et al. (1978)</t>
  </si>
  <si>
    <t>12/13</t>
  </si>
  <si>
    <t>2S,3</t>
  </si>
  <si>
    <t>12/64</t>
  </si>
  <si>
    <t>26/42</t>
  </si>
  <si>
    <t>12/14</t>
  </si>
  <si>
    <t>D/O</t>
  </si>
  <si>
    <t/>
  </si>
  <si>
    <t>14/24</t>
  </si>
  <si>
    <t>24/58</t>
  </si>
  <si>
    <t>14/58</t>
  </si>
  <si>
    <t>25/41</t>
  </si>
  <si>
    <t>12/24</t>
  </si>
  <si>
    <t>2S,4,2D</t>
  </si>
  <si>
    <t>12/18</t>
  </si>
  <si>
    <t>18/24</t>
  </si>
  <si>
    <t>13/20</t>
  </si>
  <si>
    <t>74/75</t>
  </si>
  <si>
    <t>30/48</t>
  </si>
  <si>
    <t>36/48</t>
  </si>
  <si>
    <t>12/26</t>
  </si>
  <si>
    <t>18/30</t>
  </si>
  <si>
    <t>15/48</t>
  </si>
  <si>
    <t>12/20</t>
  </si>
  <si>
    <t>19/27</t>
  </si>
  <si>
    <t>18/19</t>
  </si>
  <si>
    <t>12/36</t>
  </si>
  <si>
    <t>12/72</t>
  </si>
  <si>
    <t>S/IS, D/O</t>
  </si>
  <si>
    <t>18/72</t>
  </si>
  <si>
    <t>23/36</t>
  </si>
  <si>
    <t>48/72</t>
  </si>
  <si>
    <t>12/60</t>
  </si>
  <si>
    <t>12/70</t>
  </si>
  <si>
    <t>14/19</t>
  </si>
  <si>
    <t>15/44</t>
  </si>
  <si>
    <t>15/51</t>
  </si>
  <si>
    <t>14/42</t>
  </si>
  <si>
    <t>44/67</t>
  </si>
  <si>
    <t>12/23</t>
  </si>
  <si>
    <t>15/36</t>
  </si>
  <si>
    <t>12/21</t>
  </si>
  <si>
    <t>18/36</t>
  </si>
  <si>
    <t>30/54</t>
  </si>
  <si>
    <t>12/58</t>
  </si>
  <si>
    <t>20/36</t>
  </si>
  <si>
    <t>20/25</t>
  </si>
  <si>
    <t>20/24</t>
  </si>
  <si>
    <t>15/72</t>
  </si>
  <si>
    <t>2S,3,4,2D</t>
  </si>
  <si>
    <t>18/28</t>
  </si>
  <si>
    <t>13/42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</si>
</sst>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0000"/>
    <numFmt numFmtId="165" formatCode="#,##0.00000000"/>
    <numFmt numFmtId="166" formatCode="#,##0.000000000000"/>
    <numFmt numFmtId="167" formatCode="#,##0.000000"/>
    <numFmt numFmtId="168" formatCode="#,##0.0000"/>
    <numFmt numFmtId="169" formatCode="#,##0.0000000"/>
    <numFmt numFmtId="170" formatCode="#,##0.000"/>
    <numFmt numFmtId="171" formatCode="#,##0.00000"/>
  </numFmts>
  <fonts count="25">
    <font>
      <sz val="10"/>
      <color rgb="FF000000"/>
      <name val="Arial"/>
    </font>
    <font>
      <b/>
      <sz val="10"/>
      <color rgb="FF000000"/>
      <name val="Calibri"/>
    </font>
    <font>
      <b/>
      <sz val="10"/>
      <name val="Calibri"/>
    </font>
    <font>
      <sz val="10"/>
      <color rgb="FF000000"/>
      <name val="Calibri"/>
    </font>
    <font>
      <b/>
      <sz val="9"/>
      <color rgb="FF000000"/>
      <name val="Arial"/>
    </font>
    <font>
      <sz val="10"/>
      <name val="Calibri"/>
    </font>
    <font>
      <sz val="9"/>
      <color rgb="FF000000"/>
      <name val="Arial"/>
    </font>
    <font>
      <sz val="10"/>
      <color rgb="FF333333"/>
      <name val="Calibri"/>
    </font>
    <font>
      <sz val="10"/>
      <color rgb="FF337AB7"/>
      <name val="Calibri"/>
    </font>
    <font>
      <b/>
      <sz val="10"/>
      <name val="Arial"/>
    </font>
    <font>
      <sz val="10"/>
      <name val="Arial"/>
    </font>
    <font>
      <sz val="11"/>
      <color rgb="FF000000"/>
      <name val="Inconsolata"/>
    </font>
    <font>
      <b/>
      <sz val="8"/>
      <name val="Times New Roman"/>
    </font>
    <font>
      <b/>
      <sz val="8"/>
      <color rgb="FF000000"/>
      <name val="Times New Roman"/>
    </font>
    <font>
      <b/>
      <sz val="8"/>
      <name val="Times"/>
    </font>
    <font>
      <sz val="8"/>
      <name val="Times"/>
    </font>
    <font>
      <sz val="8"/>
      <name val="Times New Roman"/>
    </font>
    <font>
      <sz val="8"/>
      <color rgb="FF000000"/>
      <name val="Times"/>
    </font>
    <font>
      <b/>
      <sz val="10"/>
      <name val="Times New Roman"/>
    </font>
    <font>
      <b/>
      <sz val="9"/>
      <name val="Times New Roman"/>
    </font>
    <font>
      <b/>
      <sz val="9"/>
      <color rgb="FF000000"/>
      <name val="Times New Roman"/>
    </font>
    <font>
      <b/>
      <i/>
      <sz val="9"/>
      <name val="Times New Roman"/>
    </font>
    <font>
      <sz val="10"/>
      <name val="Times New Roman"/>
    </font>
    <font>
      <sz val="9"/>
      <name val="Times"/>
    </font>
    <font>
      <sz val="9"/>
      <name val="Times New Roman"/>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3">
    <border>
      <left/>
      <right/>
      <top/>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188">
    <xf numFmtId="0" fontId="0" fillId="0" borderId="0" xfId="0" applyFont="1" applyAlignment="1"/>
    <xf numFmtId="0" fontId="1" fillId="0" borderId="0" xfId="0" applyFont="1" applyAlignment="1">
      <alignment horizontal="left" vertical="top"/>
    </xf>
    <xf numFmtId="0" fontId="1" fillId="0" borderId="0" xfId="0" applyFont="1" applyAlignment="1">
      <alignment horizontal="left" vertical="top"/>
    </xf>
    <xf numFmtId="3" fontId="1" fillId="0" borderId="0" xfId="0" applyNumberFormat="1" applyFont="1" applyAlignment="1">
      <alignment horizontal="left" vertical="top"/>
    </xf>
    <xf numFmtId="0" fontId="1" fillId="2" borderId="0" xfId="0" applyFont="1" applyFill="1" applyAlignment="1">
      <alignment horizontal="left" vertical="top"/>
    </xf>
    <xf numFmtId="3" fontId="2" fillId="0" borderId="0" xfId="0" applyNumberFormat="1" applyFont="1" applyAlignment="1">
      <alignment horizontal="left" vertical="top"/>
    </xf>
    <xf numFmtId="164" fontId="1" fillId="0" borderId="0" xfId="0" applyNumberFormat="1" applyFont="1" applyAlignment="1">
      <alignment horizontal="left" vertical="top"/>
    </xf>
    <xf numFmtId="0" fontId="1" fillId="0" borderId="0" xfId="0" applyFont="1" applyAlignment="1"/>
    <xf numFmtId="164" fontId="1" fillId="0" borderId="0" xfId="0" applyNumberFormat="1" applyFont="1" applyAlignment="1">
      <alignment horizontal="left" vertical="top"/>
    </xf>
    <xf numFmtId="0" fontId="1" fillId="0" borderId="0" xfId="0" applyFont="1" applyAlignment="1">
      <alignment horizontal="right"/>
    </xf>
    <xf numFmtId="165" fontId="1" fillId="0" borderId="0" xfId="0" applyNumberFormat="1" applyFont="1" applyAlignment="1">
      <alignment horizontal="left" vertical="top"/>
    </xf>
    <xf numFmtId="0" fontId="3" fillId="0" borderId="0" xfId="0" applyFont="1" applyAlignment="1">
      <alignment horizontal="left" vertical="top"/>
    </xf>
    <xf numFmtId="166" fontId="1" fillId="0" borderId="0" xfId="0" applyNumberFormat="1" applyFont="1" applyAlignment="1">
      <alignment horizontal="left" vertical="top"/>
    </xf>
    <xf numFmtId="3" fontId="1" fillId="0" borderId="0" xfId="0" applyNumberFormat="1" applyFont="1" applyAlignment="1">
      <alignment horizontal="left" vertical="top"/>
    </xf>
    <xf numFmtId="167" fontId="1" fillId="0" borderId="0" xfId="0" applyNumberFormat="1" applyFont="1" applyAlignment="1">
      <alignment horizontal="left" vertical="top"/>
    </xf>
    <xf numFmtId="3" fontId="3" fillId="0" borderId="0" xfId="0" applyNumberFormat="1" applyFont="1" applyAlignment="1">
      <alignment horizontal="left" vertical="top"/>
    </xf>
    <xf numFmtId="167" fontId="1" fillId="0" borderId="0" xfId="0" applyNumberFormat="1" applyFont="1" applyAlignment="1">
      <alignment horizontal="left" vertical="top"/>
    </xf>
    <xf numFmtId="168" fontId="1" fillId="0" borderId="0" xfId="0" applyNumberFormat="1" applyFont="1" applyAlignment="1">
      <alignment horizontal="left" vertical="top"/>
    </xf>
    <xf numFmtId="169" fontId="1" fillId="0" borderId="0" xfId="0" applyNumberFormat="1" applyFont="1" applyAlignment="1">
      <alignment horizontal="left" vertical="top"/>
    </xf>
    <xf numFmtId="170" fontId="1" fillId="0" borderId="0" xfId="0" applyNumberFormat="1" applyFont="1" applyAlignment="1">
      <alignment horizontal="left" vertical="top"/>
    </xf>
    <xf numFmtId="4" fontId="1" fillId="0" borderId="0" xfId="0" applyNumberFormat="1" applyFont="1" applyAlignment="1">
      <alignment horizontal="left" vertical="top"/>
    </xf>
    <xf numFmtId="170" fontId="1" fillId="0" borderId="0" xfId="0" applyNumberFormat="1" applyFont="1" applyAlignment="1">
      <alignment horizontal="left" vertical="top"/>
    </xf>
    <xf numFmtId="3" fontId="2" fillId="0" borderId="0" xfId="0" applyNumberFormat="1" applyFont="1" applyAlignment="1">
      <alignment horizontal="left" vertical="top"/>
    </xf>
    <xf numFmtId="0" fontId="4" fillId="0" borderId="0" xfId="0" applyFont="1" applyAlignment="1">
      <alignment horizontal="left" vertical="top"/>
    </xf>
    <xf numFmtId="0" fontId="3" fillId="0" borderId="0" xfId="0" applyFont="1" applyAlignment="1">
      <alignment horizontal="left" vertical="top"/>
    </xf>
    <xf numFmtId="0" fontId="3" fillId="0" borderId="0" xfId="0" applyFont="1" applyAlignment="1"/>
    <xf numFmtId="0" fontId="5" fillId="0" borderId="0" xfId="0" applyFont="1" applyAlignment="1"/>
    <xf numFmtId="0" fontId="3" fillId="2" borderId="0" xfId="0" applyFont="1" applyFill="1" applyAlignment="1">
      <alignment horizontal="left" vertical="top"/>
    </xf>
    <xf numFmtId="0" fontId="3" fillId="0" borderId="0" xfId="0" applyFont="1" applyAlignment="1">
      <alignment horizontal="left" vertical="top"/>
    </xf>
    <xf numFmtId="0" fontId="3" fillId="0" borderId="0" xfId="0" applyFont="1" applyAlignment="1">
      <alignment horizontal="right"/>
    </xf>
    <xf numFmtId="3" fontId="3" fillId="0" borderId="0" xfId="0" applyNumberFormat="1" applyFont="1" applyAlignment="1">
      <alignment horizontal="left"/>
    </xf>
    <xf numFmtId="0" fontId="5" fillId="0" borderId="0" xfId="0" applyFont="1" applyAlignment="1">
      <alignment horizontal="left"/>
    </xf>
    <xf numFmtId="170" fontId="3" fillId="0" borderId="0" xfId="0" applyNumberFormat="1" applyFont="1" applyAlignment="1">
      <alignment horizontal="left" vertical="top"/>
    </xf>
    <xf numFmtId="4" fontId="3" fillId="0" borderId="0" xfId="0" applyNumberFormat="1" applyFont="1" applyAlignment="1">
      <alignment horizontal="left" vertical="top"/>
    </xf>
    <xf numFmtId="168" fontId="3" fillId="0" borderId="0" xfId="0" applyNumberFormat="1" applyFont="1" applyAlignment="1">
      <alignment horizontal="left" vertical="top"/>
    </xf>
    <xf numFmtId="170" fontId="3" fillId="0" borderId="0" xfId="0" applyNumberFormat="1" applyFont="1" applyAlignment="1">
      <alignment horizontal="left" vertical="top"/>
    </xf>
    <xf numFmtId="0" fontId="5" fillId="0" borderId="0" xfId="0" applyFont="1" applyAlignment="1">
      <alignment horizontal="left" vertical="top"/>
    </xf>
    <xf numFmtId="3" fontId="5" fillId="0" borderId="0" xfId="0" applyNumberFormat="1" applyFont="1" applyAlignment="1">
      <alignment horizontal="left"/>
    </xf>
    <xf numFmtId="164" fontId="3" fillId="0" borderId="0" xfId="0" applyNumberFormat="1" applyFont="1" applyAlignment="1">
      <alignment horizontal="left" vertical="top"/>
    </xf>
    <xf numFmtId="170" fontId="5" fillId="0" borderId="0" xfId="0" applyNumberFormat="1" applyFont="1" applyAlignment="1">
      <alignment horizontal="left"/>
    </xf>
    <xf numFmtId="0" fontId="5" fillId="0" borderId="0" xfId="0" applyFont="1" applyAlignment="1">
      <alignment horizontal="left" vertical="top"/>
    </xf>
    <xf numFmtId="165" fontId="3" fillId="0" borderId="0" xfId="0" applyNumberFormat="1" applyFont="1" applyAlignment="1">
      <alignment horizontal="left" vertical="top"/>
    </xf>
    <xf numFmtId="0" fontId="5" fillId="2" borderId="0" xfId="0" applyFont="1" applyFill="1" applyAlignment="1">
      <alignment horizontal="left" vertical="top"/>
    </xf>
    <xf numFmtId="166" fontId="3" fillId="0" borderId="0" xfId="0" applyNumberFormat="1" applyFont="1" applyAlignment="1">
      <alignment horizontal="left" vertical="top"/>
    </xf>
    <xf numFmtId="3" fontId="5" fillId="0" borderId="0" xfId="0" applyNumberFormat="1" applyFont="1" applyAlignment="1">
      <alignment horizontal="left" vertical="top"/>
    </xf>
    <xf numFmtId="168" fontId="5" fillId="0" borderId="0" xfId="0" applyNumberFormat="1" applyFont="1" applyAlignment="1">
      <alignment horizontal="left" vertical="top"/>
    </xf>
    <xf numFmtId="170" fontId="5" fillId="0" borderId="0" xfId="0" applyNumberFormat="1" applyFont="1" applyAlignment="1">
      <alignment horizontal="left" vertical="top"/>
    </xf>
    <xf numFmtId="170" fontId="5" fillId="0" borderId="0" xfId="0" applyNumberFormat="1" applyFont="1" applyAlignment="1">
      <alignment horizontal="left" vertical="top"/>
    </xf>
    <xf numFmtId="167" fontId="3" fillId="0" borderId="0" xfId="0" applyNumberFormat="1" applyFont="1" applyAlignment="1">
      <alignment horizontal="left" vertical="top"/>
    </xf>
    <xf numFmtId="4" fontId="5" fillId="0" borderId="0" xfId="0" applyNumberFormat="1" applyFont="1" applyAlignment="1">
      <alignment horizontal="left" vertical="top"/>
    </xf>
    <xf numFmtId="4" fontId="5" fillId="0" borderId="0" xfId="0" applyNumberFormat="1" applyFont="1" applyAlignment="1">
      <alignment horizontal="left" vertical="top"/>
    </xf>
    <xf numFmtId="3" fontId="5" fillId="0" borderId="0" xfId="0" applyNumberFormat="1" applyFont="1" applyAlignment="1">
      <alignment horizontal="left" vertical="top"/>
    </xf>
    <xf numFmtId="169" fontId="3" fillId="0" borderId="0" xfId="0" applyNumberFormat="1" applyFont="1" applyAlignment="1">
      <alignment horizontal="left" vertical="top"/>
    </xf>
    <xf numFmtId="0" fontId="3" fillId="2" borderId="0" xfId="0" applyFont="1" applyFill="1" applyAlignment="1"/>
    <xf numFmtId="3" fontId="3" fillId="0" borderId="0" xfId="0" applyNumberFormat="1" applyFont="1" applyAlignment="1">
      <alignment horizontal="left" vertical="top"/>
    </xf>
    <xf numFmtId="170" fontId="5" fillId="0" borderId="0" xfId="0" applyNumberFormat="1" applyFont="1" applyAlignment="1">
      <alignment horizontal="left"/>
    </xf>
    <xf numFmtId="0" fontId="5" fillId="0" borderId="0" xfId="0" applyFont="1"/>
    <xf numFmtId="0" fontId="3" fillId="2" borderId="0" xfId="0" applyFont="1" applyFill="1" applyAlignment="1">
      <alignment horizontal="left"/>
    </xf>
    <xf numFmtId="0" fontId="5" fillId="2" borderId="0" xfId="0" applyFont="1" applyFill="1" applyAlignment="1">
      <alignment horizontal="left" vertical="top"/>
    </xf>
    <xf numFmtId="0" fontId="5" fillId="0" borderId="0" xfId="0" applyFont="1" applyAlignment="1">
      <alignment horizontal="left" vertical="top"/>
    </xf>
    <xf numFmtId="168" fontId="5" fillId="0" borderId="0" xfId="0" applyNumberFormat="1" applyFont="1" applyAlignment="1">
      <alignment horizontal="left" vertical="top"/>
    </xf>
    <xf numFmtId="0" fontId="6" fillId="2" borderId="0" xfId="0" applyFont="1" applyFill="1" applyAlignment="1">
      <alignment horizontal="left"/>
    </xf>
    <xf numFmtId="0" fontId="3" fillId="2" borderId="0" xfId="0" applyFont="1" applyFill="1" applyAlignment="1"/>
    <xf numFmtId="0" fontId="3" fillId="2" borderId="0" xfId="0" applyFont="1" applyFill="1" applyAlignment="1">
      <alignment horizontal="left" vertical="top"/>
    </xf>
    <xf numFmtId="0" fontId="3" fillId="2" borderId="0" xfId="0" applyFont="1" applyFill="1" applyAlignment="1">
      <alignment horizontal="left" vertical="top"/>
    </xf>
    <xf numFmtId="0" fontId="3" fillId="2" borderId="0" xfId="0" applyFont="1" applyFill="1" applyAlignment="1">
      <alignment horizontal="right"/>
    </xf>
    <xf numFmtId="3" fontId="3" fillId="2" borderId="0" xfId="0" applyNumberFormat="1" applyFont="1" applyFill="1" applyAlignment="1">
      <alignment horizontal="left" vertical="top"/>
    </xf>
    <xf numFmtId="3" fontId="3" fillId="2" borderId="0" xfId="0" applyNumberFormat="1" applyFont="1" applyFill="1" applyAlignment="1">
      <alignment horizontal="left" vertical="top"/>
    </xf>
    <xf numFmtId="3" fontId="3" fillId="2" borderId="0" xfId="0" applyNumberFormat="1" applyFont="1" applyFill="1" applyAlignment="1">
      <alignment horizontal="left"/>
    </xf>
    <xf numFmtId="168" fontId="3" fillId="2" borderId="0" xfId="0" applyNumberFormat="1" applyFont="1" applyFill="1" applyAlignment="1">
      <alignment horizontal="left" vertical="top"/>
    </xf>
    <xf numFmtId="170" fontId="3" fillId="2" borderId="0" xfId="0" applyNumberFormat="1" applyFont="1" applyFill="1" applyAlignment="1">
      <alignment horizontal="left" vertical="top"/>
    </xf>
    <xf numFmtId="170" fontId="3" fillId="2" borderId="0" xfId="0" applyNumberFormat="1" applyFont="1" applyFill="1" applyAlignment="1">
      <alignment horizontal="left" vertical="top"/>
    </xf>
    <xf numFmtId="4" fontId="3" fillId="2" borderId="0" xfId="0" applyNumberFormat="1" applyFont="1" applyFill="1" applyAlignment="1">
      <alignment horizontal="left" vertical="top"/>
    </xf>
    <xf numFmtId="0" fontId="5" fillId="2" borderId="0" xfId="0" applyFont="1" applyFill="1" applyAlignment="1">
      <alignment horizontal="left"/>
    </xf>
    <xf numFmtId="0" fontId="3" fillId="0" borderId="0" xfId="0" applyFont="1" applyAlignment="1">
      <alignment horizontal="left" vertical="center"/>
    </xf>
    <xf numFmtId="0" fontId="3" fillId="0" borderId="0" xfId="0" applyFont="1" applyAlignment="1">
      <alignment horizontal="left" vertical="center"/>
    </xf>
    <xf numFmtId="9" fontId="3" fillId="0" borderId="0" xfId="0" applyNumberFormat="1" applyFont="1" applyAlignment="1">
      <alignment horizontal="left" vertical="center"/>
    </xf>
    <xf numFmtId="3" fontId="3" fillId="0" borderId="0" xfId="0" applyNumberFormat="1" applyFont="1" applyAlignment="1">
      <alignment horizontal="left"/>
    </xf>
    <xf numFmtId="3" fontId="3" fillId="0" borderId="0" xfId="0" applyNumberFormat="1" applyFont="1" applyAlignment="1">
      <alignment horizontal="left"/>
    </xf>
    <xf numFmtId="3" fontId="3" fillId="0" borderId="0" xfId="0" applyNumberFormat="1" applyFont="1" applyAlignment="1">
      <alignment horizontal="left" vertical="center"/>
    </xf>
    <xf numFmtId="168" fontId="3" fillId="0" borderId="0" xfId="0" applyNumberFormat="1" applyFont="1" applyAlignment="1">
      <alignment horizontal="left" vertical="center"/>
    </xf>
    <xf numFmtId="170" fontId="3" fillId="0" borderId="0" xfId="0" applyNumberFormat="1" applyFont="1" applyAlignment="1">
      <alignment horizontal="left" vertical="center"/>
    </xf>
    <xf numFmtId="4" fontId="3" fillId="0" borderId="0" xfId="0" applyNumberFormat="1" applyFont="1" applyAlignment="1">
      <alignment horizontal="left" vertical="center"/>
    </xf>
    <xf numFmtId="3" fontId="3" fillId="0" borderId="0" xfId="0" applyNumberFormat="1" applyFont="1" applyAlignment="1">
      <alignment horizontal="left" vertical="center"/>
    </xf>
    <xf numFmtId="0" fontId="3" fillId="0" borderId="0" xfId="0" applyFont="1" applyAlignment="1"/>
    <xf numFmtId="0" fontId="3" fillId="0" borderId="0" xfId="0" applyFont="1" applyAlignment="1">
      <alignment horizontal="left" vertical="center" wrapText="1"/>
    </xf>
    <xf numFmtId="0" fontId="5" fillId="2" borderId="0" xfId="0" applyFont="1" applyFill="1" applyAlignment="1"/>
    <xf numFmtId="0" fontId="3" fillId="0" borderId="0" xfId="0" applyFont="1" applyAlignment="1">
      <alignment horizontal="right" vertical="center" wrapText="1"/>
    </xf>
    <xf numFmtId="0" fontId="3" fillId="2" borderId="0" xfId="0" applyFont="1" applyFill="1" applyAlignment="1">
      <alignment horizontal="left" vertical="center" wrapText="1"/>
    </xf>
    <xf numFmtId="0" fontId="3" fillId="0" borderId="0" xfId="0" applyFont="1" applyAlignment="1">
      <alignment horizontal="left" vertical="center" wrapText="1"/>
    </xf>
    <xf numFmtId="3" fontId="3" fillId="0" borderId="0" xfId="0" applyNumberFormat="1" applyFont="1" applyAlignment="1">
      <alignment horizontal="left" vertical="center" wrapText="1"/>
    </xf>
    <xf numFmtId="168" fontId="3" fillId="0" borderId="0" xfId="0" applyNumberFormat="1" applyFont="1" applyAlignment="1">
      <alignment horizontal="left" vertical="center" wrapText="1"/>
    </xf>
    <xf numFmtId="170" fontId="3" fillId="0" borderId="0" xfId="0" applyNumberFormat="1" applyFont="1" applyAlignment="1">
      <alignment horizontal="left" vertical="center" wrapText="1"/>
    </xf>
    <xf numFmtId="4" fontId="3" fillId="0" borderId="0" xfId="0" applyNumberFormat="1" applyFont="1" applyAlignment="1">
      <alignment horizontal="left" vertical="center" wrapText="1"/>
    </xf>
    <xf numFmtId="3" fontId="3" fillId="0" borderId="0" xfId="0" applyNumberFormat="1" applyFont="1" applyAlignment="1">
      <alignment horizontal="left" vertical="center" wrapText="1"/>
    </xf>
    <xf numFmtId="170" fontId="3" fillId="0" borderId="0" xfId="0" applyNumberFormat="1" applyFont="1" applyAlignment="1">
      <alignment horizontal="left" vertical="center" wrapText="1"/>
    </xf>
    <xf numFmtId="4" fontId="3" fillId="0" borderId="0" xfId="0" applyNumberFormat="1" applyFont="1" applyAlignment="1">
      <alignment horizontal="left" vertical="center" wrapText="1"/>
    </xf>
    <xf numFmtId="0" fontId="5" fillId="0" borderId="0" xfId="0" applyFont="1" applyAlignment="1">
      <alignment horizontal="left"/>
    </xf>
    <xf numFmtId="0" fontId="7" fillId="0" borderId="0" xfId="0" applyFont="1" applyAlignment="1"/>
    <xf numFmtId="168" fontId="3" fillId="0" borderId="0" xfId="0" applyNumberFormat="1" applyFont="1" applyAlignment="1">
      <alignment horizontal="left" vertical="center" wrapText="1"/>
    </xf>
    <xf numFmtId="0" fontId="3"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5" fillId="0" borderId="0" xfId="0" applyFont="1"/>
    <xf numFmtId="0" fontId="8" fillId="0" borderId="0" xfId="0" applyFont="1" applyAlignment="1"/>
    <xf numFmtId="0" fontId="3" fillId="2" borderId="0" xfId="0" applyFont="1" applyFill="1" applyAlignment="1">
      <alignment horizontal="left" vertical="center" wrapText="1"/>
    </xf>
    <xf numFmtId="0" fontId="3" fillId="0" borderId="0" xfId="0" applyFont="1" applyAlignment="1"/>
    <xf numFmtId="0" fontId="3" fillId="0" borderId="0" xfId="0" applyFont="1" applyAlignment="1">
      <alignment horizontal="right" vertical="center" wrapText="1"/>
    </xf>
    <xf numFmtId="0" fontId="2" fillId="0" borderId="0" xfId="0" applyFont="1" applyAlignment="1"/>
    <xf numFmtId="0" fontId="2" fillId="0" borderId="0" xfId="0" applyFont="1"/>
    <xf numFmtId="49" fontId="1" fillId="0" borderId="0" xfId="0" applyNumberFormat="1" applyFont="1" applyAlignment="1">
      <alignment horizontal="left" vertical="top"/>
    </xf>
    <xf numFmtId="49" fontId="2" fillId="0" borderId="0" xfId="0" applyNumberFormat="1" applyFont="1" applyAlignment="1"/>
    <xf numFmtId="171" fontId="2" fillId="0" borderId="0" xfId="0" applyNumberFormat="1" applyFont="1" applyAlignment="1"/>
    <xf numFmtId="167" fontId="2" fillId="0" borderId="0" xfId="0" applyNumberFormat="1" applyFont="1" applyAlignment="1"/>
    <xf numFmtId="0" fontId="9" fillId="0" borderId="0" xfId="0" applyFont="1"/>
    <xf numFmtId="49" fontId="5" fillId="0" borderId="0" xfId="0" applyNumberFormat="1" applyFont="1" applyAlignment="1"/>
    <xf numFmtId="49" fontId="5" fillId="0" borderId="0" xfId="0" applyNumberFormat="1" applyFont="1"/>
    <xf numFmtId="171" fontId="5" fillId="0" borderId="0" xfId="0" applyNumberFormat="1" applyFont="1"/>
    <xf numFmtId="167" fontId="5" fillId="0" borderId="0" xfId="0" applyNumberFormat="1" applyFont="1"/>
    <xf numFmtId="164" fontId="10" fillId="0" borderId="0" xfId="0" applyNumberFormat="1" applyFont="1"/>
    <xf numFmtId="49" fontId="10" fillId="0" borderId="0" xfId="0" applyNumberFormat="1" applyFont="1"/>
    <xf numFmtId="171" fontId="10" fillId="0" borderId="0" xfId="0" applyNumberFormat="1" applyFont="1"/>
    <xf numFmtId="167" fontId="10" fillId="0" borderId="0" xfId="0" applyNumberFormat="1" applyFont="1"/>
    <xf numFmtId="3" fontId="5" fillId="0" borderId="0" xfId="0" applyNumberFormat="1" applyFont="1"/>
    <xf numFmtId="164" fontId="5" fillId="0" borderId="0" xfId="0" applyNumberFormat="1" applyFont="1"/>
    <xf numFmtId="3" fontId="10" fillId="0" borderId="0" xfId="0" applyNumberFormat="1" applyFont="1"/>
    <xf numFmtId="0" fontId="3" fillId="2" borderId="0" xfId="0" applyFont="1" applyFill="1"/>
    <xf numFmtId="0" fontId="11" fillId="2" borderId="0" xfId="0" applyFont="1" applyFill="1"/>
    <xf numFmtId="0" fontId="5" fillId="3" borderId="0" xfId="0" applyFont="1" applyFill="1"/>
    <xf numFmtId="0" fontId="12" fillId="0" borderId="0" xfId="0" applyFont="1" applyAlignment="1">
      <alignment horizontal="left" wrapText="1"/>
    </xf>
    <xf numFmtId="0" fontId="12" fillId="0" borderId="1" xfId="0" applyFont="1" applyBorder="1" applyAlignment="1">
      <alignment horizontal="left" wrapText="1"/>
    </xf>
    <xf numFmtId="0" fontId="13" fillId="0" borderId="1" xfId="0" applyFont="1" applyBorder="1" applyAlignment="1">
      <alignment horizontal="center" wrapText="1"/>
    </xf>
    <xf numFmtId="0" fontId="13" fillId="0" borderId="1" xfId="0" applyFont="1" applyBorder="1" applyAlignment="1">
      <alignment horizontal="center" wrapText="1"/>
    </xf>
    <xf numFmtId="2" fontId="13" fillId="0" borderId="1" xfId="0" applyNumberFormat="1" applyFont="1" applyBorder="1" applyAlignment="1">
      <alignment horizontal="center" wrapText="1"/>
    </xf>
    <xf numFmtId="0" fontId="12" fillId="0" borderId="1" xfId="0" applyFont="1" applyBorder="1" applyAlignment="1">
      <alignment horizontal="center" wrapText="1"/>
    </xf>
    <xf numFmtId="0" fontId="14" fillId="0" borderId="1" xfId="0" applyFont="1" applyBorder="1" applyAlignment="1">
      <alignment horizontal="center" wrapText="1"/>
    </xf>
    <xf numFmtId="0" fontId="15" fillId="0" borderId="1" xfId="0" applyFont="1" applyBorder="1" applyAlignment="1">
      <alignment wrapText="1"/>
    </xf>
    <xf numFmtId="0" fontId="15" fillId="0" borderId="1" xfId="0" applyFont="1" applyBorder="1" applyAlignment="1">
      <alignment horizontal="left" wrapText="1"/>
    </xf>
    <xf numFmtId="0" fontId="14" fillId="0" borderId="1" xfId="0" applyFont="1" applyBorder="1" applyAlignment="1">
      <alignment wrapText="1"/>
    </xf>
    <xf numFmtId="0" fontId="14" fillId="0" borderId="1" xfId="0" applyFont="1" applyBorder="1" applyAlignment="1">
      <alignment horizontal="center" wrapText="1"/>
    </xf>
    <xf numFmtId="2" fontId="14" fillId="0" borderId="1" xfId="0" applyNumberFormat="1" applyFont="1" applyBorder="1" applyAlignment="1">
      <alignment horizontal="center" wrapText="1"/>
    </xf>
    <xf numFmtId="0" fontId="14" fillId="0" borderId="0" xfId="0" applyFont="1" applyAlignment="1">
      <alignment horizontal="center" wrapText="1"/>
    </xf>
    <xf numFmtId="0" fontId="16" fillId="0" borderId="0" xfId="0" applyFont="1" applyAlignment="1">
      <alignment horizontal="left" wrapText="1"/>
    </xf>
    <xf numFmtId="0" fontId="16" fillId="0" borderId="0" xfId="0" applyFont="1" applyAlignment="1">
      <alignment horizontal="center"/>
    </xf>
    <xf numFmtId="1" fontId="16" fillId="0" borderId="0" xfId="0" applyNumberFormat="1" applyFont="1" applyAlignment="1">
      <alignment horizontal="center"/>
    </xf>
    <xf numFmtId="3" fontId="16" fillId="0" borderId="0" xfId="0" applyNumberFormat="1" applyFont="1" applyAlignment="1">
      <alignment horizontal="center"/>
    </xf>
    <xf numFmtId="0" fontId="15" fillId="0" borderId="0" xfId="0" applyFont="1"/>
    <xf numFmtId="0" fontId="15" fillId="0" borderId="0" xfId="0" applyFont="1" applyAlignment="1"/>
    <xf numFmtId="0" fontId="17" fillId="0" borderId="0" xfId="0" applyFont="1" applyAlignment="1">
      <alignment horizontal="left"/>
    </xf>
    <xf numFmtId="0" fontId="15" fillId="0" borderId="0" xfId="0" applyFont="1" applyAlignment="1">
      <alignment horizontal="center"/>
    </xf>
    <xf numFmtId="1" fontId="15" fillId="0" borderId="0" xfId="0" applyNumberFormat="1" applyFont="1" applyAlignment="1">
      <alignment horizontal="center"/>
    </xf>
    <xf numFmtId="3" fontId="15" fillId="0" borderId="0" xfId="0" applyNumberFormat="1" applyFont="1" applyAlignment="1">
      <alignment horizontal="center"/>
    </xf>
    <xf numFmtId="0" fontId="15" fillId="0" borderId="0" xfId="0" applyFont="1" applyAlignment="1">
      <alignment horizontal="center"/>
    </xf>
    <xf numFmtId="1" fontId="15" fillId="0" borderId="0" xfId="0" applyNumberFormat="1" applyFont="1" applyAlignment="1">
      <alignment horizontal="center"/>
    </xf>
    <xf numFmtId="3" fontId="15" fillId="0" borderId="0" xfId="0" applyNumberFormat="1" applyFont="1" applyAlignment="1">
      <alignment horizontal="center"/>
    </xf>
    <xf numFmtId="0" fontId="15" fillId="0" borderId="0" xfId="0" applyFont="1" applyAlignment="1">
      <alignment horizontal="left"/>
    </xf>
    <xf numFmtId="0" fontId="15" fillId="0" borderId="0" xfId="0" applyFont="1" applyAlignment="1">
      <alignment horizontal="left"/>
    </xf>
    <xf numFmtId="0" fontId="15" fillId="0" borderId="0" xfId="0" applyFont="1" applyAlignment="1">
      <alignment horizontal="left" wrapText="1"/>
    </xf>
    <xf numFmtId="1" fontId="15" fillId="0" borderId="0" xfId="0" applyNumberFormat="1" applyFont="1"/>
    <xf numFmtId="3" fontId="15" fillId="0" borderId="0" xfId="0" applyNumberFormat="1" applyFont="1"/>
    <xf numFmtId="0" fontId="15" fillId="0" borderId="0" xfId="0" applyFont="1" applyAlignment="1">
      <alignment horizontal="left" wrapText="1"/>
    </xf>
    <xf numFmtId="0" fontId="18" fillId="0" borderId="0" xfId="0" applyFont="1" applyAlignment="1">
      <alignment horizontal="left" wrapText="1"/>
    </xf>
    <xf numFmtId="0" fontId="19" fillId="0" borderId="2" xfId="0" applyFont="1" applyBorder="1" applyAlignment="1">
      <alignment horizontal="left" vertical="top" wrapText="1"/>
    </xf>
    <xf numFmtId="0" fontId="20" fillId="0" borderId="2" xfId="0" applyFont="1" applyBorder="1" applyAlignment="1">
      <alignment horizontal="left" vertical="top" wrapText="1"/>
    </xf>
    <xf numFmtId="0" fontId="20" fillId="0" borderId="2" xfId="0" applyFont="1" applyBorder="1" applyAlignment="1">
      <alignment horizontal="left" vertical="top" wrapText="1"/>
    </xf>
    <xf numFmtId="2" fontId="20" fillId="0" borderId="2" xfId="0" applyNumberFormat="1" applyFont="1" applyBorder="1" applyAlignment="1">
      <alignment horizontal="left" vertical="top" wrapText="1"/>
    </xf>
    <xf numFmtId="0" fontId="21" fillId="0" borderId="2" xfId="0" applyFont="1" applyBorder="1" applyAlignment="1">
      <alignment horizontal="left" vertical="top" wrapText="1"/>
    </xf>
    <xf numFmtId="0" fontId="22" fillId="0" borderId="0" xfId="0" applyFont="1" applyAlignment="1">
      <alignment horizontal="left" wrapText="1"/>
    </xf>
    <xf numFmtId="0" fontId="23" fillId="0" borderId="0" xfId="0" applyFont="1" applyAlignment="1">
      <alignment horizontal="left" vertical="top" wrapText="1"/>
    </xf>
    <xf numFmtId="0" fontId="23" fillId="0" borderId="0" xfId="0" applyFont="1" applyAlignment="1">
      <alignment horizontal="left" vertical="top"/>
    </xf>
    <xf numFmtId="1" fontId="23" fillId="0" borderId="0" xfId="0" applyNumberFormat="1" applyFont="1" applyAlignment="1">
      <alignment horizontal="left" vertical="top"/>
    </xf>
    <xf numFmtId="0" fontId="24" fillId="0" borderId="0" xfId="0" applyFont="1" applyAlignment="1">
      <alignment horizontal="left" vertical="top" wrapText="1"/>
    </xf>
    <xf numFmtId="0" fontId="24" fillId="0" borderId="0" xfId="0" applyFont="1" applyAlignment="1">
      <alignment horizontal="left" vertical="top"/>
    </xf>
    <xf numFmtId="1" fontId="24" fillId="0" borderId="0" xfId="0" applyNumberFormat="1" applyFont="1" applyAlignment="1">
      <alignment horizontal="left" vertical="top"/>
    </xf>
    <xf numFmtId="3" fontId="24" fillId="0" borderId="0" xfId="0" applyNumberFormat="1" applyFont="1" applyAlignment="1">
      <alignment horizontal="left" vertical="top"/>
    </xf>
    <xf numFmtId="0" fontId="23" fillId="0" borderId="0" xfId="0" applyFont="1" applyAlignment="1">
      <alignment horizontal="left" vertical="top" wrapText="1"/>
    </xf>
    <xf numFmtId="0" fontId="24" fillId="0" borderId="0" xfId="0" applyFont="1" applyAlignment="1">
      <alignment horizontal="left" vertical="top"/>
    </xf>
    <xf numFmtId="1" fontId="23" fillId="0" borderId="0" xfId="0" applyNumberFormat="1" applyFont="1" applyAlignment="1">
      <alignment horizontal="left" vertical="top"/>
    </xf>
    <xf numFmtId="0" fontId="23" fillId="0" borderId="0" xfId="0" applyFont="1" applyAlignment="1">
      <alignment horizontal="left" vertical="top"/>
    </xf>
    <xf numFmtId="0" fontId="23" fillId="0" borderId="1" xfId="0" applyFont="1" applyBorder="1" applyAlignment="1">
      <alignment horizontal="left" vertical="top" wrapText="1"/>
    </xf>
    <xf numFmtId="0" fontId="23" fillId="0" borderId="1" xfId="0" applyFont="1" applyBorder="1" applyAlignment="1">
      <alignment horizontal="left" vertical="top"/>
    </xf>
    <xf numFmtId="1" fontId="23" fillId="0" borderId="1" xfId="0" applyNumberFormat="1" applyFont="1" applyBorder="1" applyAlignment="1">
      <alignment horizontal="left" vertical="top"/>
    </xf>
    <xf numFmtId="2" fontId="15" fillId="0" borderId="0" xfId="0" applyNumberFormat="1" applyFont="1" applyAlignment="1">
      <alignment horizontal="center"/>
    </xf>
    <xf numFmtId="0" fontId="6" fillId="0" borderId="0" xfId="0" applyFont="1" applyAlignment="1">
      <alignment horizontal="left" vertical="top"/>
    </xf>
    <xf numFmtId="0" fontId="24" fillId="0" borderId="0" xfId="0" applyFont="1" applyAlignment="1">
      <alignment horizontal="left" vertical="top" wrapText="1"/>
    </xf>
    <xf numFmtId="0" fontId="0" fillId="0" borderId="0" xfId="0" applyFont="1" applyAlignment="1"/>
    <xf numFmtId="0" fontId="23" fillId="0" borderId="0" xfId="0" applyFont="1" applyAlignment="1">
      <alignment horizontal="left" vertical="top" wrapText="1"/>
    </xf>
    <xf numFmtId="0" fontId="0" fillId="0" borderId="0" xfId="0" applyFont="1" applyAlignment="1">
      <alignment horizontal="left"/>
    </xf>
  </cellXfs>
  <cellStyles count="1">
    <cellStyle name="Normal" xfId="0" builtinId="0"/>
  </cellStyles>
  <dxfs count="4">
    <dxf>
      <font>
        <color rgb="FF9C0006"/>
      </font>
      <fill>
        <patternFill patternType="solid">
          <fgColor rgb="FFFFC7CE"/>
          <bgColor rgb="FFFFC7CE"/>
        </patternFill>
      </fill>
      <alignment wrapText="0" shrinkToFit="0"/>
      <border>
        <left/>
        <right/>
        <top/>
        <bottom/>
      </border>
    </dxf>
    <dxf>
      <font>
        <color rgb="FF9C0006"/>
      </font>
      <fill>
        <patternFill patternType="solid">
          <fgColor rgb="FFFFC7CE"/>
          <bgColor rgb="FFFFC7CE"/>
        </patternFill>
      </fill>
      <alignment wrapText="0" shrinkToFit="0"/>
      <border>
        <left/>
        <right/>
        <top/>
        <bottom/>
      </border>
    </dxf>
    <dxf>
      <font>
        <color rgb="FF9C0006"/>
      </font>
      <fill>
        <patternFill patternType="solid">
          <fgColor rgb="FFFFC7CE"/>
          <bgColor rgb="FFFFC7CE"/>
        </patternFill>
      </fill>
      <alignment wrapText="0" shrinkToFit="0"/>
      <border>
        <left/>
        <right/>
        <top/>
        <bottom/>
      </border>
    </dxf>
    <dxf>
      <font>
        <color rgb="FF00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Z994"/>
  <sheetViews>
    <sheetView workbookViewId="0">
      <pane xSplit="2" ySplit="1" topLeftCell="AS28" activePane="bottomRight" state="frozen"/>
      <selection pane="topRight" activeCell="C1" sqref="C1"/>
      <selection pane="bottomLeft" activeCell="A2" sqref="A2"/>
      <selection pane="bottomRight" activeCell="A41" sqref="A41:XFD41"/>
    </sheetView>
  </sheetViews>
  <sheetFormatPr defaultColWidth="14.44140625" defaultRowHeight="15.75" customHeight="1"/>
  <cols>
    <col min="1" max="1" width="37.44140625" customWidth="1"/>
    <col min="2" max="2" width="8.27734375" customWidth="1"/>
    <col min="3" max="3" width="16.83203125" customWidth="1"/>
    <col min="4" max="4" width="7.71875" customWidth="1"/>
    <col min="5" max="5" width="50.44140625" customWidth="1"/>
    <col min="6" max="6" width="13.5546875" customWidth="1"/>
    <col min="7" max="7" width="14.44140625" customWidth="1"/>
    <col min="8" max="8" width="63.109375" customWidth="1"/>
    <col min="9" max="10" width="9" customWidth="1"/>
    <col min="11" max="11" width="8.71875" customWidth="1"/>
    <col min="12" max="12" width="8.27734375" customWidth="1"/>
    <col min="13" max="13" width="25.5546875" customWidth="1"/>
    <col min="14" max="14" width="19.5546875" customWidth="1"/>
    <col min="15" max="15" width="22.5546875" customWidth="1"/>
    <col min="16" max="16" width="10.109375" customWidth="1"/>
    <col min="17" max="17" width="11.44140625" customWidth="1"/>
    <col min="18" max="18" width="5.5546875" customWidth="1"/>
    <col min="19" max="19" width="21.44140625" customWidth="1"/>
    <col min="20" max="20" width="9.109375" customWidth="1"/>
    <col min="21" max="24" width="24" customWidth="1"/>
    <col min="25" max="25" width="17.44140625" customWidth="1"/>
    <col min="26" max="26" width="14.109375" customWidth="1"/>
    <col min="27" max="27" width="4.83203125" customWidth="1"/>
    <col min="28" max="28" width="4.44140625" customWidth="1"/>
    <col min="29" max="29" width="4.109375" customWidth="1"/>
    <col min="30" max="30" width="4.44140625" customWidth="1"/>
    <col min="31" max="32" width="16" customWidth="1"/>
    <col min="33" max="35" width="19.83203125" customWidth="1"/>
    <col min="36" max="37" width="16.27734375" customWidth="1"/>
    <col min="38" max="46" width="4" customWidth="1"/>
    <col min="47" max="47" width="16.27734375" customWidth="1"/>
    <col min="48" max="52" width="4" customWidth="1"/>
    <col min="53" max="55" width="4.109375" customWidth="1"/>
    <col min="56" max="63" width="4" customWidth="1"/>
    <col min="64" max="64" width="16.27734375" customWidth="1"/>
    <col min="65" max="65" width="5.71875" customWidth="1"/>
    <col min="66" max="66" width="4.83203125" customWidth="1"/>
    <col min="67" max="67" width="5.44140625" customWidth="1"/>
    <col min="68" max="68" width="5.83203125" customWidth="1"/>
    <col min="69" max="69" width="14" customWidth="1"/>
    <col min="70" max="70" width="18" customWidth="1"/>
    <col min="71" max="71" width="16.27734375" customWidth="1"/>
    <col min="72" max="78" width="14" customWidth="1"/>
  </cols>
  <sheetData>
    <row r="1" spans="1:78" ht="12.9">
      <c r="A1" s="1" t="s">
        <v>1</v>
      </c>
      <c r="B1" s="2" t="s">
        <v>9</v>
      </c>
      <c r="C1" s="2" t="s">
        <v>10</v>
      </c>
      <c r="D1" s="1" t="s">
        <v>0</v>
      </c>
      <c r="E1" s="1" t="s">
        <v>3</v>
      </c>
      <c r="F1" s="2" t="s">
        <v>11</v>
      </c>
      <c r="G1" s="1" t="s">
        <v>2</v>
      </c>
      <c r="H1" s="4" t="s">
        <v>12</v>
      </c>
      <c r="I1" s="7" t="s">
        <v>17</v>
      </c>
      <c r="J1" s="7" t="s">
        <v>48</v>
      </c>
      <c r="K1" s="1" t="s">
        <v>49</v>
      </c>
      <c r="L1" s="1" t="s">
        <v>50</v>
      </c>
      <c r="M1" s="2" t="s">
        <v>51</v>
      </c>
      <c r="N1" s="9" t="s">
        <v>52</v>
      </c>
      <c r="O1" s="9" t="s">
        <v>54</v>
      </c>
      <c r="P1" s="1" t="s">
        <v>55</v>
      </c>
      <c r="Q1" s="1" t="s">
        <v>56</v>
      </c>
      <c r="R1" s="2" t="s">
        <v>57</v>
      </c>
      <c r="S1" s="1" t="s">
        <v>58</v>
      </c>
      <c r="T1" s="1" t="s">
        <v>59</v>
      </c>
      <c r="U1" s="1" t="s">
        <v>60</v>
      </c>
      <c r="V1" s="1" t="s">
        <v>61</v>
      </c>
      <c r="W1" s="1" t="s">
        <v>62</v>
      </c>
      <c r="X1" s="1" t="s">
        <v>63</v>
      </c>
      <c r="Y1" s="1" t="s">
        <v>64</v>
      </c>
      <c r="Z1" s="3" t="s">
        <v>65</v>
      </c>
      <c r="AA1" s="13" t="s">
        <v>66</v>
      </c>
      <c r="AB1" s="13" t="s">
        <v>70</v>
      </c>
      <c r="AC1" s="13" t="s">
        <v>71</v>
      </c>
      <c r="AD1" s="13" t="s">
        <v>72</v>
      </c>
      <c r="AE1" s="3" t="s">
        <v>8</v>
      </c>
      <c r="AF1" s="17" t="s">
        <v>53</v>
      </c>
      <c r="AG1" s="19" t="s">
        <v>78</v>
      </c>
      <c r="AH1" s="19" t="s">
        <v>98</v>
      </c>
      <c r="AI1" s="20" t="s">
        <v>101</v>
      </c>
      <c r="AJ1" s="3" t="s">
        <v>120</v>
      </c>
      <c r="AK1" s="21" t="s">
        <v>77</v>
      </c>
      <c r="AL1" s="22" t="s">
        <v>142</v>
      </c>
      <c r="AM1" s="22" t="s">
        <v>145</v>
      </c>
      <c r="AN1" s="22" t="s">
        <v>146</v>
      </c>
      <c r="AO1" s="22" t="s">
        <v>147</v>
      </c>
      <c r="AP1" s="22" t="s">
        <v>148</v>
      </c>
      <c r="AQ1" s="22" t="s">
        <v>149</v>
      </c>
      <c r="AR1" s="22" t="s">
        <v>150</v>
      </c>
      <c r="AS1" s="22" t="s">
        <v>151</v>
      </c>
      <c r="AT1" s="22" t="s">
        <v>152</v>
      </c>
      <c r="AU1" s="21" t="s">
        <v>88</v>
      </c>
      <c r="AV1" s="13" t="s">
        <v>142</v>
      </c>
      <c r="AW1" s="13" t="s">
        <v>145</v>
      </c>
      <c r="AX1" s="13" t="s">
        <v>146</v>
      </c>
      <c r="AY1" s="13" t="s">
        <v>153</v>
      </c>
      <c r="AZ1" s="13" t="s">
        <v>147</v>
      </c>
      <c r="BA1" s="13" t="s">
        <v>148</v>
      </c>
      <c r="BB1" s="13" t="s">
        <v>149</v>
      </c>
      <c r="BC1" s="13" t="s">
        <v>154</v>
      </c>
      <c r="BD1" s="13" t="s">
        <v>150</v>
      </c>
      <c r="BE1" s="13" t="s">
        <v>151</v>
      </c>
      <c r="BF1" s="13" t="s">
        <v>152</v>
      </c>
      <c r="BG1" s="13" t="s">
        <v>155</v>
      </c>
      <c r="BH1" s="13" t="s">
        <v>156</v>
      </c>
      <c r="BI1" s="13" t="s">
        <v>157</v>
      </c>
      <c r="BJ1" s="13" t="s">
        <v>158</v>
      </c>
      <c r="BK1" s="13" t="s">
        <v>159</v>
      </c>
      <c r="BL1" s="21" t="s">
        <v>99</v>
      </c>
      <c r="BM1" s="3" t="s">
        <v>162</v>
      </c>
      <c r="BN1" s="3" t="s">
        <v>164</v>
      </c>
      <c r="BO1" s="3" t="s">
        <v>159</v>
      </c>
      <c r="BP1" s="3" t="s">
        <v>169</v>
      </c>
      <c r="BQ1" s="19" t="s">
        <v>108</v>
      </c>
      <c r="BR1" s="19" t="s">
        <v>173</v>
      </c>
      <c r="BS1" s="19" t="s">
        <v>120</v>
      </c>
      <c r="BT1" s="19" t="s">
        <v>116</v>
      </c>
      <c r="BU1" s="19" t="s">
        <v>177</v>
      </c>
      <c r="BV1" s="19"/>
      <c r="BW1" s="19"/>
      <c r="BX1" s="19"/>
      <c r="BY1" s="19"/>
      <c r="BZ1" s="19"/>
    </row>
    <row r="2" spans="1:78" ht="12.9">
      <c r="A2" s="11" t="s">
        <v>184</v>
      </c>
      <c r="B2" s="24">
        <v>1</v>
      </c>
      <c r="C2" s="24">
        <v>1</v>
      </c>
      <c r="D2" s="11">
        <v>1</v>
      </c>
      <c r="E2" s="25" t="s">
        <v>185</v>
      </c>
      <c r="F2" s="26" t="s">
        <v>186</v>
      </c>
      <c r="G2" s="11">
        <v>1</v>
      </c>
      <c r="H2" s="27" t="s">
        <v>187</v>
      </c>
      <c r="I2" s="25">
        <v>12</v>
      </c>
      <c r="J2" s="25">
        <v>48</v>
      </c>
      <c r="K2" s="11">
        <v>2009</v>
      </c>
      <c r="L2" s="11" t="s">
        <v>188</v>
      </c>
      <c r="M2" s="28" t="s">
        <v>189</v>
      </c>
      <c r="N2" s="29">
        <v>1</v>
      </c>
      <c r="O2" s="29">
        <v>0</v>
      </c>
      <c r="P2" s="11">
        <v>0</v>
      </c>
      <c r="Q2" s="11">
        <v>0</v>
      </c>
      <c r="R2" s="11" t="b">
        <f t="shared" ref="R2:R107" si="0">OR(P2,Q2)</f>
        <v>0</v>
      </c>
      <c r="S2" s="11" t="s">
        <v>190</v>
      </c>
      <c r="T2" s="11">
        <v>1</v>
      </c>
      <c r="U2" s="11"/>
      <c r="V2" s="11"/>
      <c r="W2" s="11"/>
      <c r="X2" s="11"/>
      <c r="Y2" s="11"/>
      <c r="Z2" s="15"/>
      <c r="AA2" s="15"/>
      <c r="AB2" s="15"/>
      <c r="AC2" s="15"/>
      <c r="AD2" s="15"/>
      <c r="AE2" s="30">
        <v>83</v>
      </c>
      <c r="AF2" s="31"/>
      <c r="AG2" s="32">
        <v>0.51</v>
      </c>
      <c r="AH2" s="32"/>
      <c r="AI2" s="33"/>
      <c r="AJ2" s="15"/>
      <c r="AK2" s="32"/>
      <c r="AL2" s="15"/>
      <c r="AM2" s="15"/>
      <c r="AN2" s="15"/>
      <c r="AO2" s="15"/>
      <c r="AP2" s="15"/>
      <c r="AQ2" s="15"/>
      <c r="AR2" s="15"/>
      <c r="AS2" s="15"/>
      <c r="AT2" s="15"/>
      <c r="AU2" s="32"/>
      <c r="AV2" s="15"/>
      <c r="AW2" s="15"/>
      <c r="AX2" s="15"/>
      <c r="AY2" s="15"/>
      <c r="AZ2" s="15"/>
      <c r="BA2" s="15"/>
      <c r="BB2" s="15"/>
      <c r="BC2" s="15"/>
      <c r="BD2" s="15"/>
      <c r="BE2" s="15"/>
      <c r="BF2" s="15"/>
      <c r="BG2" s="15"/>
      <c r="BH2" s="15"/>
      <c r="BI2" s="15"/>
      <c r="BJ2" s="15"/>
      <c r="BK2" s="15"/>
      <c r="BL2" s="32"/>
      <c r="BM2" s="15"/>
      <c r="BN2" s="15"/>
      <c r="BO2" s="15"/>
      <c r="BP2" s="15"/>
      <c r="BQ2" s="32"/>
      <c r="BR2" s="32"/>
      <c r="BS2" s="32"/>
      <c r="BT2" s="32"/>
      <c r="BU2" s="32"/>
      <c r="BV2" s="32"/>
      <c r="BW2" s="32"/>
      <c r="BX2" s="32"/>
      <c r="BY2" s="32"/>
      <c r="BZ2" s="32"/>
    </row>
    <row r="3" spans="1:78" ht="12.9">
      <c r="A3" s="11" t="s">
        <v>191</v>
      </c>
      <c r="B3" s="24">
        <v>1</v>
      </c>
      <c r="C3" s="24">
        <v>2</v>
      </c>
      <c r="D3" s="11">
        <v>2</v>
      </c>
      <c r="E3" s="25" t="s">
        <v>192</v>
      </c>
      <c r="F3" s="24" t="s">
        <v>193</v>
      </c>
      <c r="G3" s="11">
        <v>1</v>
      </c>
      <c r="H3" s="27" t="s">
        <v>194</v>
      </c>
      <c r="I3" s="25">
        <v>12</v>
      </c>
      <c r="J3" s="25">
        <v>63.6</v>
      </c>
      <c r="K3" s="11">
        <v>2005</v>
      </c>
      <c r="L3" s="11" t="s">
        <v>195</v>
      </c>
      <c r="M3" s="28" t="s">
        <v>189</v>
      </c>
      <c r="N3" s="29">
        <v>1</v>
      </c>
      <c r="O3" s="29">
        <v>0</v>
      </c>
      <c r="P3" s="11">
        <v>0</v>
      </c>
      <c r="Q3" s="11">
        <v>0</v>
      </c>
      <c r="R3" s="11" t="b">
        <f t="shared" si="0"/>
        <v>0</v>
      </c>
      <c r="S3" s="11" t="s">
        <v>196</v>
      </c>
      <c r="T3" s="11">
        <v>1</v>
      </c>
      <c r="U3" s="11"/>
      <c r="V3" s="11"/>
      <c r="W3" s="11"/>
      <c r="X3" s="11"/>
      <c r="Y3" s="11"/>
      <c r="Z3" s="15"/>
      <c r="AA3" s="15">
        <v>17</v>
      </c>
      <c r="AB3" s="15">
        <v>3</v>
      </c>
      <c r="AC3" s="15">
        <v>9</v>
      </c>
      <c r="AD3" s="15">
        <v>6</v>
      </c>
      <c r="AE3" s="30">
        <v>35</v>
      </c>
      <c r="AF3" s="34">
        <v>0.47</v>
      </c>
      <c r="AG3" s="35">
        <v>0.47</v>
      </c>
      <c r="AH3" s="32"/>
      <c r="AI3" s="33"/>
      <c r="AJ3" s="15"/>
      <c r="AK3" s="32"/>
      <c r="AL3" s="15">
        <v>15</v>
      </c>
      <c r="AM3" s="15">
        <v>3</v>
      </c>
      <c r="AN3" s="15">
        <v>1</v>
      </c>
      <c r="AO3" s="15">
        <v>4</v>
      </c>
      <c r="AP3" s="15">
        <v>9</v>
      </c>
      <c r="AQ3" s="15">
        <v>2</v>
      </c>
      <c r="AR3" s="15">
        <v>0</v>
      </c>
      <c r="AS3" s="15">
        <v>0</v>
      </c>
      <c r="AT3" s="15">
        <v>1</v>
      </c>
      <c r="AU3" s="32">
        <v>0.48</v>
      </c>
      <c r="AV3" s="15"/>
      <c r="AW3" s="15"/>
      <c r="AX3" s="15"/>
      <c r="AY3" s="15"/>
      <c r="AZ3" s="15"/>
      <c r="BA3" s="15"/>
      <c r="BB3" s="15"/>
      <c r="BC3" s="15"/>
      <c r="BD3" s="15"/>
      <c r="BE3" s="15"/>
      <c r="BF3" s="15"/>
      <c r="BG3" s="15"/>
      <c r="BH3" s="15"/>
      <c r="BI3" s="15"/>
      <c r="BJ3" s="15"/>
      <c r="BK3" s="15"/>
      <c r="BL3" s="32"/>
      <c r="BM3" s="15"/>
      <c r="BN3" s="15"/>
      <c r="BO3" s="15"/>
      <c r="BP3" s="15"/>
      <c r="BQ3" s="32"/>
      <c r="BR3" s="32"/>
      <c r="BS3" s="32"/>
      <c r="BT3" s="32"/>
      <c r="BU3" s="32"/>
      <c r="BV3" s="32"/>
      <c r="BW3" s="32"/>
      <c r="BX3" s="32"/>
      <c r="BY3" s="32"/>
      <c r="BZ3" s="32"/>
    </row>
    <row r="4" spans="1:78" ht="12.9">
      <c r="A4" s="11" t="s">
        <v>197</v>
      </c>
      <c r="B4" s="24">
        <v>1</v>
      </c>
      <c r="C4" s="24">
        <v>3</v>
      </c>
      <c r="D4" s="11">
        <v>3</v>
      </c>
      <c r="E4" s="24" t="s">
        <v>198</v>
      </c>
      <c r="F4" s="24" t="s">
        <v>193</v>
      </c>
      <c r="G4" s="11">
        <v>1</v>
      </c>
      <c r="H4" s="27" t="s">
        <v>199</v>
      </c>
      <c r="I4" s="25">
        <v>26</v>
      </c>
      <c r="J4" s="25">
        <v>42</v>
      </c>
      <c r="K4" s="11">
        <v>1999</v>
      </c>
      <c r="L4" s="11" t="s">
        <v>200</v>
      </c>
      <c r="M4" s="28" t="s">
        <v>201</v>
      </c>
      <c r="N4" s="29">
        <v>1</v>
      </c>
      <c r="O4" s="29">
        <v>0</v>
      </c>
      <c r="P4" s="11">
        <v>0</v>
      </c>
      <c r="Q4" s="11">
        <v>1</v>
      </c>
      <c r="R4" s="11" t="b">
        <f t="shared" si="0"/>
        <v>1</v>
      </c>
      <c r="S4" s="11" t="s">
        <v>190</v>
      </c>
      <c r="T4" s="11">
        <v>1</v>
      </c>
      <c r="U4" s="24">
        <v>0.73</v>
      </c>
      <c r="V4" s="24">
        <v>0.53</v>
      </c>
      <c r="W4" s="24">
        <v>0.73</v>
      </c>
      <c r="X4" s="24">
        <v>0.53</v>
      </c>
      <c r="Y4" s="36" t="s">
        <v>202</v>
      </c>
      <c r="Z4" s="15"/>
      <c r="AA4" s="15"/>
      <c r="AB4" s="15"/>
      <c r="AC4" s="34"/>
      <c r="AD4" s="15"/>
      <c r="AE4" s="30">
        <v>53</v>
      </c>
      <c r="AF4" s="34"/>
      <c r="AG4" s="35">
        <v>0.2</v>
      </c>
      <c r="AH4" s="32"/>
      <c r="AI4" s="34">
        <f>1.45^2</f>
        <v>2.1025</v>
      </c>
      <c r="AJ4" s="37">
        <v>1</v>
      </c>
      <c r="AK4" s="39"/>
      <c r="AL4" s="15"/>
      <c r="AM4" s="15"/>
      <c r="AN4" s="15"/>
      <c r="AO4" s="15"/>
      <c r="AP4" s="15"/>
      <c r="AQ4" s="15"/>
      <c r="AR4" s="15"/>
      <c r="AS4" s="15"/>
      <c r="AT4" s="15"/>
      <c r="AU4" s="32"/>
      <c r="AV4" s="15"/>
      <c r="AW4" s="15"/>
      <c r="AX4" s="15"/>
      <c r="AY4" s="15"/>
      <c r="AZ4" s="15"/>
      <c r="BA4" s="15"/>
      <c r="BB4" s="15"/>
      <c r="BC4" s="15"/>
      <c r="BD4" s="15"/>
      <c r="BE4" s="15"/>
      <c r="BF4" s="15"/>
      <c r="BG4" s="15"/>
      <c r="BH4" s="15"/>
      <c r="BI4" s="15"/>
      <c r="BJ4" s="15"/>
      <c r="BK4" s="15"/>
      <c r="BL4" s="32"/>
      <c r="BM4" s="15"/>
      <c r="BN4" s="15"/>
      <c r="BO4" s="15"/>
      <c r="BP4" s="15"/>
      <c r="BQ4" s="32"/>
      <c r="BR4" s="32"/>
      <c r="BS4" s="32"/>
      <c r="BT4" s="32"/>
      <c r="BU4" s="32"/>
      <c r="BV4" s="32"/>
      <c r="BW4" s="32"/>
      <c r="BX4" s="32"/>
      <c r="BY4" s="32"/>
      <c r="BZ4" s="32"/>
    </row>
    <row r="5" spans="1:78" ht="12.9">
      <c r="A5" s="40" t="s">
        <v>203</v>
      </c>
      <c r="B5" s="40">
        <v>1</v>
      </c>
      <c r="C5" s="40">
        <v>4</v>
      </c>
      <c r="D5" s="36">
        <v>4</v>
      </c>
      <c r="E5" s="25" t="s">
        <v>204</v>
      </c>
      <c r="F5" s="24" t="s">
        <v>193</v>
      </c>
      <c r="G5" s="36">
        <v>1</v>
      </c>
      <c r="H5" s="42" t="s">
        <v>205</v>
      </c>
      <c r="I5" s="25">
        <v>14</v>
      </c>
      <c r="J5" s="25">
        <v>24</v>
      </c>
      <c r="K5" s="11">
        <v>2000</v>
      </c>
      <c r="L5" s="11" t="s">
        <v>188</v>
      </c>
      <c r="M5" s="28" t="s">
        <v>201</v>
      </c>
      <c r="N5" s="29">
        <v>1</v>
      </c>
      <c r="O5" s="29">
        <v>0</v>
      </c>
      <c r="P5" s="36">
        <v>0</v>
      </c>
      <c r="Q5" s="36">
        <v>0</v>
      </c>
      <c r="R5" s="11" t="b">
        <f t="shared" si="0"/>
        <v>0</v>
      </c>
      <c r="S5" s="11" t="s">
        <v>190</v>
      </c>
      <c r="T5" s="11">
        <v>1</v>
      </c>
      <c r="U5" s="36">
        <v>0.82</v>
      </c>
      <c r="V5" s="36"/>
      <c r="W5" s="36">
        <v>0.82</v>
      </c>
      <c r="X5" s="36"/>
      <c r="Y5" s="36" t="s">
        <v>202</v>
      </c>
      <c r="Z5" s="44"/>
      <c r="AA5" s="44">
        <v>8</v>
      </c>
      <c r="AB5" s="44">
        <v>4</v>
      </c>
      <c r="AC5" s="44">
        <v>22</v>
      </c>
      <c r="AD5" s="44">
        <v>8</v>
      </c>
      <c r="AE5" s="30">
        <v>42</v>
      </c>
      <c r="AF5" s="45"/>
      <c r="AG5" s="46">
        <v>0.37</v>
      </c>
      <c r="AH5" s="47"/>
      <c r="AI5" s="49"/>
      <c r="AJ5" s="44"/>
      <c r="AK5" s="47"/>
      <c r="AL5" s="44">
        <v>1</v>
      </c>
      <c r="AM5" s="44">
        <v>2</v>
      </c>
      <c r="AN5" s="44">
        <v>2</v>
      </c>
      <c r="AO5" s="44">
        <v>4</v>
      </c>
      <c r="AP5" s="44">
        <v>22</v>
      </c>
      <c r="AQ5" s="44">
        <v>4</v>
      </c>
      <c r="AR5" s="44">
        <v>1</v>
      </c>
      <c r="AS5" s="44">
        <v>2</v>
      </c>
      <c r="AT5" s="44">
        <v>4</v>
      </c>
      <c r="AU5" s="47"/>
      <c r="AV5" s="44"/>
      <c r="AW5" s="44"/>
      <c r="AX5" s="44"/>
      <c r="AY5" s="44"/>
      <c r="AZ5" s="44"/>
      <c r="BA5" s="44"/>
      <c r="BB5" s="44"/>
      <c r="BC5" s="44"/>
      <c r="BD5" s="44"/>
      <c r="BE5" s="44"/>
      <c r="BF5" s="44"/>
      <c r="BG5" s="44"/>
      <c r="BH5" s="44"/>
      <c r="BI5" s="44"/>
      <c r="BJ5" s="44"/>
      <c r="BK5" s="44"/>
      <c r="BL5" s="47"/>
      <c r="BM5" s="15"/>
      <c r="BN5" s="15"/>
      <c r="BO5" s="15"/>
      <c r="BP5" s="15"/>
      <c r="BQ5" s="47"/>
      <c r="BR5" s="47"/>
      <c r="BS5" s="47"/>
      <c r="BT5" s="47"/>
      <c r="BU5" s="47"/>
      <c r="BV5" s="47"/>
      <c r="BW5" s="47"/>
      <c r="BX5" s="47"/>
      <c r="BY5" s="47"/>
      <c r="BZ5" s="47"/>
    </row>
    <row r="6" spans="1:78" ht="12.9">
      <c r="A6" s="40" t="s">
        <v>203</v>
      </c>
      <c r="B6" s="40">
        <v>1</v>
      </c>
      <c r="C6" s="40">
        <v>4</v>
      </c>
      <c r="D6" s="36">
        <v>4</v>
      </c>
      <c r="E6" s="25" t="s">
        <v>206</v>
      </c>
      <c r="F6" s="24" t="s">
        <v>193</v>
      </c>
      <c r="G6" s="36">
        <v>2</v>
      </c>
      <c r="H6" s="42" t="s">
        <v>205</v>
      </c>
      <c r="I6" s="25">
        <v>24</v>
      </c>
      <c r="J6" s="25">
        <v>58</v>
      </c>
      <c r="K6" s="11">
        <v>2000</v>
      </c>
      <c r="L6" s="11" t="s">
        <v>188</v>
      </c>
      <c r="M6" s="28" t="s">
        <v>189</v>
      </c>
      <c r="N6" s="29">
        <v>1</v>
      </c>
      <c r="O6" s="29">
        <v>0</v>
      </c>
      <c r="P6" s="36">
        <v>0</v>
      </c>
      <c r="Q6" s="36">
        <v>0</v>
      </c>
      <c r="R6" s="11" t="b">
        <f t="shared" si="0"/>
        <v>0</v>
      </c>
      <c r="S6" s="11" t="s">
        <v>190</v>
      </c>
      <c r="T6" s="11">
        <v>1</v>
      </c>
      <c r="U6" s="40">
        <v>0.82</v>
      </c>
      <c r="V6" s="36"/>
      <c r="W6" s="36">
        <v>0.82</v>
      </c>
      <c r="X6" s="36"/>
      <c r="Y6" s="36" t="s">
        <v>202</v>
      </c>
      <c r="Z6" s="44"/>
      <c r="AA6" s="44">
        <v>4</v>
      </c>
      <c r="AB6" s="44">
        <v>10</v>
      </c>
      <c r="AC6" s="44">
        <v>16</v>
      </c>
      <c r="AD6" s="44">
        <v>15</v>
      </c>
      <c r="AE6" s="30">
        <v>45</v>
      </c>
      <c r="AF6" s="45"/>
      <c r="AG6" s="46">
        <v>-0.19</v>
      </c>
      <c r="AH6" s="47"/>
      <c r="AI6" s="49"/>
      <c r="AJ6" s="44"/>
      <c r="AK6" s="47"/>
      <c r="AL6" s="44">
        <v>0</v>
      </c>
      <c r="AM6" s="44">
        <v>5</v>
      </c>
      <c r="AN6" s="44">
        <v>1</v>
      </c>
      <c r="AO6" s="44">
        <v>8</v>
      </c>
      <c r="AP6" s="44">
        <v>16</v>
      </c>
      <c r="AQ6" s="44">
        <v>7</v>
      </c>
      <c r="AR6" s="44">
        <v>2</v>
      </c>
      <c r="AS6" s="44">
        <v>5</v>
      </c>
      <c r="AT6" s="44">
        <v>1</v>
      </c>
      <c r="AU6" s="47"/>
      <c r="AV6" s="44"/>
      <c r="AW6" s="44"/>
      <c r="AX6" s="44"/>
      <c r="AY6" s="44"/>
      <c r="AZ6" s="44"/>
      <c r="BA6" s="44"/>
      <c r="BB6" s="44"/>
      <c r="BC6" s="44"/>
      <c r="BD6" s="44"/>
      <c r="BE6" s="44"/>
      <c r="BF6" s="44"/>
      <c r="BG6" s="44"/>
      <c r="BH6" s="44"/>
      <c r="BI6" s="44"/>
      <c r="BJ6" s="44"/>
      <c r="BK6" s="44"/>
      <c r="BL6" s="47"/>
      <c r="BM6" s="15"/>
      <c r="BN6" s="15"/>
      <c r="BO6" s="15"/>
      <c r="BP6" s="15"/>
      <c r="BQ6" s="47"/>
      <c r="BR6" s="47"/>
      <c r="BS6" s="47"/>
      <c r="BT6" s="47"/>
      <c r="BU6" s="47"/>
      <c r="BV6" s="47"/>
      <c r="BW6" s="47"/>
      <c r="BX6" s="47"/>
      <c r="BY6" s="47"/>
      <c r="BZ6" s="47"/>
    </row>
    <row r="7" spans="1:78" ht="12.9">
      <c r="A7" s="40" t="s">
        <v>207</v>
      </c>
      <c r="B7" s="40">
        <v>1</v>
      </c>
      <c r="C7" s="40">
        <v>4</v>
      </c>
      <c r="D7" s="36">
        <v>4</v>
      </c>
      <c r="E7" s="25" t="s">
        <v>208</v>
      </c>
      <c r="F7" s="24" t="s">
        <v>193</v>
      </c>
      <c r="G7" s="36">
        <v>3</v>
      </c>
      <c r="H7" s="42" t="s">
        <v>205</v>
      </c>
      <c r="I7" s="25">
        <v>14</v>
      </c>
      <c r="J7" s="25">
        <v>58</v>
      </c>
      <c r="K7" s="11">
        <v>2000</v>
      </c>
      <c r="L7" s="11" t="s">
        <v>188</v>
      </c>
      <c r="M7" s="28" t="s">
        <v>189</v>
      </c>
      <c r="N7" s="29">
        <v>1</v>
      </c>
      <c r="O7" s="29">
        <v>0</v>
      </c>
      <c r="P7" s="36">
        <v>0</v>
      </c>
      <c r="Q7" s="36">
        <v>0</v>
      </c>
      <c r="R7" s="11" t="b">
        <f t="shared" si="0"/>
        <v>0</v>
      </c>
      <c r="S7" s="11" t="s">
        <v>190</v>
      </c>
      <c r="T7" s="11">
        <v>1</v>
      </c>
      <c r="U7" s="36">
        <v>0.82</v>
      </c>
      <c r="V7" s="36"/>
      <c r="W7" s="36">
        <v>0.82</v>
      </c>
      <c r="X7" s="36"/>
      <c r="Y7" s="36" t="s">
        <v>202</v>
      </c>
      <c r="Z7" s="44"/>
      <c r="AA7" s="44">
        <v>6</v>
      </c>
      <c r="AB7" s="44">
        <v>8</v>
      </c>
      <c r="AC7" s="44">
        <v>17</v>
      </c>
      <c r="AD7" s="44">
        <v>12</v>
      </c>
      <c r="AE7" s="30">
        <v>43</v>
      </c>
      <c r="AF7" s="45"/>
      <c r="AG7" s="46">
        <v>0.01</v>
      </c>
      <c r="AH7" s="47"/>
      <c r="AI7" s="49"/>
      <c r="AJ7" s="44"/>
      <c r="AK7" s="47"/>
      <c r="AL7" s="44">
        <v>0</v>
      </c>
      <c r="AM7" s="44">
        <v>4</v>
      </c>
      <c r="AN7" s="44">
        <v>3</v>
      </c>
      <c r="AO7" s="44">
        <v>8</v>
      </c>
      <c r="AP7" s="44">
        <v>17</v>
      </c>
      <c r="AQ7" s="44">
        <v>4</v>
      </c>
      <c r="AR7" s="44">
        <v>2</v>
      </c>
      <c r="AS7" s="44">
        <v>4</v>
      </c>
      <c r="AT7" s="44">
        <v>1</v>
      </c>
      <c r="AU7" s="47"/>
      <c r="AV7" s="44"/>
      <c r="AW7" s="44"/>
      <c r="AX7" s="44"/>
      <c r="AY7" s="44"/>
      <c r="AZ7" s="44"/>
      <c r="BA7" s="44"/>
      <c r="BB7" s="44"/>
      <c r="BC7" s="44"/>
      <c r="BD7" s="44"/>
      <c r="BE7" s="44"/>
      <c r="BF7" s="44"/>
      <c r="BG7" s="44"/>
      <c r="BH7" s="44"/>
      <c r="BI7" s="44"/>
      <c r="BJ7" s="44"/>
      <c r="BK7" s="44"/>
      <c r="BL7" s="47"/>
      <c r="BM7" s="15"/>
      <c r="BN7" s="15"/>
      <c r="BO7" s="15"/>
      <c r="BP7" s="15"/>
      <c r="BQ7" s="47"/>
      <c r="BR7" s="47"/>
      <c r="BS7" s="47"/>
      <c r="BT7" s="47"/>
      <c r="BU7" s="47"/>
      <c r="BV7" s="47"/>
      <c r="BW7" s="47"/>
      <c r="BX7" s="47"/>
      <c r="BY7" s="47"/>
      <c r="BZ7" s="47"/>
    </row>
    <row r="8" spans="1:78" ht="12.9">
      <c r="A8" s="36" t="s">
        <v>209</v>
      </c>
      <c r="B8" s="40">
        <v>1</v>
      </c>
      <c r="C8" s="40">
        <v>5</v>
      </c>
      <c r="D8" s="36">
        <v>5</v>
      </c>
      <c r="E8" s="24" t="s">
        <v>198</v>
      </c>
      <c r="F8" s="24" t="s">
        <v>193</v>
      </c>
      <c r="G8" s="36">
        <v>1</v>
      </c>
      <c r="H8" s="42" t="s">
        <v>210</v>
      </c>
      <c r="I8" s="25">
        <v>24.75</v>
      </c>
      <c r="J8" s="25">
        <v>40.549999999999997</v>
      </c>
      <c r="K8" s="11">
        <v>2006</v>
      </c>
      <c r="L8" s="11" t="s">
        <v>188</v>
      </c>
      <c r="M8" s="40" t="s">
        <v>211</v>
      </c>
      <c r="N8" s="29">
        <v>1</v>
      </c>
      <c r="O8" s="29">
        <v>0</v>
      </c>
      <c r="P8" s="36">
        <v>0</v>
      </c>
      <c r="Q8" s="36">
        <v>1</v>
      </c>
      <c r="R8" s="11" t="b">
        <f t="shared" si="0"/>
        <v>1</v>
      </c>
      <c r="S8" s="11" t="s">
        <v>190</v>
      </c>
      <c r="T8" s="11">
        <v>1</v>
      </c>
      <c r="U8" s="40">
        <v>0.93</v>
      </c>
      <c r="V8" s="40">
        <v>0.8</v>
      </c>
      <c r="W8" s="40">
        <v>0.95</v>
      </c>
      <c r="X8" s="40">
        <v>0.88</v>
      </c>
      <c r="Y8" s="36" t="s">
        <v>202</v>
      </c>
      <c r="Z8" s="44"/>
      <c r="AA8" s="44">
        <v>5</v>
      </c>
      <c r="AB8" s="44">
        <v>18</v>
      </c>
      <c r="AC8" s="44">
        <v>17</v>
      </c>
      <c r="AD8" s="44">
        <v>7</v>
      </c>
      <c r="AE8" s="30">
        <v>50</v>
      </c>
      <c r="AF8" s="45"/>
      <c r="AG8" s="46">
        <v>-0.09</v>
      </c>
      <c r="AH8" s="46"/>
      <c r="AI8" s="50">
        <v>0.34</v>
      </c>
      <c r="AJ8" s="51">
        <v>-1</v>
      </c>
      <c r="AK8" s="47"/>
      <c r="AL8" s="44"/>
      <c r="AM8" s="44"/>
      <c r="AN8" s="44"/>
      <c r="AO8" s="44"/>
      <c r="AP8" s="44"/>
      <c r="AQ8" s="44"/>
      <c r="AR8" s="44"/>
      <c r="AS8" s="44"/>
      <c r="AT8" s="44"/>
      <c r="AU8" s="47"/>
      <c r="AV8" s="44"/>
      <c r="AW8" s="44"/>
      <c r="AX8" s="44"/>
      <c r="AY8" s="44"/>
      <c r="AZ8" s="44"/>
      <c r="BA8" s="44"/>
      <c r="BB8" s="44"/>
      <c r="BC8" s="44"/>
      <c r="BD8" s="44"/>
      <c r="BE8" s="44"/>
      <c r="BF8" s="44"/>
      <c r="BG8" s="44"/>
      <c r="BH8" s="44"/>
      <c r="BI8" s="44"/>
      <c r="BJ8" s="44"/>
      <c r="BK8" s="44"/>
      <c r="BL8" s="47"/>
      <c r="BM8" s="15"/>
      <c r="BN8" s="15"/>
      <c r="BO8" s="15"/>
      <c r="BP8" s="15"/>
      <c r="BQ8" s="47"/>
      <c r="BR8" s="47"/>
      <c r="BS8" s="47"/>
      <c r="BT8" s="47"/>
      <c r="BU8" s="47"/>
      <c r="BV8" s="47"/>
      <c r="BW8" s="47"/>
      <c r="BX8" s="47"/>
      <c r="BY8" s="47"/>
      <c r="BZ8" s="47"/>
    </row>
    <row r="9" spans="1:78" ht="12.9">
      <c r="A9" s="36" t="s">
        <v>212</v>
      </c>
      <c r="B9" s="40">
        <v>1</v>
      </c>
      <c r="C9" s="40">
        <v>6</v>
      </c>
      <c r="D9" s="36">
        <v>6</v>
      </c>
      <c r="E9" s="53" t="s">
        <v>213</v>
      </c>
      <c r="F9" s="24" t="s">
        <v>193</v>
      </c>
      <c r="G9" s="36">
        <v>1</v>
      </c>
      <c r="H9" s="42" t="s">
        <v>214</v>
      </c>
      <c r="I9" s="25">
        <v>12</v>
      </c>
      <c r="J9" s="25">
        <v>24</v>
      </c>
      <c r="K9" s="11">
        <v>1999</v>
      </c>
      <c r="L9" s="11" t="s">
        <v>188</v>
      </c>
      <c r="M9" s="28" t="s">
        <v>201</v>
      </c>
      <c r="N9" s="29">
        <v>1</v>
      </c>
      <c r="O9" s="29">
        <v>0</v>
      </c>
      <c r="P9" s="36">
        <v>0</v>
      </c>
      <c r="Q9" s="36">
        <v>0</v>
      </c>
      <c r="R9" s="11" t="b">
        <f t="shared" si="0"/>
        <v>0</v>
      </c>
      <c r="S9" s="11" t="s">
        <v>190</v>
      </c>
      <c r="T9" s="11">
        <v>1</v>
      </c>
      <c r="U9" s="40">
        <v>0.88</v>
      </c>
      <c r="V9" s="40">
        <v>0.81</v>
      </c>
      <c r="W9" s="40">
        <v>0.91</v>
      </c>
      <c r="X9" s="40">
        <v>0.85</v>
      </c>
      <c r="Y9" s="40" t="s">
        <v>202</v>
      </c>
      <c r="Z9" s="44"/>
      <c r="AA9" s="44">
        <v>7</v>
      </c>
      <c r="AB9" s="44">
        <v>5</v>
      </c>
      <c r="AC9" s="44">
        <v>6</v>
      </c>
      <c r="AD9" s="44">
        <v>2</v>
      </c>
      <c r="AE9" s="30">
        <v>20</v>
      </c>
      <c r="AF9" s="45"/>
      <c r="AG9" s="46">
        <v>0.33</v>
      </c>
      <c r="AH9" s="47"/>
      <c r="AI9" s="49"/>
      <c r="AJ9" s="44"/>
      <c r="AK9" s="47"/>
      <c r="AL9" s="44"/>
      <c r="AM9" s="44"/>
      <c r="AN9" s="44"/>
      <c r="AO9" s="44"/>
      <c r="AP9" s="44"/>
      <c r="AQ9" s="44"/>
      <c r="AR9" s="44"/>
      <c r="AS9" s="44"/>
      <c r="AT9" s="44"/>
      <c r="AU9" s="47"/>
      <c r="AV9" s="44">
        <v>0</v>
      </c>
      <c r="AW9" s="44">
        <v>2</v>
      </c>
      <c r="AX9" s="44">
        <v>0</v>
      </c>
      <c r="AY9" s="44">
        <v>1</v>
      </c>
      <c r="AZ9" s="44">
        <v>1</v>
      </c>
      <c r="BA9" s="44">
        <v>6</v>
      </c>
      <c r="BB9" s="44">
        <v>1</v>
      </c>
      <c r="BC9" s="44">
        <v>0</v>
      </c>
      <c r="BD9" s="44">
        <v>0</v>
      </c>
      <c r="BE9" s="44">
        <v>1</v>
      </c>
      <c r="BF9" s="44">
        <v>1</v>
      </c>
      <c r="BG9" s="44">
        <v>1</v>
      </c>
      <c r="BH9" s="44">
        <v>0</v>
      </c>
      <c r="BI9" s="44">
        <v>2</v>
      </c>
      <c r="BJ9" s="44">
        <v>0</v>
      </c>
      <c r="BK9" s="44">
        <v>4</v>
      </c>
      <c r="BL9" s="47">
        <v>0.32600000000000001</v>
      </c>
      <c r="BM9" s="15">
        <v>12</v>
      </c>
      <c r="BN9" s="15">
        <v>2</v>
      </c>
      <c r="BO9" s="15">
        <v>4</v>
      </c>
      <c r="BP9" s="15">
        <v>2</v>
      </c>
      <c r="BQ9" s="47"/>
      <c r="BR9" s="47"/>
      <c r="BS9" s="47"/>
      <c r="BT9" s="47"/>
      <c r="BU9" s="47"/>
      <c r="BV9" s="47"/>
      <c r="BW9" s="47"/>
      <c r="BX9" s="47"/>
      <c r="BY9" s="47"/>
      <c r="BZ9" s="47"/>
    </row>
    <row r="10" spans="1:78" ht="12.9">
      <c r="A10" s="36" t="s">
        <v>212</v>
      </c>
      <c r="B10" s="40">
        <v>1</v>
      </c>
      <c r="C10" s="40">
        <v>6</v>
      </c>
      <c r="D10" s="40">
        <v>6</v>
      </c>
      <c r="E10" s="53" t="s">
        <v>213</v>
      </c>
      <c r="F10" s="24" t="s">
        <v>193</v>
      </c>
      <c r="G10" s="40">
        <v>2</v>
      </c>
      <c r="H10" s="42" t="s">
        <v>214</v>
      </c>
      <c r="I10" s="25">
        <v>12</v>
      </c>
      <c r="J10" s="25">
        <v>18</v>
      </c>
      <c r="K10" s="11">
        <v>1999</v>
      </c>
      <c r="L10" s="11" t="s">
        <v>188</v>
      </c>
      <c r="M10" s="28" t="s">
        <v>201</v>
      </c>
      <c r="N10" s="29">
        <v>1</v>
      </c>
      <c r="O10" s="29">
        <v>0</v>
      </c>
      <c r="P10" s="36">
        <v>0</v>
      </c>
      <c r="Q10" s="36">
        <v>0</v>
      </c>
      <c r="R10" s="11" t="b">
        <f t="shared" si="0"/>
        <v>0</v>
      </c>
      <c r="S10" s="11" t="s">
        <v>190</v>
      </c>
      <c r="T10" s="11">
        <v>1</v>
      </c>
      <c r="U10" s="40">
        <v>0.88</v>
      </c>
      <c r="V10" s="40">
        <v>0.81</v>
      </c>
      <c r="W10" s="40">
        <v>0.85</v>
      </c>
      <c r="X10" s="40">
        <v>0.77</v>
      </c>
      <c r="Y10" s="40" t="s">
        <v>202</v>
      </c>
      <c r="Z10" s="51"/>
      <c r="AA10" s="51">
        <v>8</v>
      </c>
      <c r="AB10" s="51">
        <v>4</v>
      </c>
      <c r="AC10" s="51">
        <v>7</v>
      </c>
      <c r="AD10" s="51">
        <v>2</v>
      </c>
      <c r="AE10" s="30">
        <v>21</v>
      </c>
      <c r="AF10" s="45"/>
      <c r="AG10" s="46">
        <v>0.44</v>
      </c>
      <c r="AH10" s="47"/>
      <c r="AI10" s="49"/>
      <c r="AJ10" s="44"/>
      <c r="AK10" s="47"/>
      <c r="AL10" s="44"/>
      <c r="AM10" s="44"/>
      <c r="AN10" s="44"/>
      <c r="AO10" s="44"/>
      <c r="AP10" s="44"/>
      <c r="AQ10" s="44"/>
      <c r="AR10" s="44"/>
      <c r="AS10" s="44"/>
      <c r="AT10" s="44"/>
      <c r="AU10" s="47"/>
      <c r="AV10" s="51">
        <v>0</v>
      </c>
      <c r="AW10" s="51">
        <v>3</v>
      </c>
      <c r="AX10" s="51">
        <v>0</v>
      </c>
      <c r="AY10" s="51">
        <v>0</v>
      </c>
      <c r="AZ10" s="51">
        <v>1</v>
      </c>
      <c r="BA10" s="51">
        <v>7</v>
      </c>
      <c r="BB10" s="51">
        <v>0</v>
      </c>
      <c r="BC10" s="51">
        <v>1</v>
      </c>
      <c r="BD10" s="51">
        <v>0</v>
      </c>
      <c r="BE10" s="51">
        <v>0</v>
      </c>
      <c r="BF10" s="51">
        <v>2</v>
      </c>
      <c r="BG10" s="51">
        <v>1</v>
      </c>
      <c r="BH10" s="51">
        <v>0</v>
      </c>
      <c r="BI10" s="51">
        <v>1</v>
      </c>
      <c r="BJ10" s="51">
        <v>1</v>
      </c>
      <c r="BK10" s="51">
        <v>4</v>
      </c>
      <c r="BL10" s="47"/>
      <c r="BM10" s="54">
        <v>13</v>
      </c>
      <c r="BN10" s="54">
        <v>2</v>
      </c>
      <c r="BO10" s="54">
        <v>4</v>
      </c>
      <c r="BP10" s="54">
        <v>2</v>
      </c>
      <c r="BQ10" s="47"/>
      <c r="BR10" s="47"/>
      <c r="BS10" s="47"/>
      <c r="BT10" s="47"/>
      <c r="BU10" s="47"/>
      <c r="BV10" s="47"/>
      <c r="BW10" s="47"/>
      <c r="BX10" s="47"/>
      <c r="BY10" s="47"/>
      <c r="BZ10" s="47"/>
    </row>
    <row r="11" spans="1:78" ht="12.9">
      <c r="A11" s="36" t="s">
        <v>212</v>
      </c>
      <c r="B11" s="40">
        <v>1</v>
      </c>
      <c r="C11" s="40">
        <v>6</v>
      </c>
      <c r="D11" s="40">
        <v>6</v>
      </c>
      <c r="E11" s="53" t="s">
        <v>213</v>
      </c>
      <c r="F11" s="24" t="s">
        <v>193</v>
      </c>
      <c r="G11" s="40">
        <v>3</v>
      </c>
      <c r="H11" s="42" t="s">
        <v>214</v>
      </c>
      <c r="I11" s="25">
        <v>18</v>
      </c>
      <c r="J11" s="25">
        <v>24</v>
      </c>
      <c r="K11" s="11">
        <v>1999</v>
      </c>
      <c r="L11" s="11" t="s">
        <v>188</v>
      </c>
      <c r="M11" s="28" t="s">
        <v>201</v>
      </c>
      <c r="N11" s="29">
        <v>1</v>
      </c>
      <c r="O11" s="29">
        <v>0</v>
      </c>
      <c r="P11" s="36">
        <v>0</v>
      </c>
      <c r="Q11" s="36">
        <v>0</v>
      </c>
      <c r="R11" s="11" t="b">
        <f t="shared" si="0"/>
        <v>0</v>
      </c>
      <c r="S11" s="11" t="s">
        <v>190</v>
      </c>
      <c r="T11" s="11">
        <v>1</v>
      </c>
      <c r="U11" s="40">
        <v>0.85</v>
      </c>
      <c r="V11" s="40">
        <v>0.77</v>
      </c>
      <c r="W11" s="40">
        <v>0.91</v>
      </c>
      <c r="X11" s="40">
        <v>0.85</v>
      </c>
      <c r="Y11" s="40" t="s">
        <v>202</v>
      </c>
      <c r="Z11" s="51"/>
      <c r="AA11" s="51">
        <v>7</v>
      </c>
      <c r="AB11" s="51">
        <v>3</v>
      </c>
      <c r="AC11" s="51">
        <v>8</v>
      </c>
      <c r="AD11" s="51">
        <v>2</v>
      </c>
      <c r="AE11" s="30">
        <v>20</v>
      </c>
      <c r="AF11" s="45"/>
      <c r="AG11" s="46">
        <v>0.5</v>
      </c>
      <c r="AH11" s="47"/>
      <c r="AI11" s="49"/>
      <c r="AJ11" s="44"/>
      <c r="AK11" s="47"/>
      <c r="AL11" s="44"/>
      <c r="AM11" s="44"/>
      <c r="AN11" s="44"/>
      <c r="AO11" s="44"/>
      <c r="AP11" s="44"/>
      <c r="AQ11" s="44"/>
      <c r="AR11" s="44"/>
      <c r="AS11" s="44"/>
      <c r="AT11" s="44"/>
      <c r="AU11" s="47"/>
      <c r="AV11" s="51">
        <v>1</v>
      </c>
      <c r="AW11" s="51">
        <v>0</v>
      </c>
      <c r="AX11" s="51">
        <v>0</v>
      </c>
      <c r="AY11" s="51">
        <v>0</v>
      </c>
      <c r="AZ11" s="51">
        <v>0</v>
      </c>
      <c r="BA11" s="51">
        <v>8</v>
      </c>
      <c r="BB11" s="51">
        <v>1</v>
      </c>
      <c r="BC11" s="51">
        <v>1</v>
      </c>
      <c r="BD11" s="51">
        <v>0</v>
      </c>
      <c r="BE11" s="51">
        <v>1</v>
      </c>
      <c r="BF11" s="51">
        <v>1</v>
      </c>
      <c r="BG11" s="51">
        <v>1</v>
      </c>
      <c r="BH11" s="51">
        <v>0</v>
      </c>
      <c r="BI11" s="51">
        <v>2</v>
      </c>
      <c r="BJ11" s="51">
        <v>0</v>
      </c>
      <c r="BK11" s="51">
        <v>4</v>
      </c>
      <c r="BL11" s="47"/>
      <c r="BM11" s="54">
        <v>12</v>
      </c>
      <c r="BN11" s="54">
        <v>2</v>
      </c>
      <c r="BO11" s="54">
        <v>4</v>
      </c>
      <c r="BP11" s="54">
        <v>2</v>
      </c>
      <c r="BQ11" s="47"/>
      <c r="BR11" s="47"/>
      <c r="BS11" s="47"/>
      <c r="BT11" s="47"/>
      <c r="BU11" s="47"/>
      <c r="BV11" s="47"/>
      <c r="BW11" s="47"/>
      <c r="BX11" s="47"/>
      <c r="BY11" s="47"/>
      <c r="BZ11" s="47"/>
    </row>
    <row r="12" spans="1:78" ht="12.9">
      <c r="A12" s="36" t="s">
        <v>212</v>
      </c>
      <c r="B12" s="40">
        <v>1</v>
      </c>
      <c r="C12" s="40">
        <v>6</v>
      </c>
      <c r="D12" s="40">
        <v>7</v>
      </c>
      <c r="E12" s="53" t="s">
        <v>215</v>
      </c>
      <c r="F12" s="24" t="s">
        <v>193</v>
      </c>
      <c r="G12" s="40">
        <v>1</v>
      </c>
      <c r="H12" s="42" t="s">
        <v>214</v>
      </c>
      <c r="I12" s="25">
        <v>12</v>
      </c>
      <c r="J12" s="25">
        <v>24</v>
      </c>
      <c r="K12" s="11">
        <v>1999</v>
      </c>
      <c r="L12" s="11" t="s">
        <v>188</v>
      </c>
      <c r="M12" s="28" t="s">
        <v>201</v>
      </c>
      <c r="N12" s="29">
        <v>1</v>
      </c>
      <c r="O12" s="29">
        <v>0</v>
      </c>
      <c r="P12" s="36">
        <v>1</v>
      </c>
      <c r="Q12" s="36">
        <v>0</v>
      </c>
      <c r="R12" s="11" t="b">
        <f t="shared" si="0"/>
        <v>1</v>
      </c>
      <c r="S12" s="11" t="s">
        <v>190</v>
      </c>
      <c r="T12" s="11">
        <v>1</v>
      </c>
      <c r="U12" s="40">
        <v>0.88</v>
      </c>
      <c r="V12" s="40">
        <v>0.81</v>
      </c>
      <c r="W12" s="40">
        <v>0.91</v>
      </c>
      <c r="X12" s="40">
        <v>0.85</v>
      </c>
      <c r="Y12" s="40" t="s">
        <v>202</v>
      </c>
      <c r="Z12" s="51"/>
      <c r="AA12" s="51">
        <v>14</v>
      </c>
      <c r="AB12" s="44">
        <v>0</v>
      </c>
      <c r="AC12" s="44">
        <v>2</v>
      </c>
      <c r="AD12" s="44">
        <v>0</v>
      </c>
      <c r="AE12" s="30">
        <v>16</v>
      </c>
      <c r="AF12" s="45"/>
      <c r="AG12" s="46">
        <v>1</v>
      </c>
      <c r="AH12" s="47"/>
      <c r="AI12" s="49"/>
      <c r="AJ12" s="44"/>
      <c r="AK12" s="47"/>
      <c r="AL12" s="44"/>
      <c r="AM12" s="44"/>
      <c r="AN12" s="44"/>
      <c r="AO12" s="44"/>
      <c r="AP12" s="44"/>
      <c r="AQ12" s="44"/>
      <c r="AR12" s="44"/>
      <c r="AS12" s="44"/>
      <c r="AT12" s="44"/>
      <c r="AU12" s="47"/>
      <c r="AV12" s="44">
        <v>0</v>
      </c>
      <c r="AW12" s="44">
        <v>0</v>
      </c>
      <c r="AX12" s="44">
        <v>0</v>
      </c>
      <c r="AY12" s="44">
        <v>0</v>
      </c>
      <c r="AZ12" s="44">
        <v>0</v>
      </c>
      <c r="BA12" s="44">
        <v>2</v>
      </c>
      <c r="BB12" s="44">
        <v>0</v>
      </c>
      <c r="BC12" s="44">
        <v>0</v>
      </c>
      <c r="BD12" s="44">
        <v>0</v>
      </c>
      <c r="BE12" s="44">
        <v>0</v>
      </c>
      <c r="BF12" s="44">
        <v>0</v>
      </c>
      <c r="BG12" s="44">
        <v>0</v>
      </c>
      <c r="BH12" s="44">
        <v>1</v>
      </c>
      <c r="BI12" s="44">
        <v>0</v>
      </c>
      <c r="BJ12" s="44">
        <v>1</v>
      </c>
      <c r="BK12" s="44">
        <v>12</v>
      </c>
      <c r="BL12" s="47">
        <v>0.46700000000000003</v>
      </c>
      <c r="BM12" s="15">
        <v>2</v>
      </c>
      <c r="BN12" s="15">
        <v>0</v>
      </c>
      <c r="BO12" s="15">
        <v>12</v>
      </c>
      <c r="BP12" s="15">
        <v>2</v>
      </c>
      <c r="BQ12" s="47"/>
      <c r="BR12" s="47"/>
      <c r="BS12" s="47"/>
      <c r="BT12" s="47"/>
      <c r="BU12" s="47"/>
      <c r="BV12" s="47"/>
      <c r="BW12" s="47"/>
      <c r="BX12" s="47"/>
      <c r="BY12" s="47"/>
      <c r="BZ12" s="47"/>
    </row>
    <row r="13" spans="1:78" ht="12.9">
      <c r="A13" s="36" t="s">
        <v>212</v>
      </c>
      <c r="B13" s="40">
        <v>1</v>
      </c>
      <c r="C13" s="40">
        <v>6</v>
      </c>
      <c r="D13" s="40">
        <v>7</v>
      </c>
      <c r="E13" s="53" t="s">
        <v>215</v>
      </c>
      <c r="F13" s="24" t="s">
        <v>193</v>
      </c>
      <c r="G13" s="40">
        <v>2</v>
      </c>
      <c r="H13" s="42" t="s">
        <v>214</v>
      </c>
      <c r="I13" s="25">
        <v>12</v>
      </c>
      <c r="J13" s="25">
        <v>18</v>
      </c>
      <c r="K13" s="11">
        <v>1999</v>
      </c>
      <c r="L13" s="11" t="s">
        <v>188</v>
      </c>
      <c r="M13" s="28" t="s">
        <v>201</v>
      </c>
      <c r="N13" s="29">
        <v>1</v>
      </c>
      <c r="O13" s="29">
        <v>0</v>
      </c>
      <c r="P13" s="36">
        <v>1</v>
      </c>
      <c r="Q13" s="36">
        <v>0</v>
      </c>
      <c r="R13" s="11" t="b">
        <f t="shared" si="0"/>
        <v>1</v>
      </c>
      <c r="S13" s="11" t="s">
        <v>190</v>
      </c>
      <c r="T13" s="11">
        <v>1</v>
      </c>
      <c r="U13" s="40">
        <v>0.88</v>
      </c>
      <c r="V13" s="40">
        <v>0.81</v>
      </c>
      <c r="W13" s="40">
        <v>0.85</v>
      </c>
      <c r="X13" s="40">
        <v>0.77</v>
      </c>
      <c r="Y13" s="40" t="s">
        <v>202</v>
      </c>
      <c r="Z13" s="51"/>
      <c r="AA13" s="51">
        <v>13</v>
      </c>
      <c r="AB13" s="51">
        <v>2</v>
      </c>
      <c r="AC13" s="51">
        <v>2</v>
      </c>
      <c r="AD13" s="51">
        <v>1</v>
      </c>
      <c r="AE13" s="30">
        <v>18</v>
      </c>
      <c r="AF13" s="45"/>
      <c r="AG13" s="46">
        <v>0.48</v>
      </c>
      <c r="AH13" s="47"/>
      <c r="AI13" s="49"/>
      <c r="AJ13" s="44"/>
      <c r="AK13" s="47"/>
      <c r="AL13" s="44"/>
      <c r="AM13" s="44"/>
      <c r="AN13" s="44"/>
      <c r="AO13" s="44"/>
      <c r="AP13" s="44"/>
      <c r="AQ13" s="44"/>
      <c r="AR13" s="44"/>
      <c r="AS13" s="44"/>
      <c r="AT13" s="44"/>
      <c r="AU13" s="47"/>
      <c r="AV13" s="51">
        <v>0</v>
      </c>
      <c r="AW13" s="51">
        <v>0</v>
      </c>
      <c r="AX13" s="51">
        <v>0</v>
      </c>
      <c r="AY13" s="51">
        <v>0</v>
      </c>
      <c r="AZ13" s="51">
        <v>0</v>
      </c>
      <c r="BA13" s="51">
        <v>2</v>
      </c>
      <c r="BB13" s="51">
        <v>0</v>
      </c>
      <c r="BC13" s="51">
        <v>1</v>
      </c>
      <c r="BD13" s="51">
        <v>0</v>
      </c>
      <c r="BE13" s="51">
        <v>0</v>
      </c>
      <c r="BF13" s="51">
        <v>0</v>
      </c>
      <c r="BG13" s="51">
        <v>0</v>
      </c>
      <c r="BH13" s="51">
        <v>1</v>
      </c>
      <c r="BI13" s="51">
        <v>2</v>
      </c>
      <c r="BJ13" s="51">
        <v>2</v>
      </c>
      <c r="BK13" s="51">
        <v>10</v>
      </c>
      <c r="BL13" s="47"/>
      <c r="BM13" s="54">
        <v>2</v>
      </c>
      <c r="BN13" s="54">
        <v>1</v>
      </c>
      <c r="BO13" s="54">
        <v>10</v>
      </c>
      <c r="BP13" s="54">
        <v>5</v>
      </c>
      <c r="BQ13" s="47"/>
      <c r="BR13" s="47"/>
      <c r="BS13" s="47"/>
      <c r="BT13" s="47"/>
      <c r="BU13" s="47"/>
      <c r="BV13" s="47"/>
      <c r="BW13" s="47"/>
      <c r="BX13" s="47"/>
      <c r="BY13" s="47"/>
      <c r="BZ13" s="47"/>
    </row>
    <row r="14" spans="1:78" ht="12.9">
      <c r="A14" s="36" t="s">
        <v>212</v>
      </c>
      <c r="B14" s="40">
        <v>1</v>
      </c>
      <c r="C14" s="40">
        <v>6</v>
      </c>
      <c r="D14" s="40">
        <v>7</v>
      </c>
      <c r="E14" s="53" t="s">
        <v>215</v>
      </c>
      <c r="F14" s="24" t="s">
        <v>193</v>
      </c>
      <c r="G14" s="40">
        <v>3</v>
      </c>
      <c r="H14" s="42" t="s">
        <v>214</v>
      </c>
      <c r="I14" s="25">
        <v>18</v>
      </c>
      <c r="J14" s="25">
        <v>24</v>
      </c>
      <c r="K14" s="11">
        <v>1999</v>
      </c>
      <c r="L14" s="11" t="s">
        <v>188</v>
      </c>
      <c r="M14" s="28" t="s">
        <v>201</v>
      </c>
      <c r="N14" s="29">
        <v>1</v>
      </c>
      <c r="O14" s="29">
        <v>0</v>
      </c>
      <c r="P14" s="36">
        <v>1</v>
      </c>
      <c r="Q14" s="36">
        <v>0</v>
      </c>
      <c r="R14" s="11" t="b">
        <f t="shared" si="0"/>
        <v>1</v>
      </c>
      <c r="S14" s="11" t="s">
        <v>190</v>
      </c>
      <c r="T14" s="11">
        <v>1</v>
      </c>
      <c r="U14" s="40">
        <v>0.85</v>
      </c>
      <c r="V14" s="40">
        <v>0.77</v>
      </c>
      <c r="W14" s="40">
        <v>0.91</v>
      </c>
      <c r="X14" s="40">
        <v>0.85</v>
      </c>
      <c r="Y14" s="40" t="s">
        <v>202</v>
      </c>
      <c r="Z14" s="51"/>
      <c r="AA14" s="51">
        <v>12</v>
      </c>
      <c r="AB14" s="51">
        <v>1</v>
      </c>
      <c r="AC14" s="51">
        <v>1</v>
      </c>
      <c r="AD14" s="51">
        <v>2</v>
      </c>
      <c r="AE14" s="30">
        <v>16</v>
      </c>
      <c r="AF14" s="45"/>
      <c r="AG14" s="46">
        <v>0.3</v>
      </c>
      <c r="AH14" s="47"/>
      <c r="AI14" s="49"/>
      <c r="AJ14" s="44"/>
      <c r="AK14" s="47"/>
      <c r="AL14" s="44"/>
      <c r="AM14" s="44"/>
      <c r="AN14" s="44"/>
      <c r="AO14" s="44"/>
      <c r="AP14" s="44"/>
      <c r="AQ14" s="44"/>
      <c r="AR14" s="44"/>
      <c r="AS14" s="44"/>
      <c r="AT14" s="44"/>
      <c r="AU14" s="47"/>
      <c r="AV14" s="51">
        <v>0</v>
      </c>
      <c r="AW14" s="51">
        <v>0</v>
      </c>
      <c r="AX14" s="51">
        <v>0</v>
      </c>
      <c r="AY14" s="51">
        <v>1</v>
      </c>
      <c r="AZ14" s="51">
        <v>1</v>
      </c>
      <c r="BA14" s="51">
        <v>1</v>
      </c>
      <c r="BB14" s="51">
        <v>0</v>
      </c>
      <c r="BC14" s="51">
        <v>1</v>
      </c>
      <c r="BD14" s="51">
        <v>0</v>
      </c>
      <c r="BE14" s="51">
        <v>0</v>
      </c>
      <c r="BF14" s="51">
        <v>1</v>
      </c>
      <c r="BG14" s="51">
        <v>1</v>
      </c>
      <c r="BH14" s="51">
        <v>0</v>
      </c>
      <c r="BI14" s="51">
        <v>1</v>
      </c>
      <c r="BJ14" s="51">
        <v>0</v>
      </c>
      <c r="BK14" s="51">
        <v>9</v>
      </c>
      <c r="BL14" s="47"/>
      <c r="BM14" s="54">
        <v>3</v>
      </c>
      <c r="BN14" s="54">
        <v>3</v>
      </c>
      <c r="BO14" s="54">
        <v>9</v>
      </c>
      <c r="BP14" s="54">
        <v>1</v>
      </c>
      <c r="BQ14" s="47"/>
      <c r="BR14" s="47"/>
      <c r="BS14" s="47"/>
      <c r="BT14" s="47"/>
      <c r="BU14" s="47"/>
      <c r="BV14" s="47"/>
      <c r="BW14" s="47"/>
      <c r="BX14" s="47"/>
      <c r="BY14" s="47"/>
      <c r="BZ14" s="47"/>
    </row>
    <row r="15" spans="1:78" ht="12.9">
      <c r="A15" s="11" t="s">
        <v>216</v>
      </c>
      <c r="B15" s="24">
        <v>1</v>
      </c>
      <c r="C15" s="24">
        <v>7</v>
      </c>
      <c r="D15" s="24">
        <v>8</v>
      </c>
      <c r="E15" s="53" t="s">
        <v>217</v>
      </c>
      <c r="F15" s="24" t="s">
        <v>186</v>
      </c>
      <c r="G15" s="11">
        <v>1</v>
      </c>
      <c r="H15" s="27" t="s">
        <v>218</v>
      </c>
      <c r="I15" s="25">
        <v>30</v>
      </c>
      <c r="J15" s="25">
        <v>48</v>
      </c>
      <c r="K15" s="11">
        <v>1991</v>
      </c>
      <c r="L15" s="11" t="s">
        <v>188</v>
      </c>
      <c r="M15" s="28" t="s">
        <v>219</v>
      </c>
      <c r="N15" s="29">
        <v>1</v>
      </c>
      <c r="O15" s="29">
        <v>0</v>
      </c>
      <c r="P15" s="11">
        <v>1</v>
      </c>
      <c r="Q15" s="11">
        <v>0</v>
      </c>
      <c r="R15" s="11" t="b">
        <f t="shared" si="0"/>
        <v>1</v>
      </c>
      <c r="S15" s="11" t="s">
        <v>190</v>
      </c>
      <c r="T15" s="11">
        <v>1</v>
      </c>
      <c r="U15" s="24">
        <v>0.75</v>
      </c>
      <c r="V15" s="24"/>
      <c r="W15" s="24">
        <v>0.75</v>
      </c>
      <c r="X15" s="24"/>
      <c r="Y15" s="36" t="s">
        <v>220</v>
      </c>
      <c r="Z15" s="15"/>
      <c r="AA15" s="15">
        <v>13</v>
      </c>
      <c r="AB15" s="15">
        <v>1</v>
      </c>
      <c r="AC15" s="15">
        <v>2</v>
      </c>
      <c r="AD15" s="15">
        <v>2</v>
      </c>
      <c r="AE15" s="30">
        <v>18</v>
      </c>
      <c r="AF15" s="45"/>
      <c r="AG15" s="46">
        <v>0.48</v>
      </c>
      <c r="AH15" s="47"/>
      <c r="AI15" s="49"/>
      <c r="AJ15" s="44"/>
      <c r="AK15" s="47"/>
      <c r="AL15" s="44"/>
      <c r="AM15" s="44"/>
      <c r="AN15" s="44"/>
      <c r="AO15" s="44"/>
      <c r="AP15" s="44"/>
      <c r="AQ15" s="44"/>
      <c r="AR15" s="44"/>
      <c r="AS15" s="44"/>
      <c r="AT15" s="44"/>
      <c r="AU15" s="32"/>
      <c r="AV15" s="15">
        <v>3</v>
      </c>
      <c r="AW15" s="15">
        <v>0</v>
      </c>
      <c r="AX15" s="15">
        <v>0</v>
      </c>
      <c r="AY15" s="15">
        <v>1</v>
      </c>
      <c r="AZ15" s="15">
        <v>0</v>
      </c>
      <c r="BA15" s="15">
        <v>2</v>
      </c>
      <c r="BB15" s="15">
        <v>0</v>
      </c>
      <c r="BC15" s="15">
        <v>2</v>
      </c>
      <c r="BD15" s="15">
        <v>1</v>
      </c>
      <c r="BE15" s="15">
        <v>0</v>
      </c>
      <c r="BF15" s="15">
        <v>2</v>
      </c>
      <c r="BG15" s="15">
        <v>0</v>
      </c>
      <c r="BH15" s="15">
        <v>1</v>
      </c>
      <c r="BI15" s="15">
        <v>1</v>
      </c>
      <c r="BJ15" s="15">
        <v>1</v>
      </c>
      <c r="BK15" s="15">
        <v>4</v>
      </c>
      <c r="BL15" s="32"/>
      <c r="BM15" s="15">
        <v>8</v>
      </c>
      <c r="BN15" s="15">
        <v>3</v>
      </c>
      <c r="BO15" s="15">
        <v>4</v>
      </c>
      <c r="BP15" s="15">
        <v>3</v>
      </c>
      <c r="BQ15" s="32"/>
      <c r="BR15" s="32"/>
      <c r="BS15" s="32"/>
      <c r="BT15" s="32"/>
      <c r="BU15" s="32"/>
      <c r="BV15" s="32"/>
      <c r="BW15" s="32"/>
      <c r="BX15" s="32"/>
      <c r="BY15" s="32"/>
      <c r="BZ15" s="32"/>
    </row>
    <row r="16" spans="1:78" ht="12.9">
      <c r="A16" s="11" t="s">
        <v>216</v>
      </c>
      <c r="B16" s="24">
        <v>1</v>
      </c>
      <c r="C16" s="24">
        <v>7</v>
      </c>
      <c r="D16" s="24">
        <v>8</v>
      </c>
      <c r="E16" s="53" t="s">
        <v>221</v>
      </c>
      <c r="F16" s="24" t="s">
        <v>186</v>
      </c>
      <c r="G16" s="11">
        <v>2</v>
      </c>
      <c r="H16" s="27" t="s">
        <v>218</v>
      </c>
      <c r="I16" s="25">
        <v>36</v>
      </c>
      <c r="J16" s="25">
        <v>48</v>
      </c>
      <c r="K16" s="11">
        <v>1991</v>
      </c>
      <c r="L16" s="11" t="s">
        <v>188</v>
      </c>
      <c r="M16" s="28" t="s">
        <v>219</v>
      </c>
      <c r="N16" s="29">
        <v>1</v>
      </c>
      <c r="O16" s="29">
        <v>0</v>
      </c>
      <c r="P16" s="11">
        <v>1</v>
      </c>
      <c r="Q16" s="11">
        <v>0</v>
      </c>
      <c r="R16" s="11" t="b">
        <f t="shared" si="0"/>
        <v>1</v>
      </c>
      <c r="S16" s="11" t="s">
        <v>190</v>
      </c>
      <c r="T16" s="11">
        <v>1</v>
      </c>
      <c r="U16" s="24">
        <v>0.75</v>
      </c>
      <c r="V16" s="24"/>
      <c r="W16" s="24">
        <v>0.75</v>
      </c>
      <c r="X16" s="24"/>
      <c r="Y16" s="36" t="s">
        <v>220</v>
      </c>
      <c r="Z16" s="15"/>
      <c r="AA16" s="15">
        <v>15</v>
      </c>
      <c r="AB16" s="15">
        <v>4</v>
      </c>
      <c r="AC16" s="15">
        <v>2</v>
      </c>
      <c r="AD16" s="15">
        <v>4</v>
      </c>
      <c r="AE16" s="30">
        <v>25</v>
      </c>
      <c r="AF16" s="45"/>
      <c r="AG16" s="55">
        <v>0.12</v>
      </c>
      <c r="AH16" s="47"/>
      <c r="AI16" s="49"/>
      <c r="AJ16" s="44"/>
      <c r="AK16" s="47"/>
      <c r="AL16" s="44"/>
      <c r="AM16" s="44"/>
      <c r="AN16" s="44"/>
      <c r="AO16" s="44"/>
      <c r="AP16" s="44"/>
      <c r="AQ16" s="44"/>
      <c r="AR16" s="44"/>
      <c r="AS16" s="44"/>
      <c r="AT16" s="44"/>
      <c r="AU16" s="32"/>
      <c r="AV16" s="15">
        <v>4</v>
      </c>
      <c r="AW16" s="15">
        <v>1</v>
      </c>
      <c r="AX16" s="15">
        <v>0</v>
      </c>
      <c r="AY16" s="15">
        <v>2</v>
      </c>
      <c r="AZ16" s="15">
        <v>2</v>
      </c>
      <c r="BA16" s="15">
        <v>2</v>
      </c>
      <c r="BB16" s="15">
        <v>0</v>
      </c>
      <c r="BC16" s="15">
        <v>2</v>
      </c>
      <c r="BD16" s="15">
        <v>0</v>
      </c>
      <c r="BE16" s="15">
        <v>0</v>
      </c>
      <c r="BF16" s="15">
        <v>3</v>
      </c>
      <c r="BG16" s="15">
        <v>0</v>
      </c>
      <c r="BH16" s="15">
        <v>2</v>
      </c>
      <c r="BI16" s="15">
        <v>3</v>
      </c>
      <c r="BJ16" s="15">
        <v>1</v>
      </c>
      <c r="BK16" s="15">
        <v>3</v>
      </c>
      <c r="BL16" s="32"/>
      <c r="BM16" s="15">
        <v>12</v>
      </c>
      <c r="BN16" s="15">
        <v>4</v>
      </c>
      <c r="BO16" s="15">
        <v>3</v>
      </c>
      <c r="BP16" s="15">
        <v>6</v>
      </c>
      <c r="BQ16" s="32"/>
      <c r="BR16" s="32"/>
      <c r="BS16" s="32"/>
      <c r="BT16" s="32"/>
      <c r="BU16" s="32"/>
      <c r="BV16" s="32"/>
      <c r="BW16" s="32"/>
      <c r="BX16" s="32"/>
      <c r="BY16" s="32"/>
      <c r="BZ16" s="32"/>
    </row>
    <row r="17" spans="1:78" ht="12.9">
      <c r="A17" s="11" t="s">
        <v>216</v>
      </c>
      <c r="B17" s="24">
        <v>1</v>
      </c>
      <c r="C17" s="24">
        <v>7</v>
      </c>
      <c r="D17" s="24">
        <v>9</v>
      </c>
      <c r="E17" s="53" t="s">
        <v>222</v>
      </c>
      <c r="F17" s="24" t="s">
        <v>186</v>
      </c>
      <c r="G17" s="24">
        <v>1</v>
      </c>
      <c r="H17" s="27" t="s">
        <v>218</v>
      </c>
      <c r="I17" s="25">
        <v>30</v>
      </c>
      <c r="J17" s="25">
        <v>48</v>
      </c>
      <c r="K17" s="11">
        <v>1991</v>
      </c>
      <c r="L17" s="11" t="s">
        <v>188</v>
      </c>
      <c r="M17" s="28" t="s">
        <v>219</v>
      </c>
      <c r="N17" s="29">
        <v>1</v>
      </c>
      <c r="O17" s="29">
        <v>0</v>
      </c>
      <c r="P17" s="11">
        <v>1</v>
      </c>
      <c r="Q17" s="11">
        <v>0</v>
      </c>
      <c r="R17" s="11" t="b">
        <f t="shared" si="0"/>
        <v>1</v>
      </c>
      <c r="S17" s="11" t="s">
        <v>190</v>
      </c>
      <c r="T17" s="11">
        <v>1</v>
      </c>
      <c r="U17" s="24">
        <v>0.75</v>
      </c>
      <c r="V17" s="24"/>
      <c r="W17" s="24">
        <v>0.75</v>
      </c>
      <c r="X17" s="24"/>
      <c r="Y17" s="36"/>
      <c r="Z17" s="15"/>
      <c r="AA17" s="15">
        <v>3</v>
      </c>
      <c r="AB17" s="15">
        <v>3</v>
      </c>
      <c r="AC17" s="15">
        <v>13</v>
      </c>
      <c r="AD17" s="15">
        <v>1</v>
      </c>
      <c r="AE17" s="30">
        <v>20</v>
      </c>
      <c r="AF17" s="45"/>
      <c r="AG17" s="46">
        <v>0.49</v>
      </c>
      <c r="AH17" s="47"/>
      <c r="AI17" s="49"/>
      <c r="AJ17" s="44"/>
      <c r="AK17" s="47"/>
      <c r="AL17" s="44"/>
      <c r="AM17" s="44"/>
      <c r="AN17" s="44"/>
      <c r="AO17" s="44"/>
      <c r="AP17" s="44"/>
      <c r="AQ17" s="44"/>
      <c r="AR17" s="44"/>
      <c r="AS17" s="44"/>
      <c r="AT17" s="44"/>
      <c r="AU17" s="32"/>
      <c r="AV17" s="15">
        <v>0</v>
      </c>
      <c r="AW17" s="15">
        <v>2</v>
      </c>
      <c r="AX17" s="15">
        <v>0</v>
      </c>
      <c r="AY17" s="15">
        <v>0</v>
      </c>
      <c r="AZ17" s="15">
        <v>0</v>
      </c>
      <c r="BA17" s="15">
        <v>9</v>
      </c>
      <c r="BB17" s="15">
        <v>0</v>
      </c>
      <c r="BC17" s="15">
        <v>1</v>
      </c>
      <c r="BD17" s="15">
        <v>0</v>
      </c>
      <c r="BE17" s="15">
        <v>0</v>
      </c>
      <c r="BF17" s="15">
        <v>0</v>
      </c>
      <c r="BG17" s="15">
        <v>1</v>
      </c>
      <c r="BH17" s="15">
        <v>1</v>
      </c>
      <c r="BI17" s="15">
        <v>1</v>
      </c>
      <c r="BJ17" s="15">
        <v>0</v>
      </c>
      <c r="BK17" s="15">
        <v>0</v>
      </c>
      <c r="BL17" s="32"/>
      <c r="BM17" s="15">
        <v>11</v>
      </c>
      <c r="BN17" s="15">
        <v>2</v>
      </c>
      <c r="BO17" s="15">
        <v>0</v>
      </c>
      <c r="BP17" s="15">
        <v>2</v>
      </c>
      <c r="BQ17" s="32"/>
      <c r="BR17" s="32"/>
      <c r="BS17" s="32"/>
      <c r="BT17" s="32"/>
      <c r="BU17" s="32"/>
      <c r="BV17" s="32"/>
      <c r="BW17" s="32"/>
      <c r="BX17" s="32"/>
      <c r="BY17" s="32"/>
      <c r="BZ17" s="32"/>
    </row>
    <row r="18" spans="1:78" ht="12.9">
      <c r="A18" s="11" t="s">
        <v>216</v>
      </c>
      <c r="B18" s="24">
        <v>1</v>
      </c>
      <c r="C18" s="24">
        <v>7</v>
      </c>
      <c r="D18" s="24">
        <v>9</v>
      </c>
      <c r="E18" s="53" t="s">
        <v>223</v>
      </c>
      <c r="F18" s="24" t="s">
        <v>186</v>
      </c>
      <c r="G18" s="24">
        <v>2</v>
      </c>
      <c r="H18" s="27" t="s">
        <v>218</v>
      </c>
      <c r="I18" s="25">
        <v>36</v>
      </c>
      <c r="J18" s="25">
        <v>48</v>
      </c>
      <c r="K18" s="11">
        <v>1991</v>
      </c>
      <c r="L18" s="11" t="s">
        <v>188</v>
      </c>
      <c r="M18" s="28" t="s">
        <v>219</v>
      </c>
      <c r="N18" s="29">
        <v>1</v>
      </c>
      <c r="O18" s="29">
        <v>0</v>
      </c>
      <c r="P18" s="11">
        <v>1</v>
      </c>
      <c r="Q18" s="11">
        <v>0</v>
      </c>
      <c r="R18" s="11" t="b">
        <f t="shared" si="0"/>
        <v>1</v>
      </c>
      <c r="S18" s="11" t="s">
        <v>190</v>
      </c>
      <c r="T18" s="11">
        <v>1</v>
      </c>
      <c r="U18" s="24">
        <v>0.75</v>
      </c>
      <c r="V18" s="24"/>
      <c r="W18" s="24">
        <v>0.75</v>
      </c>
      <c r="X18" s="31"/>
      <c r="Y18" s="56"/>
      <c r="Z18" s="56"/>
      <c r="AA18" s="15">
        <v>2</v>
      </c>
      <c r="AB18" s="15">
        <v>3</v>
      </c>
      <c r="AC18" s="15">
        <v>9</v>
      </c>
      <c r="AD18" s="15">
        <v>1</v>
      </c>
      <c r="AE18" s="30">
        <v>15</v>
      </c>
      <c r="AF18" s="45"/>
      <c r="AG18" s="35">
        <v>0.35</v>
      </c>
      <c r="AH18" s="47"/>
      <c r="AI18" s="49"/>
      <c r="AJ18" s="44"/>
      <c r="AK18" s="47"/>
      <c r="AL18" s="44"/>
      <c r="AM18" s="44"/>
      <c r="AN18" s="44"/>
      <c r="AO18" s="44"/>
      <c r="AP18" s="44"/>
      <c r="AQ18" s="44"/>
      <c r="AR18" s="44"/>
      <c r="AS18" s="44"/>
      <c r="AT18" s="44"/>
      <c r="AU18" s="32"/>
      <c r="AV18" s="15">
        <v>0</v>
      </c>
      <c r="AW18" s="15">
        <v>0</v>
      </c>
      <c r="AX18" s="15">
        <v>0</v>
      </c>
      <c r="AY18" s="15">
        <v>0</v>
      </c>
      <c r="AZ18" s="15">
        <v>1</v>
      </c>
      <c r="BA18" s="15">
        <v>13</v>
      </c>
      <c r="BB18" s="15">
        <v>0</v>
      </c>
      <c r="BC18" s="15">
        <v>0</v>
      </c>
      <c r="BD18" s="15">
        <v>0</v>
      </c>
      <c r="BE18" s="15">
        <v>0</v>
      </c>
      <c r="BF18" s="15">
        <v>0</v>
      </c>
      <c r="BG18" s="15">
        <v>0</v>
      </c>
      <c r="BH18" s="15">
        <v>1</v>
      </c>
      <c r="BI18" s="15">
        <v>3</v>
      </c>
      <c r="BJ18" s="15">
        <v>0</v>
      </c>
      <c r="BK18" s="15">
        <v>2</v>
      </c>
      <c r="BL18" s="32"/>
      <c r="BM18" s="15">
        <v>14</v>
      </c>
      <c r="BN18" s="15">
        <v>0</v>
      </c>
      <c r="BO18" s="15">
        <v>2</v>
      </c>
      <c r="BP18" s="15">
        <v>4</v>
      </c>
      <c r="BQ18" s="32"/>
      <c r="BR18" s="32"/>
      <c r="BS18" s="32"/>
      <c r="BT18" s="32"/>
      <c r="BU18" s="32"/>
      <c r="BV18" s="32"/>
      <c r="BW18" s="32"/>
      <c r="BX18" s="32"/>
      <c r="BY18" s="32"/>
      <c r="BZ18" s="32"/>
    </row>
    <row r="19" spans="1:78" ht="12.9">
      <c r="A19" s="11" t="s">
        <v>224</v>
      </c>
      <c r="B19" s="24">
        <v>1</v>
      </c>
      <c r="C19" s="24">
        <v>8</v>
      </c>
      <c r="D19" s="24">
        <v>10</v>
      </c>
      <c r="E19" s="25" t="s">
        <v>215</v>
      </c>
      <c r="F19" s="24" t="s">
        <v>193</v>
      </c>
      <c r="G19" s="11">
        <v>1</v>
      </c>
      <c r="H19" s="27" t="s">
        <v>225</v>
      </c>
      <c r="I19" s="25">
        <v>12</v>
      </c>
      <c r="J19" s="25">
        <v>26</v>
      </c>
      <c r="K19" s="11">
        <v>2006</v>
      </c>
      <c r="L19" s="11" t="s">
        <v>188</v>
      </c>
      <c r="M19" s="28" t="s">
        <v>226</v>
      </c>
      <c r="N19" s="29">
        <v>1</v>
      </c>
      <c r="O19" s="29">
        <v>0</v>
      </c>
      <c r="P19" s="11">
        <v>1</v>
      </c>
      <c r="Q19" s="11">
        <v>0</v>
      </c>
      <c r="R19" s="11" t="b">
        <f t="shared" si="0"/>
        <v>1</v>
      </c>
      <c r="S19" s="11" t="s">
        <v>190</v>
      </c>
      <c r="T19" s="11">
        <v>1</v>
      </c>
      <c r="U19" s="24">
        <v>0.88</v>
      </c>
      <c r="V19" s="11"/>
      <c r="W19" s="24">
        <v>0.88</v>
      </c>
      <c r="X19" s="11"/>
      <c r="Y19" s="40" t="s">
        <v>202</v>
      </c>
      <c r="Z19" s="15"/>
      <c r="AA19" s="15">
        <v>53</v>
      </c>
      <c r="AB19" s="15">
        <v>1</v>
      </c>
      <c r="AC19" s="54">
        <v>0</v>
      </c>
      <c r="AD19" s="54">
        <v>0</v>
      </c>
      <c r="AE19" s="30">
        <v>54</v>
      </c>
      <c r="AF19" s="34"/>
      <c r="AG19" s="55">
        <v>0</v>
      </c>
      <c r="AH19" s="32"/>
      <c r="AI19" s="33"/>
      <c r="AJ19" s="15"/>
      <c r="AK19" s="32"/>
      <c r="AL19" s="15"/>
      <c r="AM19" s="15"/>
      <c r="AN19" s="15"/>
      <c r="AO19" s="15"/>
      <c r="AP19" s="15"/>
      <c r="AQ19" s="15"/>
      <c r="AR19" s="15"/>
      <c r="AS19" s="15"/>
      <c r="AT19" s="15"/>
      <c r="AU19" s="32"/>
      <c r="AV19" s="15">
        <v>2</v>
      </c>
      <c r="AW19" s="15">
        <v>0</v>
      </c>
      <c r="AX19" s="15">
        <v>0</v>
      </c>
      <c r="AY19" s="15">
        <v>1</v>
      </c>
      <c r="AZ19" s="15">
        <v>0</v>
      </c>
      <c r="BA19" s="15">
        <v>0</v>
      </c>
      <c r="BB19" s="15">
        <v>0</v>
      </c>
      <c r="BC19" s="15">
        <v>0</v>
      </c>
      <c r="BD19" s="15">
        <v>1</v>
      </c>
      <c r="BE19" s="15">
        <v>0</v>
      </c>
      <c r="BF19" s="15">
        <v>0</v>
      </c>
      <c r="BG19" s="15">
        <v>1</v>
      </c>
      <c r="BH19" s="15">
        <v>7</v>
      </c>
      <c r="BI19" s="15">
        <v>1</v>
      </c>
      <c r="BJ19" s="15">
        <v>1</v>
      </c>
      <c r="BK19" s="15">
        <v>40</v>
      </c>
      <c r="BL19" s="32"/>
      <c r="BM19" s="15">
        <v>3</v>
      </c>
      <c r="BN19" s="15">
        <v>2</v>
      </c>
      <c r="BO19" s="15">
        <v>40</v>
      </c>
      <c r="BP19" s="15">
        <v>9</v>
      </c>
      <c r="BQ19" s="32"/>
      <c r="BR19" s="32"/>
      <c r="BS19" s="32"/>
      <c r="BT19" s="32"/>
      <c r="BU19" s="32"/>
      <c r="BV19" s="32"/>
      <c r="BW19" s="32"/>
      <c r="BX19" s="32"/>
      <c r="BY19" s="32"/>
      <c r="BZ19" s="32"/>
    </row>
    <row r="20" spans="1:78" ht="12.9">
      <c r="A20" s="11" t="s">
        <v>224</v>
      </c>
      <c r="B20" s="24">
        <v>1</v>
      </c>
      <c r="C20" s="24">
        <v>8</v>
      </c>
      <c r="D20" s="24">
        <v>11</v>
      </c>
      <c r="E20" s="25" t="s">
        <v>213</v>
      </c>
      <c r="F20" s="24" t="s">
        <v>193</v>
      </c>
      <c r="G20" s="24">
        <v>1</v>
      </c>
      <c r="H20" s="27" t="s">
        <v>225</v>
      </c>
      <c r="I20" s="25">
        <v>12</v>
      </c>
      <c r="J20" s="25">
        <v>26</v>
      </c>
      <c r="K20" s="11">
        <v>2006</v>
      </c>
      <c r="L20" s="11" t="s">
        <v>188</v>
      </c>
      <c r="M20" s="28" t="s">
        <v>226</v>
      </c>
      <c r="N20" s="29">
        <v>1</v>
      </c>
      <c r="O20" s="29">
        <v>0</v>
      </c>
      <c r="P20" s="11">
        <v>0</v>
      </c>
      <c r="Q20" s="11">
        <v>0</v>
      </c>
      <c r="R20" s="11" t="b">
        <f t="shared" si="0"/>
        <v>0</v>
      </c>
      <c r="S20" s="11" t="s">
        <v>190</v>
      </c>
      <c r="T20" s="11">
        <v>1</v>
      </c>
      <c r="U20" s="24">
        <v>0.88</v>
      </c>
      <c r="V20" s="11"/>
      <c r="W20" s="24">
        <v>0.88</v>
      </c>
      <c r="X20" s="11"/>
      <c r="Y20" s="40" t="s">
        <v>202</v>
      </c>
      <c r="Z20" s="15"/>
      <c r="AA20" s="15">
        <v>19</v>
      </c>
      <c r="AB20" s="15">
        <v>8</v>
      </c>
      <c r="AC20" s="15">
        <v>9</v>
      </c>
      <c r="AD20" s="15">
        <v>8</v>
      </c>
      <c r="AE20" s="30">
        <v>44</v>
      </c>
      <c r="AF20" s="34"/>
      <c r="AG20" s="35">
        <v>0.23</v>
      </c>
      <c r="AH20" s="32"/>
      <c r="AI20" s="33"/>
      <c r="AJ20" s="15"/>
      <c r="AK20" s="32"/>
      <c r="AL20" s="15"/>
      <c r="AM20" s="15"/>
      <c r="AN20" s="15"/>
      <c r="AO20" s="15"/>
      <c r="AP20" s="15"/>
      <c r="AQ20" s="15"/>
      <c r="AR20" s="15"/>
      <c r="AS20" s="15"/>
      <c r="AT20" s="15"/>
      <c r="AU20" s="32"/>
      <c r="AV20" s="15">
        <v>1</v>
      </c>
      <c r="AW20" s="15">
        <v>0</v>
      </c>
      <c r="AX20" s="15">
        <v>0</v>
      </c>
      <c r="AY20" s="15">
        <v>0</v>
      </c>
      <c r="AZ20" s="15">
        <v>2</v>
      </c>
      <c r="BA20" s="15">
        <v>9</v>
      </c>
      <c r="BB20" s="15">
        <v>1</v>
      </c>
      <c r="BC20" s="15">
        <v>5</v>
      </c>
      <c r="BD20" s="15">
        <v>0</v>
      </c>
      <c r="BE20" s="15">
        <v>3</v>
      </c>
      <c r="BF20" s="15">
        <v>1</v>
      </c>
      <c r="BG20" s="15">
        <v>2</v>
      </c>
      <c r="BH20" s="15">
        <v>3</v>
      </c>
      <c r="BI20" s="15">
        <v>5</v>
      </c>
      <c r="BJ20" s="15">
        <v>0</v>
      </c>
      <c r="BK20" s="15">
        <v>12</v>
      </c>
      <c r="BL20" s="32"/>
      <c r="BM20" s="15">
        <v>17</v>
      </c>
      <c r="BN20" s="15">
        <v>7</v>
      </c>
      <c r="BO20" s="15">
        <v>12</v>
      </c>
      <c r="BP20" s="15">
        <v>8</v>
      </c>
      <c r="BQ20" s="32"/>
      <c r="BR20" s="32"/>
      <c r="BS20" s="32"/>
      <c r="BT20" s="32"/>
      <c r="BU20" s="32"/>
      <c r="BV20" s="32"/>
      <c r="BW20" s="32"/>
      <c r="BX20" s="32"/>
      <c r="BY20" s="32"/>
      <c r="BZ20" s="32"/>
    </row>
    <row r="21" spans="1:78" ht="12.9">
      <c r="A21" s="24" t="s">
        <v>227</v>
      </c>
      <c r="B21" s="24">
        <v>1</v>
      </c>
      <c r="C21" s="24">
        <v>9</v>
      </c>
      <c r="D21" s="24">
        <v>12</v>
      </c>
      <c r="E21" s="25" t="s">
        <v>228</v>
      </c>
      <c r="F21" s="24" t="s">
        <v>229</v>
      </c>
      <c r="G21" s="11">
        <v>1</v>
      </c>
      <c r="H21" s="27" t="s">
        <v>230</v>
      </c>
      <c r="I21" s="25">
        <v>13</v>
      </c>
      <c r="J21" s="25">
        <v>20</v>
      </c>
      <c r="K21" s="11">
        <v>1989</v>
      </c>
      <c r="L21" s="11" t="s">
        <v>188</v>
      </c>
      <c r="M21" s="28" t="s">
        <v>201</v>
      </c>
      <c r="N21" s="29">
        <v>1</v>
      </c>
      <c r="O21" s="29">
        <v>0</v>
      </c>
      <c r="P21" s="11">
        <v>0</v>
      </c>
      <c r="Q21" s="11">
        <v>0</v>
      </c>
      <c r="R21" s="11" t="b">
        <f t="shared" si="0"/>
        <v>0</v>
      </c>
      <c r="S21" s="11" t="s">
        <v>190</v>
      </c>
      <c r="T21" s="11">
        <v>1</v>
      </c>
      <c r="U21" s="11"/>
      <c r="V21" s="24">
        <v>0.84</v>
      </c>
      <c r="W21" s="11"/>
      <c r="X21" s="24">
        <v>0.84</v>
      </c>
      <c r="Y21" s="40" t="s">
        <v>202</v>
      </c>
      <c r="Z21" s="15"/>
      <c r="AA21" s="15"/>
      <c r="AB21" s="15"/>
      <c r="AC21" s="15"/>
      <c r="AD21" s="15"/>
      <c r="AE21" s="30">
        <v>59</v>
      </c>
      <c r="AF21" s="45"/>
      <c r="AG21" s="46">
        <v>0</v>
      </c>
      <c r="AH21" s="47"/>
      <c r="AI21" s="49"/>
      <c r="AJ21" s="44"/>
      <c r="AK21" s="47"/>
      <c r="AL21" s="44"/>
      <c r="AM21" s="44"/>
      <c r="AN21" s="44"/>
      <c r="AO21" s="44"/>
      <c r="AP21" s="44"/>
      <c r="AQ21" s="44"/>
      <c r="AR21" s="44"/>
      <c r="AS21" s="44"/>
      <c r="AT21" s="44"/>
      <c r="AU21" s="32"/>
      <c r="AV21" s="15"/>
      <c r="AW21" s="15"/>
      <c r="AX21" s="15"/>
      <c r="AY21" s="15"/>
      <c r="AZ21" s="15"/>
      <c r="BA21" s="15"/>
      <c r="BB21" s="15"/>
      <c r="BC21" s="15"/>
      <c r="BD21" s="15"/>
      <c r="BE21" s="15"/>
      <c r="BF21" s="15"/>
      <c r="BG21" s="15"/>
      <c r="BH21" s="15"/>
      <c r="BI21" s="15"/>
      <c r="BJ21" s="15"/>
      <c r="BK21" s="15"/>
      <c r="BL21" s="32"/>
      <c r="BM21" s="15"/>
      <c r="BN21" s="15"/>
      <c r="BO21" s="15"/>
      <c r="BP21" s="15"/>
      <c r="BQ21" s="32"/>
      <c r="BR21" s="32"/>
      <c r="BS21" s="32"/>
      <c r="BT21" s="32"/>
      <c r="BU21" s="32"/>
      <c r="BV21" s="32"/>
      <c r="BW21" s="32"/>
      <c r="BX21" s="32"/>
      <c r="BY21" s="32"/>
      <c r="BZ21" s="32"/>
    </row>
    <row r="22" spans="1:78" ht="12.9">
      <c r="A22" s="24" t="s">
        <v>227</v>
      </c>
      <c r="B22" s="24">
        <v>1</v>
      </c>
      <c r="C22" s="24">
        <v>9</v>
      </c>
      <c r="D22" s="24">
        <v>12</v>
      </c>
      <c r="E22" s="25" t="s">
        <v>231</v>
      </c>
      <c r="F22" s="24" t="s">
        <v>193</v>
      </c>
      <c r="G22" s="24">
        <v>2</v>
      </c>
      <c r="H22" s="27" t="s">
        <v>230</v>
      </c>
      <c r="I22" s="25">
        <v>13</v>
      </c>
      <c r="J22" s="25">
        <v>20</v>
      </c>
      <c r="K22" s="11">
        <v>1989</v>
      </c>
      <c r="L22" s="11" t="s">
        <v>188</v>
      </c>
      <c r="M22" s="28" t="s">
        <v>201</v>
      </c>
      <c r="N22" s="29">
        <v>1</v>
      </c>
      <c r="O22" s="29">
        <v>0</v>
      </c>
      <c r="P22" s="11">
        <v>0</v>
      </c>
      <c r="Q22" s="11">
        <v>0</v>
      </c>
      <c r="R22" s="11" t="b">
        <f t="shared" si="0"/>
        <v>0</v>
      </c>
      <c r="S22" s="11" t="s">
        <v>190</v>
      </c>
      <c r="T22" s="11">
        <v>1</v>
      </c>
      <c r="U22" s="11"/>
      <c r="V22" s="24">
        <v>0.84</v>
      </c>
      <c r="W22" s="11"/>
      <c r="X22" s="24">
        <v>0.84</v>
      </c>
      <c r="Y22" s="40" t="s">
        <v>202</v>
      </c>
      <c r="Z22" s="15"/>
      <c r="AA22" s="15"/>
      <c r="AB22" s="15"/>
      <c r="AC22" s="15"/>
      <c r="AD22" s="15"/>
      <c r="AE22" s="30">
        <v>57</v>
      </c>
      <c r="AF22" s="45"/>
      <c r="AG22" s="46">
        <v>0.11</v>
      </c>
      <c r="AH22" s="47"/>
      <c r="AI22" s="49"/>
      <c r="AJ22" s="44"/>
      <c r="AK22" s="47"/>
      <c r="AL22" s="44"/>
      <c r="AM22" s="44"/>
      <c r="AN22" s="44"/>
      <c r="AO22" s="44"/>
      <c r="AP22" s="44"/>
      <c r="AQ22" s="44"/>
      <c r="AR22" s="44"/>
      <c r="AS22" s="44"/>
      <c r="AT22" s="44"/>
      <c r="AU22" s="32"/>
      <c r="AV22" s="15"/>
      <c r="AW22" s="15"/>
      <c r="AX22" s="15"/>
      <c r="AY22" s="15"/>
      <c r="AZ22" s="15"/>
      <c r="BA22" s="15"/>
      <c r="BB22" s="15"/>
      <c r="BC22" s="15"/>
      <c r="BD22" s="15"/>
      <c r="BE22" s="15"/>
      <c r="BF22" s="15"/>
      <c r="BG22" s="15"/>
      <c r="BH22" s="15"/>
      <c r="BI22" s="15"/>
      <c r="BJ22" s="15"/>
      <c r="BK22" s="15"/>
      <c r="BL22" s="32"/>
      <c r="BM22" s="15"/>
      <c r="BN22" s="15"/>
      <c r="BO22" s="15"/>
      <c r="BP22" s="15"/>
      <c r="BQ22" s="32"/>
      <c r="BR22" s="32"/>
      <c r="BS22" s="32"/>
      <c r="BT22" s="32"/>
      <c r="BU22" s="32"/>
      <c r="BV22" s="32"/>
      <c r="BW22" s="32"/>
      <c r="BX22" s="32"/>
      <c r="BY22" s="32"/>
      <c r="BZ22" s="32"/>
    </row>
    <row r="23" spans="1:78" ht="12.9">
      <c r="A23" s="11" t="s">
        <v>232</v>
      </c>
      <c r="B23" s="24">
        <v>1</v>
      </c>
      <c r="C23" s="24">
        <v>10</v>
      </c>
      <c r="D23" s="24">
        <v>13</v>
      </c>
      <c r="E23" s="24" t="s">
        <v>198</v>
      </c>
      <c r="F23" s="24" t="s">
        <v>193</v>
      </c>
      <c r="G23" s="11">
        <v>1</v>
      </c>
      <c r="H23" s="27" t="s">
        <v>233</v>
      </c>
      <c r="I23" s="25">
        <v>15</v>
      </c>
      <c r="J23" s="25">
        <v>48</v>
      </c>
      <c r="K23" s="11">
        <v>2004</v>
      </c>
      <c r="L23" s="11" t="s">
        <v>188</v>
      </c>
      <c r="M23" s="28" t="s">
        <v>189</v>
      </c>
      <c r="N23" s="29">
        <v>1</v>
      </c>
      <c r="O23" s="29">
        <v>0</v>
      </c>
      <c r="P23" s="11">
        <v>1</v>
      </c>
      <c r="Q23" s="11">
        <v>0</v>
      </c>
      <c r="R23" s="11" t="b">
        <f t="shared" si="0"/>
        <v>1</v>
      </c>
      <c r="S23" s="11" t="s">
        <v>190</v>
      </c>
      <c r="T23" s="11">
        <v>1</v>
      </c>
      <c r="U23" s="24">
        <v>0.77800000000000002</v>
      </c>
      <c r="V23" s="24">
        <v>0.65</v>
      </c>
      <c r="W23" s="24">
        <v>0.76</v>
      </c>
      <c r="X23" s="24">
        <v>0.48</v>
      </c>
      <c r="Y23" s="40" t="s">
        <v>202</v>
      </c>
      <c r="Z23" s="15"/>
      <c r="AA23" s="15">
        <v>20</v>
      </c>
      <c r="AB23" s="15">
        <v>19</v>
      </c>
      <c r="AC23" s="15">
        <v>31</v>
      </c>
      <c r="AD23" s="15">
        <v>12</v>
      </c>
      <c r="AE23" s="30">
        <v>82</v>
      </c>
      <c r="AF23" s="45"/>
      <c r="AG23" s="46"/>
      <c r="AH23" s="47"/>
      <c r="AI23" s="50">
        <v>4.7</v>
      </c>
      <c r="AJ23" s="51">
        <v>1</v>
      </c>
      <c r="AK23" s="47">
        <v>0.24</v>
      </c>
      <c r="AL23" s="44"/>
      <c r="AM23" s="44"/>
      <c r="AN23" s="44"/>
      <c r="AO23" s="44"/>
      <c r="AP23" s="44"/>
      <c r="AQ23" s="44"/>
      <c r="AR23" s="44"/>
      <c r="AS23" s="44"/>
      <c r="AT23" s="44"/>
      <c r="AU23" s="32"/>
      <c r="AV23" s="15">
        <v>1</v>
      </c>
      <c r="AW23" s="15">
        <v>6</v>
      </c>
      <c r="AX23" s="15">
        <v>2</v>
      </c>
      <c r="AY23" s="15">
        <v>5</v>
      </c>
      <c r="AZ23" s="15">
        <v>5</v>
      </c>
      <c r="BA23" s="15">
        <v>31</v>
      </c>
      <c r="BB23" s="15">
        <v>1</v>
      </c>
      <c r="BC23" s="15">
        <v>6</v>
      </c>
      <c r="BD23" s="15">
        <v>0</v>
      </c>
      <c r="BE23" s="15">
        <v>1</v>
      </c>
      <c r="BF23" s="15">
        <v>1</v>
      </c>
      <c r="BG23" s="15">
        <v>2</v>
      </c>
      <c r="BH23" s="15">
        <v>1</v>
      </c>
      <c r="BI23" s="15">
        <v>12</v>
      </c>
      <c r="BJ23" s="15">
        <v>4</v>
      </c>
      <c r="BK23" s="15">
        <v>4</v>
      </c>
      <c r="BL23" s="32"/>
      <c r="BM23" s="15">
        <v>48</v>
      </c>
      <c r="BN23" s="15">
        <v>13</v>
      </c>
      <c r="BO23" s="15">
        <v>4</v>
      </c>
      <c r="BP23" s="15">
        <v>17</v>
      </c>
      <c r="BQ23" s="32"/>
      <c r="BR23" s="32"/>
      <c r="BS23" s="32"/>
      <c r="BT23" s="32"/>
      <c r="BU23" s="32"/>
      <c r="BV23" s="32"/>
      <c r="BW23" s="32"/>
      <c r="BX23" s="32"/>
      <c r="BY23" s="32"/>
      <c r="BZ23" s="32"/>
    </row>
    <row r="24" spans="1:78" ht="12.9">
      <c r="A24" s="11" t="s">
        <v>234</v>
      </c>
      <c r="B24" s="24">
        <v>1</v>
      </c>
      <c r="C24" s="24">
        <v>11</v>
      </c>
      <c r="D24" s="24">
        <v>14</v>
      </c>
      <c r="E24" s="24" t="s">
        <v>198</v>
      </c>
      <c r="F24" s="24" t="s">
        <v>193</v>
      </c>
      <c r="G24" s="11">
        <v>1</v>
      </c>
      <c r="H24" s="27" t="s">
        <v>235</v>
      </c>
      <c r="I24" s="25">
        <v>19</v>
      </c>
      <c r="J24" s="25">
        <v>27</v>
      </c>
      <c r="K24" s="11">
        <v>2000</v>
      </c>
      <c r="L24" s="11" t="s">
        <v>188</v>
      </c>
      <c r="M24" s="28" t="s">
        <v>201</v>
      </c>
      <c r="N24" s="29">
        <v>1</v>
      </c>
      <c r="O24" s="29">
        <v>0</v>
      </c>
      <c r="P24" s="11">
        <v>0</v>
      </c>
      <c r="Q24" s="11">
        <v>1</v>
      </c>
      <c r="R24" s="11" t="b">
        <f t="shared" si="0"/>
        <v>1</v>
      </c>
      <c r="S24" s="11" t="s">
        <v>190</v>
      </c>
      <c r="T24" s="11">
        <v>1</v>
      </c>
      <c r="U24" s="24">
        <v>1</v>
      </c>
      <c r="V24" s="24">
        <v>1</v>
      </c>
      <c r="W24" s="24">
        <v>1</v>
      </c>
      <c r="X24" s="24">
        <v>1</v>
      </c>
      <c r="Y24" s="11" t="s">
        <v>202</v>
      </c>
      <c r="Z24" s="15"/>
      <c r="AA24" s="15">
        <v>11</v>
      </c>
      <c r="AB24" s="15">
        <v>3</v>
      </c>
      <c r="AC24" s="15">
        <v>10</v>
      </c>
      <c r="AD24" s="15">
        <v>6</v>
      </c>
      <c r="AE24" s="30">
        <v>30</v>
      </c>
      <c r="AF24" s="34"/>
      <c r="AG24" s="35">
        <v>0.41</v>
      </c>
      <c r="AH24" s="32"/>
      <c r="AI24" s="33"/>
      <c r="AJ24" s="15"/>
      <c r="AK24" s="32"/>
      <c r="AL24" s="15"/>
      <c r="AM24" s="15"/>
      <c r="AN24" s="15"/>
      <c r="AO24" s="15"/>
      <c r="AP24" s="15"/>
      <c r="AQ24" s="15"/>
      <c r="AR24" s="15"/>
      <c r="AS24" s="15"/>
      <c r="AT24" s="15"/>
      <c r="AU24" s="32"/>
      <c r="AV24" s="15">
        <v>3</v>
      </c>
      <c r="AW24" s="15">
        <v>0</v>
      </c>
      <c r="AX24" s="15">
        <v>0</v>
      </c>
      <c r="AY24" s="15">
        <v>0</v>
      </c>
      <c r="AZ24" s="15">
        <v>2</v>
      </c>
      <c r="BA24" s="15">
        <v>10</v>
      </c>
      <c r="BB24" s="15">
        <v>0</v>
      </c>
      <c r="BC24" s="15">
        <v>4</v>
      </c>
      <c r="BD24" s="15">
        <v>0</v>
      </c>
      <c r="BE24" s="15">
        <v>1</v>
      </c>
      <c r="BF24" s="15">
        <v>0</v>
      </c>
      <c r="BG24" s="15">
        <v>3</v>
      </c>
      <c r="BH24" s="15">
        <v>2</v>
      </c>
      <c r="BI24" s="15">
        <v>2</v>
      </c>
      <c r="BJ24" s="15">
        <v>1</v>
      </c>
      <c r="BK24" s="15">
        <v>2</v>
      </c>
      <c r="BL24" s="32">
        <v>0.26</v>
      </c>
      <c r="BM24" s="15">
        <v>16</v>
      </c>
      <c r="BN24" s="15">
        <v>7</v>
      </c>
      <c r="BO24" s="15">
        <v>2</v>
      </c>
      <c r="BP24" s="15">
        <v>5</v>
      </c>
      <c r="BQ24" s="32"/>
      <c r="BR24" s="32"/>
      <c r="BS24" s="32"/>
      <c r="BT24" s="32"/>
      <c r="BU24" s="32"/>
      <c r="BV24" s="32"/>
      <c r="BW24" s="32"/>
      <c r="BX24" s="32"/>
      <c r="BY24" s="32"/>
      <c r="BZ24" s="32"/>
    </row>
    <row r="25" spans="1:78" ht="12.9">
      <c r="A25" s="40" t="s">
        <v>236</v>
      </c>
      <c r="B25" s="40">
        <v>1</v>
      </c>
      <c r="C25" s="40">
        <v>12</v>
      </c>
      <c r="D25" s="40">
        <v>15</v>
      </c>
      <c r="E25" s="25" t="s">
        <v>231</v>
      </c>
      <c r="F25" s="40" t="s">
        <v>186</v>
      </c>
      <c r="G25" s="36">
        <v>1</v>
      </c>
      <c r="H25" s="42" t="s">
        <v>237</v>
      </c>
      <c r="I25" s="25">
        <v>12</v>
      </c>
      <c r="J25" s="25">
        <v>36</v>
      </c>
      <c r="K25" s="11">
        <v>2010</v>
      </c>
      <c r="L25" s="36" t="s">
        <v>238</v>
      </c>
      <c r="M25" s="28" t="s">
        <v>239</v>
      </c>
      <c r="N25" s="29">
        <v>1</v>
      </c>
      <c r="O25" s="29">
        <v>0</v>
      </c>
      <c r="P25" s="36">
        <v>0</v>
      </c>
      <c r="Q25" s="36">
        <v>0</v>
      </c>
      <c r="R25" s="11" t="b">
        <f t="shared" si="0"/>
        <v>0</v>
      </c>
      <c r="S25" s="11" t="s">
        <v>190</v>
      </c>
      <c r="T25" s="11">
        <v>1</v>
      </c>
      <c r="U25" s="40">
        <v>1</v>
      </c>
      <c r="V25" s="40"/>
      <c r="W25" s="40">
        <v>0.95</v>
      </c>
      <c r="X25" s="36"/>
      <c r="Y25" s="36" t="s">
        <v>240</v>
      </c>
      <c r="Z25" s="44"/>
      <c r="AA25" s="44">
        <v>22</v>
      </c>
      <c r="AB25" s="44">
        <v>1</v>
      </c>
      <c r="AC25" s="44">
        <v>8</v>
      </c>
      <c r="AD25" s="44">
        <v>2</v>
      </c>
      <c r="AE25" s="30">
        <v>33</v>
      </c>
      <c r="AF25" s="45">
        <v>0.78</v>
      </c>
      <c r="AG25" s="46">
        <v>0.78</v>
      </c>
      <c r="AH25" s="47"/>
      <c r="AI25" s="49"/>
      <c r="AJ25" s="44"/>
      <c r="AK25" s="47"/>
      <c r="AL25" s="44">
        <v>10</v>
      </c>
      <c r="AM25" s="44">
        <v>0</v>
      </c>
      <c r="AN25" s="44">
        <v>3</v>
      </c>
      <c r="AO25" s="44">
        <v>0</v>
      </c>
      <c r="AP25" s="44">
        <v>8</v>
      </c>
      <c r="AQ25" s="44">
        <v>2</v>
      </c>
      <c r="AR25" s="44">
        <v>7</v>
      </c>
      <c r="AS25" s="44">
        <v>1</v>
      </c>
      <c r="AT25" s="44">
        <v>2</v>
      </c>
      <c r="AU25" s="46">
        <v>0.39</v>
      </c>
      <c r="AV25" s="44"/>
      <c r="AW25" s="44"/>
      <c r="AX25" s="44"/>
      <c r="AY25" s="44"/>
      <c r="AZ25" s="44"/>
      <c r="BA25" s="44"/>
      <c r="BB25" s="44"/>
      <c r="BC25" s="44"/>
      <c r="BD25" s="44"/>
      <c r="BE25" s="44"/>
      <c r="BF25" s="44"/>
      <c r="BG25" s="44"/>
      <c r="BH25" s="44"/>
      <c r="BI25" s="44"/>
      <c r="BJ25" s="44"/>
      <c r="BK25" s="44"/>
      <c r="BL25" s="47"/>
      <c r="BM25" s="15"/>
      <c r="BN25" s="15"/>
      <c r="BO25" s="15"/>
      <c r="BP25" s="15"/>
      <c r="BQ25" s="47"/>
      <c r="BR25" s="47"/>
      <c r="BS25" s="47"/>
      <c r="BT25" s="47"/>
      <c r="BU25" s="47"/>
      <c r="BV25" s="47"/>
      <c r="BW25" s="47"/>
      <c r="BX25" s="47"/>
      <c r="BY25" s="47"/>
      <c r="BZ25" s="47"/>
    </row>
    <row r="26" spans="1:78" ht="12.9">
      <c r="A26" s="24" t="s">
        <v>241</v>
      </c>
      <c r="B26" s="24">
        <v>1</v>
      </c>
      <c r="C26" s="24">
        <v>13</v>
      </c>
      <c r="D26" s="24">
        <v>16</v>
      </c>
      <c r="E26" s="25" t="s">
        <v>242</v>
      </c>
      <c r="F26" s="24" t="s">
        <v>193</v>
      </c>
      <c r="G26" s="11">
        <v>1</v>
      </c>
      <c r="H26" s="27" t="s">
        <v>243</v>
      </c>
      <c r="I26" s="25">
        <v>12</v>
      </c>
      <c r="J26" s="25">
        <v>48</v>
      </c>
      <c r="K26" s="11">
        <v>1992</v>
      </c>
      <c r="L26" s="11" t="s">
        <v>188</v>
      </c>
      <c r="M26" s="28" t="s">
        <v>189</v>
      </c>
      <c r="N26" s="29">
        <v>1</v>
      </c>
      <c r="O26" s="29">
        <v>0</v>
      </c>
      <c r="P26" s="11">
        <v>0</v>
      </c>
      <c r="Q26" s="11">
        <v>0</v>
      </c>
      <c r="R26" s="11" t="b">
        <f t="shared" si="0"/>
        <v>0</v>
      </c>
      <c r="S26" s="11" t="s">
        <v>190</v>
      </c>
      <c r="T26" s="11">
        <v>1</v>
      </c>
      <c r="U26" s="11"/>
      <c r="V26" s="11"/>
      <c r="W26" s="11"/>
      <c r="X26" s="11"/>
      <c r="Y26" s="11"/>
      <c r="Z26" s="15"/>
      <c r="AA26" s="15">
        <v>17</v>
      </c>
      <c r="AB26" s="15">
        <v>16</v>
      </c>
      <c r="AC26" s="15">
        <v>50</v>
      </c>
      <c r="AD26" s="15">
        <v>6</v>
      </c>
      <c r="AE26" s="30">
        <v>89</v>
      </c>
      <c r="AF26" s="34"/>
      <c r="AG26" s="35">
        <v>0.45</v>
      </c>
      <c r="AH26" s="35">
        <v>0.45</v>
      </c>
      <c r="AI26" s="33"/>
      <c r="AJ26" s="15"/>
      <c r="AK26" s="32"/>
      <c r="AL26" s="15">
        <v>50</v>
      </c>
      <c r="AM26" s="15">
        <v>4</v>
      </c>
      <c r="AN26" s="15">
        <v>2</v>
      </c>
      <c r="AO26" s="15">
        <v>13</v>
      </c>
      <c r="AP26" s="15">
        <v>5</v>
      </c>
      <c r="AQ26" s="15">
        <v>4</v>
      </c>
      <c r="AR26" s="15">
        <v>3</v>
      </c>
      <c r="AS26" s="15">
        <v>0</v>
      </c>
      <c r="AT26" s="15">
        <v>8</v>
      </c>
      <c r="AU26" s="32">
        <v>0.41</v>
      </c>
      <c r="AV26" s="15"/>
      <c r="AW26" s="15"/>
      <c r="AX26" s="15"/>
      <c r="AY26" s="15"/>
      <c r="AZ26" s="15"/>
      <c r="BA26" s="15"/>
      <c r="BB26" s="15"/>
      <c r="BC26" s="15"/>
      <c r="BD26" s="15"/>
      <c r="BE26" s="15"/>
      <c r="BF26" s="15"/>
      <c r="BG26" s="15"/>
      <c r="BH26" s="15"/>
      <c r="BI26" s="15"/>
      <c r="BJ26" s="15"/>
      <c r="BK26" s="15"/>
      <c r="BL26" s="32"/>
      <c r="BM26" s="15"/>
      <c r="BN26" s="15"/>
      <c r="BO26" s="15"/>
      <c r="BP26" s="15"/>
      <c r="BQ26" s="32"/>
      <c r="BR26" s="32"/>
      <c r="BS26" s="32"/>
      <c r="BT26" s="32"/>
      <c r="BU26" s="32"/>
      <c r="BV26" s="32"/>
      <c r="BW26" s="32"/>
      <c r="BX26" s="32"/>
      <c r="BY26" s="32"/>
      <c r="BZ26" s="32"/>
    </row>
    <row r="27" spans="1:78" ht="12.9">
      <c r="A27" s="36" t="s">
        <v>244</v>
      </c>
      <c r="B27" s="40">
        <v>1</v>
      </c>
      <c r="C27" s="40">
        <v>14</v>
      </c>
      <c r="D27" s="40">
        <v>17</v>
      </c>
      <c r="E27" s="53" t="s">
        <v>245</v>
      </c>
      <c r="F27" s="24" t="s">
        <v>193</v>
      </c>
      <c r="G27" s="36">
        <v>1</v>
      </c>
      <c r="H27" s="42" t="s">
        <v>246</v>
      </c>
      <c r="I27" s="25">
        <v>12</v>
      </c>
      <c r="J27" s="25">
        <v>72</v>
      </c>
      <c r="K27" s="11">
        <v>1997</v>
      </c>
      <c r="L27" s="36" t="s">
        <v>247</v>
      </c>
      <c r="M27" s="28" t="s">
        <v>248</v>
      </c>
      <c r="N27" s="29">
        <v>1</v>
      </c>
      <c r="O27" s="29">
        <v>1</v>
      </c>
      <c r="P27" s="36">
        <v>0</v>
      </c>
      <c r="Q27" s="36">
        <v>0</v>
      </c>
      <c r="R27" s="11" t="b">
        <f t="shared" si="0"/>
        <v>0</v>
      </c>
      <c r="S27" s="11" t="s">
        <v>190</v>
      </c>
      <c r="T27" s="11">
        <v>1</v>
      </c>
      <c r="U27" s="36"/>
      <c r="V27" s="40">
        <v>0.91</v>
      </c>
      <c r="W27" s="36"/>
      <c r="X27" s="40">
        <v>0.8</v>
      </c>
      <c r="Y27" s="40" t="s">
        <v>202</v>
      </c>
      <c r="Z27" s="44"/>
      <c r="AA27" s="44"/>
      <c r="AB27" s="44"/>
      <c r="AC27" s="44"/>
      <c r="AD27" s="44"/>
      <c r="AE27" s="30">
        <v>32</v>
      </c>
      <c r="AF27" s="45"/>
      <c r="AG27" s="46">
        <v>0.34</v>
      </c>
      <c r="AH27" s="46">
        <v>0.37</v>
      </c>
      <c r="AI27" s="49"/>
      <c r="AJ27" s="44"/>
      <c r="AK27" s="47"/>
      <c r="AL27" s="44"/>
      <c r="AM27" s="44"/>
      <c r="AN27" s="44"/>
      <c r="AO27" s="44"/>
      <c r="AP27" s="44"/>
      <c r="AQ27" s="44"/>
      <c r="AR27" s="44"/>
      <c r="AS27" s="44"/>
      <c r="AT27" s="44"/>
      <c r="AU27" s="47"/>
      <c r="AV27" s="44"/>
      <c r="AW27" s="44"/>
      <c r="AX27" s="44"/>
      <c r="AY27" s="44"/>
      <c r="AZ27" s="44"/>
      <c r="BA27" s="44"/>
      <c r="BB27" s="44"/>
      <c r="BC27" s="44"/>
      <c r="BD27" s="44"/>
      <c r="BE27" s="44"/>
      <c r="BF27" s="44"/>
      <c r="BG27" s="44"/>
      <c r="BH27" s="44"/>
      <c r="BI27" s="44"/>
      <c r="BJ27" s="44"/>
      <c r="BK27" s="44"/>
      <c r="BL27" s="46">
        <v>0.37</v>
      </c>
      <c r="BM27" s="15"/>
      <c r="BN27" s="15"/>
      <c r="BO27" s="15"/>
      <c r="BP27" s="15"/>
      <c r="BQ27" s="46"/>
      <c r="BR27" s="46"/>
      <c r="BS27" s="46"/>
      <c r="BT27" s="46"/>
      <c r="BU27" s="46"/>
      <c r="BV27" s="46"/>
      <c r="BW27" s="46"/>
      <c r="BX27" s="46"/>
      <c r="BY27" s="46"/>
      <c r="BZ27" s="46"/>
    </row>
    <row r="28" spans="1:78" ht="12.9">
      <c r="A28" s="36" t="s">
        <v>244</v>
      </c>
      <c r="B28" s="40">
        <v>1</v>
      </c>
      <c r="C28" s="40">
        <v>14</v>
      </c>
      <c r="D28" s="40">
        <v>17</v>
      </c>
      <c r="E28" s="53" t="s">
        <v>249</v>
      </c>
      <c r="F28" s="24" t="s">
        <v>193</v>
      </c>
      <c r="G28" s="36">
        <v>2</v>
      </c>
      <c r="H28" s="42" t="s">
        <v>246</v>
      </c>
      <c r="I28" s="25">
        <v>18</v>
      </c>
      <c r="J28" s="25">
        <v>72</v>
      </c>
      <c r="K28" s="11">
        <v>1997</v>
      </c>
      <c r="L28" s="36" t="s">
        <v>247</v>
      </c>
      <c r="M28" s="28" t="s">
        <v>248</v>
      </c>
      <c r="N28" s="29">
        <v>1</v>
      </c>
      <c r="O28" s="29">
        <v>0</v>
      </c>
      <c r="P28" s="36">
        <v>0</v>
      </c>
      <c r="Q28" s="36">
        <v>0</v>
      </c>
      <c r="R28" s="11" t="b">
        <f t="shared" si="0"/>
        <v>0</v>
      </c>
      <c r="S28" s="11" t="s">
        <v>190</v>
      </c>
      <c r="T28" s="11">
        <v>1</v>
      </c>
      <c r="U28" s="36"/>
      <c r="V28" s="40">
        <v>0.91</v>
      </c>
      <c r="W28" s="36"/>
      <c r="X28" s="40">
        <v>0.8</v>
      </c>
      <c r="Y28" s="40" t="s">
        <v>202</v>
      </c>
      <c r="Z28" s="44"/>
      <c r="AA28" s="44"/>
      <c r="AB28" s="44"/>
      <c r="AC28" s="44"/>
      <c r="AD28" s="44"/>
      <c r="AE28" s="30">
        <v>32</v>
      </c>
      <c r="AF28" s="45"/>
      <c r="AG28" s="46">
        <v>0.54</v>
      </c>
      <c r="AH28" s="47"/>
      <c r="AI28" s="49"/>
      <c r="AJ28" s="44"/>
      <c r="AK28" s="47"/>
      <c r="AL28" s="44"/>
      <c r="AM28" s="44"/>
      <c r="AN28" s="44"/>
      <c r="AO28" s="44"/>
      <c r="AP28" s="44"/>
      <c r="AQ28" s="44"/>
      <c r="AR28" s="44"/>
      <c r="AS28" s="44"/>
      <c r="AT28" s="44"/>
      <c r="AU28" s="47"/>
      <c r="AV28" s="44"/>
      <c r="AW28" s="44"/>
      <c r="AX28" s="44"/>
      <c r="AY28" s="44"/>
      <c r="AZ28" s="44"/>
      <c r="BA28" s="44"/>
      <c r="BB28" s="44"/>
      <c r="BC28" s="44"/>
      <c r="BD28" s="44"/>
      <c r="BE28" s="44"/>
      <c r="BF28" s="44"/>
      <c r="BG28" s="44"/>
      <c r="BH28" s="44"/>
      <c r="BI28" s="44"/>
      <c r="BJ28" s="44"/>
      <c r="BK28" s="44"/>
      <c r="BL28" s="46">
        <v>0.48</v>
      </c>
      <c r="BM28" s="15"/>
      <c r="BN28" s="15"/>
      <c r="BO28" s="15"/>
      <c r="BP28" s="15"/>
      <c r="BQ28" s="46"/>
      <c r="BR28" s="46"/>
      <c r="BS28" s="46"/>
      <c r="BT28" s="46"/>
      <c r="BU28" s="46"/>
      <c r="BV28" s="46"/>
      <c r="BW28" s="46"/>
      <c r="BX28" s="46"/>
      <c r="BY28" s="46"/>
      <c r="BZ28" s="46"/>
    </row>
    <row r="29" spans="1:78" ht="12.9">
      <c r="A29" s="36" t="s">
        <v>250</v>
      </c>
      <c r="B29" s="40">
        <v>1</v>
      </c>
      <c r="C29" s="40">
        <v>15</v>
      </c>
      <c r="D29" s="40">
        <v>18</v>
      </c>
      <c r="E29" s="25" t="s">
        <v>251</v>
      </c>
      <c r="F29" s="24" t="s">
        <v>193</v>
      </c>
      <c r="G29" s="36">
        <v>1</v>
      </c>
      <c r="H29" s="58" t="s">
        <v>252</v>
      </c>
      <c r="I29" s="25">
        <v>23.3</v>
      </c>
      <c r="J29" s="25">
        <v>36.000010000000003</v>
      </c>
      <c r="K29" s="11">
        <v>2014</v>
      </c>
      <c r="L29" s="36" t="s">
        <v>253</v>
      </c>
      <c r="M29" s="28" t="s">
        <v>189</v>
      </c>
      <c r="N29" s="29">
        <v>0</v>
      </c>
      <c r="O29" s="29">
        <v>0</v>
      </c>
      <c r="P29" s="36">
        <v>1</v>
      </c>
      <c r="Q29" s="36">
        <v>0</v>
      </c>
      <c r="R29" s="11" t="b">
        <f t="shared" si="0"/>
        <v>1</v>
      </c>
      <c r="S29" s="11" t="s">
        <v>190</v>
      </c>
      <c r="T29" s="11">
        <v>1</v>
      </c>
      <c r="U29" s="40">
        <v>0.82</v>
      </c>
      <c r="V29" s="36"/>
      <c r="W29" s="40">
        <v>0.82</v>
      </c>
      <c r="X29" s="36"/>
      <c r="Y29" s="36" t="s">
        <v>220</v>
      </c>
      <c r="Z29" s="44"/>
      <c r="AA29" s="44">
        <v>7</v>
      </c>
      <c r="AB29" s="44">
        <v>11</v>
      </c>
      <c r="AC29" s="44">
        <v>26</v>
      </c>
      <c r="AD29" s="44">
        <v>11</v>
      </c>
      <c r="AE29" s="30">
        <v>55</v>
      </c>
      <c r="AF29" s="45"/>
      <c r="AG29" s="47"/>
      <c r="AH29" s="47"/>
      <c r="AI29" s="49"/>
      <c r="AJ29" s="44"/>
      <c r="AK29" s="47">
        <v>0.09</v>
      </c>
      <c r="AL29" s="44"/>
      <c r="AM29" s="44"/>
      <c r="AN29" s="44"/>
      <c r="AO29" s="44"/>
      <c r="AP29" s="44"/>
      <c r="AQ29" s="44"/>
      <c r="AR29" s="44"/>
      <c r="AS29" s="44"/>
      <c r="AT29" s="44"/>
      <c r="AU29" s="47"/>
      <c r="AV29" s="51"/>
      <c r="AW29" s="44"/>
      <c r="AX29" s="44"/>
      <c r="AY29" s="51"/>
      <c r="AZ29" s="44"/>
      <c r="BA29" s="44"/>
      <c r="BB29" s="44"/>
      <c r="BC29" s="44"/>
      <c r="BD29" s="44"/>
      <c r="BE29" s="44"/>
      <c r="BF29" s="44"/>
      <c r="BG29" s="44"/>
      <c r="BH29" s="51"/>
      <c r="BI29" s="44"/>
      <c r="BJ29" s="44"/>
      <c r="BK29" s="51"/>
      <c r="BL29" s="47"/>
      <c r="BM29" s="15">
        <v>46</v>
      </c>
      <c r="BN29" s="15">
        <v>0</v>
      </c>
      <c r="BO29" s="15">
        <v>3</v>
      </c>
      <c r="BP29" s="15">
        <v>6</v>
      </c>
      <c r="BQ29" s="47"/>
      <c r="BR29" s="47"/>
      <c r="BS29" s="47"/>
      <c r="BT29" s="46">
        <v>0.46</v>
      </c>
      <c r="BU29" s="46"/>
      <c r="BV29" s="46"/>
      <c r="BW29" s="46"/>
      <c r="BX29" s="46"/>
      <c r="BY29" s="46"/>
      <c r="BZ29" s="46"/>
    </row>
    <row r="30" spans="1:78" ht="12.9">
      <c r="A30" s="36" t="s">
        <v>250</v>
      </c>
      <c r="B30" s="40">
        <v>1</v>
      </c>
      <c r="C30" s="40">
        <v>15</v>
      </c>
      <c r="D30" s="40">
        <v>19</v>
      </c>
      <c r="E30" s="25" t="s">
        <v>213</v>
      </c>
      <c r="F30" s="24" t="s">
        <v>193</v>
      </c>
      <c r="G30" s="40">
        <v>1</v>
      </c>
      <c r="H30" s="58" t="s">
        <v>252</v>
      </c>
      <c r="I30" s="25">
        <v>23.2</v>
      </c>
      <c r="J30" s="25">
        <v>36.000010000000003</v>
      </c>
      <c r="K30" s="11">
        <v>2014</v>
      </c>
      <c r="L30" s="36" t="s">
        <v>253</v>
      </c>
      <c r="M30" s="59" t="s">
        <v>219</v>
      </c>
      <c r="N30" s="29">
        <v>0</v>
      </c>
      <c r="O30" s="29">
        <v>0</v>
      </c>
      <c r="P30" s="36">
        <v>0</v>
      </c>
      <c r="Q30" s="36">
        <v>0</v>
      </c>
      <c r="R30" s="11" t="b">
        <f t="shared" si="0"/>
        <v>0</v>
      </c>
      <c r="S30" s="11" t="s">
        <v>190</v>
      </c>
      <c r="T30" s="11">
        <v>1</v>
      </c>
      <c r="U30" s="40">
        <v>0.82</v>
      </c>
      <c r="V30" s="36"/>
      <c r="W30" s="40">
        <v>0.82</v>
      </c>
      <c r="X30" s="36"/>
      <c r="Y30" s="36" t="s">
        <v>220</v>
      </c>
      <c r="Z30" s="44"/>
      <c r="AA30" s="44">
        <v>4</v>
      </c>
      <c r="AB30" s="44">
        <v>7</v>
      </c>
      <c r="AC30" s="44">
        <v>23</v>
      </c>
      <c r="AD30" s="44">
        <v>6</v>
      </c>
      <c r="AE30" s="30">
        <v>40</v>
      </c>
      <c r="AF30" s="45"/>
      <c r="AG30" s="47"/>
      <c r="AH30" s="47"/>
      <c r="AI30" s="49"/>
      <c r="AJ30" s="44"/>
      <c r="AK30" s="47">
        <v>0.16</v>
      </c>
      <c r="AL30" s="44"/>
      <c r="AM30" s="44"/>
      <c r="AN30" s="44"/>
      <c r="AO30" s="44"/>
      <c r="AP30" s="44"/>
      <c r="AQ30" s="44"/>
      <c r="AR30" s="44"/>
      <c r="AS30" s="44"/>
      <c r="AT30" s="44"/>
      <c r="AU30" s="47"/>
      <c r="AV30" s="51"/>
      <c r="AW30" s="44"/>
      <c r="AX30" s="44"/>
      <c r="AY30" s="51"/>
      <c r="AZ30" s="44"/>
      <c r="BA30" s="44"/>
      <c r="BB30" s="44"/>
      <c r="BC30" s="44"/>
      <c r="BD30" s="44"/>
      <c r="BE30" s="44"/>
      <c r="BF30" s="44"/>
      <c r="BG30" s="44"/>
      <c r="BH30" s="51"/>
      <c r="BI30" s="44"/>
      <c r="BJ30" s="44"/>
      <c r="BK30" s="51"/>
      <c r="BL30" s="47"/>
      <c r="BM30" s="15">
        <v>35</v>
      </c>
      <c r="BN30" s="15">
        <v>2</v>
      </c>
      <c r="BO30" s="15">
        <v>0</v>
      </c>
      <c r="BP30" s="15">
        <v>3</v>
      </c>
      <c r="BQ30" s="47"/>
      <c r="BR30" s="47"/>
      <c r="BS30" s="47"/>
      <c r="BT30" s="46">
        <v>-0.06</v>
      </c>
      <c r="BU30" s="46"/>
      <c r="BV30" s="46"/>
      <c r="BW30" s="46"/>
      <c r="BX30" s="46"/>
      <c r="BY30" s="46"/>
      <c r="BZ30" s="46"/>
    </row>
    <row r="31" spans="1:78" ht="12.9">
      <c r="A31" s="11" t="s">
        <v>254</v>
      </c>
      <c r="B31" s="24">
        <v>1</v>
      </c>
      <c r="C31" s="24">
        <v>16</v>
      </c>
      <c r="D31" s="24">
        <v>20</v>
      </c>
      <c r="E31" s="24" t="s">
        <v>198</v>
      </c>
      <c r="F31" s="24" t="s">
        <v>193</v>
      </c>
      <c r="G31" s="11">
        <v>1</v>
      </c>
      <c r="H31" s="27" t="s">
        <v>255</v>
      </c>
      <c r="I31" s="25">
        <v>12</v>
      </c>
      <c r="J31" s="25">
        <v>24</v>
      </c>
      <c r="K31" s="11">
        <v>2010</v>
      </c>
      <c r="L31" s="36" t="s">
        <v>247</v>
      </c>
      <c r="M31" s="28" t="s">
        <v>256</v>
      </c>
      <c r="N31" s="29">
        <v>1</v>
      </c>
      <c r="O31" s="29">
        <v>0</v>
      </c>
      <c r="P31" s="11">
        <v>0</v>
      </c>
      <c r="Q31" s="11">
        <v>0</v>
      </c>
      <c r="R31" s="11" t="b">
        <f t="shared" si="0"/>
        <v>0</v>
      </c>
      <c r="S31" s="11" t="s">
        <v>190</v>
      </c>
      <c r="T31" s="11">
        <v>1</v>
      </c>
      <c r="U31" s="31"/>
      <c r="V31" s="24">
        <v>0.79500000000000004</v>
      </c>
      <c r="W31" s="11"/>
      <c r="X31" s="24">
        <v>0.79500000000000004</v>
      </c>
      <c r="Y31" s="40" t="s">
        <v>202</v>
      </c>
      <c r="Z31" s="15"/>
      <c r="AA31" s="15">
        <v>23</v>
      </c>
      <c r="AB31" s="54">
        <v>16</v>
      </c>
      <c r="AC31" s="15">
        <v>28</v>
      </c>
      <c r="AD31" s="15">
        <v>14</v>
      </c>
      <c r="AE31" s="30">
        <v>81</v>
      </c>
      <c r="AF31" s="34"/>
      <c r="AG31" s="35">
        <v>0.08</v>
      </c>
      <c r="AH31" s="32"/>
      <c r="AI31" s="33"/>
      <c r="AJ31" s="15"/>
      <c r="AK31" s="32"/>
      <c r="AL31" s="15"/>
      <c r="AM31" s="15"/>
      <c r="AN31" s="15"/>
      <c r="AO31" s="15"/>
      <c r="AP31" s="15"/>
      <c r="AQ31" s="15"/>
      <c r="AR31" s="15"/>
      <c r="AS31" s="15"/>
      <c r="AT31" s="15"/>
      <c r="AU31" s="32"/>
      <c r="AV31" s="15"/>
      <c r="AW31" s="15"/>
      <c r="AX31" s="15"/>
      <c r="AY31" s="15"/>
      <c r="AZ31" s="15"/>
      <c r="BA31" s="15"/>
      <c r="BB31" s="15"/>
      <c r="BC31" s="15"/>
      <c r="BD31" s="15"/>
      <c r="BE31" s="15"/>
      <c r="BF31" s="15"/>
      <c r="BG31" s="15"/>
      <c r="BH31" s="15"/>
      <c r="BI31" s="15"/>
      <c r="BJ31" s="15"/>
      <c r="BK31" s="15"/>
      <c r="BL31" s="32"/>
      <c r="BM31" s="15"/>
      <c r="BN31" s="15"/>
      <c r="BO31" s="15"/>
      <c r="BP31" s="15"/>
      <c r="BQ31" s="32"/>
      <c r="BR31" s="32"/>
      <c r="BS31" s="32"/>
      <c r="BT31" s="32"/>
      <c r="BU31" s="32"/>
      <c r="BV31" s="32"/>
      <c r="BW31" s="32"/>
      <c r="BX31" s="32"/>
      <c r="BY31" s="32"/>
      <c r="BZ31" s="32"/>
    </row>
    <row r="32" spans="1:78" ht="12.9">
      <c r="A32" s="36" t="s">
        <v>257</v>
      </c>
      <c r="B32" s="40">
        <v>1</v>
      </c>
      <c r="C32" s="40">
        <v>17</v>
      </c>
      <c r="D32" s="40">
        <v>21</v>
      </c>
      <c r="E32" s="53" t="s">
        <v>258</v>
      </c>
      <c r="F32" s="24" t="s">
        <v>193</v>
      </c>
      <c r="G32" s="36">
        <v>1</v>
      </c>
      <c r="H32" s="42" t="s">
        <v>259</v>
      </c>
      <c r="I32" s="25">
        <v>12</v>
      </c>
      <c r="J32" s="25">
        <v>48</v>
      </c>
      <c r="K32" s="11">
        <v>2011</v>
      </c>
      <c r="L32" s="36" t="s">
        <v>188</v>
      </c>
      <c r="M32" s="28" t="s">
        <v>189</v>
      </c>
      <c r="N32" s="29">
        <v>1</v>
      </c>
      <c r="O32" s="29">
        <v>0</v>
      </c>
      <c r="P32" s="40">
        <v>1</v>
      </c>
      <c r="Q32" s="36">
        <v>0</v>
      </c>
      <c r="R32" s="11" t="b">
        <f t="shared" si="0"/>
        <v>1</v>
      </c>
      <c r="S32" s="11" t="s">
        <v>190</v>
      </c>
      <c r="T32" s="11">
        <v>1</v>
      </c>
      <c r="U32" s="40">
        <v>0.9</v>
      </c>
      <c r="V32" s="40">
        <v>0.84</v>
      </c>
      <c r="W32" s="40">
        <v>0.76</v>
      </c>
      <c r="X32" s="40">
        <v>0.53</v>
      </c>
      <c r="Y32" s="40" t="s">
        <v>202</v>
      </c>
      <c r="Z32" s="44"/>
      <c r="AA32" s="44">
        <v>28</v>
      </c>
      <c r="AB32" s="44">
        <v>38</v>
      </c>
      <c r="AC32" s="44">
        <v>58</v>
      </c>
      <c r="AD32" s="44">
        <v>26</v>
      </c>
      <c r="AE32" s="30">
        <v>150</v>
      </c>
      <c r="AF32" s="45"/>
      <c r="AG32" s="46">
        <v>0.12</v>
      </c>
      <c r="AH32" s="47"/>
      <c r="AI32" s="50">
        <v>2.11</v>
      </c>
      <c r="AJ32" s="51">
        <v>1</v>
      </c>
      <c r="AK32" s="47">
        <v>0.12</v>
      </c>
      <c r="AL32" s="44"/>
      <c r="AM32" s="44"/>
      <c r="AN32" s="44"/>
      <c r="AO32" s="44"/>
      <c r="AP32" s="44"/>
      <c r="AQ32" s="44"/>
      <c r="AR32" s="44"/>
      <c r="AS32" s="44"/>
      <c r="AT32" s="44"/>
      <c r="AU32" s="47"/>
      <c r="AV32" s="44">
        <v>5</v>
      </c>
      <c r="AW32" s="44">
        <v>13</v>
      </c>
      <c r="AX32" s="44">
        <v>1</v>
      </c>
      <c r="AY32" s="44">
        <v>7</v>
      </c>
      <c r="AZ32" s="44">
        <v>14</v>
      </c>
      <c r="BA32" s="44">
        <v>58</v>
      </c>
      <c r="BB32" s="44">
        <v>2</v>
      </c>
      <c r="BC32" s="44">
        <v>10</v>
      </c>
      <c r="BD32" s="44">
        <v>5</v>
      </c>
      <c r="BE32" s="44">
        <v>16</v>
      </c>
      <c r="BF32" s="44">
        <v>2</v>
      </c>
      <c r="BG32" s="44">
        <v>1</v>
      </c>
      <c r="BH32" s="44">
        <v>4</v>
      </c>
      <c r="BI32" s="44">
        <v>9</v>
      </c>
      <c r="BJ32" s="44">
        <v>0</v>
      </c>
      <c r="BK32" s="44">
        <v>3</v>
      </c>
      <c r="BL32" s="47">
        <v>7.0000000000000007E-2</v>
      </c>
      <c r="BM32" s="15">
        <v>116</v>
      </c>
      <c r="BN32" s="15">
        <v>18</v>
      </c>
      <c r="BO32" s="15">
        <v>3</v>
      </c>
      <c r="BP32" s="15">
        <v>13</v>
      </c>
      <c r="BQ32" s="47"/>
      <c r="BR32" s="47"/>
      <c r="BS32" s="47"/>
      <c r="BT32" s="47"/>
      <c r="BU32" s="47"/>
      <c r="BV32" s="47"/>
      <c r="BW32" s="47"/>
      <c r="BX32" s="47"/>
      <c r="BY32" s="47"/>
      <c r="BZ32" s="47"/>
    </row>
    <row r="33" spans="1:78" ht="12.9">
      <c r="A33" s="36" t="s">
        <v>260</v>
      </c>
      <c r="B33" s="40">
        <v>1</v>
      </c>
      <c r="C33" s="40">
        <v>18</v>
      </c>
      <c r="D33" s="40">
        <v>22</v>
      </c>
      <c r="E33" s="24" t="s">
        <v>198</v>
      </c>
      <c r="F33" s="24" t="s">
        <v>193</v>
      </c>
      <c r="G33" s="36">
        <v>1</v>
      </c>
      <c r="H33" s="42" t="s">
        <v>261</v>
      </c>
      <c r="I33" s="25">
        <v>12</v>
      </c>
      <c r="J33" s="25">
        <v>60</v>
      </c>
      <c r="K33" s="11">
        <v>2005</v>
      </c>
      <c r="L33" s="36" t="s">
        <v>188</v>
      </c>
      <c r="M33" s="28" t="s">
        <v>189</v>
      </c>
      <c r="N33" s="29">
        <v>1</v>
      </c>
      <c r="O33" s="29">
        <v>0</v>
      </c>
      <c r="P33" s="36">
        <v>1</v>
      </c>
      <c r="Q33" s="36">
        <v>0</v>
      </c>
      <c r="R33" s="11" t="b">
        <f t="shared" si="0"/>
        <v>1</v>
      </c>
      <c r="S33" s="11" t="s">
        <v>190</v>
      </c>
      <c r="T33" s="11">
        <v>1</v>
      </c>
      <c r="U33" s="36"/>
      <c r="V33" s="36">
        <v>0.87</v>
      </c>
      <c r="W33" s="36"/>
      <c r="X33" s="36">
        <v>0.87</v>
      </c>
      <c r="Y33" s="40" t="s">
        <v>202</v>
      </c>
      <c r="Z33" s="44"/>
      <c r="AA33" s="44">
        <v>37</v>
      </c>
      <c r="AB33" s="44">
        <v>17</v>
      </c>
      <c r="AC33" s="44">
        <v>15</v>
      </c>
      <c r="AD33" s="44">
        <v>9</v>
      </c>
      <c r="AE33" s="30">
        <v>78</v>
      </c>
      <c r="AF33" s="45"/>
      <c r="AG33" s="46">
        <v>0.28999999999999998</v>
      </c>
      <c r="AH33" s="47"/>
      <c r="AI33" s="49"/>
      <c r="AJ33" s="44"/>
      <c r="AK33" s="47"/>
      <c r="AL33" s="44"/>
      <c r="AM33" s="44"/>
      <c r="AN33" s="44"/>
      <c r="AO33" s="44"/>
      <c r="AP33" s="44"/>
      <c r="AQ33" s="44"/>
      <c r="AR33" s="44"/>
      <c r="AS33" s="44"/>
      <c r="AT33" s="44"/>
      <c r="AU33" s="47"/>
      <c r="AV33" s="44"/>
      <c r="AW33" s="44"/>
      <c r="AX33" s="44"/>
      <c r="AY33" s="44"/>
      <c r="AZ33" s="44"/>
      <c r="BA33" s="44"/>
      <c r="BB33" s="44"/>
      <c r="BC33" s="44"/>
      <c r="BD33" s="44"/>
      <c r="BE33" s="44"/>
      <c r="BF33" s="44"/>
      <c r="BG33" s="44"/>
      <c r="BH33" s="44"/>
      <c r="BI33" s="44"/>
      <c r="BJ33" s="44"/>
      <c r="BK33" s="44"/>
      <c r="BL33" s="47"/>
      <c r="BM33" s="15">
        <v>37</v>
      </c>
      <c r="BN33" s="15">
        <v>6</v>
      </c>
      <c r="BO33" s="15">
        <v>8</v>
      </c>
      <c r="BP33" s="15">
        <v>27</v>
      </c>
      <c r="BQ33" s="47"/>
      <c r="BR33" s="47"/>
      <c r="BS33" s="47"/>
      <c r="BT33" s="47"/>
      <c r="BU33" s="47"/>
      <c r="BV33" s="47"/>
      <c r="BW33" s="47"/>
      <c r="BX33" s="47"/>
      <c r="BY33" s="47"/>
      <c r="BZ33" s="47"/>
    </row>
    <row r="34" spans="1:78" ht="12.9">
      <c r="A34" s="36" t="s">
        <v>262</v>
      </c>
      <c r="B34" s="40">
        <v>1</v>
      </c>
      <c r="C34" s="40">
        <v>19</v>
      </c>
      <c r="D34" s="40">
        <v>23</v>
      </c>
      <c r="E34" s="53" t="s">
        <v>231</v>
      </c>
      <c r="F34" s="24" t="s">
        <v>193</v>
      </c>
      <c r="G34" s="36">
        <v>1</v>
      </c>
      <c r="H34" s="42" t="s">
        <v>263</v>
      </c>
      <c r="I34" s="25">
        <v>12</v>
      </c>
      <c r="J34" s="25">
        <v>69.5</v>
      </c>
      <c r="K34" s="11">
        <v>1988</v>
      </c>
      <c r="L34" s="36" t="s">
        <v>188</v>
      </c>
      <c r="M34" s="28" t="s">
        <v>248</v>
      </c>
      <c r="N34" s="29">
        <v>1</v>
      </c>
      <c r="O34" s="29">
        <v>1</v>
      </c>
      <c r="P34" s="36">
        <v>0</v>
      </c>
      <c r="Q34" s="36">
        <v>0</v>
      </c>
      <c r="R34" s="11" t="b">
        <f t="shared" si="0"/>
        <v>0</v>
      </c>
      <c r="S34" s="11" t="s">
        <v>190</v>
      </c>
      <c r="T34" s="11">
        <v>1</v>
      </c>
      <c r="U34" s="40">
        <v>0.83</v>
      </c>
      <c r="V34" s="40">
        <v>0.74</v>
      </c>
      <c r="W34" s="40">
        <v>0.83</v>
      </c>
      <c r="X34" s="40">
        <v>0.74</v>
      </c>
      <c r="Y34" s="36" t="s">
        <v>220</v>
      </c>
      <c r="Z34" s="44"/>
      <c r="AA34" s="44"/>
      <c r="AB34" s="44"/>
      <c r="AC34" s="44"/>
      <c r="AD34" s="44"/>
      <c r="AE34" s="30">
        <v>40</v>
      </c>
      <c r="AF34" s="60">
        <v>0.76</v>
      </c>
      <c r="AG34" s="46">
        <v>0.76</v>
      </c>
      <c r="AH34" s="46">
        <v>0.76</v>
      </c>
      <c r="AI34" s="49"/>
      <c r="AJ34" s="44"/>
      <c r="AK34" s="47"/>
      <c r="AL34" s="44"/>
      <c r="AM34" s="44"/>
      <c r="AN34" s="44"/>
      <c r="AO34" s="44"/>
      <c r="AP34" s="44"/>
      <c r="AQ34" s="44"/>
      <c r="AR34" s="44"/>
      <c r="AS34" s="44"/>
      <c r="AT34" s="44"/>
      <c r="AU34" s="47"/>
      <c r="AV34" s="44">
        <v>6</v>
      </c>
      <c r="AW34" s="44">
        <v>1</v>
      </c>
      <c r="AX34" s="44">
        <v>0</v>
      </c>
      <c r="AY34" s="44">
        <v>1</v>
      </c>
      <c r="AZ34" s="44">
        <v>0</v>
      </c>
      <c r="BA34" s="44">
        <v>12</v>
      </c>
      <c r="BB34" s="44">
        <v>0</v>
      </c>
      <c r="BC34" s="44">
        <v>0</v>
      </c>
      <c r="BD34" s="44">
        <v>0</v>
      </c>
      <c r="BE34" s="44">
        <v>0</v>
      </c>
      <c r="BF34" s="44">
        <v>0</v>
      </c>
      <c r="BG34" s="44">
        <v>0</v>
      </c>
      <c r="BH34" s="44">
        <v>1</v>
      </c>
      <c r="BI34" s="44">
        <v>2</v>
      </c>
      <c r="BJ34" s="44">
        <v>0</v>
      </c>
      <c r="BK34" s="44">
        <v>9</v>
      </c>
      <c r="BL34" s="47"/>
      <c r="BM34" s="15">
        <v>19</v>
      </c>
      <c r="BN34" s="15">
        <v>1</v>
      </c>
      <c r="BO34" s="15">
        <v>9</v>
      </c>
      <c r="BP34" s="15">
        <v>3</v>
      </c>
      <c r="BQ34" s="47"/>
      <c r="BR34" s="47"/>
      <c r="BS34" s="47"/>
      <c r="BT34" s="47"/>
      <c r="BU34" s="47"/>
      <c r="BV34" s="47"/>
      <c r="BW34" s="47"/>
      <c r="BX34" s="47"/>
      <c r="BY34" s="47"/>
      <c r="BZ34" s="47"/>
    </row>
    <row r="35" spans="1:78" ht="12.9">
      <c r="A35" s="36" t="s">
        <v>262</v>
      </c>
      <c r="B35" s="40">
        <v>1</v>
      </c>
      <c r="C35" s="40">
        <v>19</v>
      </c>
      <c r="D35" s="40">
        <v>23</v>
      </c>
      <c r="E35" s="53" t="s">
        <v>228</v>
      </c>
      <c r="F35" s="40" t="s">
        <v>229</v>
      </c>
      <c r="G35" s="36">
        <v>2</v>
      </c>
      <c r="H35" s="42" t="s">
        <v>263</v>
      </c>
      <c r="I35" s="25">
        <v>12</v>
      </c>
      <c r="J35" s="25">
        <v>69.5</v>
      </c>
      <c r="K35" s="11">
        <v>1988</v>
      </c>
      <c r="L35" s="36" t="s">
        <v>188</v>
      </c>
      <c r="M35" s="28" t="s">
        <v>248</v>
      </c>
      <c r="N35" s="29">
        <v>1</v>
      </c>
      <c r="O35" s="29">
        <v>1</v>
      </c>
      <c r="P35" s="36">
        <v>0</v>
      </c>
      <c r="Q35" s="36">
        <v>0</v>
      </c>
      <c r="R35" s="11" t="b">
        <f t="shared" si="0"/>
        <v>0</v>
      </c>
      <c r="S35" s="11" t="s">
        <v>190</v>
      </c>
      <c r="T35" s="11">
        <v>1</v>
      </c>
      <c r="U35" s="40">
        <v>0.77</v>
      </c>
      <c r="V35" s="40">
        <v>0.62</v>
      </c>
      <c r="W35" s="40">
        <v>0.77</v>
      </c>
      <c r="X35" s="40">
        <v>0.62</v>
      </c>
      <c r="Y35" s="36" t="s">
        <v>220</v>
      </c>
      <c r="Z35" s="44"/>
      <c r="AA35" s="44"/>
      <c r="AB35" s="44"/>
      <c r="AC35" s="44"/>
      <c r="AD35" s="44"/>
      <c r="AE35" s="30">
        <v>40</v>
      </c>
      <c r="AF35" s="60">
        <v>0.3</v>
      </c>
      <c r="AG35" s="46">
        <v>0.3</v>
      </c>
      <c r="AH35" s="47"/>
      <c r="AI35" s="49"/>
      <c r="AJ35" s="44"/>
      <c r="AK35" s="47"/>
      <c r="AL35" s="44"/>
      <c r="AM35" s="44"/>
      <c r="AN35" s="44"/>
      <c r="AO35" s="44"/>
      <c r="AP35" s="44"/>
      <c r="AQ35" s="44"/>
      <c r="AR35" s="44"/>
      <c r="AS35" s="44"/>
      <c r="AT35" s="44"/>
      <c r="AU35" s="47"/>
      <c r="AV35" s="44">
        <v>4</v>
      </c>
      <c r="AW35" s="44">
        <v>3</v>
      </c>
      <c r="AX35" s="44">
        <v>0</v>
      </c>
      <c r="AY35" s="51">
        <v>2</v>
      </c>
      <c r="AZ35" s="44">
        <v>5</v>
      </c>
      <c r="BA35" s="44">
        <v>15</v>
      </c>
      <c r="BB35" s="44">
        <v>0</v>
      </c>
      <c r="BC35" s="44">
        <v>2</v>
      </c>
      <c r="BD35" s="44">
        <v>0</v>
      </c>
      <c r="BE35" s="44">
        <v>0</v>
      </c>
      <c r="BF35" s="44">
        <v>0</v>
      </c>
      <c r="BG35" s="44">
        <v>0</v>
      </c>
      <c r="BH35" s="44">
        <v>1</v>
      </c>
      <c r="BI35" s="44">
        <v>0</v>
      </c>
      <c r="BJ35" s="44">
        <v>0</v>
      </c>
      <c r="BK35" s="44">
        <v>1</v>
      </c>
      <c r="BL35" s="47"/>
      <c r="BM35" s="15">
        <v>27</v>
      </c>
      <c r="BN35" s="15">
        <v>4</v>
      </c>
      <c r="BO35" s="15">
        <v>1</v>
      </c>
      <c r="BP35" s="15">
        <v>1</v>
      </c>
      <c r="BQ35" s="47"/>
      <c r="BR35" s="47"/>
      <c r="BS35" s="47"/>
      <c r="BT35" s="47"/>
      <c r="BU35" s="47"/>
      <c r="BV35" s="47"/>
      <c r="BW35" s="47"/>
      <c r="BX35" s="47"/>
      <c r="BY35" s="47"/>
      <c r="BZ35" s="47"/>
    </row>
    <row r="36" spans="1:78" ht="12.9">
      <c r="A36" s="40" t="s">
        <v>264</v>
      </c>
      <c r="B36" s="40">
        <v>1</v>
      </c>
      <c r="C36" s="40">
        <v>20</v>
      </c>
      <c r="D36" s="40">
        <v>24</v>
      </c>
      <c r="E36" s="53" t="s">
        <v>265</v>
      </c>
      <c r="F36" s="24" t="s">
        <v>193</v>
      </c>
      <c r="G36" s="36">
        <v>1</v>
      </c>
      <c r="H36" s="42" t="s">
        <v>266</v>
      </c>
      <c r="I36" s="25">
        <v>12</v>
      </c>
      <c r="J36" s="25">
        <v>24</v>
      </c>
      <c r="K36" s="11">
        <v>2000</v>
      </c>
      <c r="L36" s="36" t="s">
        <v>188</v>
      </c>
      <c r="M36" s="28" t="s">
        <v>189</v>
      </c>
      <c r="N36" s="29">
        <v>1</v>
      </c>
      <c r="O36" s="29">
        <v>0</v>
      </c>
      <c r="P36" s="36">
        <v>0</v>
      </c>
      <c r="Q36" s="36">
        <v>1</v>
      </c>
      <c r="R36" s="11" t="b">
        <f t="shared" si="0"/>
        <v>1</v>
      </c>
      <c r="S36" s="11" t="s">
        <v>190</v>
      </c>
      <c r="T36" s="11">
        <v>1</v>
      </c>
      <c r="U36" s="40">
        <v>0.79</v>
      </c>
      <c r="V36" s="40">
        <v>0.59</v>
      </c>
      <c r="W36" s="40">
        <v>0.87</v>
      </c>
      <c r="X36" s="40">
        <v>0.77</v>
      </c>
      <c r="Y36" s="40" t="s">
        <v>202</v>
      </c>
      <c r="Z36" s="44"/>
      <c r="AA36" s="44">
        <v>0</v>
      </c>
      <c r="AB36" s="44">
        <v>3</v>
      </c>
      <c r="AC36" s="44">
        <v>14</v>
      </c>
      <c r="AD36" s="44">
        <v>7</v>
      </c>
      <c r="AE36" s="30">
        <v>24</v>
      </c>
      <c r="AF36" s="45"/>
      <c r="AG36" s="46">
        <v>-0.24</v>
      </c>
      <c r="AH36" s="47"/>
      <c r="AI36" s="49"/>
      <c r="AJ36" s="44"/>
      <c r="AK36" s="47"/>
      <c r="AL36" s="44"/>
      <c r="AM36" s="44"/>
      <c r="AN36" s="44"/>
      <c r="AO36" s="44"/>
      <c r="AP36" s="44"/>
      <c r="AQ36" s="44"/>
      <c r="AR36" s="44"/>
      <c r="AS36" s="44"/>
      <c r="AT36" s="44"/>
      <c r="AU36" s="47"/>
      <c r="AV36" s="44"/>
      <c r="AW36" s="44"/>
      <c r="AX36" s="44"/>
      <c r="AY36" s="44"/>
      <c r="AZ36" s="44"/>
      <c r="BA36" s="44"/>
      <c r="BB36" s="44"/>
      <c r="BC36" s="44"/>
      <c r="BD36" s="44"/>
      <c r="BE36" s="44"/>
      <c r="BF36" s="44"/>
      <c r="BG36" s="44"/>
      <c r="BH36" s="44"/>
      <c r="BI36" s="44"/>
      <c r="BJ36" s="44"/>
      <c r="BK36" s="44"/>
      <c r="BL36" s="47"/>
      <c r="BM36" s="15"/>
      <c r="BN36" s="15"/>
      <c r="BO36" s="15"/>
      <c r="BP36" s="15"/>
      <c r="BQ36" s="47"/>
      <c r="BR36" s="47"/>
      <c r="BS36" s="47"/>
      <c r="BT36" s="47"/>
      <c r="BU36" s="47"/>
      <c r="BV36" s="47"/>
      <c r="BW36" s="47"/>
      <c r="BX36" s="47"/>
      <c r="BY36" s="47"/>
      <c r="BZ36" s="47"/>
    </row>
    <row r="37" spans="1:78" ht="12.9">
      <c r="A37" s="40" t="s">
        <v>264</v>
      </c>
      <c r="B37" s="40">
        <v>1</v>
      </c>
      <c r="C37" s="40">
        <v>20</v>
      </c>
      <c r="D37" s="40">
        <v>25</v>
      </c>
      <c r="E37" s="53" t="s">
        <v>213</v>
      </c>
      <c r="F37" s="24" t="s">
        <v>193</v>
      </c>
      <c r="G37" s="40">
        <v>1</v>
      </c>
      <c r="H37" s="42" t="s">
        <v>266</v>
      </c>
      <c r="I37" s="25">
        <v>12</v>
      </c>
      <c r="J37" s="25">
        <v>24</v>
      </c>
      <c r="K37" s="11">
        <v>2000</v>
      </c>
      <c r="L37" s="36" t="s">
        <v>188</v>
      </c>
      <c r="M37" s="28" t="s">
        <v>189</v>
      </c>
      <c r="N37" s="29">
        <v>1</v>
      </c>
      <c r="O37" s="29">
        <v>0</v>
      </c>
      <c r="P37" s="36">
        <v>0</v>
      </c>
      <c r="Q37" s="36">
        <v>0</v>
      </c>
      <c r="R37" s="11" t="b">
        <f t="shared" si="0"/>
        <v>0</v>
      </c>
      <c r="S37" s="11" t="s">
        <v>190</v>
      </c>
      <c r="T37" s="11">
        <v>1</v>
      </c>
      <c r="U37" s="40">
        <v>0.79</v>
      </c>
      <c r="V37" s="40">
        <v>0.59</v>
      </c>
      <c r="W37" s="40">
        <v>0.87</v>
      </c>
      <c r="X37" s="40">
        <v>0.77</v>
      </c>
      <c r="Y37" s="40" t="s">
        <v>202</v>
      </c>
      <c r="Z37" s="44"/>
      <c r="AA37" s="44">
        <v>9</v>
      </c>
      <c r="AB37" s="44">
        <v>7</v>
      </c>
      <c r="AC37" s="44">
        <v>29</v>
      </c>
      <c r="AD37" s="44">
        <v>16</v>
      </c>
      <c r="AE37" s="30">
        <v>61</v>
      </c>
      <c r="AF37" s="45"/>
      <c r="AG37" s="46">
        <v>0.19</v>
      </c>
      <c r="AH37" s="46"/>
      <c r="AI37" s="50">
        <v>2.09</v>
      </c>
      <c r="AJ37" s="51">
        <v>1</v>
      </c>
      <c r="AK37" s="46">
        <v>0.18</v>
      </c>
      <c r="AL37" s="44"/>
      <c r="AM37" s="44"/>
      <c r="AN37" s="44"/>
      <c r="AO37" s="44"/>
      <c r="AP37" s="44"/>
      <c r="AQ37" s="44"/>
      <c r="AR37" s="44"/>
      <c r="AS37" s="44"/>
      <c r="AT37" s="44"/>
      <c r="AU37" s="47"/>
      <c r="AV37" s="44"/>
      <c r="AW37" s="44"/>
      <c r="AX37" s="44"/>
      <c r="AY37" s="44"/>
      <c r="AZ37" s="44"/>
      <c r="BA37" s="44"/>
      <c r="BB37" s="44"/>
      <c r="BC37" s="44"/>
      <c r="BD37" s="44"/>
      <c r="BE37" s="44"/>
      <c r="BF37" s="44"/>
      <c r="BG37" s="44"/>
      <c r="BH37" s="44"/>
      <c r="BI37" s="44"/>
      <c r="BJ37" s="44"/>
      <c r="BK37" s="44"/>
      <c r="BL37" s="47"/>
      <c r="BM37" s="15"/>
      <c r="BN37" s="15"/>
      <c r="BO37" s="15"/>
      <c r="BP37" s="15"/>
      <c r="BQ37" s="47"/>
      <c r="BR37" s="47"/>
      <c r="BS37" s="47"/>
      <c r="BT37" s="47"/>
      <c r="BU37" s="47"/>
      <c r="BV37" s="47"/>
      <c r="BW37" s="47"/>
      <c r="BX37" s="47"/>
      <c r="BY37" s="47"/>
      <c r="BZ37" s="47"/>
    </row>
    <row r="38" spans="1:78" ht="12.9">
      <c r="A38" s="40" t="s">
        <v>264</v>
      </c>
      <c r="B38" s="40">
        <v>1</v>
      </c>
      <c r="C38" s="40">
        <v>20</v>
      </c>
      <c r="D38" s="40">
        <v>26</v>
      </c>
      <c r="E38" s="53" t="s">
        <v>267</v>
      </c>
      <c r="F38" s="24" t="s">
        <v>193</v>
      </c>
      <c r="G38" s="40">
        <v>1</v>
      </c>
      <c r="H38" s="42" t="s">
        <v>266</v>
      </c>
      <c r="I38" s="25">
        <v>12</v>
      </c>
      <c r="J38" s="25">
        <v>24</v>
      </c>
      <c r="K38" s="11">
        <v>2000</v>
      </c>
      <c r="L38" s="36" t="s">
        <v>188</v>
      </c>
      <c r="M38" s="28" t="s">
        <v>189</v>
      </c>
      <c r="N38" s="29">
        <v>1</v>
      </c>
      <c r="O38" s="29">
        <v>0</v>
      </c>
      <c r="P38" s="36">
        <v>0</v>
      </c>
      <c r="Q38" s="36">
        <v>1</v>
      </c>
      <c r="R38" s="11" t="b">
        <f t="shared" si="0"/>
        <v>1</v>
      </c>
      <c r="S38" s="11" t="s">
        <v>190</v>
      </c>
      <c r="T38" s="11">
        <v>1</v>
      </c>
      <c r="U38" s="40">
        <v>0.79</v>
      </c>
      <c r="V38" s="40">
        <v>0.59</v>
      </c>
      <c r="W38" s="40">
        <v>0.87</v>
      </c>
      <c r="X38" s="40">
        <v>0.77</v>
      </c>
      <c r="Y38" s="40" t="s">
        <v>202</v>
      </c>
      <c r="Z38" s="44"/>
      <c r="AA38" s="44">
        <v>1</v>
      </c>
      <c r="AB38" s="44">
        <v>10</v>
      </c>
      <c r="AC38" s="44">
        <v>7</v>
      </c>
      <c r="AD38" s="44">
        <v>4</v>
      </c>
      <c r="AE38" s="30">
        <v>22</v>
      </c>
      <c r="AF38" s="45"/>
      <c r="AG38" s="46">
        <v>-0.33</v>
      </c>
      <c r="AH38" s="47"/>
      <c r="AI38" s="49"/>
      <c r="AJ38" s="44"/>
      <c r="AK38" s="47"/>
      <c r="AL38" s="44"/>
      <c r="AM38" s="44"/>
      <c r="AN38" s="44"/>
      <c r="AO38" s="44"/>
      <c r="AP38" s="44"/>
      <c r="AQ38" s="44"/>
      <c r="AR38" s="44"/>
      <c r="AS38" s="44"/>
      <c r="AT38" s="44"/>
      <c r="AU38" s="47"/>
      <c r="AV38" s="44"/>
      <c r="AW38" s="44"/>
      <c r="AX38" s="44"/>
      <c r="AY38" s="44"/>
      <c r="AZ38" s="44"/>
      <c r="BA38" s="44"/>
      <c r="BB38" s="44"/>
      <c r="BC38" s="44"/>
      <c r="BD38" s="44"/>
      <c r="BE38" s="44"/>
      <c r="BF38" s="44"/>
      <c r="BG38" s="44"/>
      <c r="BH38" s="44"/>
      <c r="BI38" s="44"/>
      <c r="BJ38" s="44"/>
      <c r="BK38" s="44"/>
      <c r="BL38" s="47"/>
      <c r="BM38" s="15"/>
      <c r="BN38" s="15"/>
      <c r="BO38" s="15"/>
      <c r="BP38" s="15"/>
      <c r="BQ38" s="47"/>
      <c r="BR38" s="47"/>
      <c r="BS38" s="47"/>
      <c r="BT38" s="47"/>
      <c r="BU38" s="47"/>
      <c r="BV38" s="47"/>
      <c r="BW38" s="47"/>
      <c r="BX38" s="47"/>
      <c r="BY38" s="47"/>
      <c r="BZ38" s="47"/>
    </row>
    <row r="39" spans="1:78" ht="12.9">
      <c r="A39" s="40" t="s">
        <v>268</v>
      </c>
      <c r="B39" s="40">
        <v>1</v>
      </c>
      <c r="C39" s="40">
        <v>21</v>
      </c>
      <c r="D39" s="40">
        <v>27</v>
      </c>
      <c r="E39" s="24" t="s">
        <v>198</v>
      </c>
      <c r="F39" s="24" t="s">
        <v>193</v>
      </c>
      <c r="G39" s="36">
        <v>1</v>
      </c>
      <c r="H39" s="42" t="s">
        <v>269</v>
      </c>
      <c r="I39" s="25">
        <v>13.5</v>
      </c>
      <c r="J39" s="25">
        <v>42</v>
      </c>
      <c r="K39" s="11">
        <v>1995</v>
      </c>
      <c r="L39" s="36" t="s">
        <v>188</v>
      </c>
      <c r="M39" s="28" t="s">
        <v>189</v>
      </c>
      <c r="N39" s="29">
        <v>0</v>
      </c>
      <c r="O39" s="29">
        <v>1</v>
      </c>
      <c r="P39" s="36">
        <v>1</v>
      </c>
      <c r="Q39" s="36">
        <v>0</v>
      </c>
      <c r="R39" s="11" t="b">
        <f t="shared" si="0"/>
        <v>1</v>
      </c>
      <c r="S39" s="40" t="s">
        <v>270</v>
      </c>
      <c r="T39" s="36">
        <v>0</v>
      </c>
      <c r="U39" s="40">
        <v>0.8</v>
      </c>
      <c r="V39" s="36"/>
      <c r="W39" s="40">
        <v>0.8</v>
      </c>
      <c r="X39" s="36"/>
      <c r="Y39" s="36" t="s">
        <v>202</v>
      </c>
      <c r="Z39" s="44"/>
      <c r="AA39" s="44">
        <v>19</v>
      </c>
      <c r="AB39" s="44">
        <v>27</v>
      </c>
      <c r="AC39" s="44">
        <v>24</v>
      </c>
      <c r="AD39" s="44">
        <v>16</v>
      </c>
      <c r="AE39" s="30">
        <v>86</v>
      </c>
      <c r="AF39" s="45"/>
      <c r="AG39" s="47"/>
      <c r="AH39" s="47"/>
      <c r="AI39" s="49"/>
      <c r="AJ39" s="44"/>
      <c r="AK39" s="47"/>
      <c r="AL39" s="44"/>
      <c r="AM39" s="44"/>
      <c r="AN39" s="44"/>
      <c r="AO39" s="44"/>
      <c r="AP39" s="44"/>
      <c r="AQ39" s="44"/>
      <c r="AR39" s="44"/>
      <c r="AS39" s="44"/>
      <c r="AT39" s="44"/>
      <c r="AU39" s="47"/>
      <c r="AV39" s="44">
        <v>3</v>
      </c>
      <c r="AW39" s="44">
        <v>13</v>
      </c>
      <c r="AX39" s="44">
        <v>1</v>
      </c>
      <c r="AY39" s="44">
        <v>6</v>
      </c>
      <c r="AZ39" s="44">
        <v>3</v>
      </c>
      <c r="BA39" s="44">
        <v>24</v>
      </c>
      <c r="BB39" s="44">
        <v>4</v>
      </c>
      <c r="BC39" s="44">
        <v>9</v>
      </c>
      <c r="BD39" s="44">
        <v>0</v>
      </c>
      <c r="BE39" s="44">
        <v>3</v>
      </c>
      <c r="BF39" s="44">
        <v>0</v>
      </c>
      <c r="BG39" s="44">
        <v>0</v>
      </c>
      <c r="BH39" s="44">
        <v>0</v>
      </c>
      <c r="BI39" s="44">
        <v>11</v>
      </c>
      <c r="BJ39" s="44">
        <v>1</v>
      </c>
      <c r="BK39" s="44">
        <v>8</v>
      </c>
      <c r="BL39" s="47"/>
      <c r="BM39" s="15">
        <v>51</v>
      </c>
      <c r="BN39" s="15">
        <v>15</v>
      </c>
      <c r="BO39" s="15">
        <v>8</v>
      </c>
      <c r="BP39" s="15">
        <v>12</v>
      </c>
      <c r="BQ39" s="47"/>
      <c r="BR39" s="47"/>
      <c r="BS39" s="47"/>
      <c r="BT39" s="47"/>
      <c r="BU39" s="47"/>
      <c r="BV39" s="47"/>
      <c r="BW39" s="47"/>
      <c r="BX39" s="47"/>
      <c r="BY39" s="47"/>
      <c r="BZ39" s="47"/>
    </row>
    <row r="40" spans="1:78" ht="15" customHeight="1">
      <c r="A40" s="36" t="s">
        <v>271</v>
      </c>
      <c r="B40" s="24">
        <v>1</v>
      </c>
      <c r="C40" s="24">
        <v>22</v>
      </c>
      <c r="D40" s="24">
        <v>28</v>
      </c>
      <c r="E40" s="24" t="s">
        <v>198</v>
      </c>
      <c r="F40" s="24" t="s">
        <v>193</v>
      </c>
      <c r="G40" s="11">
        <v>1</v>
      </c>
      <c r="H40" s="27" t="s">
        <v>272</v>
      </c>
      <c r="I40" s="25">
        <v>44</v>
      </c>
      <c r="J40" s="25">
        <v>67</v>
      </c>
      <c r="K40" s="11">
        <v>2005</v>
      </c>
      <c r="L40" s="11" t="s">
        <v>200</v>
      </c>
      <c r="M40" s="28" t="s">
        <v>273</v>
      </c>
      <c r="N40" s="29">
        <v>1</v>
      </c>
      <c r="O40" s="29">
        <v>0</v>
      </c>
      <c r="P40" s="11">
        <v>0</v>
      </c>
      <c r="Q40" s="11">
        <v>0</v>
      </c>
      <c r="R40" s="11" t="b">
        <f t="shared" si="0"/>
        <v>0</v>
      </c>
      <c r="S40" s="11" t="s">
        <v>190</v>
      </c>
      <c r="T40" s="11">
        <v>1</v>
      </c>
      <c r="U40" s="24">
        <v>0.89</v>
      </c>
      <c r="V40" s="24">
        <v>0.84</v>
      </c>
      <c r="W40" s="24">
        <v>0.9</v>
      </c>
      <c r="X40" s="24">
        <v>0.83</v>
      </c>
      <c r="Y40" s="11" t="s">
        <v>220</v>
      </c>
      <c r="Z40" s="15"/>
      <c r="AA40" s="15">
        <v>36</v>
      </c>
      <c r="AB40" s="15">
        <v>6</v>
      </c>
      <c r="AC40" s="15">
        <v>56</v>
      </c>
      <c r="AD40" s="15">
        <v>22</v>
      </c>
      <c r="AE40" s="30">
        <v>120</v>
      </c>
      <c r="AF40" s="45"/>
      <c r="AG40" s="47"/>
      <c r="AH40" s="47"/>
      <c r="AI40" s="49"/>
      <c r="AJ40" s="44"/>
      <c r="AK40" s="47"/>
      <c r="AL40" s="44"/>
      <c r="AM40" s="44"/>
      <c r="AN40" s="44"/>
      <c r="AO40" s="44"/>
      <c r="AP40" s="44"/>
      <c r="AQ40" s="44"/>
      <c r="AR40" s="44"/>
      <c r="AS40" s="44"/>
      <c r="AT40" s="44"/>
      <c r="AU40" s="32"/>
      <c r="AV40" s="15">
        <v>7</v>
      </c>
      <c r="AW40" s="15">
        <v>4</v>
      </c>
      <c r="AX40" s="15">
        <v>3</v>
      </c>
      <c r="AY40" s="15">
        <v>2</v>
      </c>
      <c r="AZ40" s="15">
        <v>7</v>
      </c>
      <c r="BA40" s="15">
        <v>56</v>
      </c>
      <c r="BB40" s="15">
        <v>6</v>
      </c>
      <c r="BC40" s="15">
        <v>9</v>
      </c>
      <c r="BD40" s="15">
        <v>1</v>
      </c>
      <c r="BE40" s="15">
        <v>2</v>
      </c>
      <c r="BF40" s="15">
        <v>8</v>
      </c>
      <c r="BG40" s="15">
        <v>2</v>
      </c>
      <c r="BH40" s="15">
        <v>2</v>
      </c>
      <c r="BI40" s="15">
        <v>0</v>
      </c>
      <c r="BJ40" s="15">
        <v>1</v>
      </c>
      <c r="BK40" s="15">
        <v>10</v>
      </c>
      <c r="BL40" s="32">
        <v>0.47</v>
      </c>
      <c r="BM40" s="15">
        <v>94</v>
      </c>
      <c r="BN40" s="15">
        <v>13</v>
      </c>
      <c r="BO40" s="15">
        <v>10</v>
      </c>
      <c r="BP40" s="15">
        <v>3</v>
      </c>
      <c r="BQ40" s="32"/>
      <c r="BR40" s="32"/>
      <c r="BS40" s="32"/>
      <c r="BT40" s="32"/>
      <c r="BU40" s="32"/>
      <c r="BV40" s="32"/>
      <c r="BW40" s="32"/>
      <c r="BX40" s="32"/>
      <c r="BY40" s="32"/>
      <c r="BZ40" s="32"/>
    </row>
    <row r="41" spans="1:78" ht="12.9">
      <c r="A41" s="24" t="s">
        <v>274</v>
      </c>
      <c r="B41" s="24">
        <v>1</v>
      </c>
      <c r="C41" s="24">
        <v>23</v>
      </c>
      <c r="D41" s="24">
        <v>29</v>
      </c>
      <c r="E41" s="24" t="s">
        <v>198</v>
      </c>
      <c r="F41" s="24" t="s">
        <v>193</v>
      </c>
      <c r="G41" s="11">
        <v>1</v>
      </c>
      <c r="H41" s="27" t="s">
        <v>275</v>
      </c>
      <c r="I41" s="25">
        <v>15</v>
      </c>
      <c r="J41" s="25">
        <v>36</v>
      </c>
      <c r="K41" s="11">
        <v>2001</v>
      </c>
      <c r="L41" s="11" t="s">
        <v>188</v>
      </c>
      <c r="M41" s="28" t="s">
        <v>189</v>
      </c>
      <c r="N41" s="29">
        <v>1</v>
      </c>
      <c r="O41" s="29">
        <v>0</v>
      </c>
      <c r="P41" s="11">
        <v>0</v>
      </c>
      <c r="Q41" s="11">
        <v>0</v>
      </c>
      <c r="R41" s="11" t="b">
        <f t="shared" si="0"/>
        <v>0</v>
      </c>
      <c r="S41" s="11" t="s">
        <v>190</v>
      </c>
      <c r="T41" s="11">
        <v>1</v>
      </c>
      <c r="U41" s="24">
        <v>0.82</v>
      </c>
      <c r="V41" s="24">
        <v>0.7</v>
      </c>
      <c r="W41" s="24">
        <v>0.75700000000000001</v>
      </c>
      <c r="X41" s="24">
        <v>0.57999999999999996</v>
      </c>
      <c r="Y41" s="36" t="s">
        <v>202</v>
      </c>
      <c r="Z41" s="15"/>
      <c r="AA41" s="15">
        <v>164</v>
      </c>
      <c r="AB41" s="15">
        <v>242</v>
      </c>
      <c r="AC41" s="15">
        <v>419</v>
      </c>
      <c r="AD41" s="15">
        <v>235</v>
      </c>
      <c r="AE41" s="30">
        <v>1060</v>
      </c>
      <c r="AF41" s="45"/>
      <c r="AG41" s="46">
        <v>0.05</v>
      </c>
      <c r="AH41" s="47"/>
      <c r="AI41" s="49"/>
      <c r="AJ41" s="44"/>
      <c r="AK41" s="47"/>
      <c r="AL41" s="44"/>
      <c r="AM41" s="44"/>
      <c r="AN41" s="44"/>
      <c r="AO41" s="44"/>
      <c r="AP41" s="44"/>
      <c r="AQ41" s="44"/>
      <c r="AR41" s="44"/>
      <c r="AS41" s="44"/>
      <c r="AT41" s="44"/>
      <c r="AU41" s="32"/>
      <c r="AV41" s="15">
        <v>15</v>
      </c>
      <c r="AW41" s="15">
        <v>82</v>
      </c>
      <c r="AX41" s="15">
        <v>24</v>
      </c>
      <c r="AY41" s="15">
        <v>23</v>
      </c>
      <c r="AZ41" s="15">
        <v>27</v>
      </c>
      <c r="BA41" s="15">
        <v>419</v>
      </c>
      <c r="BB41" s="15">
        <v>105</v>
      </c>
      <c r="BC41" s="15">
        <v>103</v>
      </c>
      <c r="BD41" s="15">
        <v>1</v>
      </c>
      <c r="BE41" s="15">
        <v>63</v>
      </c>
      <c r="BF41" s="15">
        <v>25</v>
      </c>
      <c r="BG41" s="15">
        <v>8</v>
      </c>
      <c r="BH41" s="15">
        <v>11</v>
      </c>
      <c r="BI41" s="15">
        <v>97</v>
      </c>
      <c r="BJ41" s="15">
        <v>24</v>
      </c>
      <c r="BK41" s="15">
        <v>33</v>
      </c>
      <c r="BL41" s="35">
        <v>0.06</v>
      </c>
      <c r="BM41" s="15">
        <v>761</v>
      </c>
      <c r="BN41" s="15">
        <v>134</v>
      </c>
      <c r="BO41" s="15">
        <v>33</v>
      </c>
      <c r="BP41" s="15">
        <v>132</v>
      </c>
      <c r="BQ41" s="35"/>
      <c r="BR41" s="35"/>
      <c r="BS41" s="35"/>
      <c r="BT41" s="35"/>
      <c r="BU41" s="35"/>
      <c r="BV41" s="35"/>
      <c r="BW41" s="35"/>
      <c r="BX41" s="35"/>
      <c r="BY41" s="35"/>
      <c r="BZ41" s="35"/>
    </row>
    <row r="42" spans="1:78" ht="12.9">
      <c r="A42" s="36" t="s">
        <v>276</v>
      </c>
      <c r="B42" s="24">
        <v>1</v>
      </c>
      <c r="C42" s="40">
        <v>24</v>
      </c>
      <c r="D42" s="40">
        <v>30</v>
      </c>
      <c r="E42" s="53" t="s">
        <v>277</v>
      </c>
      <c r="F42" s="24" t="s">
        <v>193</v>
      </c>
      <c r="G42" s="36">
        <v>1</v>
      </c>
      <c r="H42" s="42" t="s">
        <v>278</v>
      </c>
      <c r="I42" s="25">
        <v>12</v>
      </c>
      <c r="J42" s="25">
        <v>21</v>
      </c>
      <c r="K42" s="11">
        <v>2000</v>
      </c>
      <c r="L42" s="36" t="s">
        <v>247</v>
      </c>
      <c r="M42" s="28" t="s">
        <v>201</v>
      </c>
      <c r="N42" s="29">
        <v>1</v>
      </c>
      <c r="O42" s="29">
        <v>1</v>
      </c>
      <c r="P42" s="36">
        <v>0</v>
      </c>
      <c r="Q42" s="36">
        <v>0</v>
      </c>
      <c r="R42" s="11" t="b">
        <f t="shared" si="0"/>
        <v>0</v>
      </c>
      <c r="S42" s="11" t="s">
        <v>196</v>
      </c>
      <c r="T42" s="11">
        <v>1</v>
      </c>
      <c r="U42" s="40">
        <v>0.94</v>
      </c>
      <c r="V42" s="36"/>
      <c r="W42" s="40">
        <v>0.94</v>
      </c>
      <c r="X42" s="36"/>
      <c r="Y42" s="40" t="s">
        <v>240</v>
      </c>
      <c r="Z42" s="44"/>
      <c r="AA42" s="44">
        <v>10</v>
      </c>
      <c r="AB42" s="44">
        <v>20</v>
      </c>
      <c r="AC42" s="44">
        <v>37</v>
      </c>
      <c r="AD42" s="44">
        <v>8</v>
      </c>
      <c r="AE42" s="30">
        <v>75</v>
      </c>
      <c r="AF42" s="45">
        <v>0.17799999999999999</v>
      </c>
      <c r="AG42" s="47"/>
      <c r="AH42" s="47"/>
      <c r="AI42" s="49"/>
      <c r="AJ42" s="44"/>
      <c r="AK42" s="47">
        <v>0.16700000000000001</v>
      </c>
      <c r="AL42" s="44"/>
      <c r="AM42" s="44"/>
      <c r="AN42" s="44"/>
      <c r="AO42" s="44"/>
      <c r="AP42" s="44"/>
      <c r="AQ42" s="44"/>
      <c r="AR42" s="44"/>
      <c r="AS42" s="44"/>
      <c r="AT42" s="44"/>
      <c r="AU42" s="47"/>
      <c r="AV42" s="44">
        <v>3</v>
      </c>
      <c r="AW42" s="44">
        <v>12</v>
      </c>
      <c r="AX42" s="44">
        <v>1</v>
      </c>
      <c r="AY42" s="44">
        <v>2</v>
      </c>
      <c r="AZ42" s="44">
        <v>4</v>
      </c>
      <c r="BA42" s="44">
        <v>37</v>
      </c>
      <c r="BB42" s="44">
        <v>3</v>
      </c>
      <c r="BC42" s="44">
        <v>1</v>
      </c>
      <c r="BD42" s="44">
        <v>1</v>
      </c>
      <c r="BE42" s="44">
        <v>4</v>
      </c>
      <c r="BF42" s="44">
        <v>2</v>
      </c>
      <c r="BG42" s="44">
        <v>0</v>
      </c>
      <c r="BH42" s="44">
        <v>0</v>
      </c>
      <c r="BI42" s="44">
        <v>4</v>
      </c>
      <c r="BJ42" s="44">
        <v>1</v>
      </c>
      <c r="BK42" s="44">
        <v>0</v>
      </c>
      <c r="BL42" s="47">
        <v>0.128</v>
      </c>
      <c r="BM42" s="15">
        <v>67</v>
      </c>
      <c r="BN42" s="15">
        <v>3</v>
      </c>
      <c r="BO42" s="15">
        <v>0</v>
      </c>
      <c r="BP42" s="15">
        <v>5</v>
      </c>
      <c r="BQ42" s="47"/>
      <c r="BR42" s="47"/>
      <c r="BS42" s="47"/>
      <c r="BT42" s="47"/>
      <c r="BU42" s="47"/>
      <c r="BV42" s="47"/>
      <c r="BW42" s="47"/>
      <c r="BX42" s="47"/>
      <c r="BY42" s="47"/>
      <c r="BZ42" s="47"/>
    </row>
    <row r="43" spans="1:78" ht="12.9">
      <c r="A43" s="36" t="s">
        <v>276</v>
      </c>
      <c r="B43" s="24">
        <v>1</v>
      </c>
      <c r="C43" s="40">
        <v>24</v>
      </c>
      <c r="D43" s="40">
        <v>30</v>
      </c>
      <c r="E43" s="53" t="s">
        <v>279</v>
      </c>
      <c r="F43" s="24" t="s">
        <v>193</v>
      </c>
      <c r="G43" s="36">
        <v>2</v>
      </c>
      <c r="H43" s="42" t="s">
        <v>278</v>
      </c>
      <c r="I43" s="25">
        <v>12</v>
      </c>
      <c r="J43" s="25">
        <v>21</v>
      </c>
      <c r="K43" s="11">
        <v>2000</v>
      </c>
      <c r="L43" s="36" t="s">
        <v>247</v>
      </c>
      <c r="M43" s="40" t="s">
        <v>280</v>
      </c>
      <c r="N43" s="29">
        <v>1</v>
      </c>
      <c r="O43" s="29">
        <v>0</v>
      </c>
      <c r="P43" s="36">
        <v>0</v>
      </c>
      <c r="Q43" s="36">
        <v>0</v>
      </c>
      <c r="R43" s="11" t="b">
        <f t="shared" si="0"/>
        <v>0</v>
      </c>
      <c r="S43" s="11" t="s">
        <v>196</v>
      </c>
      <c r="T43" s="11">
        <v>1</v>
      </c>
      <c r="U43" s="40">
        <v>0.94</v>
      </c>
      <c r="V43" s="36"/>
      <c r="W43" s="40">
        <v>0.94</v>
      </c>
      <c r="X43" s="36"/>
      <c r="Y43" s="40" t="s">
        <v>240</v>
      </c>
      <c r="Z43" s="44"/>
      <c r="AA43" s="44">
        <v>26</v>
      </c>
      <c r="AB43" s="44">
        <v>20</v>
      </c>
      <c r="AC43" s="44">
        <v>19</v>
      </c>
      <c r="AD43" s="44">
        <v>10</v>
      </c>
      <c r="AE43" s="30">
        <v>75</v>
      </c>
      <c r="AF43" s="45">
        <v>0.215</v>
      </c>
      <c r="AG43" s="47"/>
      <c r="AH43" s="47"/>
      <c r="AI43" s="49"/>
      <c r="AJ43" s="44"/>
      <c r="AK43" s="47">
        <v>0.20699999999999999</v>
      </c>
      <c r="AL43" s="44"/>
      <c r="AM43" s="44"/>
      <c r="AN43" s="44"/>
      <c r="AO43" s="44"/>
      <c r="AP43" s="44"/>
      <c r="AQ43" s="44"/>
      <c r="AR43" s="44"/>
      <c r="AS43" s="44"/>
      <c r="AT43" s="44"/>
      <c r="AU43" s="47"/>
      <c r="AV43" s="44">
        <v>0</v>
      </c>
      <c r="AW43" s="44">
        <v>6</v>
      </c>
      <c r="AX43" s="44">
        <v>0</v>
      </c>
      <c r="AY43" s="44">
        <v>5</v>
      </c>
      <c r="AZ43" s="44">
        <v>1</v>
      </c>
      <c r="BA43" s="44">
        <v>19</v>
      </c>
      <c r="BB43" s="44">
        <v>2</v>
      </c>
      <c r="BC43" s="44">
        <v>7</v>
      </c>
      <c r="BD43" s="44">
        <v>1</v>
      </c>
      <c r="BE43" s="44">
        <v>3</v>
      </c>
      <c r="BF43" s="44">
        <v>0</v>
      </c>
      <c r="BG43" s="44">
        <v>1</v>
      </c>
      <c r="BH43" s="44">
        <v>0</v>
      </c>
      <c r="BI43" s="44">
        <v>11</v>
      </c>
      <c r="BJ43" s="44">
        <v>0</v>
      </c>
      <c r="BK43" s="44">
        <v>19</v>
      </c>
      <c r="BL43" s="47">
        <v>0.20799999999999999</v>
      </c>
      <c r="BM43" s="15">
        <v>32</v>
      </c>
      <c r="BN43" s="15">
        <v>13</v>
      </c>
      <c r="BO43" s="15">
        <v>19</v>
      </c>
      <c r="BP43" s="15">
        <v>11</v>
      </c>
      <c r="BQ43" s="47"/>
      <c r="BR43" s="47"/>
      <c r="BS43" s="47"/>
      <c r="BT43" s="47"/>
      <c r="BU43" s="47"/>
      <c r="BV43" s="47"/>
      <c r="BW43" s="47"/>
      <c r="BX43" s="47"/>
      <c r="BY43" s="47"/>
      <c r="BZ43" s="47"/>
    </row>
    <row r="44" spans="1:78" ht="12.9">
      <c r="A44" s="36" t="s">
        <v>276</v>
      </c>
      <c r="B44" s="24">
        <v>1</v>
      </c>
      <c r="C44" s="40">
        <v>24</v>
      </c>
      <c r="D44" s="40">
        <v>30</v>
      </c>
      <c r="E44" s="53" t="s">
        <v>281</v>
      </c>
      <c r="F44" s="24" t="s">
        <v>193</v>
      </c>
      <c r="G44" s="36">
        <v>3</v>
      </c>
      <c r="H44" s="42" t="s">
        <v>278</v>
      </c>
      <c r="I44" s="25">
        <v>12</v>
      </c>
      <c r="J44" s="25">
        <v>21</v>
      </c>
      <c r="K44" s="11">
        <v>2000</v>
      </c>
      <c r="L44" s="36" t="s">
        <v>247</v>
      </c>
      <c r="M44" s="40" t="s">
        <v>282</v>
      </c>
      <c r="N44" s="29">
        <v>1</v>
      </c>
      <c r="O44" s="29">
        <v>0</v>
      </c>
      <c r="P44" s="36">
        <v>0</v>
      </c>
      <c r="Q44" s="36">
        <v>0</v>
      </c>
      <c r="R44" s="11" t="b">
        <f t="shared" si="0"/>
        <v>0</v>
      </c>
      <c r="S44" s="11" t="s">
        <v>196</v>
      </c>
      <c r="T44" s="11">
        <v>1</v>
      </c>
      <c r="U44" s="40">
        <v>0.94</v>
      </c>
      <c r="V44" s="36"/>
      <c r="W44" s="40">
        <v>0.94</v>
      </c>
      <c r="X44" s="36"/>
      <c r="Y44" s="40" t="s">
        <v>240</v>
      </c>
      <c r="Z44" s="44"/>
      <c r="AA44" s="44">
        <v>13</v>
      </c>
      <c r="AB44" s="44">
        <v>33</v>
      </c>
      <c r="AC44" s="44">
        <v>24</v>
      </c>
      <c r="AD44" s="44">
        <v>5</v>
      </c>
      <c r="AE44" s="30">
        <v>75</v>
      </c>
      <c r="AF44" s="45">
        <v>0.126</v>
      </c>
      <c r="AG44" s="47"/>
      <c r="AH44" s="47"/>
      <c r="AI44" s="49"/>
      <c r="AJ44" s="44"/>
      <c r="AK44" s="47">
        <v>9.4E-2</v>
      </c>
      <c r="AL44" s="44"/>
      <c r="AM44" s="44"/>
      <c r="AN44" s="44"/>
      <c r="AO44" s="44"/>
      <c r="AP44" s="44"/>
      <c r="AQ44" s="44"/>
      <c r="AR44" s="44"/>
      <c r="AS44" s="44"/>
      <c r="AT44" s="44"/>
      <c r="AU44" s="47"/>
      <c r="AV44" s="44">
        <v>2</v>
      </c>
      <c r="AW44" s="44">
        <v>8</v>
      </c>
      <c r="AX44" s="44">
        <v>0</v>
      </c>
      <c r="AY44" s="44">
        <v>1</v>
      </c>
      <c r="AZ44" s="44">
        <v>1</v>
      </c>
      <c r="BA44" s="44">
        <v>24</v>
      </c>
      <c r="BB44" s="44">
        <v>3</v>
      </c>
      <c r="BC44" s="44">
        <v>1</v>
      </c>
      <c r="BD44" s="44">
        <v>1</v>
      </c>
      <c r="BE44" s="44">
        <v>4</v>
      </c>
      <c r="BF44" s="44">
        <v>0</v>
      </c>
      <c r="BG44" s="44">
        <v>0</v>
      </c>
      <c r="BH44" s="44">
        <v>4</v>
      </c>
      <c r="BI44" s="44">
        <v>21</v>
      </c>
      <c r="BJ44" s="44">
        <v>4</v>
      </c>
      <c r="BK44" s="44">
        <v>1</v>
      </c>
      <c r="BL44" s="47">
        <v>4.7E-2</v>
      </c>
      <c r="BM44" s="15">
        <v>43</v>
      </c>
      <c r="BN44" s="15">
        <v>2</v>
      </c>
      <c r="BO44" s="15">
        <v>1</v>
      </c>
      <c r="BP44" s="15">
        <v>29</v>
      </c>
      <c r="BQ44" s="47"/>
      <c r="BR44" s="47"/>
      <c r="BS44" s="47"/>
      <c r="BT44" s="47"/>
      <c r="BU44" s="47"/>
      <c r="BV44" s="47"/>
      <c r="BW44" s="47"/>
      <c r="BX44" s="47"/>
      <c r="BY44" s="47"/>
      <c r="BZ44" s="47"/>
    </row>
    <row r="45" spans="1:78" ht="12.9">
      <c r="A45" s="36" t="s">
        <v>276</v>
      </c>
      <c r="B45" s="24">
        <v>1</v>
      </c>
      <c r="C45" s="40">
        <v>24</v>
      </c>
      <c r="D45" s="40">
        <v>30</v>
      </c>
      <c r="E45" s="53" t="s">
        <v>283</v>
      </c>
      <c r="F45" s="24" t="s">
        <v>193</v>
      </c>
      <c r="G45" s="36">
        <v>4</v>
      </c>
      <c r="H45" s="42" t="s">
        <v>278</v>
      </c>
      <c r="I45" s="25">
        <v>12</v>
      </c>
      <c r="J45" s="25">
        <v>21</v>
      </c>
      <c r="K45" s="11">
        <v>2000</v>
      </c>
      <c r="L45" s="36" t="s">
        <v>247</v>
      </c>
      <c r="M45" s="24" t="s">
        <v>248</v>
      </c>
      <c r="N45" s="29">
        <v>1</v>
      </c>
      <c r="O45" s="29">
        <v>0</v>
      </c>
      <c r="P45" s="36">
        <v>0</v>
      </c>
      <c r="Q45" s="36">
        <v>0</v>
      </c>
      <c r="R45" s="11" t="b">
        <f t="shared" si="0"/>
        <v>0</v>
      </c>
      <c r="S45" s="11" t="s">
        <v>196</v>
      </c>
      <c r="T45" s="11">
        <v>1</v>
      </c>
      <c r="U45" s="40">
        <v>0.94</v>
      </c>
      <c r="V45" s="36"/>
      <c r="W45" s="40">
        <v>0.94</v>
      </c>
      <c r="X45" s="36"/>
      <c r="Y45" s="40" t="s">
        <v>240</v>
      </c>
      <c r="Z45" s="44"/>
      <c r="AA45" s="44">
        <v>17</v>
      </c>
      <c r="AB45" s="44">
        <v>13</v>
      </c>
      <c r="AC45" s="44">
        <v>26</v>
      </c>
      <c r="AD45" s="44">
        <v>19</v>
      </c>
      <c r="AE45" s="30">
        <v>75</v>
      </c>
      <c r="AF45" s="45">
        <v>0.14199999999999999</v>
      </c>
      <c r="AG45" s="47"/>
      <c r="AH45" s="47"/>
      <c r="AI45" s="49"/>
      <c r="AJ45" s="44"/>
      <c r="AK45" s="47">
        <v>0.14000000000000001</v>
      </c>
      <c r="AL45" s="44"/>
      <c r="AM45" s="44"/>
      <c r="AN45" s="44"/>
      <c r="AO45" s="44"/>
      <c r="AP45" s="44"/>
      <c r="AQ45" s="44"/>
      <c r="AR45" s="44"/>
      <c r="AS45" s="44"/>
      <c r="AT45" s="44"/>
      <c r="AU45" s="47"/>
      <c r="AV45" s="44">
        <v>0</v>
      </c>
      <c r="AW45" s="44">
        <v>8</v>
      </c>
      <c r="AX45" s="44">
        <v>0</v>
      </c>
      <c r="AY45" s="44">
        <v>10</v>
      </c>
      <c r="AZ45" s="44">
        <v>1</v>
      </c>
      <c r="BA45" s="44">
        <v>26</v>
      </c>
      <c r="BB45" s="44">
        <v>2</v>
      </c>
      <c r="BC45" s="44">
        <v>16</v>
      </c>
      <c r="BD45" s="44">
        <v>1</v>
      </c>
      <c r="BE45" s="44">
        <v>3</v>
      </c>
      <c r="BF45" s="44">
        <v>0</v>
      </c>
      <c r="BG45" s="44">
        <v>3</v>
      </c>
      <c r="BH45" s="44">
        <v>0</v>
      </c>
      <c r="BI45" s="44">
        <v>2</v>
      </c>
      <c r="BJ45" s="44">
        <v>0</v>
      </c>
      <c r="BK45" s="44">
        <v>3</v>
      </c>
      <c r="BL45" s="47">
        <v>5.7000000000000002E-2</v>
      </c>
      <c r="BM45" s="15">
        <v>41</v>
      </c>
      <c r="BN45" s="15">
        <v>29</v>
      </c>
      <c r="BO45" s="15">
        <v>3</v>
      </c>
      <c r="BP45" s="15">
        <v>2</v>
      </c>
      <c r="BQ45" s="47"/>
      <c r="BR45" s="47"/>
      <c r="BS45" s="47"/>
      <c r="BT45" s="47"/>
      <c r="BU45" s="47"/>
      <c r="BV45" s="47"/>
      <c r="BW45" s="47"/>
      <c r="BX45" s="47"/>
      <c r="BY45" s="47"/>
      <c r="BZ45" s="47"/>
    </row>
    <row r="46" spans="1:78" ht="12.9">
      <c r="A46" s="36" t="s">
        <v>276</v>
      </c>
      <c r="B46" s="24">
        <v>1</v>
      </c>
      <c r="C46" s="40">
        <v>24</v>
      </c>
      <c r="D46" s="40">
        <v>30</v>
      </c>
      <c r="E46" s="53" t="s">
        <v>284</v>
      </c>
      <c r="F46" s="24" t="s">
        <v>193</v>
      </c>
      <c r="G46" s="36">
        <v>5</v>
      </c>
      <c r="H46" s="42" t="s">
        <v>278</v>
      </c>
      <c r="I46" s="25">
        <v>12</v>
      </c>
      <c r="J46" s="25">
        <v>21</v>
      </c>
      <c r="K46" s="11">
        <v>2000</v>
      </c>
      <c r="L46" s="36" t="s">
        <v>247</v>
      </c>
      <c r="M46" s="40" t="s">
        <v>285</v>
      </c>
      <c r="N46" s="29">
        <v>1</v>
      </c>
      <c r="O46" s="29">
        <v>0</v>
      </c>
      <c r="P46" s="36">
        <v>0</v>
      </c>
      <c r="Q46" s="36">
        <v>0</v>
      </c>
      <c r="R46" s="11" t="b">
        <f t="shared" si="0"/>
        <v>0</v>
      </c>
      <c r="S46" s="11" t="s">
        <v>196</v>
      </c>
      <c r="T46" s="11">
        <v>1</v>
      </c>
      <c r="U46" s="40">
        <v>0.94</v>
      </c>
      <c r="V46" s="36"/>
      <c r="W46" s="40">
        <v>0.94</v>
      </c>
      <c r="X46" s="36"/>
      <c r="Y46" s="40" t="s">
        <v>240</v>
      </c>
      <c r="Z46" s="44"/>
      <c r="AA46" s="44">
        <v>42</v>
      </c>
      <c r="AB46" s="44">
        <v>4</v>
      </c>
      <c r="AC46" s="44">
        <v>9</v>
      </c>
      <c r="AD46" s="44">
        <v>20</v>
      </c>
      <c r="AE46" s="30">
        <v>75</v>
      </c>
      <c r="AF46" s="45">
        <v>0.28699999999999998</v>
      </c>
      <c r="AG46" s="47"/>
      <c r="AH46" s="47"/>
      <c r="AI46" s="49"/>
      <c r="AJ46" s="44"/>
      <c r="AK46" s="47">
        <v>0.249</v>
      </c>
      <c r="AL46" s="44"/>
      <c r="AM46" s="44"/>
      <c r="AN46" s="44"/>
      <c r="AO46" s="44"/>
      <c r="AP46" s="44"/>
      <c r="AQ46" s="44"/>
      <c r="AR46" s="44"/>
      <c r="AS46" s="44"/>
      <c r="AT46" s="44"/>
      <c r="AU46" s="47"/>
      <c r="AV46" s="44">
        <v>3</v>
      </c>
      <c r="AW46" s="44">
        <v>1</v>
      </c>
      <c r="AX46" s="44">
        <v>5</v>
      </c>
      <c r="AY46" s="44">
        <v>2</v>
      </c>
      <c r="AZ46" s="44">
        <v>9</v>
      </c>
      <c r="BA46" s="44">
        <v>9</v>
      </c>
      <c r="BB46" s="44">
        <v>9</v>
      </c>
      <c r="BC46" s="44">
        <v>2</v>
      </c>
      <c r="BD46" s="44">
        <v>0</v>
      </c>
      <c r="BE46" s="44">
        <v>1</v>
      </c>
      <c r="BF46" s="44">
        <v>2</v>
      </c>
      <c r="BG46" s="44">
        <v>2</v>
      </c>
      <c r="BH46" s="44">
        <v>11</v>
      </c>
      <c r="BI46" s="44">
        <v>2</v>
      </c>
      <c r="BJ46" s="44">
        <v>14</v>
      </c>
      <c r="BK46" s="44">
        <v>3</v>
      </c>
      <c r="BL46" s="47">
        <v>3.9E-2</v>
      </c>
      <c r="BM46" s="15">
        <v>39</v>
      </c>
      <c r="BN46" s="15">
        <v>6</v>
      </c>
      <c r="BO46" s="15">
        <v>3</v>
      </c>
      <c r="BP46" s="15">
        <v>27</v>
      </c>
      <c r="BQ46" s="47"/>
      <c r="BR46" s="47"/>
      <c r="BS46" s="47"/>
      <c r="BT46" s="47"/>
      <c r="BU46" s="47"/>
      <c r="BV46" s="47"/>
      <c r="BW46" s="47"/>
      <c r="BX46" s="47"/>
      <c r="BY46" s="47"/>
      <c r="BZ46" s="47"/>
    </row>
    <row r="47" spans="1:78" ht="12.9">
      <c r="A47" s="36" t="s">
        <v>276</v>
      </c>
      <c r="B47" s="24">
        <v>1</v>
      </c>
      <c r="C47" s="40">
        <v>24</v>
      </c>
      <c r="D47" s="40">
        <v>30</v>
      </c>
      <c r="E47" s="53" t="s">
        <v>286</v>
      </c>
      <c r="F47" s="24" t="s">
        <v>193</v>
      </c>
      <c r="G47" s="36">
        <v>6</v>
      </c>
      <c r="H47" s="42" t="s">
        <v>278</v>
      </c>
      <c r="I47" s="25">
        <v>12</v>
      </c>
      <c r="J47" s="25">
        <v>21</v>
      </c>
      <c r="K47" s="11">
        <v>2000</v>
      </c>
      <c r="L47" s="36" t="s">
        <v>247</v>
      </c>
      <c r="M47" s="28" t="s">
        <v>239</v>
      </c>
      <c r="N47" s="29">
        <v>1</v>
      </c>
      <c r="O47" s="29">
        <v>0</v>
      </c>
      <c r="P47" s="36">
        <v>0</v>
      </c>
      <c r="Q47" s="36">
        <v>0</v>
      </c>
      <c r="R47" s="11" t="b">
        <f t="shared" si="0"/>
        <v>0</v>
      </c>
      <c r="S47" s="11" t="s">
        <v>196</v>
      </c>
      <c r="T47" s="11">
        <v>1</v>
      </c>
      <c r="U47" s="40">
        <v>0.94</v>
      </c>
      <c r="V47" s="36"/>
      <c r="W47" s="40">
        <v>0.94</v>
      </c>
      <c r="X47" s="36"/>
      <c r="Y47" s="40" t="s">
        <v>240</v>
      </c>
      <c r="Z47" s="44"/>
      <c r="AA47" s="44">
        <v>27</v>
      </c>
      <c r="AB47" s="44">
        <v>3</v>
      </c>
      <c r="AC47" s="44">
        <v>10</v>
      </c>
      <c r="AD47" s="44">
        <v>35</v>
      </c>
      <c r="AE47" s="30">
        <v>75</v>
      </c>
      <c r="AF47" s="45">
        <v>0.158</v>
      </c>
      <c r="AG47" s="47"/>
      <c r="AH47" s="47"/>
      <c r="AI47" s="49"/>
      <c r="AJ47" s="44"/>
      <c r="AK47" s="47">
        <v>0.104</v>
      </c>
      <c r="AL47" s="44"/>
      <c r="AM47" s="44"/>
      <c r="AN47" s="44"/>
      <c r="AO47" s="44"/>
      <c r="AP47" s="44"/>
      <c r="AQ47" s="44"/>
      <c r="AR47" s="44"/>
      <c r="AS47" s="44"/>
      <c r="AT47" s="44"/>
      <c r="AU47" s="47"/>
      <c r="AV47" s="44">
        <v>5</v>
      </c>
      <c r="AW47" s="44">
        <v>2</v>
      </c>
      <c r="AX47" s="44">
        <v>9</v>
      </c>
      <c r="AY47" s="44">
        <v>2</v>
      </c>
      <c r="AZ47" s="44">
        <v>16</v>
      </c>
      <c r="BA47" s="44">
        <v>10</v>
      </c>
      <c r="BB47" s="44">
        <v>15</v>
      </c>
      <c r="BC47" s="44">
        <v>4</v>
      </c>
      <c r="BD47" s="44">
        <v>0</v>
      </c>
      <c r="BE47" s="44">
        <v>1</v>
      </c>
      <c r="BF47" s="44">
        <v>4</v>
      </c>
      <c r="BG47" s="44">
        <v>2</v>
      </c>
      <c r="BH47" s="44">
        <v>2</v>
      </c>
      <c r="BI47" s="44">
        <v>0</v>
      </c>
      <c r="BJ47" s="44">
        <v>2</v>
      </c>
      <c r="BK47" s="44">
        <v>1</v>
      </c>
      <c r="BL47" s="47">
        <v>0.04</v>
      </c>
      <c r="BM47" s="15">
        <v>62</v>
      </c>
      <c r="BN47" s="15">
        <v>8</v>
      </c>
      <c r="BO47" s="15">
        <v>1</v>
      </c>
      <c r="BP47" s="15">
        <v>4</v>
      </c>
      <c r="BQ47" s="47"/>
      <c r="BR47" s="47"/>
      <c r="BS47" s="47"/>
      <c r="BT47" s="47"/>
      <c r="BU47" s="47"/>
      <c r="BV47" s="47"/>
      <c r="BW47" s="47"/>
      <c r="BX47" s="47"/>
      <c r="BY47" s="47"/>
      <c r="BZ47" s="47"/>
    </row>
    <row r="48" spans="1:78" ht="12.9">
      <c r="A48" s="11" t="s">
        <v>287</v>
      </c>
      <c r="B48" s="24">
        <v>1</v>
      </c>
      <c r="C48" s="24">
        <v>25</v>
      </c>
      <c r="D48" s="24">
        <v>31</v>
      </c>
      <c r="E48" s="24" t="s">
        <v>198</v>
      </c>
      <c r="F48" s="24" t="s">
        <v>193</v>
      </c>
      <c r="G48" s="11">
        <v>1</v>
      </c>
      <c r="H48" s="42" t="s">
        <v>288</v>
      </c>
      <c r="I48" s="25">
        <v>18</v>
      </c>
      <c r="J48" s="25">
        <v>36</v>
      </c>
      <c r="K48" s="11">
        <v>2004</v>
      </c>
      <c r="L48" s="11" t="s">
        <v>188</v>
      </c>
      <c r="M48" s="28" t="s">
        <v>189</v>
      </c>
      <c r="N48" s="29">
        <v>1</v>
      </c>
      <c r="O48" s="29">
        <v>0</v>
      </c>
      <c r="P48" s="11">
        <v>1</v>
      </c>
      <c r="Q48" s="11">
        <v>0</v>
      </c>
      <c r="R48" s="11" t="b">
        <f t="shared" si="0"/>
        <v>1</v>
      </c>
      <c r="S48" s="11" t="s">
        <v>190</v>
      </c>
      <c r="T48" s="11">
        <v>1</v>
      </c>
      <c r="U48" s="11"/>
      <c r="V48" s="24">
        <v>0.8</v>
      </c>
      <c r="W48" s="11"/>
      <c r="X48" s="24">
        <v>0.8</v>
      </c>
      <c r="Y48" s="24" t="s">
        <v>202</v>
      </c>
      <c r="Z48" s="15"/>
      <c r="AA48" s="15">
        <v>68</v>
      </c>
      <c r="AB48" s="15">
        <v>144</v>
      </c>
      <c r="AC48" s="15">
        <v>293</v>
      </c>
      <c r="AD48" s="15">
        <v>96</v>
      </c>
      <c r="AE48" s="30">
        <v>601</v>
      </c>
      <c r="AF48" s="34"/>
      <c r="AG48" s="35">
        <v>0.08</v>
      </c>
      <c r="AH48" s="32"/>
      <c r="AI48" s="33"/>
      <c r="AJ48" s="15"/>
      <c r="AK48" s="35"/>
      <c r="AL48" s="15"/>
      <c r="AM48" s="15"/>
      <c r="AN48" s="15"/>
      <c r="AO48" s="15"/>
      <c r="AP48" s="15"/>
      <c r="AQ48" s="15"/>
      <c r="AR48" s="15"/>
      <c r="AS48" s="15"/>
      <c r="AT48" s="15"/>
      <c r="AU48" s="32"/>
      <c r="AV48" s="15">
        <v>12</v>
      </c>
      <c r="AW48" s="15">
        <v>51</v>
      </c>
      <c r="AX48" s="15">
        <v>5</v>
      </c>
      <c r="AY48" s="15">
        <v>4</v>
      </c>
      <c r="AZ48" s="15">
        <v>28</v>
      </c>
      <c r="BA48" s="15">
        <v>293</v>
      </c>
      <c r="BB48" s="15">
        <v>43</v>
      </c>
      <c r="BC48" s="15">
        <v>25</v>
      </c>
      <c r="BD48" s="15">
        <v>4</v>
      </c>
      <c r="BE48" s="15">
        <v>36</v>
      </c>
      <c r="BF48" s="15">
        <v>12</v>
      </c>
      <c r="BG48" s="15">
        <v>5</v>
      </c>
      <c r="BH48" s="15">
        <v>7</v>
      </c>
      <c r="BI48" s="15">
        <v>57</v>
      </c>
      <c r="BJ48" s="15">
        <v>17</v>
      </c>
      <c r="BK48" s="15">
        <v>2</v>
      </c>
      <c r="BL48" s="32">
        <v>0.06</v>
      </c>
      <c r="BM48" s="15">
        <v>484</v>
      </c>
      <c r="BN48" s="15">
        <v>34</v>
      </c>
      <c r="BO48" s="15">
        <v>2</v>
      </c>
      <c r="BP48" s="15">
        <v>81</v>
      </c>
      <c r="BQ48" s="32"/>
      <c r="BR48" s="32"/>
      <c r="BS48" s="32"/>
      <c r="BT48" s="32"/>
      <c r="BU48" s="32"/>
      <c r="BV48" s="32"/>
      <c r="BW48" s="32"/>
      <c r="BX48" s="32"/>
      <c r="BY48" s="32"/>
      <c r="BZ48" s="32"/>
    </row>
    <row r="49" spans="1:78" ht="12.9">
      <c r="A49" s="36" t="s">
        <v>289</v>
      </c>
      <c r="B49" s="40">
        <v>1</v>
      </c>
      <c r="C49" s="40">
        <v>26</v>
      </c>
      <c r="D49" s="40">
        <v>32</v>
      </c>
      <c r="E49" s="53" t="s">
        <v>231</v>
      </c>
      <c r="F49" s="24" t="s">
        <v>193</v>
      </c>
      <c r="G49" s="36">
        <v>1</v>
      </c>
      <c r="H49" s="62" t="s">
        <v>290</v>
      </c>
      <c r="I49" s="25">
        <v>12</v>
      </c>
      <c r="J49" s="25">
        <v>60</v>
      </c>
      <c r="K49" s="11">
        <v>1996</v>
      </c>
      <c r="L49" s="36" t="s">
        <v>291</v>
      </c>
      <c r="M49" s="28" t="s">
        <v>189</v>
      </c>
      <c r="N49" s="29">
        <v>0</v>
      </c>
      <c r="O49" s="29">
        <v>1</v>
      </c>
      <c r="P49" s="36">
        <v>0</v>
      </c>
      <c r="Q49" s="36">
        <v>0</v>
      </c>
      <c r="R49" s="11" t="b">
        <f t="shared" si="0"/>
        <v>0</v>
      </c>
      <c r="S49" s="40" t="s">
        <v>292</v>
      </c>
      <c r="T49" s="36">
        <v>0</v>
      </c>
      <c r="U49" s="40">
        <v>0.9</v>
      </c>
      <c r="V49" s="40">
        <v>0.91</v>
      </c>
      <c r="W49" s="40">
        <v>0.92</v>
      </c>
      <c r="X49" s="40">
        <v>0.85</v>
      </c>
      <c r="Y49" s="36" t="s">
        <v>240</v>
      </c>
      <c r="Z49" s="44"/>
      <c r="AA49" s="44">
        <v>16</v>
      </c>
      <c r="AB49" s="44">
        <v>24</v>
      </c>
      <c r="AC49" s="44">
        <v>32</v>
      </c>
      <c r="AD49" s="44">
        <v>16</v>
      </c>
      <c r="AE49" s="30">
        <v>88</v>
      </c>
      <c r="AF49" s="45"/>
      <c r="AG49" s="47"/>
      <c r="AH49" s="47"/>
      <c r="AI49" s="49"/>
      <c r="AJ49" s="44"/>
      <c r="AK49" s="47"/>
      <c r="AL49" s="44"/>
      <c r="AM49" s="44"/>
      <c r="AN49" s="44"/>
      <c r="AO49" s="44"/>
      <c r="AP49" s="44"/>
      <c r="AQ49" s="44"/>
      <c r="AR49" s="44"/>
      <c r="AS49" s="44"/>
      <c r="AT49" s="44"/>
      <c r="AU49" s="47"/>
      <c r="AV49" s="44">
        <v>7</v>
      </c>
      <c r="AW49" s="44">
        <v>14</v>
      </c>
      <c r="AX49" s="44">
        <v>3</v>
      </c>
      <c r="AY49" s="44">
        <v>2</v>
      </c>
      <c r="AZ49" s="44">
        <v>10</v>
      </c>
      <c r="BA49" s="44">
        <v>32</v>
      </c>
      <c r="BB49" s="44">
        <v>4</v>
      </c>
      <c r="BC49" s="44">
        <v>2</v>
      </c>
      <c r="BD49" s="44">
        <v>2</v>
      </c>
      <c r="BE49" s="44">
        <v>3</v>
      </c>
      <c r="BF49" s="44">
        <v>0</v>
      </c>
      <c r="BG49" s="44">
        <v>0</v>
      </c>
      <c r="BH49" s="44">
        <v>0</v>
      </c>
      <c r="BI49" s="44">
        <v>7</v>
      </c>
      <c r="BJ49" s="44">
        <v>0</v>
      </c>
      <c r="BK49" s="44">
        <v>2</v>
      </c>
      <c r="BL49" s="47">
        <v>0.08</v>
      </c>
      <c r="BM49" s="15">
        <v>75</v>
      </c>
      <c r="BN49" s="15">
        <v>4</v>
      </c>
      <c r="BO49" s="15">
        <v>2</v>
      </c>
      <c r="BP49" s="15">
        <v>7</v>
      </c>
      <c r="BQ49" s="47"/>
      <c r="BR49" s="47"/>
      <c r="BS49" s="47"/>
      <c r="BT49" s="47"/>
      <c r="BU49" s="47"/>
      <c r="BV49" s="47"/>
      <c r="BW49" s="47"/>
      <c r="BX49" s="47"/>
      <c r="BY49" s="47"/>
      <c r="BZ49" s="47"/>
    </row>
    <row r="50" spans="1:78" ht="12.9">
      <c r="A50" s="36" t="s">
        <v>289</v>
      </c>
      <c r="B50" s="40">
        <v>1</v>
      </c>
      <c r="C50" s="40">
        <v>26</v>
      </c>
      <c r="D50" s="40">
        <v>32</v>
      </c>
      <c r="E50" s="53" t="s">
        <v>228</v>
      </c>
      <c r="F50" s="40" t="s">
        <v>229</v>
      </c>
      <c r="G50" s="40">
        <v>1</v>
      </c>
      <c r="H50" s="62" t="s">
        <v>290</v>
      </c>
      <c r="I50" s="25">
        <v>12</v>
      </c>
      <c r="J50" s="25">
        <v>72</v>
      </c>
      <c r="K50" s="11">
        <v>1996</v>
      </c>
      <c r="L50" s="36" t="s">
        <v>291</v>
      </c>
      <c r="M50" s="28" t="s">
        <v>189</v>
      </c>
      <c r="N50" s="29">
        <v>0</v>
      </c>
      <c r="O50" s="29">
        <v>1</v>
      </c>
      <c r="P50" s="36">
        <v>0</v>
      </c>
      <c r="Q50" s="36">
        <v>0</v>
      </c>
      <c r="R50" s="11" t="b">
        <f t="shared" si="0"/>
        <v>0</v>
      </c>
      <c r="S50" s="40" t="s">
        <v>292</v>
      </c>
      <c r="T50" s="36">
        <v>0</v>
      </c>
      <c r="U50" s="40">
        <v>0.9</v>
      </c>
      <c r="V50" s="40">
        <v>0.91</v>
      </c>
      <c r="W50" s="40">
        <v>0.92</v>
      </c>
      <c r="X50" s="40">
        <v>0.85</v>
      </c>
      <c r="Y50" s="36" t="s">
        <v>240</v>
      </c>
      <c r="Z50" s="44"/>
      <c r="AA50" s="44">
        <v>12</v>
      </c>
      <c r="AB50" s="44">
        <v>10</v>
      </c>
      <c r="AC50" s="44">
        <v>34</v>
      </c>
      <c r="AD50" s="44">
        <v>12</v>
      </c>
      <c r="AE50" s="30">
        <v>68</v>
      </c>
      <c r="AF50" s="45"/>
      <c r="AG50" s="47"/>
      <c r="AH50" s="47"/>
      <c r="AI50" s="49"/>
      <c r="AJ50" s="44"/>
      <c r="AK50" s="47"/>
      <c r="AL50" s="44"/>
      <c r="AM50" s="44"/>
      <c r="AN50" s="44"/>
      <c r="AO50" s="44"/>
      <c r="AP50" s="44"/>
      <c r="AQ50" s="44"/>
      <c r="AR50" s="44"/>
      <c r="AS50" s="44"/>
      <c r="AT50" s="44"/>
      <c r="AU50" s="47"/>
      <c r="AV50" s="44">
        <v>9</v>
      </c>
      <c r="AW50" s="44">
        <v>8</v>
      </c>
      <c r="AX50" s="44">
        <v>1</v>
      </c>
      <c r="AY50" s="44">
        <v>0</v>
      </c>
      <c r="AZ50" s="44">
        <v>11</v>
      </c>
      <c r="BA50" s="44">
        <v>34</v>
      </c>
      <c r="BB50" s="44">
        <v>1</v>
      </c>
      <c r="BC50" s="44">
        <v>0</v>
      </c>
      <c r="BD50" s="44">
        <v>0</v>
      </c>
      <c r="BE50" s="44">
        <v>0</v>
      </c>
      <c r="BF50" s="44">
        <v>0</v>
      </c>
      <c r="BG50" s="44">
        <v>0</v>
      </c>
      <c r="BH50" s="44">
        <v>1</v>
      </c>
      <c r="BI50" s="44">
        <v>2</v>
      </c>
      <c r="BJ50" s="44">
        <v>1</v>
      </c>
      <c r="BK50" s="44">
        <v>0</v>
      </c>
      <c r="BL50" s="47">
        <v>0.24</v>
      </c>
      <c r="BM50" s="15">
        <v>64</v>
      </c>
      <c r="BN50" s="15">
        <v>0</v>
      </c>
      <c r="BO50" s="15">
        <v>0</v>
      </c>
      <c r="BP50" s="15">
        <v>4</v>
      </c>
      <c r="BQ50" s="47"/>
      <c r="BR50" s="47"/>
      <c r="BS50" s="47"/>
      <c r="BT50" s="47"/>
      <c r="BU50" s="47"/>
      <c r="BV50" s="47"/>
      <c r="BW50" s="47"/>
      <c r="BX50" s="47"/>
      <c r="BY50" s="47"/>
      <c r="BZ50" s="47"/>
    </row>
    <row r="51" spans="1:78" ht="12.9">
      <c r="A51" s="24" t="s">
        <v>293</v>
      </c>
      <c r="B51" s="24">
        <v>1</v>
      </c>
      <c r="C51" s="24">
        <v>27</v>
      </c>
      <c r="D51" s="24">
        <v>33</v>
      </c>
      <c r="E51" s="25" t="s">
        <v>198</v>
      </c>
      <c r="F51" s="24" t="s">
        <v>193</v>
      </c>
      <c r="G51" s="11">
        <v>1</v>
      </c>
      <c r="H51" s="27" t="s">
        <v>294</v>
      </c>
      <c r="I51" s="25">
        <v>30</v>
      </c>
      <c r="J51" s="25">
        <v>54</v>
      </c>
      <c r="K51" s="11">
        <v>1990</v>
      </c>
      <c r="L51" s="11" t="s">
        <v>291</v>
      </c>
      <c r="M51" s="28" t="s">
        <v>189</v>
      </c>
      <c r="N51" s="29">
        <v>1</v>
      </c>
      <c r="O51" s="29">
        <v>0</v>
      </c>
      <c r="P51" s="11">
        <v>0</v>
      </c>
      <c r="Q51" s="11">
        <v>0</v>
      </c>
      <c r="R51" s="11" t="b">
        <f t="shared" si="0"/>
        <v>0</v>
      </c>
      <c r="S51" s="11" t="s">
        <v>190</v>
      </c>
      <c r="T51" s="11">
        <v>1</v>
      </c>
      <c r="U51" s="24">
        <v>0.93</v>
      </c>
      <c r="V51" s="11"/>
      <c r="W51" s="24">
        <v>0.83</v>
      </c>
      <c r="X51" s="11"/>
      <c r="Y51" s="11" t="s">
        <v>202</v>
      </c>
      <c r="Z51" s="15"/>
      <c r="AA51" s="15">
        <v>26</v>
      </c>
      <c r="AB51" s="15">
        <v>10</v>
      </c>
      <c r="AC51" s="15">
        <v>31</v>
      </c>
      <c r="AD51" s="15">
        <v>11</v>
      </c>
      <c r="AE51" s="30">
        <v>72</v>
      </c>
      <c r="AF51" s="45">
        <v>0.46</v>
      </c>
      <c r="AG51" s="46">
        <v>0.36</v>
      </c>
      <c r="AH51" s="47"/>
      <c r="AI51" s="49"/>
      <c r="AJ51" s="44"/>
      <c r="AK51" s="47"/>
      <c r="AL51" s="44"/>
      <c r="AM51" s="44"/>
      <c r="AN51" s="44"/>
      <c r="AO51" s="44"/>
      <c r="AP51" s="44"/>
      <c r="AQ51" s="44"/>
      <c r="AR51" s="44"/>
      <c r="AS51" s="44"/>
      <c r="AT51" s="44"/>
      <c r="AU51" s="32"/>
      <c r="AV51" s="15">
        <v>3</v>
      </c>
      <c r="AW51" s="15">
        <v>3</v>
      </c>
      <c r="AX51" s="15">
        <v>0</v>
      </c>
      <c r="AY51" s="15">
        <v>3</v>
      </c>
      <c r="AZ51" s="15">
        <v>4</v>
      </c>
      <c r="BA51" s="15">
        <v>31</v>
      </c>
      <c r="BB51" s="15">
        <v>5</v>
      </c>
      <c r="BC51" s="15">
        <v>2</v>
      </c>
      <c r="BD51" s="15">
        <v>1</v>
      </c>
      <c r="BE51" s="15">
        <v>5</v>
      </c>
      <c r="BF51" s="15">
        <v>4</v>
      </c>
      <c r="BG51" s="15">
        <v>3</v>
      </c>
      <c r="BH51" s="15">
        <v>2</v>
      </c>
      <c r="BI51" s="15">
        <v>2</v>
      </c>
      <c r="BJ51" s="15">
        <v>1</v>
      </c>
      <c r="BK51" s="15">
        <v>9</v>
      </c>
      <c r="BL51" s="32">
        <v>0.38</v>
      </c>
      <c r="BM51" s="15">
        <v>56</v>
      </c>
      <c r="BN51" s="15">
        <v>8</v>
      </c>
      <c r="BO51" s="15">
        <v>9</v>
      </c>
      <c r="BP51" s="15">
        <v>5</v>
      </c>
      <c r="BQ51" s="32"/>
      <c r="BR51" s="32"/>
      <c r="BS51" s="32"/>
      <c r="BT51" s="32"/>
      <c r="BU51" s="32"/>
      <c r="BV51" s="32"/>
      <c r="BW51" s="32"/>
      <c r="BX51" s="32"/>
      <c r="BY51" s="32"/>
      <c r="BZ51" s="32"/>
    </row>
    <row r="52" spans="1:78" ht="12.9">
      <c r="A52" s="11" t="s">
        <v>295</v>
      </c>
      <c r="B52" s="63">
        <v>1</v>
      </c>
      <c r="C52" s="63">
        <v>28</v>
      </c>
      <c r="D52" s="63">
        <v>34</v>
      </c>
      <c r="E52" s="25" t="s">
        <v>198</v>
      </c>
      <c r="F52" s="24" t="s">
        <v>193</v>
      </c>
      <c r="G52" s="27">
        <v>1</v>
      </c>
      <c r="H52" s="27" t="s">
        <v>296</v>
      </c>
      <c r="I52" s="53">
        <v>12</v>
      </c>
      <c r="J52" s="53">
        <v>23</v>
      </c>
      <c r="K52" s="27">
        <v>1990</v>
      </c>
      <c r="L52" s="27" t="s">
        <v>297</v>
      </c>
      <c r="M52" s="64" t="s">
        <v>201</v>
      </c>
      <c r="N52" s="65">
        <v>1</v>
      </c>
      <c r="O52" s="65">
        <v>0</v>
      </c>
      <c r="P52" s="27">
        <v>0</v>
      </c>
      <c r="Q52" s="27">
        <v>0</v>
      </c>
      <c r="R52" s="11" t="b">
        <f t="shared" si="0"/>
        <v>0</v>
      </c>
      <c r="S52" s="27" t="s">
        <v>190</v>
      </c>
      <c r="T52" s="27">
        <v>1</v>
      </c>
      <c r="U52" s="27"/>
      <c r="V52" s="27"/>
      <c r="W52" s="27"/>
      <c r="X52" s="27"/>
      <c r="Y52" s="27"/>
      <c r="Z52" s="66"/>
      <c r="AA52" s="66"/>
      <c r="AB52" s="66"/>
      <c r="AC52" s="66"/>
      <c r="AD52" s="67"/>
      <c r="AE52" s="68">
        <v>60</v>
      </c>
      <c r="AF52" s="69">
        <v>0.18</v>
      </c>
      <c r="AG52" s="70">
        <v>0.18</v>
      </c>
      <c r="AH52" s="71"/>
      <c r="AI52" s="72"/>
      <c r="AJ52" s="66"/>
      <c r="AK52" s="71"/>
      <c r="AL52" s="73"/>
      <c r="AM52" s="73"/>
      <c r="AN52" s="73"/>
      <c r="AO52" s="73"/>
      <c r="AP52" s="73"/>
      <c r="AQ52" s="73"/>
      <c r="AR52" s="73"/>
      <c r="AS52" s="73"/>
      <c r="AT52" s="73"/>
      <c r="AU52" s="71"/>
      <c r="AV52" s="66"/>
      <c r="AW52" s="66"/>
      <c r="AX52" s="66"/>
      <c r="AY52" s="66"/>
      <c r="AZ52" s="66"/>
      <c r="BA52" s="66"/>
      <c r="BB52" s="66"/>
      <c r="BC52" s="66"/>
      <c r="BD52" s="66"/>
      <c r="BE52" s="66"/>
      <c r="BF52" s="66"/>
      <c r="BG52" s="66"/>
      <c r="BH52" s="66"/>
      <c r="BI52" s="66"/>
      <c r="BJ52" s="66"/>
      <c r="BK52" s="66"/>
      <c r="BL52" s="71"/>
      <c r="BM52" s="66"/>
      <c r="BN52" s="66"/>
      <c r="BO52" s="66"/>
      <c r="BP52" s="66"/>
      <c r="BQ52" s="71"/>
      <c r="BR52" s="71"/>
      <c r="BS52" s="71"/>
      <c r="BT52" s="71"/>
      <c r="BU52" s="71"/>
      <c r="BV52" s="71"/>
      <c r="BW52" s="71"/>
      <c r="BX52" s="71"/>
      <c r="BY52" s="71"/>
      <c r="BZ52" s="71"/>
    </row>
    <row r="53" spans="1:78" ht="12.9">
      <c r="A53" s="24" t="s">
        <v>298</v>
      </c>
      <c r="B53" s="24">
        <v>1</v>
      </c>
      <c r="C53" s="24">
        <v>29</v>
      </c>
      <c r="D53" s="24">
        <v>35</v>
      </c>
      <c r="E53" s="25" t="s">
        <v>198</v>
      </c>
      <c r="F53" s="24" t="s">
        <v>193</v>
      </c>
      <c r="G53" s="11">
        <v>1</v>
      </c>
      <c r="H53" s="27" t="s">
        <v>299</v>
      </c>
      <c r="I53" s="25">
        <v>15</v>
      </c>
      <c r="J53" s="25">
        <v>72</v>
      </c>
      <c r="K53" s="11">
        <v>1994</v>
      </c>
      <c r="L53" s="11" t="s">
        <v>247</v>
      </c>
      <c r="M53" s="28" t="s">
        <v>248</v>
      </c>
      <c r="N53" s="29">
        <v>0</v>
      </c>
      <c r="O53" s="29">
        <v>1</v>
      </c>
      <c r="P53" s="11">
        <v>0</v>
      </c>
      <c r="Q53" s="11">
        <v>0</v>
      </c>
      <c r="R53" s="11" t="b">
        <f t="shared" si="0"/>
        <v>0</v>
      </c>
      <c r="S53" s="11" t="s">
        <v>190</v>
      </c>
      <c r="T53" s="11">
        <v>1</v>
      </c>
      <c r="U53" s="24">
        <v>0.97</v>
      </c>
      <c r="V53" s="11"/>
      <c r="W53" s="24">
        <v>0.97</v>
      </c>
      <c r="X53" s="24"/>
      <c r="Y53" s="11" t="s">
        <v>202</v>
      </c>
      <c r="Z53" s="15"/>
      <c r="AA53" s="54">
        <v>18</v>
      </c>
      <c r="AB53" s="15">
        <v>2</v>
      </c>
      <c r="AC53" s="54">
        <v>17</v>
      </c>
      <c r="AD53" s="15">
        <v>2</v>
      </c>
      <c r="AE53" s="30">
        <v>39</v>
      </c>
      <c r="AF53" s="34"/>
      <c r="AG53" s="32"/>
      <c r="AH53" s="35">
        <v>0.79</v>
      </c>
      <c r="AI53" s="33"/>
      <c r="AJ53" s="15"/>
      <c r="AK53" s="31"/>
      <c r="AL53" s="15">
        <v>8</v>
      </c>
      <c r="AM53" s="15">
        <v>2</v>
      </c>
      <c r="AN53" s="15">
        <v>1</v>
      </c>
      <c r="AO53" s="15">
        <v>2</v>
      </c>
      <c r="AP53" s="15">
        <v>25</v>
      </c>
      <c r="AQ53" s="15">
        <v>0</v>
      </c>
      <c r="AR53" s="15">
        <v>0</v>
      </c>
      <c r="AS53" s="15">
        <v>0</v>
      </c>
      <c r="AT53" s="15">
        <v>2</v>
      </c>
      <c r="AU53" s="35">
        <v>0.73499999999999999</v>
      </c>
      <c r="AV53" s="15">
        <v>5</v>
      </c>
      <c r="AW53" s="15">
        <v>0</v>
      </c>
      <c r="AX53" s="15">
        <v>0</v>
      </c>
      <c r="AY53" s="15">
        <v>1</v>
      </c>
      <c r="AZ53" s="15">
        <v>0</v>
      </c>
      <c r="BA53" s="15">
        <v>17</v>
      </c>
      <c r="BB53" s="15">
        <v>0</v>
      </c>
      <c r="BC53" s="15">
        <v>2</v>
      </c>
      <c r="BD53" s="15">
        <v>0</v>
      </c>
      <c r="BE53" s="15">
        <v>0</v>
      </c>
      <c r="BF53" s="15">
        <v>1</v>
      </c>
      <c r="BG53" s="15">
        <v>0</v>
      </c>
      <c r="BH53" s="15">
        <v>2</v>
      </c>
      <c r="BI53" s="15">
        <v>2</v>
      </c>
      <c r="BJ53" s="15">
        <v>0</v>
      </c>
      <c r="BK53" s="15">
        <v>9</v>
      </c>
      <c r="BL53" s="35">
        <v>0.72299999999999998</v>
      </c>
      <c r="BM53" s="15">
        <v>23</v>
      </c>
      <c r="BN53" s="15">
        <v>3</v>
      </c>
      <c r="BO53" s="15">
        <v>9</v>
      </c>
      <c r="BP53" s="15">
        <v>4</v>
      </c>
      <c r="BQ53" s="32"/>
      <c r="BR53" s="32"/>
      <c r="BS53" s="32"/>
      <c r="BT53" s="32"/>
      <c r="BU53" s="32"/>
      <c r="BV53" s="32"/>
      <c r="BW53" s="32"/>
      <c r="BX53" s="32"/>
      <c r="BY53" s="32"/>
      <c r="BZ53" s="32"/>
    </row>
    <row r="54" spans="1:78" ht="12.9">
      <c r="A54" s="36" t="s">
        <v>300</v>
      </c>
      <c r="B54" s="40">
        <v>1</v>
      </c>
      <c r="C54" s="40">
        <v>30</v>
      </c>
      <c r="D54" s="40">
        <v>36</v>
      </c>
      <c r="E54" s="25" t="s">
        <v>301</v>
      </c>
      <c r="F54" s="24" t="s">
        <v>193</v>
      </c>
      <c r="G54" s="36">
        <v>1</v>
      </c>
      <c r="H54" s="42" t="s">
        <v>302</v>
      </c>
      <c r="I54" s="25">
        <v>18</v>
      </c>
      <c r="J54" s="25">
        <v>28</v>
      </c>
      <c r="K54" s="11">
        <v>1999</v>
      </c>
      <c r="L54" s="36" t="s">
        <v>303</v>
      </c>
      <c r="M54" s="28" t="s">
        <v>201</v>
      </c>
      <c r="N54" s="29">
        <v>0</v>
      </c>
      <c r="O54" s="29">
        <v>0</v>
      </c>
      <c r="P54" s="36">
        <v>1</v>
      </c>
      <c r="Q54" s="36">
        <v>0</v>
      </c>
      <c r="R54" s="11" t="b">
        <f t="shared" si="0"/>
        <v>1</v>
      </c>
      <c r="S54" s="11" t="s">
        <v>196</v>
      </c>
      <c r="T54" s="11">
        <v>1</v>
      </c>
      <c r="U54" s="40">
        <v>0.88200000000000001</v>
      </c>
      <c r="V54" s="36"/>
      <c r="W54" s="40">
        <v>0.83699999999999997</v>
      </c>
      <c r="X54" s="36"/>
      <c r="Y54" s="11" t="s">
        <v>202</v>
      </c>
      <c r="Z54" s="44"/>
      <c r="AA54" s="44">
        <v>8</v>
      </c>
      <c r="AB54" s="44">
        <v>9</v>
      </c>
      <c r="AC54" s="44">
        <v>14</v>
      </c>
      <c r="AD54" s="44">
        <v>3</v>
      </c>
      <c r="AE54" s="30">
        <v>34</v>
      </c>
      <c r="AF54" s="45"/>
      <c r="AG54" s="47"/>
      <c r="AH54" s="47"/>
      <c r="AI54" s="49"/>
      <c r="AJ54" s="44"/>
      <c r="AK54" s="47">
        <v>0.24</v>
      </c>
      <c r="AL54" s="44"/>
      <c r="AM54" s="44"/>
      <c r="AN54" s="44"/>
      <c r="AO54" s="44"/>
      <c r="AP54" s="44"/>
      <c r="AQ54" s="44"/>
      <c r="AR54" s="44"/>
      <c r="AS54" s="44"/>
      <c r="AT54" s="44"/>
      <c r="AU54" s="47"/>
      <c r="AV54" s="44">
        <v>4</v>
      </c>
      <c r="AW54" s="44">
        <v>2</v>
      </c>
      <c r="AX54" s="44">
        <v>0</v>
      </c>
      <c r="AY54" s="44">
        <v>0</v>
      </c>
      <c r="AZ54" s="44">
        <v>1</v>
      </c>
      <c r="BA54" s="44">
        <v>14</v>
      </c>
      <c r="BB54" s="44">
        <v>1</v>
      </c>
      <c r="BC54" s="44">
        <v>1</v>
      </c>
      <c r="BD54" s="44">
        <v>0</v>
      </c>
      <c r="BE54" s="44">
        <v>3</v>
      </c>
      <c r="BF54" s="44">
        <v>3</v>
      </c>
      <c r="BG54" s="44">
        <v>0</v>
      </c>
      <c r="BH54" s="44">
        <v>1</v>
      </c>
      <c r="BI54" s="44">
        <v>4</v>
      </c>
      <c r="BJ54" s="44">
        <v>0</v>
      </c>
      <c r="BK54" s="44">
        <v>0</v>
      </c>
      <c r="BL54" s="47">
        <v>0.37</v>
      </c>
      <c r="BM54" s="15">
        <v>28</v>
      </c>
      <c r="BN54" s="15">
        <v>1</v>
      </c>
      <c r="BO54" s="15">
        <v>0</v>
      </c>
      <c r="BP54" s="15">
        <v>5</v>
      </c>
      <c r="BQ54" s="47"/>
      <c r="BR54" s="47"/>
      <c r="BS54" s="47"/>
      <c r="BT54" s="47"/>
      <c r="BU54" s="47"/>
      <c r="BV54" s="47"/>
      <c r="BW54" s="47"/>
      <c r="BX54" s="47"/>
      <c r="BY54" s="47"/>
      <c r="BZ54" s="47"/>
    </row>
    <row r="55" spans="1:78" ht="12.9">
      <c r="A55" s="36" t="s">
        <v>300</v>
      </c>
      <c r="B55" s="40">
        <v>1</v>
      </c>
      <c r="C55" s="40">
        <v>30</v>
      </c>
      <c r="D55" s="40">
        <v>37</v>
      </c>
      <c r="E55" s="25" t="s">
        <v>304</v>
      </c>
      <c r="F55" s="24" t="s">
        <v>193</v>
      </c>
      <c r="G55" s="40">
        <v>1</v>
      </c>
      <c r="H55" s="42" t="s">
        <v>302</v>
      </c>
      <c r="I55" s="25">
        <v>18</v>
      </c>
      <c r="J55" s="25">
        <v>28</v>
      </c>
      <c r="K55" s="11">
        <v>1999</v>
      </c>
      <c r="L55" s="36" t="s">
        <v>303</v>
      </c>
      <c r="M55" s="28" t="s">
        <v>201</v>
      </c>
      <c r="N55" s="29">
        <v>0</v>
      </c>
      <c r="O55" s="29">
        <v>0</v>
      </c>
      <c r="P55" s="36">
        <v>1</v>
      </c>
      <c r="Q55" s="58">
        <v>1</v>
      </c>
      <c r="R55" s="11" t="b">
        <f t="shared" si="0"/>
        <v>1</v>
      </c>
      <c r="S55" s="11" t="s">
        <v>196</v>
      </c>
      <c r="T55" s="11">
        <v>1</v>
      </c>
      <c r="U55" s="40">
        <v>0.88200000000000001</v>
      </c>
      <c r="V55" s="36"/>
      <c r="W55" s="40">
        <v>0.83699999999999997</v>
      </c>
      <c r="X55" s="36"/>
      <c r="Y55" s="11" t="s">
        <v>202</v>
      </c>
      <c r="Z55" s="44"/>
      <c r="AA55" s="51">
        <v>24</v>
      </c>
      <c r="AB55" s="51">
        <v>10</v>
      </c>
      <c r="AC55" s="51">
        <v>0</v>
      </c>
      <c r="AD55" s="51">
        <v>3</v>
      </c>
      <c r="AE55" s="30">
        <v>37</v>
      </c>
      <c r="AF55" s="60"/>
      <c r="AG55" s="47"/>
      <c r="AH55" s="47"/>
      <c r="AI55" s="49"/>
      <c r="AJ55" s="44"/>
      <c r="AK55" s="47">
        <v>-0.14000000000000001</v>
      </c>
      <c r="AL55" s="44"/>
      <c r="AM55" s="44"/>
      <c r="AN55" s="44"/>
      <c r="AO55" s="44"/>
      <c r="AP55" s="44"/>
      <c r="AQ55" s="44"/>
      <c r="AR55" s="44"/>
      <c r="AS55" s="44"/>
      <c r="AT55" s="44"/>
      <c r="AU55" s="47"/>
      <c r="AV55" s="44">
        <v>4</v>
      </c>
      <c r="AW55" s="44">
        <v>1</v>
      </c>
      <c r="AX55" s="44">
        <v>0</v>
      </c>
      <c r="AY55" s="44">
        <v>1</v>
      </c>
      <c r="AZ55" s="44">
        <v>2</v>
      </c>
      <c r="BA55" s="44">
        <v>0</v>
      </c>
      <c r="BB55" s="44">
        <v>1</v>
      </c>
      <c r="BC55" s="44">
        <v>0</v>
      </c>
      <c r="BD55" s="44">
        <v>0</v>
      </c>
      <c r="BE55" s="44">
        <v>1</v>
      </c>
      <c r="BF55" s="44">
        <v>4</v>
      </c>
      <c r="BG55" s="44">
        <v>2</v>
      </c>
      <c r="BH55" s="44">
        <v>5</v>
      </c>
      <c r="BI55" s="44">
        <v>8</v>
      </c>
      <c r="BJ55" s="44">
        <v>4</v>
      </c>
      <c r="BK55" s="44">
        <v>4</v>
      </c>
      <c r="BL55" s="47">
        <v>0.13</v>
      </c>
      <c r="BM55" s="15">
        <v>13</v>
      </c>
      <c r="BN55" s="15">
        <v>3</v>
      </c>
      <c r="BO55" s="15">
        <v>4</v>
      </c>
      <c r="BP55" s="15">
        <v>17</v>
      </c>
      <c r="BQ55" s="47"/>
      <c r="BR55" s="47"/>
      <c r="BS55" s="47"/>
      <c r="BT55" s="47"/>
      <c r="BU55" s="46" t="s">
        <v>305</v>
      </c>
      <c r="BV55" s="46"/>
      <c r="BW55" s="46"/>
      <c r="BX55" s="46"/>
      <c r="BY55" s="46"/>
      <c r="BZ55" s="46"/>
    </row>
    <row r="56" spans="1:78" ht="12.9">
      <c r="A56" s="11" t="s">
        <v>306</v>
      </c>
      <c r="B56" s="24">
        <v>1</v>
      </c>
      <c r="C56" s="24">
        <v>31</v>
      </c>
      <c r="D56" s="24">
        <v>38</v>
      </c>
      <c r="E56" s="53" t="s">
        <v>307</v>
      </c>
      <c r="F56" s="24" t="s">
        <v>193</v>
      </c>
      <c r="G56" s="11">
        <v>1</v>
      </c>
      <c r="H56" s="27" t="s">
        <v>308</v>
      </c>
      <c r="I56" s="25">
        <v>12</v>
      </c>
      <c r="J56" s="25">
        <v>24</v>
      </c>
      <c r="K56" s="11">
        <v>2001</v>
      </c>
      <c r="L56" s="11" t="s">
        <v>188</v>
      </c>
      <c r="M56" s="28" t="s">
        <v>239</v>
      </c>
      <c r="N56" s="29">
        <v>0</v>
      </c>
      <c r="O56" s="29">
        <v>0</v>
      </c>
      <c r="P56" s="11">
        <v>1</v>
      </c>
      <c r="Q56" s="11">
        <v>0</v>
      </c>
      <c r="R56" s="11" t="b">
        <f t="shared" si="0"/>
        <v>1</v>
      </c>
      <c r="S56" s="11" t="s">
        <v>190</v>
      </c>
      <c r="T56" s="11">
        <v>1</v>
      </c>
      <c r="U56" s="24">
        <v>0.77</v>
      </c>
      <c r="V56" s="11"/>
      <c r="W56" s="24">
        <v>0.62</v>
      </c>
      <c r="X56" s="11"/>
      <c r="Y56" s="11" t="s">
        <v>202</v>
      </c>
      <c r="Z56" s="15"/>
      <c r="AA56" s="15">
        <v>79</v>
      </c>
      <c r="AB56" s="44">
        <v>16</v>
      </c>
      <c r="AC56" s="44">
        <v>32</v>
      </c>
      <c r="AD56" s="44">
        <v>71</v>
      </c>
      <c r="AE56" s="30">
        <v>198</v>
      </c>
      <c r="AF56" s="45"/>
      <c r="AG56" s="47"/>
      <c r="AH56" s="47"/>
      <c r="AI56" s="49"/>
      <c r="AJ56" s="44"/>
      <c r="AK56" s="47"/>
      <c r="AL56" s="44"/>
      <c r="AM56" s="44"/>
      <c r="AN56" s="44"/>
      <c r="AO56" s="44"/>
      <c r="AP56" s="44"/>
      <c r="AQ56" s="44"/>
      <c r="AR56" s="44"/>
      <c r="AS56" s="44"/>
      <c r="AT56" s="44"/>
      <c r="AU56" s="32"/>
      <c r="AV56" s="15">
        <v>18</v>
      </c>
      <c r="AW56" s="15">
        <v>7</v>
      </c>
      <c r="AX56" s="15">
        <v>13</v>
      </c>
      <c r="AY56" s="15">
        <v>0</v>
      </c>
      <c r="AZ56" s="15">
        <v>30</v>
      </c>
      <c r="BA56" s="15">
        <v>32</v>
      </c>
      <c r="BB56" s="15">
        <v>40</v>
      </c>
      <c r="BC56" s="15">
        <v>1</v>
      </c>
      <c r="BD56" s="15">
        <v>14</v>
      </c>
      <c r="BE56" s="15">
        <v>7</v>
      </c>
      <c r="BF56" s="15">
        <v>13</v>
      </c>
      <c r="BG56" s="15">
        <v>1</v>
      </c>
      <c r="BH56" s="15">
        <v>10</v>
      </c>
      <c r="BI56" s="15">
        <v>2</v>
      </c>
      <c r="BJ56" s="15">
        <v>9</v>
      </c>
      <c r="BK56" s="15">
        <v>1</v>
      </c>
      <c r="BL56" s="32"/>
      <c r="BM56" s="15">
        <v>174</v>
      </c>
      <c r="BN56" s="15">
        <v>2</v>
      </c>
      <c r="BO56" s="15">
        <v>1</v>
      </c>
      <c r="BP56" s="15">
        <v>21</v>
      </c>
      <c r="BQ56" s="32"/>
      <c r="BR56" s="32"/>
      <c r="BS56" s="32"/>
      <c r="BT56" s="32"/>
      <c r="BU56" s="32"/>
      <c r="BV56" s="32"/>
      <c r="BW56" s="32"/>
      <c r="BX56" s="32"/>
      <c r="BY56" s="32"/>
      <c r="BZ56" s="32"/>
    </row>
    <row r="57" spans="1:78" ht="12.9">
      <c r="A57" s="11" t="s">
        <v>306</v>
      </c>
      <c r="B57" s="24">
        <v>1</v>
      </c>
      <c r="C57" s="24">
        <v>31</v>
      </c>
      <c r="D57" s="24">
        <v>38</v>
      </c>
      <c r="E57" s="53" t="s">
        <v>309</v>
      </c>
      <c r="F57" s="24" t="s">
        <v>193</v>
      </c>
      <c r="G57" s="24">
        <v>2</v>
      </c>
      <c r="H57" s="27" t="s">
        <v>308</v>
      </c>
      <c r="I57" s="25">
        <v>12</v>
      </c>
      <c r="J57" s="25">
        <v>18</v>
      </c>
      <c r="K57" s="24">
        <v>2001</v>
      </c>
      <c r="L57" s="24" t="s">
        <v>188</v>
      </c>
      <c r="M57" s="28" t="s">
        <v>201</v>
      </c>
      <c r="N57" s="29">
        <v>1</v>
      </c>
      <c r="O57" s="29">
        <v>0</v>
      </c>
      <c r="P57" s="24">
        <v>1</v>
      </c>
      <c r="Q57" s="24">
        <v>0</v>
      </c>
      <c r="R57" s="11" t="b">
        <f t="shared" si="0"/>
        <v>1</v>
      </c>
      <c r="S57" s="11" t="s">
        <v>190</v>
      </c>
      <c r="T57" s="11">
        <v>1</v>
      </c>
      <c r="U57" s="24">
        <v>0.77</v>
      </c>
      <c r="V57" s="11"/>
      <c r="W57" s="24">
        <v>0.77</v>
      </c>
      <c r="X57" s="11"/>
      <c r="Y57" s="11" t="s">
        <v>202</v>
      </c>
      <c r="Z57" s="15"/>
      <c r="AA57" s="54">
        <v>63</v>
      </c>
      <c r="AB57" s="51">
        <v>36</v>
      </c>
      <c r="AC57" s="51">
        <v>56</v>
      </c>
      <c r="AD57" s="51">
        <v>40</v>
      </c>
      <c r="AE57" s="30">
        <v>195</v>
      </c>
      <c r="AF57" s="45"/>
      <c r="AG57" s="46">
        <v>0.31</v>
      </c>
      <c r="AH57" s="47"/>
      <c r="AI57" s="49"/>
      <c r="AJ57" s="44"/>
      <c r="AK57" s="47"/>
      <c r="AL57" s="44"/>
      <c r="AM57" s="44"/>
      <c r="AN57" s="44"/>
      <c r="AO57" s="31"/>
      <c r="AP57" s="31"/>
      <c r="AQ57" s="31"/>
      <c r="AR57" s="44"/>
      <c r="AS57" s="44"/>
      <c r="AT57" s="44"/>
      <c r="AU57" s="32"/>
      <c r="AV57" s="54">
        <v>12</v>
      </c>
      <c r="AW57" s="54">
        <v>16</v>
      </c>
      <c r="AX57" s="54">
        <v>3</v>
      </c>
      <c r="AY57" s="54">
        <v>5</v>
      </c>
      <c r="AZ57" s="51">
        <v>19</v>
      </c>
      <c r="BA57" s="51">
        <v>56</v>
      </c>
      <c r="BB57" s="51">
        <v>9</v>
      </c>
      <c r="BC57" s="54">
        <v>12</v>
      </c>
      <c r="BD57" s="54">
        <v>9</v>
      </c>
      <c r="BE57" s="54">
        <v>12</v>
      </c>
      <c r="BF57" s="54">
        <v>4</v>
      </c>
      <c r="BG57" s="54">
        <v>8</v>
      </c>
      <c r="BH57" s="54">
        <v>6</v>
      </c>
      <c r="BI57" s="54">
        <v>8</v>
      </c>
      <c r="BJ57" s="54">
        <v>1</v>
      </c>
      <c r="BK57" s="54">
        <v>15</v>
      </c>
      <c r="BL57" s="32"/>
      <c r="BM57" s="54">
        <v>140</v>
      </c>
      <c r="BN57" s="54">
        <v>25</v>
      </c>
      <c r="BO57" s="54">
        <v>15</v>
      </c>
      <c r="BP57" s="54">
        <v>15</v>
      </c>
      <c r="BQ57" s="32"/>
      <c r="BR57" s="32"/>
      <c r="BS57" s="32"/>
      <c r="BT57" s="32"/>
      <c r="BU57" s="32"/>
      <c r="BV57" s="32"/>
      <c r="BW57" s="32"/>
      <c r="BX57" s="32"/>
      <c r="BY57" s="32"/>
      <c r="BZ57" s="32"/>
    </row>
    <row r="58" spans="1:78" ht="12.9">
      <c r="A58" s="24" t="s">
        <v>310</v>
      </c>
      <c r="B58" s="24">
        <v>1</v>
      </c>
      <c r="C58" s="24">
        <v>32</v>
      </c>
      <c r="D58" s="24">
        <v>39</v>
      </c>
      <c r="E58" s="53" t="s">
        <v>311</v>
      </c>
      <c r="F58" s="24" t="s">
        <v>193</v>
      </c>
      <c r="G58" s="11">
        <v>1</v>
      </c>
      <c r="H58" s="27" t="s">
        <v>312</v>
      </c>
      <c r="I58" s="25">
        <v>13</v>
      </c>
      <c r="J58" s="25">
        <v>42</v>
      </c>
      <c r="K58" s="11">
        <v>2010</v>
      </c>
      <c r="L58" s="11" t="s">
        <v>200</v>
      </c>
      <c r="M58" s="28" t="s">
        <v>189</v>
      </c>
      <c r="N58" s="29">
        <v>0</v>
      </c>
      <c r="O58" s="29">
        <v>0</v>
      </c>
      <c r="P58" s="11">
        <v>0</v>
      </c>
      <c r="Q58" s="11">
        <v>0</v>
      </c>
      <c r="R58" s="11" t="b">
        <f t="shared" si="0"/>
        <v>0</v>
      </c>
      <c r="S58" s="24" t="s">
        <v>313</v>
      </c>
      <c r="T58" s="11">
        <v>0</v>
      </c>
      <c r="U58" s="24">
        <v>0.9</v>
      </c>
      <c r="V58" s="24">
        <v>0.83</v>
      </c>
      <c r="W58" s="24">
        <v>0.88</v>
      </c>
      <c r="X58" s="24">
        <v>0.83</v>
      </c>
      <c r="Y58" s="11" t="s">
        <v>220</v>
      </c>
      <c r="Z58" s="15"/>
      <c r="AA58" s="15">
        <v>11</v>
      </c>
      <c r="AB58" s="15">
        <v>14</v>
      </c>
      <c r="AC58" s="15">
        <v>15</v>
      </c>
      <c r="AD58" s="15">
        <v>6</v>
      </c>
      <c r="AE58" s="30">
        <v>61</v>
      </c>
      <c r="AF58" s="34">
        <v>0.16</v>
      </c>
      <c r="AG58" s="35">
        <v>0.22</v>
      </c>
      <c r="AH58" s="32"/>
      <c r="AI58" s="33"/>
      <c r="AJ58" s="15"/>
      <c r="AK58" s="32"/>
      <c r="AL58" s="15"/>
      <c r="AM58" s="15"/>
      <c r="AN58" s="15"/>
      <c r="AO58" s="15"/>
      <c r="AP58" s="15"/>
      <c r="AQ58" s="15"/>
      <c r="AR58" s="15"/>
      <c r="AS58" s="15"/>
      <c r="AT58" s="15"/>
      <c r="AU58" s="32"/>
      <c r="AV58" s="15">
        <v>0</v>
      </c>
      <c r="AW58" s="15">
        <v>3</v>
      </c>
      <c r="AX58" s="15">
        <v>0</v>
      </c>
      <c r="AY58" s="15">
        <v>3</v>
      </c>
      <c r="AZ58" s="15">
        <v>0</v>
      </c>
      <c r="BA58" s="15">
        <v>15</v>
      </c>
      <c r="BB58" s="15">
        <v>2</v>
      </c>
      <c r="BC58" s="15">
        <v>4</v>
      </c>
      <c r="BD58" s="15">
        <v>0</v>
      </c>
      <c r="BE58" s="15">
        <v>1</v>
      </c>
      <c r="BF58" s="15">
        <v>0</v>
      </c>
      <c r="BG58" s="15">
        <v>0</v>
      </c>
      <c r="BH58" s="15">
        <v>0</v>
      </c>
      <c r="BI58" s="15">
        <v>10</v>
      </c>
      <c r="BJ58" s="15">
        <v>4</v>
      </c>
      <c r="BK58" s="15">
        <v>4</v>
      </c>
      <c r="BL58" s="32">
        <v>0.05</v>
      </c>
      <c r="BM58" s="15">
        <v>21</v>
      </c>
      <c r="BN58" s="15">
        <v>7</v>
      </c>
      <c r="BO58" s="15">
        <v>4</v>
      </c>
      <c r="BP58" s="15">
        <v>14</v>
      </c>
      <c r="BQ58" s="32"/>
      <c r="BR58" s="32"/>
      <c r="BS58" s="32"/>
      <c r="BT58" s="32"/>
      <c r="BU58" s="32"/>
      <c r="BV58" s="32"/>
      <c r="BW58" s="32"/>
      <c r="BX58" s="32"/>
      <c r="BY58" s="32"/>
      <c r="BZ58" s="32"/>
    </row>
    <row r="59" spans="1:78" ht="12.9">
      <c r="A59" s="11" t="s">
        <v>314</v>
      </c>
      <c r="B59" s="24">
        <v>1</v>
      </c>
      <c r="C59" s="24">
        <v>33</v>
      </c>
      <c r="D59" s="24">
        <v>40</v>
      </c>
      <c r="E59" s="24" t="s">
        <v>198</v>
      </c>
      <c r="F59" s="24" t="s">
        <v>193</v>
      </c>
      <c r="G59" s="11">
        <v>1</v>
      </c>
      <c r="H59" s="27" t="s">
        <v>315</v>
      </c>
      <c r="I59" s="25">
        <v>18</v>
      </c>
      <c r="J59" s="25">
        <v>30</v>
      </c>
      <c r="K59" s="11">
        <v>1996</v>
      </c>
      <c r="L59" s="11" t="s">
        <v>188</v>
      </c>
      <c r="M59" s="28" t="s">
        <v>239</v>
      </c>
      <c r="N59" s="29">
        <v>1</v>
      </c>
      <c r="O59" s="29">
        <v>0</v>
      </c>
      <c r="P59" s="11">
        <v>0</v>
      </c>
      <c r="Q59" s="11">
        <v>0</v>
      </c>
      <c r="R59" s="11" t="b">
        <f t="shared" si="0"/>
        <v>0</v>
      </c>
      <c r="S59" s="11" t="s">
        <v>190</v>
      </c>
      <c r="T59" s="11">
        <v>1</v>
      </c>
      <c r="U59" s="11"/>
      <c r="V59" s="24">
        <v>0.75</v>
      </c>
      <c r="W59" s="11"/>
      <c r="X59" s="24">
        <v>0.75</v>
      </c>
      <c r="Y59" s="24" t="s">
        <v>240</v>
      </c>
      <c r="Z59" s="15"/>
      <c r="AA59" s="15">
        <v>45</v>
      </c>
      <c r="AB59" s="15">
        <v>2</v>
      </c>
      <c r="AC59" s="15">
        <v>36</v>
      </c>
      <c r="AD59" s="15">
        <v>13</v>
      </c>
      <c r="AE59" s="30">
        <v>96</v>
      </c>
      <c r="AF59" s="34"/>
      <c r="AG59" s="35">
        <v>0.71</v>
      </c>
      <c r="AH59" s="32"/>
      <c r="AI59" s="33"/>
      <c r="AJ59" s="15"/>
      <c r="AK59" s="32"/>
      <c r="AL59" s="15">
        <v>18</v>
      </c>
      <c r="AM59" s="15">
        <v>2</v>
      </c>
      <c r="AN59" s="15">
        <v>18</v>
      </c>
      <c r="AO59" s="15">
        <v>5</v>
      </c>
      <c r="AP59" s="15">
        <v>36</v>
      </c>
      <c r="AQ59" s="15">
        <v>8</v>
      </c>
      <c r="AR59" s="15">
        <v>0</v>
      </c>
      <c r="AS59" s="15">
        <v>0</v>
      </c>
      <c r="AT59" s="15">
        <v>9</v>
      </c>
      <c r="AU59" s="32"/>
      <c r="AV59" s="15"/>
      <c r="AW59" s="15"/>
      <c r="AX59" s="15"/>
      <c r="AY59" s="15"/>
      <c r="AZ59" s="15"/>
      <c r="BA59" s="15"/>
      <c r="BB59" s="15"/>
      <c r="BC59" s="15"/>
      <c r="BD59" s="15"/>
      <c r="BE59" s="15"/>
      <c r="BF59" s="15"/>
      <c r="BG59" s="15"/>
      <c r="BH59" s="15"/>
      <c r="BI59" s="15"/>
      <c r="BJ59" s="15"/>
      <c r="BK59" s="15"/>
      <c r="BL59" s="32"/>
      <c r="BM59" s="15"/>
      <c r="BN59" s="15"/>
      <c r="BO59" s="15"/>
      <c r="BP59" s="15"/>
      <c r="BQ59" s="32"/>
      <c r="BR59" s="32"/>
      <c r="BS59" s="32"/>
      <c r="BT59" s="32"/>
      <c r="BU59" s="32"/>
      <c r="BV59" s="32"/>
      <c r="BW59" s="32"/>
      <c r="BX59" s="32"/>
      <c r="BY59" s="32"/>
      <c r="BZ59" s="32"/>
    </row>
    <row r="60" spans="1:78" ht="12.9">
      <c r="A60" s="11" t="s">
        <v>316</v>
      </c>
      <c r="B60" s="74">
        <v>1</v>
      </c>
      <c r="C60" s="74">
        <v>34</v>
      </c>
      <c r="D60" s="74">
        <v>41</v>
      </c>
      <c r="E60" s="74" t="s">
        <v>317</v>
      </c>
      <c r="F60" s="24" t="s">
        <v>193</v>
      </c>
      <c r="G60" s="75">
        <v>1</v>
      </c>
      <c r="H60" s="75" t="s">
        <v>318</v>
      </c>
      <c r="I60" s="25">
        <v>20.34</v>
      </c>
      <c r="J60" s="25">
        <v>36.000010000000003</v>
      </c>
      <c r="K60" s="11">
        <v>2006</v>
      </c>
      <c r="L60" s="75" t="s">
        <v>188</v>
      </c>
      <c r="M60" s="28" t="s">
        <v>189</v>
      </c>
      <c r="N60" s="29">
        <v>0</v>
      </c>
      <c r="O60" s="29">
        <v>0</v>
      </c>
      <c r="P60" s="75">
        <v>0</v>
      </c>
      <c r="Q60" s="75">
        <v>0</v>
      </c>
      <c r="R60" s="11" t="b">
        <f t="shared" si="0"/>
        <v>0</v>
      </c>
      <c r="S60" s="11" t="s">
        <v>190</v>
      </c>
      <c r="T60" s="11">
        <v>1</v>
      </c>
      <c r="U60" s="74">
        <v>0.9</v>
      </c>
      <c r="V60" s="76"/>
      <c r="W60" s="74">
        <v>0.94</v>
      </c>
      <c r="X60" s="75"/>
      <c r="Y60" s="75" t="s">
        <v>202</v>
      </c>
      <c r="Z60" s="77"/>
      <c r="AA60" s="78">
        <v>20</v>
      </c>
      <c r="AB60" s="79">
        <v>9</v>
      </c>
      <c r="AC60" s="79">
        <v>21</v>
      </c>
      <c r="AD60" s="79">
        <v>13</v>
      </c>
      <c r="AE60" s="79">
        <v>63</v>
      </c>
      <c r="AF60" s="80"/>
      <c r="AG60" s="81"/>
      <c r="AH60" s="81"/>
      <c r="AI60" s="82"/>
      <c r="AJ60" s="83"/>
      <c r="AK60" s="81"/>
      <c r="AL60" s="83"/>
      <c r="AM60" s="83"/>
      <c r="AN60" s="83"/>
      <c r="AO60" s="83"/>
      <c r="AP60" s="83"/>
      <c r="AQ60" s="83"/>
      <c r="AR60" s="83"/>
      <c r="AS60" s="83"/>
      <c r="AT60" s="83"/>
      <c r="AU60" s="81"/>
      <c r="AV60" s="37">
        <v>6</v>
      </c>
      <c r="AW60" s="37">
        <v>5</v>
      </c>
      <c r="AX60" s="37">
        <v>0</v>
      </c>
      <c r="AY60" s="37">
        <v>2</v>
      </c>
      <c r="AZ60" s="37">
        <v>6</v>
      </c>
      <c r="BA60" s="37">
        <v>21</v>
      </c>
      <c r="BB60" s="37">
        <v>3</v>
      </c>
      <c r="BC60" s="37">
        <v>4</v>
      </c>
      <c r="BD60" s="37">
        <v>0</v>
      </c>
      <c r="BE60" s="37">
        <v>0</v>
      </c>
      <c r="BF60" s="37">
        <v>1</v>
      </c>
      <c r="BG60" s="37">
        <v>2</v>
      </c>
      <c r="BH60" s="37">
        <v>4</v>
      </c>
      <c r="BI60" s="37">
        <v>4</v>
      </c>
      <c r="BJ60" s="37">
        <v>0</v>
      </c>
      <c r="BK60" s="37">
        <v>5</v>
      </c>
      <c r="BL60" s="81"/>
      <c r="BM60" s="54">
        <v>42</v>
      </c>
      <c r="BN60" s="54">
        <v>8</v>
      </c>
      <c r="BO60" s="54">
        <v>5</v>
      </c>
      <c r="BP60" s="54">
        <v>8</v>
      </c>
      <c r="BQ60" s="81"/>
      <c r="BR60" s="81"/>
      <c r="BS60" s="81"/>
      <c r="BT60" s="81"/>
      <c r="BU60" s="81"/>
      <c r="BV60" s="81"/>
      <c r="BW60" s="81"/>
      <c r="BX60" s="81"/>
      <c r="BY60" s="81"/>
      <c r="BZ60" s="81"/>
    </row>
    <row r="61" spans="1:78" ht="12.9">
      <c r="A61" s="11" t="s">
        <v>316</v>
      </c>
      <c r="B61" s="74">
        <v>1</v>
      </c>
      <c r="C61" s="74">
        <v>34</v>
      </c>
      <c r="D61" s="74">
        <v>42</v>
      </c>
      <c r="E61" s="74" t="s">
        <v>319</v>
      </c>
      <c r="F61" s="24" t="s">
        <v>193</v>
      </c>
      <c r="G61" s="75">
        <v>1</v>
      </c>
      <c r="H61" s="75" t="s">
        <v>318</v>
      </c>
      <c r="I61" s="25">
        <v>20.34</v>
      </c>
      <c r="J61" s="25">
        <v>36.000010000000003</v>
      </c>
      <c r="K61" s="11">
        <v>2006</v>
      </c>
      <c r="L61" s="75" t="s">
        <v>188</v>
      </c>
      <c r="M61" s="28" t="s">
        <v>189</v>
      </c>
      <c r="N61" s="29">
        <v>0</v>
      </c>
      <c r="O61" s="29">
        <v>0</v>
      </c>
      <c r="P61" s="75">
        <v>1</v>
      </c>
      <c r="Q61" s="75">
        <v>0</v>
      </c>
      <c r="R61" s="11" t="b">
        <f t="shared" si="0"/>
        <v>1</v>
      </c>
      <c r="S61" s="11" t="s">
        <v>190</v>
      </c>
      <c r="T61" s="11">
        <v>1</v>
      </c>
      <c r="U61" s="74">
        <v>0.9</v>
      </c>
      <c r="V61" s="76"/>
      <c r="W61" s="74">
        <v>0.94</v>
      </c>
      <c r="X61" s="75"/>
      <c r="Y61" s="75" t="s">
        <v>202</v>
      </c>
      <c r="Z61" s="77"/>
      <c r="AA61" s="78">
        <v>39</v>
      </c>
      <c r="AB61" s="79">
        <v>4</v>
      </c>
      <c r="AC61" s="79">
        <v>5</v>
      </c>
      <c r="AD61" s="79">
        <v>6</v>
      </c>
      <c r="AE61" s="79">
        <v>54</v>
      </c>
      <c r="AF61" s="80"/>
      <c r="AG61" s="81"/>
      <c r="AH61" s="81"/>
      <c r="AI61" s="82"/>
      <c r="AJ61" s="83"/>
      <c r="AK61" s="81"/>
      <c r="AL61" s="83"/>
      <c r="AM61" s="83"/>
      <c r="AN61" s="83"/>
      <c r="AO61" s="83"/>
      <c r="AP61" s="83"/>
      <c r="AQ61" s="83"/>
      <c r="AR61" s="83"/>
      <c r="AS61" s="83"/>
      <c r="AT61" s="83"/>
      <c r="AU61" s="81"/>
      <c r="AV61" s="79">
        <v>9</v>
      </c>
      <c r="AW61" s="79">
        <v>1</v>
      </c>
      <c r="AX61" s="79">
        <v>0</v>
      </c>
      <c r="AY61" s="79">
        <v>4</v>
      </c>
      <c r="AZ61" s="79">
        <v>4</v>
      </c>
      <c r="BA61" s="79">
        <v>5</v>
      </c>
      <c r="BB61" s="79">
        <v>0</v>
      </c>
      <c r="BC61" s="79">
        <v>2</v>
      </c>
      <c r="BD61" s="79">
        <v>0</v>
      </c>
      <c r="BE61" s="79">
        <v>1</v>
      </c>
      <c r="BF61" s="79">
        <v>1</v>
      </c>
      <c r="BG61" s="79">
        <v>2</v>
      </c>
      <c r="BH61" s="79">
        <v>6</v>
      </c>
      <c r="BI61" s="79">
        <v>2</v>
      </c>
      <c r="BJ61" s="79">
        <v>3</v>
      </c>
      <c r="BK61" s="79">
        <v>14</v>
      </c>
      <c r="BL61" s="81"/>
      <c r="BM61" s="54">
        <v>21</v>
      </c>
      <c r="BN61" s="54">
        <v>8</v>
      </c>
      <c r="BO61" s="54">
        <v>14</v>
      </c>
      <c r="BP61" s="54">
        <v>11</v>
      </c>
      <c r="BQ61" s="81"/>
      <c r="BR61" s="81"/>
      <c r="BS61" s="81"/>
      <c r="BT61" s="81"/>
      <c r="BU61" s="81"/>
      <c r="BV61" s="81"/>
      <c r="BW61" s="81"/>
      <c r="BX61" s="81"/>
      <c r="BY61" s="81"/>
      <c r="BZ61" s="81"/>
    </row>
    <row r="62" spans="1:78" ht="12.9">
      <c r="A62" s="84" t="s">
        <v>320</v>
      </c>
      <c r="B62" s="85">
        <v>1</v>
      </c>
      <c r="C62" s="85">
        <v>35</v>
      </c>
      <c r="D62" s="85">
        <v>43</v>
      </c>
      <c r="E62" s="85" t="s">
        <v>321</v>
      </c>
      <c r="F62" s="24" t="s">
        <v>193</v>
      </c>
      <c r="G62" s="85">
        <v>1</v>
      </c>
      <c r="H62" s="86" t="s">
        <v>322</v>
      </c>
      <c r="I62" s="53">
        <v>48</v>
      </c>
      <c r="J62" s="53">
        <v>72</v>
      </c>
      <c r="K62" s="85">
        <v>2011</v>
      </c>
      <c r="L62" s="85" t="s">
        <v>291</v>
      </c>
      <c r="M62" s="85" t="s">
        <v>219</v>
      </c>
      <c r="N62" s="87">
        <v>0</v>
      </c>
      <c r="O62" s="87">
        <v>0</v>
      </c>
      <c r="P62" s="88">
        <v>0</v>
      </c>
      <c r="Q62" s="88">
        <v>0</v>
      </c>
      <c r="R62" s="11" t="b">
        <f t="shared" si="0"/>
        <v>0</v>
      </c>
      <c r="S62" s="11" t="s">
        <v>190</v>
      </c>
      <c r="T62" s="85">
        <v>1</v>
      </c>
      <c r="U62" s="89"/>
      <c r="V62" s="85">
        <v>0.71</v>
      </c>
      <c r="W62" s="89"/>
      <c r="X62" s="85">
        <v>0.71</v>
      </c>
      <c r="Y62" s="75" t="s">
        <v>202</v>
      </c>
      <c r="Z62" s="77"/>
      <c r="AA62" s="78">
        <v>28</v>
      </c>
      <c r="AB62" s="90">
        <v>27</v>
      </c>
      <c r="AC62" s="90">
        <v>37</v>
      </c>
      <c r="AD62" s="90">
        <v>14</v>
      </c>
      <c r="AE62" s="90">
        <v>106</v>
      </c>
      <c r="AF62" s="91"/>
      <c r="AG62" s="92"/>
      <c r="AH62" s="92"/>
      <c r="AI62" s="93"/>
      <c r="AJ62" s="94"/>
      <c r="AK62" s="92"/>
      <c r="AL62" s="90"/>
      <c r="AM62" s="90"/>
      <c r="AN62" s="94"/>
      <c r="AO62" s="94"/>
      <c r="AP62" s="94"/>
      <c r="AQ62" s="94"/>
      <c r="AR62" s="94"/>
      <c r="AS62" s="94"/>
      <c r="AT62" s="94"/>
      <c r="AU62" s="92"/>
      <c r="AV62" s="90">
        <v>4</v>
      </c>
      <c r="AW62" s="90">
        <v>6</v>
      </c>
      <c r="AX62" s="90">
        <v>0</v>
      </c>
      <c r="AY62" s="90">
        <v>3</v>
      </c>
      <c r="AZ62" s="90">
        <v>5</v>
      </c>
      <c r="BA62" s="90">
        <v>37</v>
      </c>
      <c r="BB62" s="90">
        <v>1</v>
      </c>
      <c r="BC62" s="90">
        <v>8</v>
      </c>
      <c r="BD62" s="90">
        <v>2</v>
      </c>
      <c r="BE62" s="90">
        <v>8</v>
      </c>
      <c r="BF62" s="90">
        <v>1</v>
      </c>
      <c r="BG62" s="90">
        <v>0</v>
      </c>
      <c r="BH62" s="90">
        <v>4</v>
      </c>
      <c r="BI62" s="90">
        <v>13</v>
      </c>
      <c r="BJ62" s="90">
        <v>2</v>
      </c>
      <c r="BK62" s="90">
        <v>12</v>
      </c>
      <c r="BL62" s="95"/>
      <c r="BM62" s="90">
        <v>64</v>
      </c>
      <c r="BN62" s="90">
        <v>11</v>
      </c>
      <c r="BO62" s="90">
        <v>12</v>
      </c>
      <c r="BP62" s="90">
        <v>19</v>
      </c>
      <c r="BQ62" s="92"/>
      <c r="BR62" s="92"/>
      <c r="BS62" s="92"/>
      <c r="BT62" s="92"/>
      <c r="BU62" s="92"/>
      <c r="BV62" s="92"/>
      <c r="BW62" s="92"/>
      <c r="BX62" s="92"/>
      <c r="BY62" s="92"/>
      <c r="BZ62" s="92"/>
    </row>
    <row r="63" spans="1:78" ht="12.9">
      <c r="A63" s="84" t="s">
        <v>320</v>
      </c>
      <c r="B63" s="85">
        <v>1</v>
      </c>
      <c r="C63" s="85">
        <v>35</v>
      </c>
      <c r="D63" s="85">
        <v>44</v>
      </c>
      <c r="E63" s="85" t="s">
        <v>323</v>
      </c>
      <c r="F63" s="24" t="s">
        <v>193</v>
      </c>
      <c r="G63" s="85">
        <v>1</v>
      </c>
      <c r="H63" s="86" t="s">
        <v>322</v>
      </c>
      <c r="I63" s="53">
        <v>48</v>
      </c>
      <c r="J63" s="53">
        <v>72</v>
      </c>
      <c r="K63" s="85">
        <v>2011</v>
      </c>
      <c r="L63" s="85" t="s">
        <v>324</v>
      </c>
      <c r="M63" s="85" t="s">
        <v>219</v>
      </c>
      <c r="N63" s="87">
        <v>0</v>
      </c>
      <c r="O63" s="87">
        <v>0</v>
      </c>
      <c r="P63" s="88">
        <v>1</v>
      </c>
      <c r="Q63" s="88">
        <v>0</v>
      </c>
      <c r="R63" s="11" t="b">
        <f t="shared" si="0"/>
        <v>1</v>
      </c>
      <c r="S63" s="11" t="s">
        <v>190</v>
      </c>
      <c r="T63" s="85">
        <v>1</v>
      </c>
      <c r="U63" s="89"/>
      <c r="V63" s="85">
        <v>0.71</v>
      </c>
      <c r="W63" s="89"/>
      <c r="X63" s="85">
        <v>0.71</v>
      </c>
      <c r="Y63" s="75" t="s">
        <v>202</v>
      </c>
      <c r="Z63" s="77"/>
      <c r="AA63" s="78">
        <v>10</v>
      </c>
      <c r="AB63" s="90">
        <v>10</v>
      </c>
      <c r="AC63" s="90">
        <v>8</v>
      </c>
      <c r="AD63" s="90">
        <v>3</v>
      </c>
      <c r="AE63" s="90">
        <v>31</v>
      </c>
      <c r="AF63" s="91"/>
      <c r="AG63" s="92"/>
      <c r="AH63" s="92"/>
      <c r="AI63" s="93"/>
      <c r="AJ63" s="94"/>
      <c r="AK63" s="92"/>
      <c r="AL63" s="94"/>
      <c r="AM63" s="94"/>
      <c r="AN63" s="94"/>
      <c r="AO63" s="94"/>
      <c r="AP63" s="94"/>
      <c r="AQ63" s="94"/>
      <c r="AR63" s="94"/>
      <c r="AS63" s="94"/>
      <c r="AT63" s="94"/>
      <c r="AU63" s="92"/>
      <c r="AV63" s="90">
        <v>0</v>
      </c>
      <c r="AW63" s="90">
        <v>0</v>
      </c>
      <c r="AX63" s="90">
        <v>1</v>
      </c>
      <c r="AY63" s="90">
        <v>0</v>
      </c>
      <c r="AZ63" s="90">
        <v>1</v>
      </c>
      <c r="BA63" s="90">
        <v>8</v>
      </c>
      <c r="BB63" s="90">
        <v>1</v>
      </c>
      <c r="BC63" s="90">
        <v>1</v>
      </c>
      <c r="BD63" s="90">
        <v>0</v>
      </c>
      <c r="BE63" s="90">
        <v>0</v>
      </c>
      <c r="BF63" s="90">
        <v>0</v>
      </c>
      <c r="BG63" s="90">
        <v>0</v>
      </c>
      <c r="BH63" s="90">
        <v>2</v>
      </c>
      <c r="BI63" s="90">
        <v>10</v>
      </c>
      <c r="BJ63" s="90">
        <v>1</v>
      </c>
      <c r="BK63" s="90">
        <v>6</v>
      </c>
      <c r="BL63" s="95"/>
      <c r="BM63" s="90">
        <v>11</v>
      </c>
      <c r="BN63" s="90">
        <v>1</v>
      </c>
      <c r="BO63" s="90">
        <v>6</v>
      </c>
      <c r="BP63" s="90">
        <v>13</v>
      </c>
      <c r="BQ63" s="92"/>
      <c r="BR63" s="92"/>
      <c r="BS63" s="92"/>
      <c r="BT63" s="92"/>
      <c r="BU63" s="92"/>
      <c r="BV63" s="92"/>
      <c r="BW63" s="92"/>
      <c r="BX63" s="92"/>
      <c r="BY63" s="92"/>
      <c r="BZ63" s="92"/>
    </row>
    <row r="64" spans="1:78" ht="12.9">
      <c r="A64" s="24" t="s">
        <v>325</v>
      </c>
      <c r="B64" s="24">
        <v>1</v>
      </c>
      <c r="C64" s="24">
        <v>36</v>
      </c>
      <c r="D64" s="24">
        <v>45</v>
      </c>
      <c r="E64" s="25" t="s">
        <v>326</v>
      </c>
      <c r="F64" s="24" t="s">
        <v>193</v>
      </c>
      <c r="G64" s="24">
        <v>1</v>
      </c>
      <c r="H64" s="86" t="s">
        <v>327</v>
      </c>
      <c r="I64" s="25">
        <v>12</v>
      </c>
      <c r="J64" s="25">
        <v>23</v>
      </c>
      <c r="K64" s="24">
        <v>1984</v>
      </c>
      <c r="L64" s="24" t="s">
        <v>297</v>
      </c>
      <c r="M64" s="64" t="s">
        <v>201</v>
      </c>
      <c r="N64" s="29">
        <v>0</v>
      </c>
      <c r="O64" s="29">
        <v>0</v>
      </c>
      <c r="P64" s="24">
        <v>0</v>
      </c>
      <c r="Q64" s="24">
        <v>0</v>
      </c>
      <c r="R64" s="11" t="b">
        <f t="shared" si="0"/>
        <v>0</v>
      </c>
      <c r="S64" s="40" t="s">
        <v>292</v>
      </c>
      <c r="T64" s="24">
        <v>0</v>
      </c>
      <c r="U64" s="24"/>
      <c r="V64" s="24"/>
      <c r="W64" s="24"/>
      <c r="X64" s="24"/>
      <c r="Y64" s="36"/>
      <c r="Z64" s="15"/>
      <c r="AA64" s="54"/>
      <c r="AB64" s="54"/>
      <c r="AC64" s="54"/>
      <c r="AD64" s="54"/>
      <c r="AE64" s="30"/>
      <c r="AF64" s="45"/>
      <c r="AG64" s="46"/>
      <c r="AH64" s="47"/>
      <c r="AI64" s="49"/>
      <c r="AJ64" s="44"/>
      <c r="AK64" s="47"/>
      <c r="AL64" s="15">
        <v>0</v>
      </c>
      <c r="AM64" s="15">
        <v>0</v>
      </c>
      <c r="AN64" s="15">
        <v>0</v>
      </c>
      <c r="AO64" s="15">
        <v>0</v>
      </c>
      <c r="AP64" s="15">
        <v>2</v>
      </c>
      <c r="AQ64" s="15">
        <v>1</v>
      </c>
      <c r="AR64" s="15">
        <v>0</v>
      </c>
      <c r="AS64" s="54">
        <v>2</v>
      </c>
      <c r="AT64" s="15">
        <v>2</v>
      </c>
      <c r="AU64" s="32"/>
      <c r="AV64" s="15"/>
      <c r="AW64" s="15"/>
      <c r="AX64" s="15"/>
      <c r="AY64" s="15"/>
      <c r="AZ64" s="15"/>
      <c r="BA64" s="15"/>
      <c r="BB64" s="15"/>
      <c r="BC64" s="15"/>
      <c r="BD64" s="15"/>
      <c r="BE64" s="15"/>
      <c r="BF64" s="15"/>
      <c r="BG64" s="15"/>
      <c r="BH64" s="15"/>
      <c r="BI64" s="15"/>
      <c r="BJ64" s="15"/>
      <c r="BK64" s="15"/>
      <c r="BL64" s="35"/>
      <c r="BM64" s="15"/>
      <c r="BN64" s="15"/>
      <c r="BO64" s="15"/>
      <c r="BP64" s="15"/>
      <c r="BQ64" s="35"/>
      <c r="BR64" s="35"/>
      <c r="BS64" s="35"/>
      <c r="BT64" s="35"/>
      <c r="BU64" s="35"/>
      <c r="BV64" s="35"/>
      <c r="BW64" s="35"/>
      <c r="BX64" s="35"/>
      <c r="BY64" s="35"/>
      <c r="BZ64" s="35"/>
    </row>
    <row r="65" spans="1:78" ht="12.9">
      <c r="A65" s="85" t="s">
        <v>328</v>
      </c>
      <c r="B65" s="85">
        <v>1</v>
      </c>
      <c r="C65" s="85">
        <v>37</v>
      </c>
      <c r="D65" s="85">
        <v>46</v>
      </c>
      <c r="E65" s="85" t="s">
        <v>198</v>
      </c>
      <c r="F65" s="85" t="s">
        <v>193</v>
      </c>
      <c r="G65" s="85">
        <v>1</v>
      </c>
      <c r="H65" s="88" t="s">
        <v>329</v>
      </c>
      <c r="I65" s="25">
        <v>12</v>
      </c>
      <c r="J65" s="25">
        <v>20</v>
      </c>
      <c r="K65" s="85">
        <v>1985</v>
      </c>
      <c r="L65" s="85" t="s">
        <v>188</v>
      </c>
      <c r="M65" s="64" t="s">
        <v>201</v>
      </c>
      <c r="N65" s="87">
        <v>1</v>
      </c>
      <c r="O65" s="87">
        <v>0</v>
      </c>
      <c r="P65" s="85">
        <v>0</v>
      </c>
      <c r="Q65" s="85">
        <v>0</v>
      </c>
      <c r="R65" s="11" t="b">
        <f t="shared" si="0"/>
        <v>0</v>
      </c>
      <c r="S65" s="85" t="s">
        <v>190</v>
      </c>
      <c r="T65" s="85">
        <v>1</v>
      </c>
      <c r="U65" s="85">
        <v>0.8</v>
      </c>
      <c r="V65" s="89"/>
      <c r="W65" s="85">
        <v>0.78</v>
      </c>
      <c r="X65" s="89"/>
      <c r="Y65" s="85" t="s">
        <v>240</v>
      </c>
      <c r="Z65" s="77"/>
      <c r="AA65" s="78">
        <v>3</v>
      </c>
      <c r="AB65" s="90">
        <v>5</v>
      </c>
      <c r="AC65" s="90">
        <v>23</v>
      </c>
      <c r="AD65" s="90">
        <v>7</v>
      </c>
      <c r="AE65" s="90">
        <v>38</v>
      </c>
      <c r="AF65" s="91"/>
      <c r="AG65" s="95">
        <v>0.13</v>
      </c>
      <c r="AH65" s="95">
        <v>0.13</v>
      </c>
      <c r="AI65" s="96">
        <v>0.38</v>
      </c>
      <c r="AJ65" s="90">
        <v>1</v>
      </c>
      <c r="AK65" s="92"/>
      <c r="AL65" s="90">
        <v>1</v>
      </c>
      <c r="AM65" s="90">
        <v>2</v>
      </c>
      <c r="AN65" s="90">
        <v>0</v>
      </c>
      <c r="AO65" s="90">
        <v>4</v>
      </c>
      <c r="AP65" s="90">
        <v>23</v>
      </c>
      <c r="AQ65" s="90">
        <v>3</v>
      </c>
      <c r="AR65" s="90">
        <v>1</v>
      </c>
      <c r="AS65" s="90">
        <v>3</v>
      </c>
      <c r="AT65" s="90">
        <v>1</v>
      </c>
      <c r="AU65" s="95"/>
      <c r="AV65" s="94"/>
      <c r="AW65" s="94"/>
      <c r="AX65" s="94"/>
      <c r="AY65" s="94"/>
      <c r="AZ65" s="94"/>
      <c r="BA65" s="94"/>
      <c r="BB65" s="94"/>
      <c r="BC65" s="94"/>
      <c r="BD65" s="94"/>
      <c r="BE65" s="94"/>
      <c r="BF65" s="94"/>
      <c r="BG65" s="94"/>
      <c r="BH65" s="94"/>
      <c r="BI65" s="94"/>
      <c r="BJ65" s="94"/>
      <c r="BK65" s="94"/>
      <c r="BL65" s="92"/>
      <c r="BM65" s="94"/>
      <c r="BN65" s="94"/>
      <c r="BO65" s="94"/>
      <c r="BP65" s="94"/>
      <c r="BQ65" s="92"/>
      <c r="BR65" s="92"/>
      <c r="BS65" s="92"/>
      <c r="BT65" s="92"/>
      <c r="BU65" s="92"/>
      <c r="BV65" s="92"/>
      <c r="BW65" s="92"/>
      <c r="BX65" s="92"/>
      <c r="BY65" s="92"/>
      <c r="BZ65" s="92"/>
    </row>
    <row r="66" spans="1:78" ht="18.75" customHeight="1">
      <c r="A66" s="85" t="s">
        <v>330</v>
      </c>
      <c r="B66" s="85">
        <v>1</v>
      </c>
      <c r="C66" s="85">
        <v>38</v>
      </c>
      <c r="D66" s="85">
        <v>47</v>
      </c>
      <c r="E66" s="85" t="s">
        <v>198</v>
      </c>
      <c r="F66" s="85" t="s">
        <v>193</v>
      </c>
      <c r="G66" s="85">
        <v>1</v>
      </c>
      <c r="H66" s="88" t="s">
        <v>331</v>
      </c>
      <c r="I66" s="25">
        <v>12.5</v>
      </c>
      <c r="J66" s="25">
        <v>19.5</v>
      </c>
      <c r="K66" s="85">
        <v>1982</v>
      </c>
      <c r="L66" s="85" t="s">
        <v>188</v>
      </c>
      <c r="M66" s="64" t="s">
        <v>201</v>
      </c>
      <c r="N66" s="87">
        <v>1</v>
      </c>
      <c r="O66" s="87">
        <v>0</v>
      </c>
      <c r="P66" s="85">
        <v>0</v>
      </c>
      <c r="Q66" s="85">
        <v>0</v>
      </c>
      <c r="R66" s="11" t="b">
        <f t="shared" si="0"/>
        <v>0</v>
      </c>
      <c r="S66" s="85" t="s">
        <v>190</v>
      </c>
      <c r="T66" s="85">
        <v>1</v>
      </c>
      <c r="U66" s="85">
        <v>0.9</v>
      </c>
      <c r="V66" s="89"/>
      <c r="W66" s="85">
        <v>0.98</v>
      </c>
      <c r="X66" s="89"/>
      <c r="Y66" s="85" t="s">
        <v>240</v>
      </c>
      <c r="Z66" s="77"/>
      <c r="AA66" s="78">
        <v>4</v>
      </c>
      <c r="AB66" s="90">
        <v>9</v>
      </c>
      <c r="AC66" s="90">
        <v>20</v>
      </c>
      <c r="AD66" s="90">
        <v>10</v>
      </c>
      <c r="AE66" s="90">
        <v>43</v>
      </c>
      <c r="AF66" s="91"/>
      <c r="AG66" s="95">
        <v>-0.03</v>
      </c>
      <c r="AH66" s="92"/>
      <c r="AI66" s="93"/>
      <c r="AJ66" s="94"/>
      <c r="AK66" s="92"/>
      <c r="AL66" s="90">
        <v>1</v>
      </c>
      <c r="AM66" s="90">
        <v>5</v>
      </c>
      <c r="AN66" s="90">
        <v>1</v>
      </c>
      <c r="AO66" s="90">
        <v>5</v>
      </c>
      <c r="AP66" s="90">
        <v>20</v>
      </c>
      <c r="AQ66" s="90">
        <v>5</v>
      </c>
      <c r="AR66" s="90">
        <v>0</v>
      </c>
      <c r="AS66" s="90">
        <v>4</v>
      </c>
      <c r="AT66" s="90">
        <v>2</v>
      </c>
      <c r="AU66" s="92"/>
      <c r="AV66" s="94"/>
      <c r="AW66" s="94"/>
      <c r="AX66" s="94"/>
      <c r="AY66" s="94"/>
      <c r="AZ66" s="94"/>
      <c r="BA66" s="94"/>
      <c r="BB66" s="94"/>
      <c r="BC66" s="94"/>
      <c r="BD66" s="94"/>
      <c r="BE66" s="94"/>
      <c r="BF66" s="94"/>
      <c r="BG66" s="94"/>
      <c r="BH66" s="94"/>
      <c r="BI66" s="94"/>
      <c r="BJ66" s="94"/>
      <c r="BK66" s="94"/>
      <c r="BL66" s="92"/>
      <c r="BM66" s="94"/>
      <c r="BN66" s="94"/>
      <c r="BO66" s="94"/>
      <c r="BP66" s="94"/>
      <c r="BQ66" s="92"/>
      <c r="BR66" s="92"/>
      <c r="BS66" s="92"/>
      <c r="BT66" s="92"/>
      <c r="BU66" s="92"/>
      <c r="BV66" s="92"/>
      <c r="BW66" s="92"/>
      <c r="BX66" s="92"/>
      <c r="BY66" s="92"/>
      <c r="BZ66" s="92"/>
    </row>
    <row r="67" spans="1:78" ht="12.9">
      <c r="A67" s="85" t="s">
        <v>332</v>
      </c>
      <c r="B67" s="85">
        <v>1</v>
      </c>
      <c r="C67" s="85">
        <v>39</v>
      </c>
      <c r="D67" s="85">
        <v>48</v>
      </c>
      <c r="E67" s="85" t="s">
        <v>231</v>
      </c>
      <c r="F67" s="24" t="s">
        <v>193</v>
      </c>
      <c r="G67" s="85">
        <v>1</v>
      </c>
      <c r="H67" s="86" t="s">
        <v>333</v>
      </c>
      <c r="I67" s="25">
        <v>12</v>
      </c>
      <c r="J67" s="25">
        <v>20</v>
      </c>
      <c r="K67" s="85">
        <v>1984</v>
      </c>
      <c r="L67" s="85" t="s">
        <v>188</v>
      </c>
      <c r="M67" s="64" t="s">
        <v>201</v>
      </c>
      <c r="N67" s="87">
        <v>1</v>
      </c>
      <c r="O67" s="87">
        <v>0</v>
      </c>
      <c r="P67" s="97">
        <v>0</v>
      </c>
      <c r="Q67" s="85">
        <v>0</v>
      </c>
      <c r="R67" s="11" t="b">
        <f t="shared" si="0"/>
        <v>0</v>
      </c>
      <c r="S67" s="85" t="s">
        <v>190</v>
      </c>
      <c r="T67" s="85">
        <v>1</v>
      </c>
      <c r="U67" s="85">
        <v>0.95</v>
      </c>
      <c r="V67" s="89"/>
      <c r="W67" s="85">
        <v>0.94</v>
      </c>
      <c r="X67" s="89"/>
      <c r="Y67" s="85" t="s">
        <v>240</v>
      </c>
      <c r="Z67" s="77"/>
      <c r="AA67" s="77">
        <v>2</v>
      </c>
      <c r="AB67" s="94">
        <v>6</v>
      </c>
      <c r="AC67" s="94">
        <v>44</v>
      </c>
      <c r="AD67" s="94">
        <v>7</v>
      </c>
      <c r="AE67" s="90">
        <v>59</v>
      </c>
      <c r="AF67" s="91"/>
      <c r="AG67" s="95">
        <v>0.13</v>
      </c>
      <c r="AH67" s="92"/>
      <c r="AI67" s="93"/>
      <c r="AJ67" s="94"/>
      <c r="AK67" s="92"/>
      <c r="AL67" s="90">
        <v>2</v>
      </c>
      <c r="AM67" s="90">
        <v>4</v>
      </c>
      <c r="AN67" s="90">
        <v>0</v>
      </c>
      <c r="AO67" s="90">
        <v>2</v>
      </c>
      <c r="AP67" s="90">
        <v>44</v>
      </c>
      <c r="AQ67" s="90">
        <v>5</v>
      </c>
      <c r="AR67" s="90">
        <v>0</v>
      </c>
      <c r="AS67" s="90">
        <v>2</v>
      </c>
      <c r="AT67" s="90">
        <v>0</v>
      </c>
      <c r="AU67" s="92"/>
      <c r="AV67" s="94"/>
      <c r="AW67" s="94"/>
      <c r="AX67" s="94"/>
      <c r="AY67" s="94"/>
      <c r="AZ67" s="94"/>
      <c r="BA67" s="94"/>
      <c r="BB67" s="94"/>
      <c r="BC67" s="94"/>
      <c r="BD67" s="94"/>
      <c r="BE67" s="94"/>
      <c r="BF67" s="94"/>
      <c r="BG67" s="94"/>
      <c r="BH67" s="94"/>
      <c r="BI67" s="94"/>
      <c r="BJ67" s="94"/>
      <c r="BK67" s="94"/>
      <c r="BL67" s="92"/>
      <c r="BM67" s="94"/>
      <c r="BN67" s="94"/>
      <c r="BO67" s="94"/>
      <c r="BP67" s="94"/>
      <c r="BQ67" s="92"/>
      <c r="BR67" s="92"/>
      <c r="BS67" s="92"/>
      <c r="BT67" s="92"/>
      <c r="BU67" s="92"/>
      <c r="BV67" s="92"/>
      <c r="BW67" s="92"/>
      <c r="BX67" s="92"/>
      <c r="BY67" s="92"/>
      <c r="BZ67" s="92"/>
    </row>
    <row r="68" spans="1:78" ht="12.9">
      <c r="A68" s="85" t="s">
        <v>332</v>
      </c>
      <c r="B68" s="85">
        <v>1</v>
      </c>
      <c r="C68" s="85">
        <v>39</v>
      </c>
      <c r="D68" s="85">
        <v>48</v>
      </c>
      <c r="E68" s="85" t="s">
        <v>228</v>
      </c>
      <c r="F68" s="40" t="s">
        <v>229</v>
      </c>
      <c r="G68" s="85">
        <v>2</v>
      </c>
      <c r="H68" s="86" t="s">
        <v>333</v>
      </c>
      <c r="I68" s="25">
        <v>12</v>
      </c>
      <c r="J68" s="25">
        <v>20</v>
      </c>
      <c r="K68" s="85">
        <v>1984</v>
      </c>
      <c r="L68" s="85" t="s">
        <v>188</v>
      </c>
      <c r="M68" s="64" t="s">
        <v>201</v>
      </c>
      <c r="N68" s="87">
        <v>1</v>
      </c>
      <c r="O68" s="87">
        <v>0</v>
      </c>
      <c r="P68" s="97">
        <v>0</v>
      </c>
      <c r="Q68" s="85">
        <v>0</v>
      </c>
      <c r="R68" s="11" t="b">
        <f t="shared" si="0"/>
        <v>0</v>
      </c>
      <c r="S68" s="85" t="s">
        <v>190</v>
      </c>
      <c r="T68" s="85">
        <v>1</v>
      </c>
      <c r="U68" s="85">
        <v>0.95</v>
      </c>
      <c r="V68" s="89"/>
      <c r="W68" s="85">
        <v>0.94</v>
      </c>
      <c r="X68" s="89"/>
      <c r="Y68" s="85" t="s">
        <v>240</v>
      </c>
      <c r="Z68" s="77"/>
      <c r="AA68" s="77">
        <v>6</v>
      </c>
      <c r="AB68" s="94">
        <v>11</v>
      </c>
      <c r="AC68" s="94">
        <v>28</v>
      </c>
      <c r="AD68" s="94">
        <v>8</v>
      </c>
      <c r="AE68" s="90">
        <v>53</v>
      </c>
      <c r="AF68" s="91"/>
      <c r="AG68" s="95">
        <v>0.14000000000000001</v>
      </c>
      <c r="AH68" s="92"/>
      <c r="AI68" s="93"/>
      <c r="AJ68" s="94"/>
      <c r="AK68" s="92"/>
      <c r="AL68" s="90">
        <v>3</v>
      </c>
      <c r="AM68" s="90">
        <v>10</v>
      </c>
      <c r="AN68" s="90">
        <v>1</v>
      </c>
      <c r="AO68" s="90">
        <v>6</v>
      </c>
      <c r="AP68" s="90">
        <v>28</v>
      </c>
      <c r="AQ68" s="90">
        <v>2</v>
      </c>
      <c r="AR68" s="90">
        <v>0</v>
      </c>
      <c r="AS68" s="90">
        <v>1</v>
      </c>
      <c r="AT68" s="90">
        <v>2</v>
      </c>
      <c r="AU68" s="92"/>
      <c r="AV68" s="94"/>
      <c r="AW68" s="94"/>
      <c r="AX68" s="94"/>
      <c r="AY68" s="94"/>
      <c r="AZ68" s="94"/>
      <c r="BA68" s="94"/>
      <c r="BB68" s="94"/>
      <c r="BC68" s="94"/>
      <c r="BD68" s="94"/>
      <c r="BE68" s="94"/>
      <c r="BF68" s="94"/>
      <c r="BG68" s="94"/>
      <c r="BH68" s="94"/>
      <c r="BI68" s="94"/>
      <c r="BJ68" s="94"/>
      <c r="BK68" s="94"/>
      <c r="BL68" s="92"/>
      <c r="BM68" s="94"/>
      <c r="BN68" s="94"/>
      <c r="BO68" s="94"/>
      <c r="BP68" s="94"/>
      <c r="BQ68" s="92"/>
      <c r="BR68" s="92"/>
      <c r="BS68" s="92"/>
      <c r="BT68" s="92"/>
      <c r="BU68" s="92"/>
      <c r="BV68" s="92"/>
      <c r="BW68" s="92"/>
      <c r="BX68" s="92"/>
      <c r="BY68" s="92"/>
      <c r="BZ68" s="92"/>
    </row>
    <row r="69" spans="1:78" ht="12.9">
      <c r="A69" s="85" t="s">
        <v>334</v>
      </c>
      <c r="B69" s="85">
        <v>1</v>
      </c>
      <c r="C69" s="85">
        <v>40</v>
      </c>
      <c r="D69" s="85">
        <v>49</v>
      </c>
      <c r="E69" s="85" t="s">
        <v>335</v>
      </c>
      <c r="F69" s="40" t="s">
        <v>229</v>
      </c>
      <c r="G69" s="85">
        <v>1</v>
      </c>
      <c r="H69" s="86" t="s">
        <v>336</v>
      </c>
      <c r="I69" s="25">
        <v>13</v>
      </c>
      <c r="J69" s="25">
        <v>20</v>
      </c>
      <c r="K69" s="85">
        <v>1996</v>
      </c>
      <c r="L69" s="85" t="s">
        <v>188</v>
      </c>
      <c r="M69" s="64" t="s">
        <v>201</v>
      </c>
      <c r="N69" s="87">
        <v>1</v>
      </c>
      <c r="O69" s="87">
        <v>0</v>
      </c>
      <c r="P69" s="85">
        <v>0</v>
      </c>
      <c r="Q69" s="85">
        <v>0</v>
      </c>
      <c r="R69" s="11" t="b">
        <f t="shared" si="0"/>
        <v>0</v>
      </c>
      <c r="S69" s="85" t="s">
        <v>190</v>
      </c>
      <c r="T69" s="85">
        <v>1</v>
      </c>
      <c r="U69" s="89"/>
      <c r="V69" s="85">
        <v>0.82</v>
      </c>
      <c r="W69" s="89"/>
      <c r="X69" s="85">
        <v>0.92</v>
      </c>
      <c r="Y69" s="85" t="s">
        <v>240</v>
      </c>
      <c r="Z69" s="77"/>
      <c r="AA69" s="78">
        <v>16</v>
      </c>
      <c r="AB69" s="90">
        <v>31</v>
      </c>
      <c r="AC69" s="90">
        <v>44</v>
      </c>
      <c r="AD69" s="90">
        <v>29</v>
      </c>
      <c r="AE69" s="90">
        <v>120</v>
      </c>
      <c r="AF69" s="91"/>
      <c r="AG69" s="95">
        <v>-0.06</v>
      </c>
      <c r="AH69" s="92"/>
      <c r="AI69" s="93"/>
      <c r="AJ69" s="94"/>
      <c r="AK69" s="92"/>
      <c r="AL69" s="90">
        <v>7</v>
      </c>
      <c r="AM69" s="90">
        <v>17</v>
      </c>
      <c r="AN69" s="90">
        <v>1</v>
      </c>
      <c r="AO69" s="90">
        <v>19</v>
      </c>
      <c r="AP69" s="90">
        <v>44</v>
      </c>
      <c r="AQ69" s="90">
        <v>10</v>
      </c>
      <c r="AR69" s="90">
        <v>4</v>
      </c>
      <c r="AS69" s="90">
        <v>14</v>
      </c>
      <c r="AT69" s="90">
        <v>4</v>
      </c>
      <c r="AU69" s="95"/>
      <c r="AV69" s="94"/>
      <c r="AW69" s="94"/>
      <c r="AX69" s="94"/>
      <c r="AY69" s="94"/>
      <c r="AZ69" s="94"/>
      <c r="BA69" s="94"/>
      <c r="BB69" s="94"/>
      <c r="BC69" s="94"/>
      <c r="BD69" s="94"/>
      <c r="BE69" s="94"/>
      <c r="BF69" s="94"/>
      <c r="BG69" s="94"/>
      <c r="BH69" s="94"/>
      <c r="BI69" s="94"/>
      <c r="BJ69" s="94"/>
      <c r="BK69" s="94"/>
      <c r="BL69" s="92"/>
      <c r="BM69" s="94"/>
      <c r="BN69" s="94"/>
      <c r="BO69" s="94"/>
      <c r="BP69" s="94"/>
      <c r="BQ69" s="92"/>
      <c r="BR69" s="92"/>
      <c r="BS69" s="92"/>
      <c r="BT69" s="92"/>
      <c r="BU69" s="92"/>
      <c r="BV69" s="92"/>
      <c r="BW69" s="92"/>
      <c r="BX69" s="92"/>
      <c r="BY69" s="92"/>
      <c r="BZ69" s="92"/>
    </row>
    <row r="70" spans="1:78" ht="12.9">
      <c r="A70" s="85" t="s">
        <v>334</v>
      </c>
      <c r="B70" s="85">
        <v>1</v>
      </c>
      <c r="C70" s="85">
        <v>40</v>
      </c>
      <c r="D70" s="85">
        <v>49</v>
      </c>
      <c r="E70" s="85" t="s">
        <v>337</v>
      </c>
      <c r="F70" s="24" t="s">
        <v>193</v>
      </c>
      <c r="G70" s="85">
        <v>2</v>
      </c>
      <c r="H70" s="86" t="s">
        <v>336</v>
      </c>
      <c r="I70" s="25">
        <v>12</v>
      </c>
      <c r="J70" s="25">
        <v>18</v>
      </c>
      <c r="K70" s="85">
        <v>1996</v>
      </c>
      <c r="L70" s="85" t="s">
        <v>188</v>
      </c>
      <c r="M70" s="64" t="s">
        <v>201</v>
      </c>
      <c r="N70" s="87">
        <v>1</v>
      </c>
      <c r="O70" s="87">
        <v>0</v>
      </c>
      <c r="P70" s="85">
        <v>0</v>
      </c>
      <c r="Q70" s="85">
        <v>0</v>
      </c>
      <c r="R70" s="11" t="b">
        <f t="shared" si="0"/>
        <v>0</v>
      </c>
      <c r="S70" s="85" t="s">
        <v>190</v>
      </c>
      <c r="T70" s="85">
        <v>1</v>
      </c>
      <c r="U70" s="85"/>
      <c r="V70" s="85">
        <v>0.82</v>
      </c>
      <c r="W70" s="85"/>
      <c r="X70" s="85">
        <v>0.92</v>
      </c>
      <c r="Y70" s="85" t="s">
        <v>240</v>
      </c>
      <c r="Z70" s="77"/>
      <c r="AA70" s="78">
        <v>18</v>
      </c>
      <c r="AB70" s="90">
        <v>32</v>
      </c>
      <c r="AC70" s="90">
        <v>51</v>
      </c>
      <c r="AD70" s="90">
        <v>24</v>
      </c>
      <c r="AE70" s="90">
        <v>125</v>
      </c>
      <c r="AF70" s="91"/>
      <c r="AG70" s="95">
        <v>0.04</v>
      </c>
      <c r="AH70" s="95">
        <v>0.04</v>
      </c>
      <c r="AI70" s="93"/>
      <c r="AJ70" s="94"/>
      <c r="AK70" s="92"/>
      <c r="AL70" s="90">
        <v>11</v>
      </c>
      <c r="AM70" s="90">
        <v>16</v>
      </c>
      <c r="AN70" s="90">
        <v>4</v>
      </c>
      <c r="AO70" s="90">
        <v>13</v>
      </c>
      <c r="AP70" s="90">
        <v>51</v>
      </c>
      <c r="AQ70" s="90">
        <v>11</v>
      </c>
      <c r="AR70" s="90">
        <v>0</v>
      </c>
      <c r="AS70" s="90">
        <v>16</v>
      </c>
      <c r="AT70" s="90">
        <v>3</v>
      </c>
      <c r="AU70" s="92"/>
      <c r="AV70" s="94"/>
      <c r="AW70" s="94"/>
      <c r="AX70" s="94"/>
      <c r="AY70" s="94"/>
      <c r="AZ70" s="94"/>
      <c r="BA70" s="94"/>
      <c r="BB70" s="94"/>
      <c r="BC70" s="94"/>
      <c r="BD70" s="94"/>
      <c r="BE70" s="94"/>
      <c r="BF70" s="94"/>
      <c r="BG70" s="94"/>
      <c r="BH70" s="94"/>
      <c r="BI70" s="94"/>
      <c r="BJ70" s="94"/>
      <c r="BK70" s="94"/>
      <c r="BL70" s="92"/>
      <c r="BM70" s="94"/>
      <c r="BN70" s="94"/>
      <c r="BO70" s="94"/>
      <c r="BP70" s="94"/>
      <c r="BQ70" s="92"/>
      <c r="BR70" s="92"/>
      <c r="BS70" s="92"/>
      <c r="BT70" s="92"/>
      <c r="BU70" s="92"/>
      <c r="BV70" s="92"/>
      <c r="BW70" s="92"/>
      <c r="BX70" s="92"/>
      <c r="BY70" s="92"/>
      <c r="BZ70" s="92"/>
    </row>
    <row r="71" spans="1:78" ht="12.9">
      <c r="A71" s="85" t="s">
        <v>334</v>
      </c>
      <c r="B71" s="85">
        <v>1</v>
      </c>
      <c r="C71" s="85">
        <v>40</v>
      </c>
      <c r="D71" s="85">
        <v>50</v>
      </c>
      <c r="E71" s="85" t="s">
        <v>338</v>
      </c>
      <c r="F71" s="24" t="s">
        <v>193</v>
      </c>
      <c r="G71" s="85">
        <v>1</v>
      </c>
      <c r="H71" s="86" t="s">
        <v>336</v>
      </c>
      <c r="I71" s="25">
        <v>12</v>
      </c>
      <c r="J71" s="25">
        <v>18</v>
      </c>
      <c r="K71" s="85">
        <v>1996</v>
      </c>
      <c r="L71" s="85" t="s">
        <v>188</v>
      </c>
      <c r="M71" s="64" t="s">
        <v>201</v>
      </c>
      <c r="N71" s="87">
        <v>1</v>
      </c>
      <c r="O71" s="87">
        <v>0</v>
      </c>
      <c r="P71" s="85">
        <v>0</v>
      </c>
      <c r="Q71" s="85">
        <v>0</v>
      </c>
      <c r="R71" s="11" t="b">
        <f t="shared" si="0"/>
        <v>0</v>
      </c>
      <c r="S71" s="85" t="s">
        <v>190</v>
      </c>
      <c r="T71" s="85">
        <v>1</v>
      </c>
      <c r="U71" s="85"/>
      <c r="V71" s="85">
        <v>0.92</v>
      </c>
      <c r="W71" s="85"/>
      <c r="X71" s="85">
        <v>0.92</v>
      </c>
      <c r="Y71" s="85" t="s">
        <v>240</v>
      </c>
      <c r="Z71" s="77"/>
      <c r="AA71" s="78">
        <v>15</v>
      </c>
      <c r="AB71" s="90">
        <v>20</v>
      </c>
      <c r="AC71" s="90">
        <v>30</v>
      </c>
      <c r="AD71" s="90">
        <v>25</v>
      </c>
      <c r="AE71" s="90">
        <v>90</v>
      </c>
      <c r="AF71" s="91"/>
      <c r="AG71" s="95">
        <v>-0.03</v>
      </c>
      <c r="AH71" s="95">
        <v>-0.03</v>
      </c>
      <c r="AI71" s="93"/>
      <c r="AJ71" s="94"/>
      <c r="AK71" s="92"/>
      <c r="AL71" s="90">
        <v>10</v>
      </c>
      <c r="AM71" s="90">
        <v>15</v>
      </c>
      <c r="AN71" s="90">
        <v>2</v>
      </c>
      <c r="AO71" s="90">
        <v>22</v>
      </c>
      <c r="AP71" s="90">
        <v>30</v>
      </c>
      <c r="AQ71" s="90">
        <v>3</v>
      </c>
      <c r="AR71" s="90">
        <v>2</v>
      </c>
      <c r="AS71" s="90">
        <v>5</v>
      </c>
      <c r="AT71" s="90">
        <v>1</v>
      </c>
      <c r="AU71" s="92"/>
      <c r="AV71" s="94"/>
      <c r="AW71" s="94"/>
      <c r="AX71" s="94"/>
      <c r="AY71" s="94"/>
      <c r="AZ71" s="94"/>
      <c r="BA71" s="94"/>
      <c r="BB71" s="94"/>
      <c r="BC71" s="94"/>
      <c r="BD71" s="94"/>
      <c r="BE71" s="94"/>
      <c r="BF71" s="94"/>
      <c r="BG71" s="94"/>
      <c r="BH71" s="94"/>
      <c r="BI71" s="94"/>
      <c r="BJ71" s="94"/>
      <c r="BK71" s="94"/>
      <c r="BL71" s="92"/>
      <c r="BM71" s="94"/>
      <c r="BN71" s="94"/>
      <c r="BO71" s="94"/>
      <c r="BP71" s="94"/>
      <c r="BQ71" s="92"/>
      <c r="BR71" s="92"/>
      <c r="BS71" s="92"/>
      <c r="BT71" s="92"/>
      <c r="BU71" s="92"/>
      <c r="BV71" s="92"/>
      <c r="BW71" s="92"/>
      <c r="BX71" s="92"/>
      <c r="BY71" s="92"/>
      <c r="BZ71" s="92"/>
    </row>
    <row r="72" spans="1:78" ht="12.9">
      <c r="A72" s="26" t="s">
        <v>339</v>
      </c>
      <c r="B72" s="85">
        <v>1</v>
      </c>
      <c r="C72" s="85">
        <v>41</v>
      </c>
      <c r="D72" s="85">
        <v>51</v>
      </c>
      <c r="E72" s="85" t="s">
        <v>231</v>
      </c>
      <c r="F72" s="24" t="s">
        <v>193</v>
      </c>
      <c r="G72" s="85">
        <v>1</v>
      </c>
      <c r="H72" s="26" t="s">
        <v>340</v>
      </c>
      <c r="I72" s="25">
        <v>12</v>
      </c>
      <c r="J72" s="25">
        <v>20</v>
      </c>
      <c r="K72" s="85">
        <v>1981</v>
      </c>
      <c r="L72" s="85" t="s">
        <v>188</v>
      </c>
      <c r="M72" s="64" t="s">
        <v>201</v>
      </c>
      <c r="N72" s="87">
        <v>1</v>
      </c>
      <c r="O72" s="87">
        <v>0</v>
      </c>
      <c r="P72" s="85">
        <v>0</v>
      </c>
      <c r="Q72" s="85">
        <v>0</v>
      </c>
      <c r="R72" s="11" t="b">
        <f t="shared" si="0"/>
        <v>0</v>
      </c>
      <c r="S72" s="85" t="s">
        <v>190</v>
      </c>
      <c r="T72" s="85">
        <v>1</v>
      </c>
      <c r="U72" s="85">
        <v>0.94</v>
      </c>
      <c r="V72" s="89"/>
      <c r="W72" s="85">
        <v>0.94</v>
      </c>
      <c r="X72" s="89"/>
      <c r="Y72" s="85" t="s">
        <v>240</v>
      </c>
      <c r="Z72" s="77"/>
      <c r="AA72" s="77"/>
      <c r="AB72" s="94"/>
      <c r="AC72" s="94"/>
      <c r="AD72" s="94"/>
      <c r="AE72" s="90">
        <v>15</v>
      </c>
      <c r="AF72" s="91"/>
      <c r="AG72" s="95">
        <v>0.46</v>
      </c>
      <c r="AH72" s="95">
        <v>0.46</v>
      </c>
      <c r="AI72" s="93"/>
      <c r="AJ72" s="94"/>
      <c r="AK72" s="92"/>
      <c r="AL72" s="94"/>
      <c r="AM72" s="94"/>
      <c r="AN72" s="94"/>
      <c r="AO72" s="94"/>
      <c r="AP72" s="94"/>
      <c r="AQ72" s="94"/>
      <c r="AR72" s="94"/>
      <c r="AS72" s="94"/>
      <c r="AT72" s="94"/>
      <c r="AU72" s="92"/>
      <c r="AV72" s="94"/>
      <c r="AW72" s="94"/>
      <c r="AX72" s="94"/>
      <c r="AY72" s="94"/>
      <c r="AZ72" s="94"/>
      <c r="BA72" s="94"/>
      <c r="BB72" s="94"/>
      <c r="BC72" s="94"/>
      <c r="BD72" s="94"/>
      <c r="BE72" s="94"/>
      <c r="BF72" s="94"/>
      <c r="BG72" s="94"/>
      <c r="BH72" s="94"/>
      <c r="BI72" s="94"/>
      <c r="BJ72" s="94"/>
      <c r="BK72" s="94"/>
      <c r="BL72" s="92"/>
      <c r="BM72" s="94"/>
      <c r="BN72" s="94"/>
      <c r="BO72" s="94"/>
      <c r="BP72" s="94"/>
      <c r="BQ72" s="92"/>
      <c r="BR72" s="92"/>
      <c r="BS72" s="92"/>
      <c r="BT72" s="92"/>
      <c r="BU72" s="92"/>
      <c r="BV72" s="92"/>
      <c r="BW72" s="92"/>
      <c r="BX72" s="92"/>
      <c r="BY72" s="92"/>
      <c r="BZ72" s="92"/>
    </row>
    <row r="73" spans="1:78" ht="12.9">
      <c r="A73" s="26" t="s">
        <v>339</v>
      </c>
      <c r="B73" s="85">
        <v>1</v>
      </c>
      <c r="C73" s="85">
        <v>41</v>
      </c>
      <c r="D73" s="85">
        <v>51</v>
      </c>
      <c r="E73" s="85" t="s">
        <v>228</v>
      </c>
      <c r="F73" s="40" t="s">
        <v>229</v>
      </c>
      <c r="G73" s="85">
        <v>2</v>
      </c>
      <c r="H73" s="26" t="s">
        <v>340</v>
      </c>
      <c r="I73" s="25">
        <v>12</v>
      </c>
      <c r="J73" s="25">
        <v>20</v>
      </c>
      <c r="K73" s="85">
        <v>1981</v>
      </c>
      <c r="L73" s="85" t="s">
        <v>188</v>
      </c>
      <c r="M73" s="64" t="s">
        <v>201</v>
      </c>
      <c r="N73" s="87">
        <v>1</v>
      </c>
      <c r="O73" s="87">
        <v>0</v>
      </c>
      <c r="P73" s="85">
        <v>0</v>
      </c>
      <c r="Q73" s="85">
        <v>0</v>
      </c>
      <c r="R73" s="11" t="b">
        <f t="shared" si="0"/>
        <v>0</v>
      </c>
      <c r="S73" s="85" t="s">
        <v>190</v>
      </c>
      <c r="T73" s="85">
        <v>1</v>
      </c>
      <c r="U73" s="85">
        <v>0.94</v>
      </c>
      <c r="V73" s="89"/>
      <c r="W73" s="85">
        <v>0.94</v>
      </c>
      <c r="X73" s="89"/>
      <c r="Y73" s="85" t="s">
        <v>240</v>
      </c>
      <c r="Z73" s="77"/>
      <c r="AA73" s="77"/>
      <c r="AB73" s="94"/>
      <c r="AC73" s="94"/>
      <c r="AD73" s="94"/>
      <c r="AE73" s="90">
        <v>15</v>
      </c>
      <c r="AF73" s="91"/>
      <c r="AG73" s="95">
        <v>0.73</v>
      </c>
      <c r="AH73" s="92"/>
      <c r="AI73" s="93"/>
      <c r="AJ73" s="94"/>
      <c r="AK73" s="92"/>
      <c r="AL73" s="94"/>
      <c r="AM73" s="94"/>
      <c r="AN73" s="94"/>
      <c r="AO73" s="94"/>
      <c r="AP73" s="94"/>
      <c r="AQ73" s="94"/>
      <c r="AR73" s="94"/>
      <c r="AS73" s="94"/>
      <c r="AT73" s="94"/>
      <c r="AU73" s="92"/>
      <c r="AV73" s="94"/>
      <c r="AW73" s="94"/>
      <c r="AX73" s="94"/>
      <c r="AY73" s="94"/>
      <c r="AZ73" s="94"/>
      <c r="BA73" s="94"/>
      <c r="BB73" s="94"/>
      <c r="BC73" s="94"/>
      <c r="BD73" s="94"/>
      <c r="BE73" s="94"/>
      <c r="BF73" s="94"/>
      <c r="BG73" s="94"/>
      <c r="BH73" s="94"/>
      <c r="BI73" s="94"/>
      <c r="BJ73" s="94"/>
      <c r="BK73" s="94"/>
      <c r="BL73" s="92"/>
      <c r="BM73" s="94"/>
      <c r="BN73" s="94"/>
      <c r="BO73" s="94"/>
      <c r="BP73" s="94"/>
      <c r="BQ73" s="92"/>
      <c r="BR73" s="92"/>
      <c r="BS73" s="92"/>
      <c r="BT73" s="92"/>
      <c r="BU73" s="92"/>
      <c r="BV73" s="92"/>
      <c r="BW73" s="92"/>
      <c r="BX73" s="92"/>
      <c r="BY73" s="92"/>
      <c r="BZ73" s="92"/>
    </row>
    <row r="74" spans="1:78" ht="12.9">
      <c r="A74" s="85" t="s">
        <v>341</v>
      </c>
      <c r="B74" s="85">
        <v>1</v>
      </c>
      <c r="C74" s="85">
        <v>42</v>
      </c>
      <c r="D74" s="85">
        <v>52</v>
      </c>
      <c r="E74" s="85" t="s">
        <v>231</v>
      </c>
      <c r="F74" s="24" t="s">
        <v>193</v>
      </c>
      <c r="G74" s="85">
        <v>1</v>
      </c>
      <c r="H74" s="98" t="s">
        <v>342</v>
      </c>
      <c r="I74" s="25">
        <v>15</v>
      </c>
      <c r="J74" s="25">
        <v>44</v>
      </c>
      <c r="K74" s="85">
        <v>2017</v>
      </c>
      <c r="L74" s="85" t="s">
        <v>291</v>
      </c>
      <c r="M74" s="28" t="s">
        <v>189</v>
      </c>
      <c r="N74" s="87">
        <v>0</v>
      </c>
      <c r="O74" s="87">
        <v>0</v>
      </c>
      <c r="P74" s="85">
        <v>0</v>
      </c>
      <c r="Q74" s="85">
        <v>0</v>
      </c>
      <c r="R74" s="11" t="b">
        <f t="shared" si="0"/>
        <v>0</v>
      </c>
      <c r="S74" s="11" t="s">
        <v>190</v>
      </c>
      <c r="T74" s="85">
        <v>1</v>
      </c>
      <c r="U74" s="89"/>
      <c r="V74" s="85">
        <v>0.82</v>
      </c>
      <c r="W74" s="89"/>
      <c r="X74" s="85">
        <v>0.77</v>
      </c>
      <c r="Y74" s="85" t="s">
        <v>202</v>
      </c>
      <c r="Z74" s="77"/>
      <c r="AA74" s="78">
        <v>39</v>
      </c>
      <c r="AB74" s="90">
        <v>15</v>
      </c>
      <c r="AC74" s="90">
        <v>72</v>
      </c>
      <c r="AD74" s="90">
        <v>38</v>
      </c>
      <c r="AE74" s="90">
        <v>164</v>
      </c>
      <c r="AF74" s="31"/>
      <c r="AG74" s="92"/>
      <c r="AH74" s="92"/>
      <c r="AI74" s="93"/>
      <c r="AJ74" s="94"/>
      <c r="AK74" s="99">
        <v>0.34</v>
      </c>
      <c r="AL74" s="94"/>
      <c r="AM74" s="94"/>
      <c r="AN74" s="94"/>
      <c r="AO74" s="94"/>
      <c r="AP74" s="94"/>
      <c r="AQ74" s="94"/>
      <c r="AR74" s="94"/>
      <c r="AS74" s="94"/>
      <c r="AT74" s="94"/>
      <c r="AU74" s="92"/>
      <c r="AV74" s="90">
        <v>5</v>
      </c>
      <c r="AW74" s="90">
        <v>9</v>
      </c>
      <c r="AX74" s="90">
        <v>4</v>
      </c>
      <c r="AY74" s="90">
        <v>12</v>
      </c>
      <c r="AZ74" s="90">
        <v>4</v>
      </c>
      <c r="BA74" s="90">
        <v>72</v>
      </c>
      <c r="BB74" s="90">
        <v>11</v>
      </c>
      <c r="BC74" s="90">
        <v>23</v>
      </c>
      <c r="BD74" s="90">
        <v>0</v>
      </c>
      <c r="BE74" s="90">
        <v>4</v>
      </c>
      <c r="BF74" s="90">
        <v>4</v>
      </c>
      <c r="BG74" s="90">
        <v>0</v>
      </c>
      <c r="BH74" s="90">
        <v>2</v>
      </c>
      <c r="BI74" s="90">
        <v>2</v>
      </c>
      <c r="BJ74" s="90">
        <v>1</v>
      </c>
      <c r="BK74" s="90">
        <v>11</v>
      </c>
      <c r="BL74" s="95">
        <v>0.27</v>
      </c>
      <c r="BM74" s="94"/>
      <c r="BN74" s="94"/>
      <c r="BO74" s="94"/>
      <c r="BP74" s="94"/>
      <c r="BQ74" s="92"/>
      <c r="BR74" s="92"/>
      <c r="BS74" s="92"/>
      <c r="BT74" s="92"/>
      <c r="BU74" s="92"/>
      <c r="BV74" s="92"/>
      <c r="BW74" s="92"/>
      <c r="BX74" s="92"/>
      <c r="BY74" s="92"/>
      <c r="BZ74" s="92"/>
    </row>
    <row r="75" spans="1:78" ht="12.9">
      <c r="A75" s="85" t="s">
        <v>341</v>
      </c>
      <c r="B75" s="85">
        <v>1</v>
      </c>
      <c r="C75" s="85">
        <v>42</v>
      </c>
      <c r="D75" s="85">
        <v>52</v>
      </c>
      <c r="E75" s="85" t="s">
        <v>231</v>
      </c>
      <c r="F75" s="24" t="s">
        <v>193</v>
      </c>
      <c r="G75" s="85">
        <v>2</v>
      </c>
      <c r="H75" s="98" t="s">
        <v>342</v>
      </c>
      <c r="I75" s="25">
        <v>15</v>
      </c>
      <c r="J75" s="25">
        <v>51</v>
      </c>
      <c r="K75" s="85">
        <v>2017</v>
      </c>
      <c r="L75" s="85" t="s">
        <v>291</v>
      </c>
      <c r="M75" s="28" t="s">
        <v>189</v>
      </c>
      <c r="N75" s="87">
        <v>0</v>
      </c>
      <c r="O75" s="87">
        <v>0</v>
      </c>
      <c r="P75" s="85">
        <v>0</v>
      </c>
      <c r="Q75" s="85">
        <v>0</v>
      </c>
      <c r="R75" s="11" t="b">
        <f t="shared" si="0"/>
        <v>0</v>
      </c>
      <c r="S75" s="11" t="s">
        <v>190</v>
      </c>
      <c r="T75" s="85">
        <v>1</v>
      </c>
      <c r="U75" s="89"/>
      <c r="V75" s="85">
        <v>0.82</v>
      </c>
      <c r="W75" s="89"/>
      <c r="X75" s="85">
        <v>0.72</v>
      </c>
      <c r="Y75" s="85" t="s">
        <v>202</v>
      </c>
      <c r="Z75" s="77"/>
      <c r="AA75" s="78">
        <v>25</v>
      </c>
      <c r="AB75" s="90">
        <v>19</v>
      </c>
      <c r="AC75" s="90">
        <v>56</v>
      </c>
      <c r="AD75" s="90">
        <v>28</v>
      </c>
      <c r="AE75" s="90">
        <v>128</v>
      </c>
      <c r="AF75" s="91"/>
      <c r="AG75" s="92"/>
      <c r="AH75" s="92"/>
      <c r="AI75" s="93"/>
      <c r="AJ75" s="94"/>
      <c r="AK75" s="95">
        <v>0.24</v>
      </c>
      <c r="AL75" s="94"/>
      <c r="AM75" s="94"/>
      <c r="AN75" s="94"/>
      <c r="AO75" s="94"/>
      <c r="AP75" s="94"/>
      <c r="AQ75" s="94"/>
      <c r="AR75" s="94"/>
      <c r="AS75" s="94"/>
      <c r="AT75" s="94"/>
      <c r="AU75" s="92"/>
      <c r="AV75" s="90">
        <v>3</v>
      </c>
      <c r="AW75" s="90">
        <v>9</v>
      </c>
      <c r="AX75" s="90">
        <v>7</v>
      </c>
      <c r="AY75" s="90">
        <v>4</v>
      </c>
      <c r="AZ75" s="90">
        <v>4</v>
      </c>
      <c r="BA75" s="90">
        <v>56</v>
      </c>
      <c r="BB75" s="90">
        <v>9</v>
      </c>
      <c r="BC75" s="90">
        <v>15</v>
      </c>
      <c r="BD75" s="90">
        <v>0</v>
      </c>
      <c r="BE75" s="90">
        <v>6</v>
      </c>
      <c r="BF75" s="90">
        <v>1</v>
      </c>
      <c r="BG75" s="90">
        <v>0</v>
      </c>
      <c r="BH75" s="90">
        <v>4</v>
      </c>
      <c r="BI75" s="90">
        <v>4</v>
      </c>
      <c r="BJ75" s="90">
        <v>2</v>
      </c>
      <c r="BK75" s="90">
        <v>4</v>
      </c>
      <c r="BL75" s="95">
        <v>0.13</v>
      </c>
      <c r="BM75" s="94"/>
      <c r="BN75" s="94"/>
      <c r="BO75" s="94"/>
      <c r="BP75" s="94"/>
      <c r="BQ75" s="92"/>
      <c r="BR75" s="92"/>
      <c r="BS75" s="92"/>
      <c r="BT75" s="92"/>
      <c r="BU75" s="92"/>
      <c r="BV75" s="92"/>
      <c r="BW75" s="92"/>
      <c r="BX75" s="92"/>
      <c r="BY75" s="92"/>
      <c r="BZ75" s="92"/>
    </row>
    <row r="76" spans="1:78" ht="12.9">
      <c r="A76" s="85" t="s">
        <v>343</v>
      </c>
      <c r="B76" s="85">
        <v>1</v>
      </c>
      <c r="C76" s="26">
        <v>43</v>
      </c>
      <c r="D76" s="26">
        <v>53</v>
      </c>
      <c r="E76" s="26" t="s">
        <v>231</v>
      </c>
      <c r="F76" s="26" t="s">
        <v>193</v>
      </c>
      <c r="G76" s="26">
        <v>1</v>
      </c>
      <c r="H76" s="26" t="s">
        <v>344</v>
      </c>
      <c r="I76" s="26">
        <v>12</v>
      </c>
      <c r="J76" s="26">
        <v>18</v>
      </c>
      <c r="K76" s="97">
        <v>1978</v>
      </c>
      <c r="L76" s="26" t="s">
        <v>188</v>
      </c>
      <c r="M76" s="26" t="s">
        <v>201</v>
      </c>
      <c r="N76" s="26">
        <v>1</v>
      </c>
      <c r="O76" s="26">
        <v>0</v>
      </c>
      <c r="P76" s="26">
        <v>0</v>
      </c>
      <c r="Q76" s="26">
        <v>0</v>
      </c>
      <c r="R76" s="11" t="b">
        <f t="shared" si="0"/>
        <v>0</v>
      </c>
      <c r="S76" s="26" t="s">
        <v>190</v>
      </c>
      <c r="T76" s="85">
        <v>1</v>
      </c>
      <c r="U76" s="97">
        <v>0.92</v>
      </c>
      <c r="V76" s="31"/>
      <c r="W76" s="97">
        <v>0.92</v>
      </c>
      <c r="X76" s="31"/>
      <c r="Y76" s="26" t="s">
        <v>240</v>
      </c>
      <c r="Z76" s="56"/>
      <c r="AA76" s="97">
        <v>18</v>
      </c>
      <c r="AB76" s="97">
        <v>2</v>
      </c>
      <c r="AC76" s="97">
        <v>30</v>
      </c>
      <c r="AD76" s="97">
        <v>0</v>
      </c>
      <c r="AE76" s="97">
        <v>50</v>
      </c>
      <c r="AF76" s="97"/>
      <c r="AG76" s="97"/>
      <c r="AH76" s="97">
        <v>0.92</v>
      </c>
      <c r="AI76" s="31"/>
      <c r="AJ76" s="31"/>
      <c r="AK76" s="97"/>
      <c r="AL76" s="97">
        <v>9</v>
      </c>
      <c r="AM76" s="97">
        <v>1</v>
      </c>
      <c r="AN76" s="97">
        <v>0</v>
      </c>
      <c r="AO76" s="97">
        <v>0</v>
      </c>
      <c r="AP76" s="97">
        <v>30</v>
      </c>
      <c r="AQ76" s="90">
        <v>0</v>
      </c>
      <c r="AR76" s="90">
        <v>0</v>
      </c>
      <c r="AS76" s="90">
        <v>1</v>
      </c>
      <c r="AT76" s="90">
        <v>9</v>
      </c>
      <c r="AU76" s="95">
        <v>0.92</v>
      </c>
      <c r="AV76" s="94"/>
      <c r="AW76" s="94"/>
      <c r="AX76" s="94"/>
      <c r="AY76" s="94"/>
      <c r="AZ76" s="94"/>
      <c r="BA76" s="94"/>
      <c r="BB76" s="94"/>
      <c r="BC76" s="94"/>
      <c r="BD76" s="94"/>
      <c r="BE76" s="94"/>
      <c r="BF76" s="94"/>
      <c r="BG76" s="94"/>
      <c r="BH76" s="94"/>
      <c r="BI76" s="94"/>
      <c r="BJ76" s="94"/>
      <c r="BK76" s="94"/>
      <c r="BL76" s="92"/>
      <c r="BM76" s="94"/>
      <c r="BN76" s="94"/>
      <c r="BO76" s="94"/>
      <c r="BP76" s="94"/>
      <c r="BQ76" s="92"/>
      <c r="BR76" s="92"/>
      <c r="BS76" s="92"/>
      <c r="BT76" s="92"/>
      <c r="BU76" s="92"/>
      <c r="BV76" s="92"/>
      <c r="BW76" s="92"/>
      <c r="BX76" s="92"/>
      <c r="BY76" s="92"/>
      <c r="BZ76" s="92"/>
    </row>
    <row r="77" spans="1:78" ht="12.9">
      <c r="A77" s="85" t="s">
        <v>345</v>
      </c>
      <c r="B77" s="85">
        <v>1</v>
      </c>
      <c r="C77" s="26">
        <v>44</v>
      </c>
      <c r="D77" s="26">
        <v>54</v>
      </c>
      <c r="E77" s="26" t="s">
        <v>346</v>
      </c>
      <c r="F77" s="26" t="s">
        <v>193</v>
      </c>
      <c r="G77" s="26">
        <v>1</v>
      </c>
      <c r="H77" s="26" t="s">
        <v>347</v>
      </c>
      <c r="I77" s="26">
        <v>12</v>
      </c>
      <c r="J77" s="26">
        <v>18</v>
      </c>
      <c r="K77" s="97">
        <v>1991</v>
      </c>
      <c r="L77" s="26" t="s">
        <v>188</v>
      </c>
      <c r="M77" s="26" t="s">
        <v>201</v>
      </c>
      <c r="N77" s="26">
        <v>1</v>
      </c>
      <c r="O77" s="26">
        <v>1</v>
      </c>
      <c r="P77" s="26">
        <v>1</v>
      </c>
      <c r="Q77" s="26">
        <v>0</v>
      </c>
      <c r="R77" s="11" t="b">
        <f t="shared" si="0"/>
        <v>1</v>
      </c>
      <c r="S77" s="26" t="s">
        <v>190</v>
      </c>
      <c r="T77" s="85">
        <v>1</v>
      </c>
      <c r="U77" s="97">
        <v>0.86</v>
      </c>
      <c r="V77" s="31"/>
      <c r="W77" s="97">
        <v>0.86</v>
      </c>
      <c r="X77" s="31"/>
      <c r="Y77" s="26" t="s">
        <v>240</v>
      </c>
      <c r="Z77" s="56"/>
      <c r="AA77" s="97">
        <v>16</v>
      </c>
      <c r="AB77" s="97">
        <v>9</v>
      </c>
      <c r="AC77" s="97">
        <v>7</v>
      </c>
      <c r="AD77" s="97">
        <v>14</v>
      </c>
      <c r="AE77" s="97">
        <v>46</v>
      </c>
      <c r="AF77" s="97"/>
      <c r="AG77" s="97">
        <v>-0.03</v>
      </c>
      <c r="AH77" s="97">
        <v>-0.03</v>
      </c>
      <c r="AI77" s="31"/>
      <c r="AJ77" s="31"/>
      <c r="AK77" s="97"/>
      <c r="AL77" s="97"/>
      <c r="AM77" s="97"/>
      <c r="AN77" s="97"/>
      <c r="AO77" s="97"/>
      <c r="AP77" s="97"/>
      <c r="AQ77" s="90"/>
      <c r="AR77" s="90"/>
      <c r="AS77" s="90"/>
      <c r="AT77" s="90"/>
      <c r="AU77" s="95"/>
      <c r="AV77" s="94"/>
      <c r="AW77" s="94"/>
      <c r="AX77" s="94"/>
      <c r="AY77" s="94"/>
      <c r="AZ77" s="94"/>
      <c r="BA77" s="94"/>
      <c r="BB77" s="94"/>
      <c r="BC77" s="94"/>
      <c r="BD77" s="94"/>
      <c r="BE77" s="94"/>
      <c r="BF77" s="94"/>
      <c r="BG77" s="94"/>
      <c r="BH77" s="94"/>
      <c r="BI77" s="94"/>
      <c r="BJ77" s="94"/>
      <c r="BK77" s="94"/>
      <c r="BL77" s="92"/>
      <c r="BM77" s="90">
        <v>20</v>
      </c>
      <c r="BN77" s="90">
        <v>16</v>
      </c>
      <c r="BO77" s="90">
        <v>3</v>
      </c>
      <c r="BP77" s="90">
        <v>7</v>
      </c>
      <c r="BQ77" s="92"/>
      <c r="BR77" s="92"/>
      <c r="BS77" s="92"/>
      <c r="BT77" s="92"/>
      <c r="BU77" s="92"/>
      <c r="BV77" s="92"/>
      <c r="BW77" s="92"/>
      <c r="BX77" s="92"/>
      <c r="BY77" s="92"/>
      <c r="BZ77" s="92"/>
    </row>
    <row r="78" spans="1:78" ht="12.9">
      <c r="A78" s="85" t="s">
        <v>348</v>
      </c>
      <c r="B78" s="85">
        <v>1</v>
      </c>
      <c r="C78" s="26">
        <v>45</v>
      </c>
      <c r="D78" s="26">
        <v>55</v>
      </c>
      <c r="E78" s="26" t="s">
        <v>231</v>
      </c>
      <c r="F78" s="26" t="s">
        <v>193</v>
      </c>
      <c r="G78" s="26">
        <v>1</v>
      </c>
      <c r="H78" s="26" t="s">
        <v>349</v>
      </c>
      <c r="I78" s="26">
        <v>12</v>
      </c>
      <c r="J78" s="26">
        <v>18</v>
      </c>
      <c r="K78" s="97">
        <v>2000</v>
      </c>
      <c r="L78" s="26" t="s">
        <v>247</v>
      </c>
      <c r="M78" s="26" t="s">
        <v>201</v>
      </c>
      <c r="N78" s="26">
        <v>1</v>
      </c>
      <c r="O78" s="26">
        <v>0</v>
      </c>
      <c r="P78" s="26">
        <v>0</v>
      </c>
      <c r="Q78" s="26">
        <v>0</v>
      </c>
      <c r="R78" s="11" t="b">
        <f t="shared" si="0"/>
        <v>0</v>
      </c>
      <c r="S78" s="26" t="s">
        <v>190</v>
      </c>
      <c r="T78" s="97">
        <v>1</v>
      </c>
      <c r="U78" s="31"/>
      <c r="V78" s="31"/>
      <c r="W78" s="31"/>
      <c r="X78" s="31"/>
      <c r="Y78" s="56"/>
      <c r="Z78" s="56"/>
      <c r="AA78" s="97">
        <v>12</v>
      </c>
      <c r="AB78" s="97">
        <v>7</v>
      </c>
      <c r="AC78" s="97">
        <v>10</v>
      </c>
      <c r="AD78" s="97">
        <v>6</v>
      </c>
      <c r="AE78" s="97">
        <v>35</v>
      </c>
      <c r="AF78" s="97"/>
      <c r="AG78" s="97">
        <v>0.26</v>
      </c>
      <c r="AH78" s="31"/>
      <c r="AI78" s="31"/>
      <c r="AJ78" s="31"/>
      <c r="AK78" s="31"/>
      <c r="AL78" s="31"/>
      <c r="AM78" s="31"/>
      <c r="AN78" s="31"/>
      <c r="AO78" s="31"/>
      <c r="AP78" s="31"/>
      <c r="AQ78" s="94"/>
      <c r="AR78" s="94"/>
      <c r="AS78" s="94"/>
      <c r="AT78" s="94"/>
      <c r="AU78" s="92"/>
      <c r="AV78" s="97">
        <v>4</v>
      </c>
      <c r="AW78" s="97">
        <v>3</v>
      </c>
      <c r="AX78" s="97">
        <v>0</v>
      </c>
      <c r="AY78" s="90">
        <v>1</v>
      </c>
      <c r="AZ78" s="97">
        <v>2</v>
      </c>
      <c r="BA78" s="97">
        <v>10</v>
      </c>
      <c r="BB78" s="90">
        <v>2</v>
      </c>
      <c r="BC78" s="90">
        <v>2</v>
      </c>
      <c r="BD78" s="90">
        <v>0</v>
      </c>
      <c r="BE78" s="90">
        <v>0</v>
      </c>
      <c r="BF78" s="90">
        <v>0</v>
      </c>
      <c r="BG78" s="90">
        <v>0</v>
      </c>
      <c r="BH78" s="90">
        <v>3</v>
      </c>
      <c r="BI78" s="90">
        <v>4</v>
      </c>
      <c r="BJ78" s="90">
        <v>0</v>
      </c>
      <c r="BK78" s="90">
        <v>4</v>
      </c>
      <c r="BL78" s="95"/>
      <c r="BM78" s="90">
        <v>21</v>
      </c>
      <c r="BN78" s="90">
        <v>3</v>
      </c>
      <c r="BO78" s="90">
        <v>4</v>
      </c>
      <c r="BP78" s="90">
        <v>7</v>
      </c>
      <c r="BQ78" s="92"/>
      <c r="BR78" s="92"/>
      <c r="BS78" s="92"/>
      <c r="BT78" s="92"/>
      <c r="BU78" s="92"/>
      <c r="BV78" s="92"/>
      <c r="BW78" s="92"/>
      <c r="BX78" s="92"/>
      <c r="BY78" s="92"/>
      <c r="BZ78" s="92"/>
    </row>
    <row r="79" spans="1:78" ht="12.9">
      <c r="A79" s="85" t="s">
        <v>350</v>
      </c>
      <c r="B79" s="85">
        <v>1</v>
      </c>
      <c r="C79" s="26">
        <v>46</v>
      </c>
      <c r="D79" s="26">
        <v>56</v>
      </c>
      <c r="E79" s="26" t="s">
        <v>231</v>
      </c>
      <c r="F79" s="26" t="s">
        <v>193</v>
      </c>
      <c r="G79" s="26">
        <v>1</v>
      </c>
      <c r="H79" s="26" t="s">
        <v>351</v>
      </c>
      <c r="I79" s="26">
        <v>12</v>
      </c>
      <c r="J79" s="26">
        <v>18</v>
      </c>
      <c r="K79" s="97">
        <v>2004</v>
      </c>
      <c r="L79" s="26" t="s">
        <v>188</v>
      </c>
      <c r="M79" s="26" t="s">
        <v>201</v>
      </c>
      <c r="N79" s="26">
        <v>1</v>
      </c>
      <c r="O79" s="26">
        <v>0</v>
      </c>
      <c r="P79" s="26">
        <v>1</v>
      </c>
      <c r="Q79" s="26">
        <v>0</v>
      </c>
      <c r="R79" s="11" t="b">
        <f t="shared" si="0"/>
        <v>1</v>
      </c>
      <c r="S79" s="26" t="s">
        <v>190</v>
      </c>
      <c r="T79" s="97">
        <v>1</v>
      </c>
      <c r="U79" s="97">
        <v>0.89</v>
      </c>
      <c r="V79" s="97">
        <v>0.78</v>
      </c>
      <c r="W79" s="97">
        <v>0.89</v>
      </c>
      <c r="X79" s="97">
        <v>0.78</v>
      </c>
      <c r="Y79" s="26" t="s">
        <v>202</v>
      </c>
      <c r="Z79" s="56"/>
      <c r="AA79" s="97">
        <v>39</v>
      </c>
      <c r="AB79" s="97">
        <v>37</v>
      </c>
      <c r="AC79" s="97">
        <v>105</v>
      </c>
      <c r="AD79" s="97">
        <v>36</v>
      </c>
      <c r="AE79" s="97">
        <v>217</v>
      </c>
      <c r="AF79" s="97"/>
      <c r="AG79" s="97">
        <v>0.26</v>
      </c>
      <c r="AH79" s="31"/>
      <c r="AI79" s="31"/>
      <c r="AJ79" s="31"/>
      <c r="AK79" s="31"/>
      <c r="AL79" s="31"/>
      <c r="AM79" s="31"/>
      <c r="AN79" s="31"/>
      <c r="AO79" s="31"/>
      <c r="AP79" s="31"/>
      <c r="AQ79" s="94"/>
      <c r="AR79" s="94"/>
      <c r="AS79" s="94"/>
      <c r="AT79" s="94"/>
      <c r="AU79" s="92"/>
      <c r="AV79" s="97">
        <v>9</v>
      </c>
      <c r="AW79" s="97">
        <v>16</v>
      </c>
      <c r="AX79" s="97">
        <v>0</v>
      </c>
      <c r="AY79" s="90">
        <v>4</v>
      </c>
      <c r="AZ79" s="97">
        <v>13</v>
      </c>
      <c r="BA79" s="97">
        <v>105</v>
      </c>
      <c r="BB79" s="90">
        <v>12</v>
      </c>
      <c r="BC79" s="90">
        <v>11</v>
      </c>
      <c r="BD79" s="90">
        <v>0</v>
      </c>
      <c r="BE79" s="90">
        <v>15</v>
      </c>
      <c r="BF79" s="90">
        <v>9</v>
      </c>
      <c r="BG79" s="90">
        <v>4</v>
      </c>
      <c r="BH79" s="90">
        <v>6</v>
      </c>
      <c r="BI79" s="90">
        <v>6</v>
      </c>
      <c r="BJ79" s="90">
        <v>1</v>
      </c>
      <c r="BK79" s="90">
        <v>6</v>
      </c>
      <c r="BL79" s="95">
        <v>0.24</v>
      </c>
      <c r="BM79" s="90">
        <v>179</v>
      </c>
      <c r="BN79" s="90">
        <v>19</v>
      </c>
      <c r="BO79" s="90">
        <v>6</v>
      </c>
      <c r="BP79" s="90">
        <v>13</v>
      </c>
      <c r="BQ79" s="92"/>
      <c r="BR79" s="92"/>
      <c r="BS79" s="92"/>
      <c r="BT79" s="92"/>
      <c r="BU79" s="92"/>
      <c r="BV79" s="92"/>
      <c r="BW79" s="92"/>
      <c r="BX79" s="92"/>
      <c r="BY79" s="92"/>
      <c r="BZ79" s="92"/>
    </row>
    <row r="80" spans="1:78" ht="12.9">
      <c r="A80" s="85" t="s">
        <v>350</v>
      </c>
      <c r="B80" s="85">
        <v>1</v>
      </c>
      <c r="C80" s="26">
        <v>46</v>
      </c>
      <c r="D80" s="26">
        <v>56</v>
      </c>
      <c r="E80" s="26" t="s">
        <v>228</v>
      </c>
      <c r="F80" s="26" t="s">
        <v>229</v>
      </c>
      <c r="G80" s="26">
        <v>2</v>
      </c>
      <c r="H80" s="26" t="s">
        <v>351</v>
      </c>
      <c r="I80" s="26">
        <v>12</v>
      </c>
      <c r="J80" s="26">
        <v>18</v>
      </c>
      <c r="K80" s="97">
        <v>2004</v>
      </c>
      <c r="L80" s="26" t="s">
        <v>188</v>
      </c>
      <c r="M80" s="26" t="s">
        <v>201</v>
      </c>
      <c r="N80" s="26">
        <v>1</v>
      </c>
      <c r="O80" s="26">
        <v>0</v>
      </c>
      <c r="P80" s="26">
        <v>1</v>
      </c>
      <c r="Q80" s="26">
        <v>0</v>
      </c>
      <c r="R80" s="11" t="b">
        <f t="shared" si="0"/>
        <v>1</v>
      </c>
      <c r="S80" s="26" t="s">
        <v>190</v>
      </c>
      <c r="T80" s="97">
        <v>1</v>
      </c>
      <c r="U80" s="97">
        <v>0.89</v>
      </c>
      <c r="V80" s="97">
        <v>0.78</v>
      </c>
      <c r="W80" s="97">
        <v>0.89</v>
      </c>
      <c r="X80" s="97">
        <v>0.78</v>
      </c>
      <c r="Y80" s="26" t="s">
        <v>202</v>
      </c>
      <c r="Z80" s="56"/>
      <c r="AA80" s="97">
        <v>40</v>
      </c>
      <c r="AB80" s="97">
        <v>45</v>
      </c>
      <c r="AC80" s="97">
        <v>89</v>
      </c>
      <c r="AD80" s="97">
        <v>34</v>
      </c>
      <c r="AE80" s="97">
        <v>208</v>
      </c>
      <c r="AF80" s="97"/>
      <c r="AG80" s="97">
        <v>0.2</v>
      </c>
      <c r="AH80" s="31"/>
      <c r="AI80" s="31"/>
      <c r="AJ80" s="31"/>
      <c r="AK80" s="31"/>
      <c r="AL80" s="31"/>
      <c r="AM80" s="31"/>
      <c r="AN80" s="31"/>
      <c r="AO80" s="31"/>
      <c r="AP80" s="31"/>
      <c r="AQ80" s="94"/>
      <c r="AR80" s="94"/>
      <c r="AS80" s="94"/>
      <c r="AT80" s="94"/>
      <c r="AU80" s="92"/>
      <c r="AV80" s="97">
        <v>5</v>
      </c>
      <c r="AW80" s="97">
        <v>15</v>
      </c>
      <c r="AX80" s="97">
        <v>0</v>
      </c>
      <c r="AY80" s="90">
        <v>4</v>
      </c>
      <c r="AZ80" s="97">
        <v>12</v>
      </c>
      <c r="BA80" s="97">
        <v>89</v>
      </c>
      <c r="BB80" s="90">
        <v>16</v>
      </c>
      <c r="BC80" s="90">
        <v>6</v>
      </c>
      <c r="BD80" s="90">
        <v>2</v>
      </c>
      <c r="BE80" s="90">
        <v>17</v>
      </c>
      <c r="BF80" s="90">
        <v>10</v>
      </c>
      <c r="BG80" s="90">
        <v>3</v>
      </c>
      <c r="BH80" s="90">
        <v>5</v>
      </c>
      <c r="BI80" s="90">
        <v>13</v>
      </c>
      <c r="BJ80" s="90">
        <v>4</v>
      </c>
      <c r="BK80" s="90">
        <v>7</v>
      </c>
      <c r="BL80" s="95">
        <v>0.18</v>
      </c>
      <c r="BM80" s="97">
        <v>166</v>
      </c>
      <c r="BN80" s="97">
        <v>13</v>
      </c>
      <c r="BO80" s="97">
        <v>7</v>
      </c>
      <c r="BP80" s="97">
        <v>22</v>
      </c>
      <c r="BQ80" s="92"/>
      <c r="BR80" s="92"/>
      <c r="BS80" s="92"/>
      <c r="BT80" s="92"/>
      <c r="BU80" s="92"/>
      <c r="BV80" s="92"/>
      <c r="BW80" s="92"/>
      <c r="BX80" s="92"/>
      <c r="BY80" s="92"/>
      <c r="BZ80" s="92"/>
    </row>
    <row r="81" spans="1:78" ht="12.9">
      <c r="A81" s="85" t="s">
        <v>352</v>
      </c>
      <c r="B81" s="85">
        <v>1</v>
      </c>
      <c r="C81" s="26">
        <v>47</v>
      </c>
      <c r="D81" s="26">
        <v>57</v>
      </c>
      <c r="E81" s="26" t="s">
        <v>231</v>
      </c>
      <c r="F81" s="26" t="s">
        <v>193</v>
      </c>
      <c r="G81" s="26">
        <v>1</v>
      </c>
      <c r="H81" s="26" t="s">
        <v>353</v>
      </c>
      <c r="I81" s="26">
        <v>15</v>
      </c>
      <c r="J81" s="26">
        <v>18</v>
      </c>
      <c r="K81" s="97">
        <v>2004</v>
      </c>
      <c r="L81" s="26" t="s">
        <v>247</v>
      </c>
      <c r="M81" s="26" t="s">
        <v>201</v>
      </c>
      <c r="N81" s="26">
        <v>1</v>
      </c>
      <c r="O81" s="26">
        <v>0</v>
      </c>
      <c r="P81" s="26">
        <v>0</v>
      </c>
      <c r="Q81" s="26">
        <v>0</v>
      </c>
      <c r="R81" s="11" t="b">
        <f t="shared" si="0"/>
        <v>0</v>
      </c>
      <c r="S81" s="26" t="s">
        <v>190</v>
      </c>
      <c r="T81" s="97">
        <v>1</v>
      </c>
      <c r="U81" s="97">
        <v>0.89</v>
      </c>
      <c r="V81" s="97">
        <v>0.82</v>
      </c>
      <c r="W81" s="97">
        <v>0.89</v>
      </c>
      <c r="X81" s="97">
        <v>0.82</v>
      </c>
      <c r="Y81" s="26" t="s">
        <v>240</v>
      </c>
      <c r="Z81" s="56"/>
      <c r="AA81" s="97">
        <v>17</v>
      </c>
      <c r="AB81" s="97">
        <v>11</v>
      </c>
      <c r="AC81" s="97">
        <v>16</v>
      </c>
      <c r="AD81" s="97">
        <v>12</v>
      </c>
      <c r="AE81" s="97">
        <v>56</v>
      </c>
      <c r="AF81" s="97"/>
      <c r="AG81" s="97">
        <v>0.18</v>
      </c>
      <c r="AH81" s="31"/>
      <c r="AI81" s="31"/>
      <c r="AJ81" s="31"/>
      <c r="AK81" s="31"/>
      <c r="AL81" s="31"/>
      <c r="AM81" s="31"/>
      <c r="AN81" s="31"/>
      <c r="AO81" s="31"/>
      <c r="AP81" s="31"/>
      <c r="AQ81" s="94"/>
      <c r="AR81" s="94"/>
      <c r="AS81" s="94"/>
      <c r="AT81" s="94"/>
      <c r="AU81" s="92"/>
      <c r="AV81" s="97"/>
      <c r="AW81" s="97"/>
      <c r="AX81" s="97"/>
      <c r="AY81" s="90"/>
      <c r="AZ81" s="97"/>
      <c r="BA81" s="97"/>
      <c r="BB81" s="90"/>
      <c r="BC81" s="90"/>
      <c r="BD81" s="90"/>
      <c r="BE81" s="90"/>
      <c r="BF81" s="90"/>
      <c r="BG81" s="90"/>
      <c r="BH81" s="90"/>
      <c r="BI81" s="90"/>
      <c r="BJ81" s="90"/>
      <c r="BK81" s="90"/>
      <c r="BL81" s="95"/>
      <c r="BM81" s="97"/>
      <c r="BN81" s="97"/>
      <c r="BO81" s="97"/>
      <c r="BP81" s="97"/>
      <c r="BQ81" s="92"/>
      <c r="BR81" s="92"/>
      <c r="BS81" s="92"/>
      <c r="BT81" s="92"/>
      <c r="BU81" s="92"/>
      <c r="BV81" s="92"/>
      <c r="BW81" s="92"/>
      <c r="BX81" s="92"/>
      <c r="BY81" s="92"/>
      <c r="BZ81" s="92"/>
    </row>
    <row r="82" spans="1:78" ht="12.9">
      <c r="A82" s="100" t="s">
        <v>354</v>
      </c>
      <c r="B82" s="85">
        <v>1</v>
      </c>
      <c r="C82" s="26">
        <v>48</v>
      </c>
      <c r="D82" s="26">
        <v>58</v>
      </c>
      <c r="E82" s="26" t="s">
        <v>231</v>
      </c>
      <c r="F82" s="26" t="s">
        <v>193</v>
      </c>
      <c r="G82" s="26">
        <v>1</v>
      </c>
      <c r="H82" s="26" t="s">
        <v>355</v>
      </c>
      <c r="I82" s="26">
        <v>12</v>
      </c>
      <c r="J82" s="26">
        <v>18</v>
      </c>
      <c r="K82" s="97">
        <v>1976</v>
      </c>
      <c r="L82" s="26" t="s">
        <v>188</v>
      </c>
      <c r="M82" s="26" t="s">
        <v>201</v>
      </c>
      <c r="N82" s="26">
        <v>1</v>
      </c>
      <c r="O82" s="26">
        <v>0</v>
      </c>
      <c r="P82" s="26">
        <v>0</v>
      </c>
      <c r="Q82" s="26">
        <v>0</v>
      </c>
      <c r="R82" s="11" t="b">
        <f t="shared" si="0"/>
        <v>0</v>
      </c>
      <c r="S82" s="26" t="s">
        <v>313</v>
      </c>
      <c r="T82" s="97">
        <v>0</v>
      </c>
      <c r="U82" s="31"/>
      <c r="V82" s="97">
        <v>0.89</v>
      </c>
      <c r="W82" s="31"/>
      <c r="X82" s="97">
        <v>0.86</v>
      </c>
      <c r="Y82" s="26" t="s">
        <v>240</v>
      </c>
      <c r="Z82" s="56"/>
      <c r="AA82" s="97">
        <v>12</v>
      </c>
      <c r="AB82" s="97">
        <v>5</v>
      </c>
      <c r="AC82" s="97">
        <v>26</v>
      </c>
      <c r="AD82" s="97">
        <v>4</v>
      </c>
      <c r="AE82" s="97">
        <v>47</v>
      </c>
      <c r="AF82" s="97"/>
      <c r="AG82" s="31"/>
      <c r="AH82" s="31"/>
      <c r="AI82" s="31"/>
      <c r="AJ82" s="31"/>
      <c r="AK82" s="31"/>
      <c r="AL82" s="97">
        <v>11</v>
      </c>
      <c r="AM82" s="101">
        <v>4</v>
      </c>
      <c r="AN82" s="101">
        <v>0</v>
      </c>
      <c r="AO82" s="101">
        <v>3</v>
      </c>
      <c r="AP82" s="101">
        <v>26</v>
      </c>
      <c r="AQ82" s="90">
        <v>1</v>
      </c>
      <c r="AR82" s="90">
        <v>0</v>
      </c>
      <c r="AS82" s="90">
        <v>1</v>
      </c>
      <c r="AT82" s="90">
        <v>1</v>
      </c>
      <c r="AU82" s="92"/>
      <c r="AV82" s="94"/>
      <c r="AW82" s="94"/>
      <c r="AX82" s="94"/>
      <c r="AY82" s="94"/>
      <c r="AZ82" s="94"/>
      <c r="BA82" s="94"/>
      <c r="BB82" s="94"/>
      <c r="BC82" s="94"/>
      <c r="BD82" s="94"/>
      <c r="BE82" s="94"/>
      <c r="BF82" s="94"/>
      <c r="BG82" s="94"/>
      <c r="BH82" s="94"/>
      <c r="BI82" s="94"/>
      <c r="BJ82" s="94"/>
      <c r="BK82" s="94"/>
      <c r="BL82" s="92"/>
      <c r="BM82" s="94"/>
      <c r="BN82" s="94"/>
      <c r="BO82" s="94"/>
      <c r="BP82" s="94"/>
      <c r="BQ82" s="92"/>
      <c r="BR82" s="92"/>
      <c r="BS82" s="92"/>
      <c r="BT82" s="92"/>
      <c r="BU82" s="92"/>
      <c r="BV82" s="92"/>
      <c r="BW82" s="92"/>
      <c r="BX82" s="92"/>
      <c r="BY82" s="92"/>
      <c r="BZ82" s="92"/>
    </row>
    <row r="83" spans="1:78" ht="12.9">
      <c r="A83" s="100" t="s">
        <v>356</v>
      </c>
      <c r="B83" s="85">
        <v>1</v>
      </c>
      <c r="C83" s="26">
        <v>49</v>
      </c>
      <c r="D83" s="26">
        <v>59</v>
      </c>
      <c r="E83" s="26" t="s">
        <v>231</v>
      </c>
      <c r="F83" s="26" t="s">
        <v>193</v>
      </c>
      <c r="G83" s="26">
        <v>1</v>
      </c>
      <c r="H83" s="26" t="s">
        <v>357</v>
      </c>
      <c r="I83" s="26">
        <v>12</v>
      </c>
      <c r="J83" s="26">
        <v>18</v>
      </c>
      <c r="K83" s="97">
        <v>1998</v>
      </c>
      <c r="L83" s="26" t="s">
        <v>188</v>
      </c>
      <c r="M83" s="26" t="s">
        <v>201</v>
      </c>
      <c r="N83" s="26">
        <v>0</v>
      </c>
      <c r="O83" s="26">
        <v>1</v>
      </c>
      <c r="P83" s="26">
        <v>1</v>
      </c>
      <c r="Q83" s="26">
        <v>0</v>
      </c>
      <c r="R83" s="11" t="b">
        <f t="shared" si="0"/>
        <v>1</v>
      </c>
      <c r="S83" s="26" t="s">
        <v>190</v>
      </c>
      <c r="T83" s="97">
        <v>1</v>
      </c>
      <c r="U83" s="97">
        <v>0.89</v>
      </c>
      <c r="V83" s="31"/>
      <c r="W83" s="97">
        <v>0.92</v>
      </c>
      <c r="X83" s="31"/>
      <c r="Y83" s="26" t="s">
        <v>240</v>
      </c>
      <c r="Z83" s="56"/>
      <c r="AA83" s="97"/>
      <c r="AB83" s="97"/>
      <c r="AC83" s="97"/>
      <c r="AD83" s="97"/>
      <c r="AE83" s="97"/>
      <c r="AF83" s="97"/>
      <c r="AG83" s="31"/>
      <c r="AH83" s="31"/>
      <c r="AI83" s="31"/>
      <c r="AJ83" s="31"/>
      <c r="AK83" s="31"/>
      <c r="AL83" s="101"/>
      <c r="AM83" s="101"/>
      <c r="AN83" s="101"/>
      <c r="AO83" s="101"/>
      <c r="AP83" s="101"/>
      <c r="AQ83" s="90"/>
      <c r="AR83" s="90"/>
      <c r="AS83" s="90"/>
      <c r="AT83" s="90"/>
      <c r="AU83" s="92"/>
      <c r="AV83" s="94"/>
      <c r="AW83" s="94"/>
      <c r="AX83" s="94"/>
      <c r="AY83" s="94"/>
      <c r="AZ83" s="94"/>
      <c r="BA83" s="94"/>
      <c r="BB83" s="94"/>
      <c r="BC83" s="94"/>
      <c r="BD83" s="94"/>
      <c r="BE83" s="94"/>
      <c r="BF83" s="94"/>
      <c r="BG83" s="94"/>
      <c r="BH83" s="94"/>
      <c r="BI83" s="94"/>
      <c r="BJ83" s="94"/>
      <c r="BK83" s="94"/>
      <c r="BL83" s="92"/>
      <c r="BM83" s="94"/>
      <c r="BN83" s="94"/>
      <c r="BO83" s="94"/>
      <c r="BP83" s="94"/>
      <c r="BQ83" s="95">
        <v>0.59</v>
      </c>
      <c r="BR83" s="95">
        <v>16.8</v>
      </c>
      <c r="BS83" s="92"/>
      <c r="BT83" s="92"/>
      <c r="BU83" s="92"/>
      <c r="BV83" s="92"/>
      <c r="BW83" s="92"/>
      <c r="BX83" s="92"/>
      <c r="BY83" s="92"/>
      <c r="BZ83" s="92"/>
    </row>
    <row r="84" spans="1:78" ht="12.9">
      <c r="A84" s="85" t="s">
        <v>358</v>
      </c>
      <c r="B84" s="85">
        <v>1</v>
      </c>
      <c r="C84" s="26">
        <v>50</v>
      </c>
      <c r="D84" s="26">
        <v>60</v>
      </c>
      <c r="E84" s="26" t="s">
        <v>231</v>
      </c>
      <c r="F84" s="26" t="s">
        <v>193</v>
      </c>
      <c r="G84" s="26">
        <v>1</v>
      </c>
      <c r="H84" s="26" t="s">
        <v>359</v>
      </c>
      <c r="I84" s="26">
        <v>12</v>
      </c>
      <c r="J84" s="26">
        <v>12.5</v>
      </c>
      <c r="K84" s="85">
        <v>1978</v>
      </c>
      <c r="L84" s="26" t="s">
        <v>188</v>
      </c>
      <c r="M84" s="26" t="s">
        <v>201</v>
      </c>
      <c r="N84" s="87">
        <v>1</v>
      </c>
      <c r="O84" s="102">
        <v>0</v>
      </c>
      <c r="P84" s="26">
        <v>0</v>
      </c>
      <c r="Q84" s="26">
        <v>0</v>
      </c>
      <c r="R84" s="11" t="b">
        <f t="shared" si="0"/>
        <v>0</v>
      </c>
      <c r="S84" s="103" t="s">
        <v>196</v>
      </c>
      <c r="T84" s="97">
        <v>1</v>
      </c>
      <c r="U84" s="31"/>
      <c r="V84" s="31"/>
      <c r="W84" s="31"/>
      <c r="X84" s="31"/>
      <c r="Y84" s="56"/>
      <c r="Z84" s="56"/>
      <c r="AA84" s="97">
        <v>1</v>
      </c>
      <c r="AB84" s="97">
        <v>8</v>
      </c>
      <c r="AC84" s="97">
        <v>12</v>
      </c>
      <c r="AD84" s="97">
        <v>2</v>
      </c>
      <c r="AE84" s="97">
        <v>23</v>
      </c>
      <c r="AF84" s="97"/>
      <c r="AG84" s="97">
        <v>-0.04</v>
      </c>
      <c r="AH84" s="31"/>
      <c r="AI84" s="31"/>
      <c r="AJ84" s="31"/>
      <c r="AK84" s="31"/>
      <c r="AL84" s="101">
        <v>0</v>
      </c>
      <c r="AM84" s="101">
        <v>7</v>
      </c>
      <c r="AN84" s="101">
        <v>0</v>
      </c>
      <c r="AO84" s="101">
        <v>0</v>
      </c>
      <c r="AP84" s="101">
        <v>12</v>
      </c>
      <c r="AQ84" s="90">
        <v>2</v>
      </c>
      <c r="AR84" s="90">
        <v>0</v>
      </c>
      <c r="AS84" s="90">
        <v>1</v>
      </c>
      <c r="AT84" s="90">
        <v>1</v>
      </c>
      <c r="AU84" s="92"/>
      <c r="AV84" s="94"/>
      <c r="AW84" s="94"/>
      <c r="AX84" s="94"/>
      <c r="AY84" s="94"/>
      <c r="AZ84" s="94"/>
      <c r="BA84" s="94"/>
      <c r="BB84" s="94"/>
      <c r="BC84" s="94"/>
      <c r="BD84" s="94"/>
      <c r="BE84" s="94"/>
      <c r="BF84" s="94"/>
      <c r="BG84" s="94"/>
      <c r="BH84" s="94"/>
      <c r="BI84" s="94"/>
      <c r="BJ84" s="94"/>
      <c r="BK84" s="94"/>
      <c r="BL84" s="92"/>
      <c r="BM84" s="94"/>
      <c r="BN84" s="94"/>
      <c r="BO84" s="94"/>
      <c r="BP84" s="94"/>
      <c r="BQ84" s="92"/>
      <c r="BR84" s="92"/>
      <c r="BS84" s="92"/>
      <c r="BT84" s="92"/>
      <c r="BU84" s="92"/>
      <c r="BV84" s="92"/>
      <c r="BW84" s="92"/>
      <c r="BX84" s="92"/>
      <c r="BY84" s="92"/>
      <c r="BZ84" s="92"/>
    </row>
    <row r="85" spans="1:78" ht="12.9">
      <c r="A85" s="100" t="s">
        <v>360</v>
      </c>
      <c r="B85" s="85">
        <v>1</v>
      </c>
      <c r="C85" s="26">
        <v>51</v>
      </c>
      <c r="D85" s="26">
        <v>61</v>
      </c>
      <c r="E85" s="26" t="s">
        <v>231</v>
      </c>
      <c r="F85" s="26" t="s">
        <v>193</v>
      </c>
      <c r="G85" s="26">
        <v>1</v>
      </c>
      <c r="H85" s="26" t="s">
        <v>361</v>
      </c>
      <c r="I85" s="102">
        <v>74</v>
      </c>
      <c r="J85" s="102">
        <v>75</v>
      </c>
      <c r="K85" s="97">
        <v>1988</v>
      </c>
      <c r="L85" s="26" t="s">
        <v>188</v>
      </c>
      <c r="M85" s="26" t="s">
        <v>280</v>
      </c>
      <c r="N85" s="26">
        <v>1</v>
      </c>
      <c r="O85" s="102">
        <v>0</v>
      </c>
      <c r="P85" s="26">
        <v>0</v>
      </c>
      <c r="Q85" s="26">
        <v>0</v>
      </c>
      <c r="R85" s="11" t="b">
        <f t="shared" si="0"/>
        <v>0</v>
      </c>
      <c r="S85" s="103" t="s">
        <v>190</v>
      </c>
      <c r="T85" s="97">
        <v>1</v>
      </c>
      <c r="U85" s="97">
        <v>0.84</v>
      </c>
      <c r="V85" s="97">
        <v>0.75</v>
      </c>
      <c r="W85" s="101">
        <v>0.84</v>
      </c>
      <c r="X85" s="101">
        <v>0.75</v>
      </c>
      <c r="Y85" s="26" t="s">
        <v>240</v>
      </c>
      <c r="Z85" s="56"/>
      <c r="AA85" s="97">
        <v>22</v>
      </c>
      <c r="AB85" s="97">
        <v>5</v>
      </c>
      <c r="AC85" s="97">
        <v>21</v>
      </c>
      <c r="AD85" s="97">
        <v>2</v>
      </c>
      <c r="AE85" s="97">
        <v>50</v>
      </c>
      <c r="AF85" s="97"/>
      <c r="AG85" s="97">
        <v>0.62</v>
      </c>
      <c r="AH85" s="31"/>
      <c r="AI85" s="31"/>
      <c r="AJ85" s="31"/>
      <c r="AK85" s="31"/>
      <c r="AL85" s="97">
        <v>12</v>
      </c>
      <c r="AM85" s="97">
        <v>5</v>
      </c>
      <c r="AN85" s="97">
        <v>1</v>
      </c>
      <c r="AO85" s="97">
        <v>2</v>
      </c>
      <c r="AP85" s="97">
        <v>21</v>
      </c>
      <c r="AQ85" s="90">
        <v>0</v>
      </c>
      <c r="AR85" s="90">
        <v>0</v>
      </c>
      <c r="AS85" s="90">
        <v>0</v>
      </c>
      <c r="AT85" s="90">
        <v>9</v>
      </c>
      <c r="AU85" s="92"/>
      <c r="AV85" s="94"/>
      <c r="AW85" s="94"/>
      <c r="AX85" s="94"/>
      <c r="AY85" s="94"/>
      <c r="AZ85" s="94"/>
      <c r="BA85" s="94"/>
      <c r="BB85" s="94"/>
      <c r="BC85" s="94"/>
      <c r="BD85" s="94"/>
      <c r="BE85" s="94"/>
      <c r="BF85" s="94"/>
      <c r="BG85" s="94"/>
      <c r="BH85" s="94"/>
      <c r="BI85" s="94"/>
      <c r="BJ85" s="94"/>
      <c r="BK85" s="94"/>
      <c r="BL85" s="92"/>
      <c r="BM85" s="94"/>
      <c r="BN85" s="94"/>
      <c r="BO85" s="94"/>
      <c r="BP85" s="94"/>
      <c r="BQ85" s="92"/>
      <c r="BR85" s="92"/>
      <c r="BS85" s="92"/>
      <c r="BT85" s="92"/>
      <c r="BU85" s="92"/>
      <c r="BV85" s="92"/>
      <c r="BW85" s="92"/>
      <c r="BX85" s="92"/>
      <c r="BY85" s="92"/>
      <c r="BZ85" s="92"/>
    </row>
    <row r="86" spans="1:78" ht="12.9">
      <c r="A86" s="85" t="s">
        <v>362</v>
      </c>
      <c r="B86" s="85">
        <v>1</v>
      </c>
      <c r="C86" s="26">
        <v>52</v>
      </c>
      <c r="D86" s="26">
        <v>62</v>
      </c>
      <c r="E86" s="26" t="s">
        <v>231</v>
      </c>
      <c r="F86" s="26" t="s">
        <v>193</v>
      </c>
      <c r="G86" s="26">
        <v>1</v>
      </c>
      <c r="H86" s="26" t="s">
        <v>363</v>
      </c>
      <c r="I86" s="26">
        <v>18</v>
      </c>
      <c r="J86" s="26">
        <v>19</v>
      </c>
      <c r="K86" s="97">
        <v>1986</v>
      </c>
      <c r="L86" s="26" t="s">
        <v>364</v>
      </c>
      <c r="M86" s="26" t="s">
        <v>201</v>
      </c>
      <c r="N86" s="26">
        <v>1</v>
      </c>
      <c r="O86" s="26">
        <v>0</v>
      </c>
      <c r="P86" s="26">
        <v>0</v>
      </c>
      <c r="Q86" s="26">
        <v>0</v>
      </c>
      <c r="R86" s="11" t="b">
        <f t="shared" si="0"/>
        <v>0</v>
      </c>
      <c r="S86" s="103" t="s">
        <v>190</v>
      </c>
      <c r="T86" s="97">
        <v>1</v>
      </c>
      <c r="U86" s="97">
        <v>0.94</v>
      </c>
      <c r="V86" s="31"/>
      <c r="W86" s="97">
        <v>0.94</v>
      </c>
      <c r="X86" s="31"/>
      <c r="Y86" s="26" t="s">
        <v>240</v>
      </c>
      <c r="Z86" s="56"/>
      <c r="AA86" s="97">
        <v>3</v>
      </c>
      <c r="AB86" s="97">
        <v>0</v>
      </c>
      <c r="AC86" s="97">
        <v>6</v>
      </c>
      <c r="AD86" s="97">
        <v>0</v>
      </c>
      <c r="AE86" s="97">
        <v>9</v>
      </c>
      <c r="AF86" s="97"/>
      <c r="AG86" s="97">
        <v>0.52</v>
      </c>
      <c r="AH86" s="97">
        <v>1</v>
      </c>
      <c r="AI86" s="31"/>
      <c r="AJ86" s="31"/>
      <c r="AK86" s="31"/>
      <c r="AL86" s="97">
        <v>3</v>
      </c>
      <c r="AM86" s="97">
        <v>0</v>
      </c>
      <c r="AN86" s="97">
        <v>0</v>
      </c>
      <c r="AO86" s="97">
        <v>0</v>
      </c>
      <c r="AP86" s="97">
        <v>6</v>
      </c>
      <c r="AQ86" s="90">
        <v>0</v>
      </c>
      <c r="AR86" s="90">
        <v>0</v>
      </c>
      <c r="AS86" s="90">
        <v>0</v>
      </c>
      <c r="AT86" s="90">
        <v>0</v>
      </c>
      <c r="AU86" s="92"/>
      <c r="AV86" s="94"/>
      <c r="AW86" s="94"/>
      <c r="AX86" s="94"/>
      <c r="AY86" s="94"/>
      <c r="AZ86" s="94"/>
      <c r="BA86" s="94"/>
      <c r="BB86" s="94"/>
      <c r="BC86" s="94"/>
      <c r="BD86" s="94"/>
      <c r="BE86" s="94"/>
      <c r="BF86" s="94"/>
      <c r="BG86" s="94"/>
      <c r="BH86" s="94"/>
      <c r="BI86" s="94"/>
      <c r="BJ86" s="94"/>
      <c r="BK86" s="94"/>
      <c r="BL86" s="92"/>
      <c r="BM86" s="94"/>
      <c r="BN86" s="94"/>
      <c r="BO86" s="94"/>
      <c r="BP86" s="94"/>
      <c r="BQ86" s="92"/>
      <c r="BR86" s="92"/>
      <c r="BS86" s="92"/>
      <c r="BT86" s="92"/>
      <c r="BU86" s="92"/>
      <c r="BV86" s="92"/>
      <c r="BW86" s="92"/>
      <c r="BX86" s="92"/>
      <c r="BY86" s="92"/>
      <c r="BZ86" s="92"/>
    </row>
    <row r="87" spans="1:78" ht="12.9">
      <c r="A87" s="85" t="s">
        <v>365</v>
      </c>
      <c r="B87" s="85">
        <v>1</v>
      </c>
      <c r="C87" s="26">
        <v>53</v>
      </c>
      <c r="D87" s="26">
        <v>63</v>
      </c>
      <c r="E87" s="26" t="s">
        <v>231</v>
      </c>
      <c r="F87" s="26" t="s">
        <v>193</v>
      </c>
      <c r="G87" s="26">
        <v>1</v>
      </c>
      <c r="H87" s="26" t="s">
        <v>366</v>
      </c>
      <c r="I87" s="26">
        <v>12</v>
      </c>
      <c r="J87" s="26">
        <v>18</v>
      </c>
      <c r="K87" s="97">
        <v>1999</v>
      </c>
      <c r="L87" s="26" t="s">
        <v>188</v>
      </c>
      <c r="M87" s="26" t="s">
        <v>201</v>
      </c>
      <c r="N87" s="26">
        <v>0</v>
      </c>
      <c r="O87" s="26">
        <v>0</v>
      </c>
      <c r="P87" s="26">
        <v>1</v>
      </c>
      <c r="Q87" s="26">
        <v>0</v>
      </c>
      <c r="R87" s="11" t="b">
        <f t="shared" si="0"/>
        <v>1</v>
      </c>
      <c r="S87" s="103" t="s">
        <v>196</v>
      </c>
      <c r="T87" s="97">
        <v>1</v>
      </c>
      <c r="U87" s="97">
        <v>0.8</v>
      </c>
      <c r="V87" s="31"/>
      <c r="W87" s="97">
        <v>0.8</v>
      </c>
      <c r="X87" s="31"/>
      <c r="Y87" s="26" t="s">
        <v>202</v>
      </c>
      <c r="Z87" s="56"/>
      <c r="AA87" s="97">
        <v>33</v>
      </c>
      <c r="AB87" s="97">
        <v>12</v>
      </c>
      <c r="AC87" s="97">
        <v>26</v>
      </c>
      <c r="AD87" s="97">
        <v>19</v>
      </c>
      <c r="AE87" s="97">
        <v>90</v>
      </c>
      <c r="AF87" s="97"/>
      <c r="AG87" s="31"/>
      <c r="AH87" s="31"/>
      <c r="AI87" s="31"/>
      <c r="AJ87" s="31"/>
      <c r="AK87" s="31"/>
      <c r="AL87" s="31"/>
      <c r="AM87" s="31"/>
      <c r="AN87" s="31"/>
      <c r="AO87" s="31"/>
      <c r="AP87" s="31"/>
      <c r="AQ87" s="94"/>
      <c r="AR87" s="94"/>
      <c r="AS87" s="94"/>
      <c r="AT87" s="94"/>
      <c r="AU87" s="92"/>
      <c r="AV87" s="90">
        <v>5</v>
      </c>
      <c r="AW87" s="90">
        <v>4</v>
      </c>
      <c r="AX87" s="90">
        <v>0</v>
      </c>
      <c r="AY87" s="90">
        <v>4</v>
      </c>
      <c r="AZ87" s="90">
        <v>9</v>
      </c>
      <c r="BA87" s="90">
        <v>26</v>
      </c>
      <c r="BB87" s="90">
        <v>3</v>
      </c>
      <c r="BC87" s="90">
        <v>7</v>
      </c>
      <c r="BD87" s="90">
        <v>5</v>
      </c>
      <c r="BE87" s="90">
        <v>4</v>
      </c>
      <c r="BF87" s="90">
        <v>2</v>
      </c>
      <c r="BG87" s="90">
        <v>3</v>
      </c>
      <c r="BH87" s="90">
        <v>1</v>
      </c>
      <c r="BI87" s="90">
        <v>4</v>
      </c>
      <c r="BJ87" s="90">
        <v>1</v>
      </c>
      <c r="BK87" s="90">
        <v>12</v>
      </c>
      <c r="BL87" s="95">
        <v>0.28000000000000003</v>
      </c>
      <c r="BM87" s="90">
        <v>58</v>
      </c>
      <c r="BN87" s="90">
        <v>14</v>
      </c>
      <c r="BO87" s="90">
        <v>12</v>
      </c>
      <c r="BP87" s="90">
        <v>6</v>
      </c>
      <c r="BQ87" s="92"/>
      <c r="BR87" s="92"/>
      <c r="BS87" s="92"/>
      <c r="BT87" s="92"/>
      <c r="BU87" s="92"/>
      <c r="BV87" s="92"/>
      <c r="BW87" s="92"/>
      <c r="BX87" s="92"/>
      <c r="BY87" s="92"/>
      <c r="BZ87" s="92"/>
    </row>
    <row r="88" spans="1:78" ht="12.9">
      <c r="A88" s="85" t="s">
        <v>367</v>
      </c>
      <c r="B88" s="85">
        <v>1</v>
      </c>
      <c r="C88" s="26">
        <v>54</v>
      </c>
      <c r="D88" s="26">
        <v>64</v>
      </c>
      <c r="E88" s="26" t="s">
        <v>231</v>
      </c>
      <c r="F88" s="26" t="s">
        <v>193</v>
      </c>
      <c r="G88" s="26">
        <v>1</v>
      </c>
      <c r="H88" s="26" t="s">
        <v>368</v>
      </c>
      <c r="I88" s="26">
        <v>12</v>
      </c>
      <c r="J88" s="26">
        <v>18</v>
      </c>
      <c r="K88" s="97">
        <v>1979</v>
      </c>
      <c r="L88" s="26" t="s">
        <v>188</v>
      </c>
      <c r="M88" s="26" t="s">
        <v>201</v>
      </c>
      <c r="N88" s="26">
        <v>1</v>
      </c>
      <c r="O88" s="26">
        <v>0</v>
      </c>
      <c r="P88" s="26">
        <v>1</v>
      </c>
      <c r="Q88" s="26">
        <v>0</v>
      </c>
      <c r="R88" s="11" t="b">
        <f t="shared" si="0"/>
        <v>1</v>
      </c>
      <c r="S88" s="103" t="s">
        <v>190</v>
      </c>
      <c r="T88" s="97">
        <v>1</v>
      </c>
      <c r="U88" s="97">
        <v>0.89</v>
      </c>
      <c r="V88" s="31"/>
      <c r="W88" s="97">
        <v>0.92</v>
      </c>
      <c r="X88" s="31"/>
      <c r="Y88" s="26" t="s">
        <v>240</v>
      </c>
      <c r="Z88" s="56"/>
      <c r="AA88" s="97">
        <v>24</v>
      </c>
      <c r="AB88" s="97">
        <v>21</v>
      </c>
      <c r="AC88" s="97">
        <v>45</v>
      </c>
      <c r="AD88" s="97">
        <v>10</v>
      </c>
      <c r="AE88" s="97">
        <v>100</v>
      </c>
      <c r="AF88" s="97"/>
      <c r="AG88" s="97">
        <v>0.37</v>
      </c>
      <c r="AH88" s="97">
        <v>0.37</v>
      </c>
      <c r="AI88" s="31"/>
      <c r="AJ88" s="31"/>
      <c r="AK88" s="97"/>
      <c r="AL88" s="97">
        <v>11</v>
      </c>
      <c r="AM88" s="97">
        <v>10</v>
      </c>
      <c r="AN88" s="97">
        <v>2</v>
      </c>
      <c r="AO88" s="97">
        <v>7</v>
      </c>
      <c r="AP88" s="97">
        <v>45</v>
      </c>
      <c r="AQ88" s="90">
        <v>3</v>
      </c>
      <c r="AR88" s="90">
        <v>5</v>
      </c>
      <c r="AS88" s="90">
        <v>11</v>
      </c>
      <c r="AT88" s="90">
        <v>6</v>
      </c>
      <c r="AU88" s="95">
        <v>0.3</v>
      </c>
      <c r="AV88" s="94"/>
      <c r="AW88" s="94"/>
      <c r="AX88" s="94"/>
      <c r="AY88" s="94"/>
      <c r="AZ88" s="94"/>
      <c r="BA88" s="94"/>
      <c r="BB88" s="94"/>
      <c r="BC88" s="94"/>
      <c r="BD88" s="94"/>
      <c r="BE88" s="94"/>
      <c r="BF88" s="94"/>
      <c r="BG88" s="94"/>
      <c r="BH88" s="94"/>
      <c r="BI88" s="94"/>
      <c r="BJ88" s="94"/>
      <c r="BK88" s="94"/>
      <c r="BL88" s="92"/>
      <c r="BM88" s="94"/>
      <c r="BN88" s="94"/>
      <c r="BO88" s="94"/>
      <c r="BP88" s="94"/>
      <c r="BQ88" s="92"/>
      <c r="BR88" s="92"/>
      <c r="BS88" s="92"/>
      <c r="BT88" s="92"/>
      <c r="BU88" s="92"/>
      <c r="BV88" s="92"/>
      <c r="BW88" s="92"/>
      <c r="BX88" s="92"/>
      <c r="BY88" s="92"/>
      <c r="BZ88" s="92"/>
    </row>
    <row r="89" spans="1:78" ht="12.9">
      <c r="A89" s="85" t="s">
        <v>369</v>
      </c>
      <c r="B89" s="85">
        <v>1</v>
      </c>
      <c r="C89" s="26">
        <v>55</v>
      </c>
      <c r="D89" s="26">
        <v>65</v>
      </c>
      <c r="E89" s="26" t="s">
        <v>370</v>
      </c>
      <c r="F89" s="26" t="s">
        <v>186</v>
      </c>
      <c r="G89" s="26">
        <v>1</v>
      </c>
      <c r="H89" s="26" t="s">
        <v>371</v>
      </c>
      <c r="I89" s="26">
        <v>12</v>
      </c>
      <c r="J89" s="26">
        <v>18</v>
      </c>
      <c r="K89" s="97">
        <v>1985</v>
      </c>
      <c r="L89" s="26" t="s">
        <v>188</v>
      </c>
      <c r="M89" s="26" t="s">
        <v>201</v>
      </c>
      <c r="N89" s="26">
        <v>1</v>
      </c>
      <c r="O89" s="26">
        <v>0</v>
      </c>
      <c r="P89" s="26">
        <v>0</v>
      </c>
      <c r="Q89" s="26">
        <v>0</v>
      </c>
      <c r="R89" s="11" t="b">
        <f t="shared" si="0"/>
        <v>0</v>
      </c>
      <c r="S89" s="103" t="s">
        <v>196</v>
      </c>
      <c r="T89" s="97">
        <v>1</v>
      </c>
      <c r="U89" s="97">
        <v>0.89</v>
      </c>
      <c r="V89" s="31"/>
      <c r="W89" s="97">
        <v>0.9</v>
      </c>
      <c r="X89" s="31"/>
      <c r="Y89" s="26" t="s">
        <v>240</v>
      </c>
      <c r="Z89" s="56"/>
      <c r="AA89" s="97">
        <v>4</v>
      </c>
      <c r="AB89" s="97">
        <v>2</v>
      </c>
      <c r="AC89" s="97">
        <v>9</v>
      </c>
      <c r="AD89" s="97">
        <v>2</v>
      </c>
      <c r="AE89" s="97">
        <v>17</v>
      </c>
      <c r="AF89" s="97"/>
      <c r="AG89" s="31"/>
      <c r="AH89" s="31"/>
      <c r="AI89" s="31"/>
      <c r="AJ89" s="31"/>
      <c r="AK89" s="31"/>
      <c r="AL89" s="97">
        <v>0</v>
      </c>
      <c r="AM89" s="97">
        <v>2</v>
      </c>
      <c r="AN89" s="97">
        <v>0</v>
      </c>
      <c r="AO89" s="97">
        <v>0</v>
      </c>
      <c r="AP89" s="97">
        <v>9</v>
      </c>
      <c r="AQ89" s="90">
        <v>2</v>
      </c>
      <c r="AR89" s="90">
        <v>0</v>
      </c>
      <c r="AS89" s="90">
        <v>0</v>
      </c>
      <c r="AT89" s="90">
        <v>4</v>
      </c>
      <c r="AU89" s="95">
        <v>0.53</v>
      </c>
      <c r="AV89" s="94"/>
      <c r="AW89" s="94"/>
      <c r="AX89" s="94"/>
      <c r="AY89" s="94"/>
      <c r="AZ89" s="94"/>
      <c r="BA89" s="94"/>
      <c r="BB89" s="94"/>
      <c r="BC89" s="94"/>
      <c r="BD89" s="94"/>
      <c r="BE89" s="94"/>
      <c r="BF89" s="94"/>
      <c r="BG89" s="94"/>
      <c r="BH89" s="94"/>
      <c r="BI89" s="94"/>
      <c r="BJ89" s="94"/>
      <c r="BK89" s="94"/>
      <c r="BL89" s="92"/>
      <c r="BM89" s="94"/>
      <c r="BN89" s="94"/>
      <c r="BO89" s="94"/>
      <c r="BP89" s="94"/>
      <c r="BQ89" s="92"/>
      <c r="BR89" s="92"/>
      <c r="BS89" s="92"/>
      <c r="BT89" s="92"/>
      <c r="BU89" s="92"/>
      <c r="BV89" s="92"/>
      <c r="BW89" s="92"/>
      <c r="BX89" s="92"/>
      <c r="BY89" s="92"/>
      <c r="BZ89" s="92"/>
    </row>
    <row r="90" spans="1:78" ht="12.9">
      <c r="A90" s="85" t="s">
        <v>369</v>
      </c>
      <c r="B90" s="85">
        <v>1</v>
      </c>
      <c r="C90" s="26">
        <v>55</v>
      </c>
      <c r="D90" s="26">
        <v>65</v>
      </c>
      <c r="E90" s="26" t="s">
        <v>372</v>
      </c>
      <c r="F90" s="26" t="s">
        <v>186</v>
      </c>
      <c r="G90" s="26">
        <v>2</v>
      </c>
      <c r="H90" s="26" t="s">
        <v>371</v>
      </c>
      <c r="I90" s="26">
        <v>12</v>
      </c>
      <c r="J90" s="26">
        <v>18</v>
      </c>
      <c r="K90" s="97">
        <v>1985</v>
      </c>
      <c r="L90" s="26" t="s">
        <v>188</v>
      </c>
      <c r="M90" s="26" t="s">
        <v>201</v>
      </c>
      <c r="N90" s="26">
        <v>1</v>
      </c>
      <c r="O90" s="26">
        <v>0</v>
      </c>
      <c r="P90" s="26">
        <v>0</v>
      </c>
      <c r="Q90" s="26">
        <v>0</v>
      </c>
      <c r="R90" s="11" t="b">
        <f t="shared" si="0"/>
        <v>0</v>
      </c>
      <c r="S90" s="103" t="s">
        <v>196</v>
      </c>
      <c r="T90" s="97">
        <v>1</v>
      </c>
      <c r="U90" s="97">
        <v>0.9</v>
      </c>
      <c r="V90" s="31"/>
      <c r="W90" s="97">
        <v>0.92</v>
      </c>
      <c r="X90" s="31"/>
      <c r="Y90" s="26" t="s">
        <v>240</v>
      </c>
      <c r="Z90" s="56"/>
      <c r="AA90" s="97">
        <v>5</v>
      </c>
      <c r="AB90" s="97">
        <v>3</v>
      </c>
      <c r="AC90" s="97">
        <v>11</v>
      </c>
      <c r="AD90" s="97">
        <v>4</v>
      </c>
      <c r="AE90" s="97">
        <v>23</v>
      </c>
      <c r="AF90" s="97"/>
      <c r="AG90" s="31"/>
      <c r="AH90" s="31"/>
      <c r="AI90" s="31"/>
      <c r="AJ90" s="31"/>
      <c r="AK90" s="31"/>
      <c r="AL90" s="97">
        <v>0</v>
      </c>
      <c r="AM90" s="97">
        <v>1</v>
      </c>
      <c r="AN90" s="97">
        <v>0</v>
      </c>
      <c r="AO90" s="97">
        <v>2</v>
      </c>
      <c r="AP90" s="97">
        <v>11</v>
      </c>
      <c r="AQ90" s="90">
        <v>2</v>
      </c>
      <c r="AR90" s="90">
        <v>0</v>
      </c>
      <c r="AS90" s="90">
        <v>2</v>
      </c>
      <c r="AT90" s="90">
        <v>5</v>
      </c>
      <c r="AU90" s="95">
        <v>0.4</v>
      </c>
      <c r="AV90" s="94"/>
      <c r="AW90" s="94"/>
      <c r="AX90" s="94"/>
      <c r="AY90" s="94"/>
      <c r="AZ90" s="94"/>
      <c r="BA90" s="94"/>
      <c r="BB90" s="94"/>
      <c r="BC90" s="94"/>
      <c r="BD90" s="94"/>
      <c r="BE90" s="94"/>
      <c r="BF90" s="94"/>
      <c r="BG90" s="94"/>
      <c r="BH90" s="94"/>
      <c r="BI90" s="94"/>
      <c r="BJ90" s="94"/>
      <c r="BK90" s="94"/>
      <c r="BL90" s="92"/>
      <c r="BM90" s="94"/>
      <c r="BN90" s="94"/>
      <c r="BO90" s="94"/>
      <c r="BP90" s="94"/>
      <c r="BQ90" s="92"/>
      <c r="BR90" s="92"/>
      <c r="BS90" s="92"/>
      <c r="BT90" s="92"/>
      <c r="BU90" s="92"/>
      <c r="BV90" s="92"/>
      <c r="BW90" s="92"/>
      <c r="BX90" s="92"/>
      <c r="BY90" s="92"/>
      <c r="BZ90" s="92"/>
    </row>
    <row r="91" spans="1:78" ht="12.9">
      <c r="A91" s="85" t="s">
        <v>369</v>
      </c>
      <c r="B91" s="85">
        <v>1</v>
      </c>
      <c r="C91" s="26">
        <v>55</v>
      </c>
      <c r="D91" s="26">
        <v>66</v>
      </c>
      <c r="E91" s="26" t="s">
        <v>373</v>
      </c>
      <c r="F91" s="26" t="s">
        <v>186</v>
      </c>
      <c r="G91" s="26">
        <v>1</v>
      </c>
      <c r="H91" s="26" t="s">
        <v>371</v>
      </c>
      <c r="I91" s="26">
        <v>12</v>
      </c>
      <c r="J91" s="26">
        <v>18</v>
      </c>
      <c r="K91" s="97">
        <v>1985</v>
      </c>
      <c r="L91" s="26" t="s">
        <v>188</v>
      </c>
      <c r="M91" s="26" t="s">
        <v>201</v>
      </c>
      <c r="N91" s="26">
        <v>1</v>
      </c>
      <c r="O91" s="26">
        <v>0</v>
      </c>
      <c r="P91" s="26">
        <v>1</v>
      </c>
      <c r="Q91" s="26">
        <v>0</v>
      </c>
      <c r="R91" s="11" t="b">
        <f t="shared" si="0"/>
        <v>1</v>
      </c>
      <c r="S91" s="103" t="s">
        <v>196</v>
      </c>
      <c r="T91" s="97">
        <v>1</v>
      </c>
      <c r="U91" s="97">
        <v>0.89</v>
      </c>
      <c r="V91" s="31"/>
      <c r="W91" s="97">
        <v>0.9</v>
      </c>
      <c r="X91" s="31"/>
      <c r="Y91" s="26" t="s">
        <v>240</v>
      </c>
      <c r="Z91" s="56"/>
      <c r="AA91" s="97">
        <v>6</v>
      </c>
      <c r="AB91" s="97">
        <v>1</v>
      </c>
      <c r="AC91" s="97">
        <v>1</v>
      </c>
      <c r="AD91" s="97">
        <v>4</v>
      </c>
      <c r="AE91" s="97">
        <v>12</v>
      </c>
      <c r="AF91" s="97"/>
      <c r="AG91" s="31"/>
      <c r="AH91" s="31"/>
      <c r="AI91" s="31"/>
      <c r="AJ91" s="31"/>
      <c r="AK91" s="31"/>
      <c r="AL91" s="97">
        <v>2</v>
      </c>
      <c r="AM91" s="97">
        <v>0</v>
      </c>
      <c r="AN91" s="97">
        <v>1</v>
      </c>
      <c r="AO91" s="97">
        <v>2</v>
      </c>
      <c r="AP91" s="97">
        <v>1</v>
      </c>
      <c r="AQ91" s="90">
        <v>2</v>
      </c>
      <c r="AR91" s="90">
        <v>1</v>
      </c>
      <c r="AS91" s="90">
        <v>1</v>
      </c>
      <c r="AT91" s="90">
        <v>2</v>
      </c>
      <c r="AU91" s="95">
        <v>0.15</v>
      </c>
      <c r="AV91" s="94"/>
      <c r="AW91" s="94"/>
      <c r="AX91" s="94"/>
      <c r="AY91" s="94"/>
      <c r="AZ91" s="94"/>
      <c r="BA91" s="94"/>
      <c r="BB91" s="94"/>
      <c r="BC91" s="94"/>
      <c r="BD91" s="94"/>
      <c r="BE91" s="94"/>
      <c r="BF91" s="94"/>
      <c r="BG91" s="94"/>
      <c r="BH91" s="94"/>
      <c r="BI91" s="94"/>
      <c r="BJ91" s="94"/>
      <c r="BK91" s="94"/>
      <c r="BL91" s="92"/>
      <c r="BM91" s="94"/>
      <c r="BN91" s="94"/>
      <c r="BO91" s="94"/>
      <c r="BP91" s="94"/>
      <c r="BQ91" s="92"/>
      <c r="BR91" s="92"/>
      <c r="BS91" s="92"/>
      <c r="BT91" s="92"/>
      <c r="BU91" s="92"/>
      <c r="BV91" s="92"/>
      <c r="BW91" s="92"/>
      <c r="BX91" s="92"/>
      <c r="BY91" s="92"/>
      <c r="BZ91" s="92"/>
    </row>
    <row r="92" spans="1:78" ht="12.9">
      <c r="A92" s="85" t="s">
        <v>369</v>
      </c>
      <c r="B92" s="85">
        <v>1</v>
      </c>
      <c r="C92" s="26">
        <v>55</v>
      </c>
      <c r="D92" s="26">
        <v>66</v>
      </c>
      <c r="E92" s="26" t="s">
        <v>374</v>
      </c>
      <c r="F92" s="26" t="s">
        <v>186</v>
      </c>
      <c r="G92" s="26">
        <v>2</v>
      </c>
      <c r="H92" s="26" t="s">
        <v>371</v>
      </c>
      <c r="I92" s="26">
        <v>12</v>
      </c>
      <c r="J92" s="26">
        <v>18</v>
      </c>
      <c r="K92" s="97">
        <v>1985</v>
      </c>
      <c r="L92" s="26" t="s">
        <v>188</v>
      </c>
      <c r="M92" s="26" t="s">
        <v>201</v>
      </c>
      <c r="N92" s="26">
        <v>1</v>
      </c>
      <c r="O92" s="26">
        <v>0</v>
      </c>
      <c r="P92" s="26">
        <v>1</v>
      </c>
      <c r="Q92" s="26">
        <v>0</v>
      </c>
      <c r="R92" s="11" t="b">
        <f t="shared" si="0"/>
        <v>1</v>
      </c>
      <c r="S92" s="103" t="s">
        <v>196</v>
      </c>
      <c r="T92" s="97">
        <v>1</v>
      </c>
      <c r="U92" s="97">
        <v>0.9</v>
      </c>
      <c r="V92" s="31"/>
      <c r="W92" s="97">
        <v>0.92</v>
      </c>
      <c r="X92" s="31"/>
      <c r="Y92" s="26" t="s">
        <v>240</v>
      </c>
      <c r="Z92" s="56"/>
      <c r="AA92" s="97">
        <v>13</v>
      </c>
      <c r="AB92" s="97">
        <v>2</v>
      </c>
      <c r="AC92" s="97">
        <v>1</v>
      </c>
      <c r="AD92" s="97">
        <v>3</v>
      </c>
      <c r="AE92" s="97">
        <v>19</v>
      </c>
      <c r="AF92" s="97"/>
      <c r="AG92" s="31"/>
      <c r="AH92" s="31"/>
      <c r="AI92" s="31"/>
      <c r="AJ92" s="31"/>
      <c r="AK92" s="31"/>
      <c r="AL92" s="97">
        <v>7</v>
      </c>
      <c r="AM92" s="97">
        <v>0</v>
      </c>
      <c r="AN92" s="97">
        <v>2</v>
      </c>
      <c r="AO92" s="97">
        <v>2</v>
      </c>
      <c r="AP92" s="97">
        <v>1</v>
      </c>
      <c r="AQ92" s="90">
        <v>1</v>
      </c>
      <c r="AR92" s="90">
        <v>2</v>
      </c>
      <c r="AS92" s="90">
        <v>2</v>
      </c>
      <c r="AT92" s="90">
        <v>2</v>
      </c>
      <c r="AU92" s="95">
        <v>0.22</v>
      </c>
      <c r="AV92" s="94"/>
      <c r="AW92" s="94"/>
      <c r="AX92" s="94"/>
      <c r="AY92" s="94"/>
      <c r="AZ92" s="94"/>
      <c r="BA92" s="94"/>
      <c r="BB92" s="94"/>
      <c r="BC92" s="94"/>
      <c r="BD92" s="94"/>
      <c r="BE92" s="94"/>
      <c r="BF92" s="94"/>
      <c r="BG92" s="94"/>
      <c r="BH92" s="94"/>
      <c r="BI92" s="94"/>
      <c r="BJ92" s="94"/>
      <c r="BK92" s="94"/>
      <c r="BL92" s="92"/>
      <c r="BM92" s="94"/>
      <c r="BN92" s="94"/>
      <c r="BO92" s="94"/>
      <c r="BP92" s="94"/>
      <c r="BQ92" s="92"/>
      <c r="BR92" s="92"/>
      <c r="BS92" s="92"/>
      <c r="BT92" s="92"/>
      <c r="BU92" s="92"/>
      <c r="BV92" s="92"/>
      <c r="BW92" s="92"/>
      <c r="BX92" s="92"/>
      <c r="BY92" s="92"/>
      <c r="BZ92" s="92"/>
    </row>
    <row r="93" spans="1:78" ht="12.9">
      <c r="A93" s="85" t="s">
        <v>375</v>
      </c>
      <c r="B93" s="85">
        <v>1</v>
      </c>
      <c r="C93" s="26">
        <v>56</v>
      </c>
      <c r="D93" s="26">
        <v>67</v>
      </c>
      <c r="E93" s="26" t="s">
        <v>376</v>
      </c>
      <c r="F93" s="102" t="s">
        <v>193</v>
      </c>
      <c r="G93" s="26">
        <v>1</v>
      </c>
      <c r="H93" s="104" t="s">
        <v>377</v>
      </c>
      <c r="I93" s="25">
        <v>14</v>
      </c>
      <c r="J93" s="26">
        <v>19</v>
      </c>
      <c r="K93" s="97">
        <v>1996</v>
      </c>
      <c r="L93" s="26" t="s">
        <v>188</v>
      </c>
      <c r="M93" s="103" t="s">
        <v>201</v>
      </c>
      <c r="N93" s="26">
        <v>1</v>
      </c>
      <c r="O93" s="26">
        <v>0</v>
      </c>
      <c r="P93" s="26">
        <v>0</v>
      </c>
      <c r="Q93" s="26">
        <v>0</v>
      </c>
      <c r="R93" s="11" t="b">
        <f t="shared" si="0"/>
        <v>0</v>
      </c>
      <c r="S93" s="103" t="s">
        <v>190</v>
      </c>
      <c r="T93" s="97">
        <v>1</v>
      </c>
      <c r="U93" s="97">
        <v>0.9</v>
      </c>
      <c r="V93" s="31"/>
      <c r="W93" s="97">
        <v>0.9</v>
      </c>
      <c r="X93" s="31"/>
      <c r="Y93" s="102" t="s">
        <v>240</v>
      </c>
      <c r="Z93" s="56"/>
      <c r="AA93" s="97">
        <v>3</v>
      </c>
      <c r="AB93" s="97">
        <v>9</v>
      </c>
      <c r="AC93" s="97">
        <v>22</v>
      </c>
      <c r="AD93" s="97">
        <v>5</v>
      </c>
      <c r="AE93" s="97">
        <v>39</v>
      </c>
      <c r="AF93" s="97"/>
      <c r="AG93" s="101">
        <v>7.0000000000000007E-2</v>
      </c>
      <c r="AH93" s="31"/>
      <c r="AI93" s="31"/>
      <c r="AJ93" s="31"/>
      <c r="AK93" s="31"/>
      <c r="AL93" s="31"/>
      <c r="AM93" s="31"/>
      <c r="AN93" s="31"/>
      <c r="AO93" s="31"/>
      <c r="AP93" s="31"/>
      <c r="AQ93" s="94"/>
      <c r="AR93" s="94"/>
      <c r="AS93" s="94"/>
      <c r="AT93" s="94"/>
      <c r="AU93" s="92"/>
      <c r="AV93" s="94"/>
      <c r="AW93" s="94"/>
      <c r="AX93" s="94"/>
      <c r="AY93" s="94"/>
      <c r="AZ93" s="94"/>
      <c r="BA93" s="94"/>
      <c r="BB93" s="94"/>
      <c r="BC93" s="94"/>
      <c r="BD93" s="94"/>
      <c r="BE93" s="94"/>
      <c r="BF93" s="94"/>
      <c r="BG93" s="94"/>
      <c r="BH93" s="94"/>
      <c r="BI93" s="94"/>
      <c r="BJ93" s="94"/>
      <c r="BK93" s="94"/>
      <c r="BL93" s="92"/>
      <c r="BM93" s="94"/>
      <c r="BN93" s="94"/>
      <c r="BO93" s="94"/>
      <c r="BP93" s="94"/>
      <c r="BQ93" s="92"/>
      <c r="BR93" s="92"/>
      <c r="BS93" s="92"/>
      <c r="BT93" s="92"/>
      <c r="BU93" s="92"/>
      <c r="BV93" s="92"/>
      <c r="BW93" s="92"/>
      <c r="BX93" s="92"/>
      <c r="BY93" s="92"/>
      <c r="BZ93" s="92"/>
    </row>
    <row r="94" spans="1:78" ht="12.9">
      <c r="A94" s="85" t="s">
        <v>375</v>
      </c>
      <c r="B94" s="85">
        <v>1</v>
      </c>
      <c r="C94" s="26">
        <v>56</v>
      </c>
      <c r="D94" s="26">
        <v>68</v>
      </c>
      <c r="E94" s="26" t="s">
        <v>378</v>
      </c>
      <c r="F94" s="102" t="s">
        <v>193</v>
      </c>
      <c r="G94" s="26">
        <v>1</v>
      </c>
      <c r="H94" s="104" t="s">
        <v>377</v>
      </c>
      <c r="I94" s="25">
        <v>14</v>
      </c>
      <c r="J94" s="26">
        <v>19</v>
      </c>
      <c r="K94" s="97">
        <v>1996</v>
      </c>
      <c r="L94" s="26" t="s">
        <v>188</v>
      </c>
      <c r="M94" s="103" t="s">
        <v>201</v>
      </c>
      <c r="N94" s="26">
        <v>1</v>
      </c>
      <c r="O94" s="26">
        <v>0</v>
      </c>
      <c r="P94" s="26">
        <v>0</v>
      </c>
      <c r="Q94" s="26">
        <v>1</v>
      </c>
      <c r="R94" s="11" t="b">
        <f t="shared" si="0"/>
        <v>1</v>
      </c>
      <c r="S94" s="103" t="s">
        <v>190</v>
      </c>
      <c r="T94" s="97">
        <v>1</v>
      </c>
      <c r="U94" s="97">
        <v>0.9</v>
      </c>
      <c r="V94" s="31"/>
      <c r="W94" s="97">
        <v>0.9</v>
      </c>
      <c r="X94" s="31"/>
      <c r="Y94" s="102" t="s">
        <v>240</v>
      </c>
      <c r="Z94" s="56"/>
      <c r="AA94" s="97">
        <v>7</v>
      </c>
      <c r="AB94" s="97">
        <v>5</v>
      </c>
      <c r="AC94" s="97">
        <v>11</v>
      </c>
      <c r="AD94" s="97">
        <v>8</v>
      </c>
      <c r="AE94" s="97">
        <v>31</v>
      </c>
      <c r="AF94" s="97"/>
      <c r="AG94" s="101">
        <v>0.16</v>
      </c>
      <c r="AH94" s="31"/>
      <c r="AI94" s="31"/>
      <c r="AJ94" s="31"/>
      <c r="AK94" s="31"/>
      <c r="AL94" s="31"/>
      <c r="AM94" s="31"/>
      <c r="AN94" s="31"/>
      <c r="AO94" s="31"/>
      <c r="AP94" s="31"/>
      <c r="AQ94" s="94"/>
      <c r="AR94" s="94"/>
      <c r="AS94" s="94"/>
      <c r="AT94" s="94"/>
      <c r="AU94" s="92"/>
      <c r="AV94" s="94"/>
      <c r="AW94" s="94"/>
      <c r="AX94" s="94"/>
      <c r="AY94" s="94"/>
      <c r="AZ94" s="94"/>
      <c r="BA94" s="94"/>
      <c r="BB94" s="94"/>
      <c r="BC94" s="94"/>
      <c r="BD94" s="94"/>
      <c r="BE94" s="94"/>
      <c r="BF94" s="94"/>
      <c r="BG94" s="94"/>
      <c r="BH94" s="94"/>
      <c r="BI94" s="94"/>
      <c r="BJ94" s="94"/>
      <c r="BK94" s="94"/>
      <c r="BL94" s="92"/>
      <c r="BM94" s="94"/>
      <c r="BN94" s="94"/>
      <c r="BO94" s="94"/>
      <c r="BP94" s="94"/>
      <c r="BQ94" s="92"/>
      <c r="BR94" s="92"/>
      <c r="BS94" s="92"/>
      <c r="BT94" s="92"/>
      <c r="BU94" s="92"/>
      <c r="BV94" s="92"/>
      <c r="BW94" s="92"/>
      <c r="BX94" s="92"/>
      <c r="BY94" s="92"/>
      <c r="BZ94" s="92"/>
    </row>
    <row r="95" spans="1:78" ht="12.9">
      <c r="A95" s="85" t="s">
        <v>379</v>
      </c>
      <c r="B95" s="85">
        <v>1</v>
      </c>
      <c r="C95" s="26">
        <v>57</v>
      </c>
      <c r="D95" s="26">
        <v>69</v>
      </c>
      <c r="E95" s="26" t="s">
        <v>380</v>
      </c>
      <c r="F95" s="102" t="s">
        <v>193</v>
      </c>
      <c r="G95" s="26">
        <v>1</v>
      </c>
      <c r="H95" s="26" t="s">
        <v>381</v>
      </c>
      <c r="I95" s="102">
        <v>12</v>
      </c>
      <c r="J95" s="102">
        <v>24</v>
      </c>
      <c r="K95" s="97">
        <v>1994</v>
      </c>
      <c r="L95" s="26" t="s">
        <v>188</v>
      </c>
      <c r="M95" s="64" t="s">
        <v>201</v>
      </c>
      <c r="N95" s="26">
        <v>0</v>
      </c>
      <c r="O95" s="102">
        <v>0</v>
      </c>
      <c r="P95" s="26">
        <v>0</v>
      </c>
      <c r="Q95" s="26">
        <v>0</v>
      </c>
      <c r="R95" s="11" t="b">
        <f t="shared" si="0"/>
        <v>0</v>
      </c>
      <c r="S95" s="26" t="s">
        <v>313</v>
      </c>
      <c r="T95" s="97">
        <v>0</v>
      </c>
      <c r="U95" s="101">
        <v>0.82</v>
      </c>
      <c r="V95" s="31"/>
      <c r="W95" s="101">
        <v>0.82</v>
      </c>
      <c r="X95" s="31"/>
      <c r="Y95" s="102" t="s">
        <v>240</v>
      </c>
      <c r="Z95" s="56"/>
      <c r="AA95" s="97"/>
      <c r="AB95" s="97"/>
      <c r="AC95" s="97"/>
      <c r="AD95" s="97"/>
      <c r="AE95" s="97">
        <v>44</v>
      </c>
      <c r="AF95" s="97">
        <v>0.27</v>
      </c>
      <c r="AG95" s="31"/>
      <c r="AH95" s="31"/>
      <c r="AI95" s="97">
        <v>13.2</v>
      </c>
      <c r="AJ95" s="97">
        <v>1</v>
      </c>
      <c r="AK95" s="31"/>
      <c r="AL95" s="31"/>
      <c r="AM95" s="31"/>
      <c r="AN95" s="31"/>
      <c r="AO95" s="31"/>
      <c r="AP95" s="31"/>
      <c r="AQ95" s="94"/>
      <c r="AR95" s="94"/>
      <c r="AS95" s="94"/>
      <c r="AT95" s="94"/>
      <c r="AU95" s="92"/>
      <c r="AV95" s="94"/>
      <c r="AW95" s="94"/>
      <c r="AX95" s="94"/>
      <c r="AY95" s="94"/>
      <c r="AZ95" s="94"/>
      <c r="BA95" s="94"/>
      <c r="BB95" s="94"/>
      <c r="BC95" s="94"/>
      <c r="BD95" s="94"/>
      <c r="BE95" s="94"/>
      <c r="BF95" s="94"/>
      <c r="BG95" s="94"/>
      <c r="BH95" s="94"/>
      <c r="BI95" s="94"/>
      <c r="BJ95" s="94"/>
      <c r="BK95" s="94"/>
      <c r="BL95" s="92"/>
      <c r="BM95" s="94"/>
      <c r="BN95" s="94"/>
      <c r="BO95" s="94"/>
      <c r="BP95" s="94"/>
      <c r="BQ95" s="92"/>
      <c r="BR95" s="92"/>
      <c r="BS95" s="92"/>
      <c r="BT95" s="92"/>
      <c r="BU95" s="92"/>
      <c r="BV95" s="92"/>
      <c r="BW95" s="92"/>
      <c r="BX95" s="92"/>
      <c r="BY95" s="92"/>
      <c r="BZ95" s="92"/>
    </row>
    <row r="96" spans="1:78" ht="12.9">
      <c r="A96" s="100" t="s">
        <v>379</v>
      </c>
      <c r="B96" s="85">
        <v>1</v>
      </c>
      <c r="C96" s="26">
        <v>57</v>
      </c>
      <c r="D96" s="26">
        <v>69</v>
      </c>
      <c r="E96" s="26" t="s">
        <v>382</v>
      </c>
      <c r="F96" s="102" t="s">
        <v>193</v>
      </c>
      <c r="G96" s="26">
        <v>2</v>
      </c>
      <c r="H96" s="26" t="s">
        <v>381</v>
      </c>
      <c r="I96" s="102">
        <v>12</v>
      </c>
      <c r="J96" s="102">
        <v>58</v>
      </c>
      <c r="K96" s="97">
        <v>1994</v>
      </c>
      <c r="L96" s="26" t="s">
        <v>188</v>
      </c>
      <c r="M96" s="26" t="s">
        <v>189</v>
      </c>
      <c r="N96" s="26">
        <v>0</v>
      </c>
      <c r="O96" s="102">
        <v>0</v>
      </c>
      <c r="P96" s="26">
        <v>0</v>
      </c>
      <c r="Q96" s="26">
        <v>0</v>
      </c>
      <c r="R96" s="11" t="b">
        <f t="shared" si="0"/>
        <v>0</v>
      </c>
      <c r="S96" s="26" t="s">
        <v>313</v>
      </c>
      <c r="T96" s="97">
        <v>0</v>
      </c>
      <c r="U96" s="101">
        <v>0.82</v>
      </c>
      <c r="V96" s="31"/>
      <c r="W96" s="101">
        <v>0.82</v>
      </c>
      <c r="X96" s="31"/>
      <c r="Y96" s="102" t="s">
        <v>240</v>
      </c>
      <c r="Z96" s="56"/>
      <c r="AA96" s="97"/>
      <c r="AB96" s="97"/>
      <c r="AC96" s="97"/>
      <c r="AD96" s="97"/>
      <c r="AE96" s="97">
        <v>44</v>
      </c>
      <c r="AF96" s="97">
        <v>-0.08</v>
      </c>
      <c r="AG96" s="31"/>
      <c r="AH96" s="31"/>
      <c r="AI96" s="97">
        <v>4.49</v>
      </c>
      <c r="AJ96" s="97">
        <v>-1</v>
      </c>
      <c r="AK96" s="31"/>
      <c r="AL96" s="31"/>
      <c r="AM96" s="31"/>
      <c r="AN96" s="31"/>
      <c r="AO96" s="31"/>
      <c r="AP96" s="31"/>
      <c r="AQ96" s="94"/>
      <c r="AR96" s="94"/>
      <c r="AS96" s="94"/>
      <c r="AT96" s="94"/>
      <c r="AU96" s="92"/>
      <c r="AV96" s="94"/>
      <c r="AW96" s="94"/>
      <c r="AX96" s="94"/>
      <c r="AY96" s="94"/>
      <c r="AZ96" s="94"/>
      <c r="BA96" s="94"/>
      <c r="BB96" s="94"/>
      <c r="BC96" s="94"/>
      <c r="BD96" s="94"/>
      <c r="BE96" s="94"/>
      <c r="BF96" s="94"/>
      <c r="BG96" s="94"/>
      <c r="BH96" s="94"/>
      <c r="BI96" s="94"/>
      <c r="BJ96" s="94"/>
      <c r="BK96" s="94"/>
      <c r="BL96" s="92"/>
      <c r="BM96" s="94"/>
      <c r="BN96" s="94"/>
      <c r="BO96" s="94"/>
      <c r="BP96" s="94"/>
      <c r="BQ96" s="92"/>
      <c r="BR96" s="92"/>
      <c r="BS96" s="92"/>
      <c r="BT96" s="92"/>
      <c r="BU96" s="92"/>
      <c r="BV96" s="92"/>
      <c r="BW96" s="92"/>
      <c r="BX96" s="92"/>
      <c r="BY96" s="92"/>
      <c r="BZ96" s="92"/>
    </row>
    <row r="97" spans="1:78" ht="12.9">
      <c r="A97" s="100" t="s">
        <v>379</v>
      </c>
      <c r="B97" s="85">
        <v>1</v>
      </c>
      <c r="C97" s="26">
        <v>57</v>
      </c>
      <c r="D97" s="26">
        <v>69</v>
      </c>
      <c r="E97" s="26" t="s">
        <v>383</v>
      </c>
      <c r="F97" s="102" t="s">
        <v>193</v>
      </c>
      <c r="G97" s="26">
        <v>3</v>
      </c>
      <c r="H97" s="26" t="s">
        <v>381</v>
      </c>
      <c r="I97" s="102">
        <v>24</v>
      </c>
      <c r="J97" s="102">
        <v>58</v>
      </c>
      <c r="K97" s="97">
        <v>1994</v>
      </c>
      <c r="L97" s="26" t="s">
        <v>188</v>
      </c>
      <c r="M97" s="26" t="s">
        <v>189</v>
      </c>
      <c r="N97" s="26">
        <v>0</v>
      </c>
      <c r="O97" s="102">
        <v>0</v>
      </c>
      <c r="P97" s="26">
        <v>0</v>
      </c>
      <c r="Q97" s="26">
        <v>0</v>
      </c>
      <c r="R97" s="11" t="b">
        <f t="shared" si="0"/>
        <v>0</v>
      </c>
      <c r="S97" s="26" t="s">
        <v>313</v>
      </c>
      <c r="T97" s="97">
        <v>0</v>
      </c>
      <c r="U97" s="101">
        <v>0.82</v>
      </c>
      <c r="V97" s="31"/>
      <c r="W97" s="101">
        <v>0.82</v>
      </c>
      <c r="X97" s="31"/>
      <c r="Y97" s="102" t="s">
        <v>240</v>
      </c>
      <c r="Z97" s="56"/>
      <c r="AA97" s="97"/>
      <c r="AB97" s="97"/>
      <c r="AC97" s="97"/>
      <c r="AD97" s="97"/>
      <c r="AE97" s="97">
        <v>46</v>
      </c>
      <c r="AF97" s="97">
        <v>-0.09</v>
      </c>
      <c r="AG97" s="31"/>
      <c r="AH97" s="31"/>
      <c r="AI97" s="97">
        <v>2.82</v>
      </c>
      <c r="AJ97" s="97">
        <v>-1</v>
      </c>
      <c r="AK97" s="31"/>
      <c r="AL97" s="31"/>
      <c r="AM97" s="31"/>
      <c r="AN97" s="31"/>
      <c r="AO97" s="31"/>
      <c r="AP97" s="31"/>
      <c r="AQ97" s="94"/>
      <c r="AR97" s="94"/>
      <c r="AS97" s="94"/>
      <c r="AT97" s="94"/>
      <c r="AU97" s="92"/>
      <c r="AV97" s="94"/>
      <c r="AW97" s="94"/>
      <c r="AX97" s="94"/>
      <c r="AY97" s="94"/>
      <c r="AZ97" s="94"/>
      <c r="BA97" s="94"/>
      <c r="BB97" s="94"/>
      <c r="BC97" s="94"/>
      <c r="BD97" s="94"/>
      <c r="BE97" s="94"/>
      <c r="BF97" s="94"/>
      <c r="BG97" s="94"/>
      <c r="BH97" s="94"/>
      <c r="BI97" s="94"/>
      <c r="BJ97" s="94"/>
      <c r="BK97" s="94"/>
      <c r="BL97" s="92"/>
      <c r="BM97" s="94"/>
      <c r="BN97" s="94"/>
      <c r="BO97" s="94"/>
      <c r="BP97" s="94"/>
      <c r="BQ97" s="92"/>
      <c r="BR97" s="92"/>
      <c r="BS97" s="92"/>
      <c r="BT97" s="92"/>
      <c r="BU97" s="92"/>
      <c r="BV97" s="92"/>
      <c r="BW97" s="92"/>
      <c r="BX97" s="92"/>
      <c r="BY97" s="92"/>
      <c r="BZ97" s="92"/>
    </row>
    <row r="98" spans="1:78" ht="12.9">
      <c r="A98" s="100" t="s">
        <v>384</v>
      </c>
      <c r="B98" s="85">
        <v>1</v>
      </c>
      <c r="C98" s="26">
        <v>58</v>
      </c>
      <c r="D98" s="26">
        <v>70</v>
      </c>
      <c r="E98" s="26" t="s">
        <v>385</v>
      </c>
      <c r="F98" s="102" t="s">
        <v>193</v>
      </c>
      <c r="G98" s="102">
        <v>1</v>
      </c>
      <c r="H98" s="26" t="s">
        <v>386</v>
      </c>
      <c r="I98" s="102">
        <v>20</v>
      </c>
      <c r="J98" s="102">
        <v>25</v>
      </c>
      <c r="K98" s="97">
        <v>1995</v>
      </c>
      <c r="L98" s="26" t="s">
        <v>188</v>
      </c>
      <c r="M98" s="103" t="s">
        <v>201</v>
      </c>
      <c r="N98" s="26">
        <v>1</v>
      </c>
      <c r="O98" s="102">
        <v>0</v>
      </c>
      <c r="P98" s="26">
        <v>1</v>
      </c>
      <c r="Q98" s="26">
        <v>0</v>
      </c>
      <c r="R98" s="11" t="b">
        <f t="shared" si="0"/>
        <v>1</v>
      </c>
      <c r="S98" s="103" t="s">
        <v>190</v>
      </c>
      <c r="T98" s="97">
        <v>1</v>
      </c>
      <c r="U98" s="31"/>
      <c r="V98" s="31"/>
      <c r="W98" s="101">
        <v>0.82</v>
      </c>
      <c r="X98" s="31"/>
      <c r="Y98" s="102" t="s">
        <v>240</v>
      </c>
      <c r="Z98" s="56"/>
      <c r="AA98" s="97">
        <v>2</v>
      </c>
      <c r="AB98" s="97">
        <v>5</v>
      </c>
      <c r="AC98" s="97">
        <v>7</v>
      </c>
      <c r="AD98" s="97">
        <v>6</v>
      </c>
      <c r="AE98" s="97">
        <v>20</v>
      </c>
      <c r="AF98" s="97"/>
      <c r="AG98" s="101">
        <v>-0.17</v>
      </c>
      <c r="AH98" s="31"/>
      <c r="AI98" s="31"/>
      <c r="AJ98" s="31"/>
      <c r="AK98" s="31"/>
      <c r="AL98" s="31"/>
      <c r="AM98" s="31"/>
      <c r="AN98" s="31"/>
      <c r="AO98" s="31"/>
      <c r="AP98" s="31"/>
      <c r="AQ98" s="94"/>
      <c r="AR98" s="94"/>
      <c r="AS98" s="94"/>
      <c r="AT98" s="94"/>
      <c r="AU98" s="92"/>
      <c r="AV98" s="94"/>
      <c r="AW98" s="94"/>
      <c r="AX98" s="94"/>
      <c r="AY98" s="94"/>
      <c r="AZ98" s="94"/>
      <c r="BA98" s="94"/>
      <c r="BB98" s="94"/>
      <c r="BC98" s="94"/>
      <c r="BD98" s="94"/>
      <c r="BE98" s="94"/>
      <c r="BF98" s="94"/>
      <c r="BG98" s="94"/>
      <c r="BH98" s="94"/>
      <c r="BI98" s="94"/>
      <c r="BJ98" s="94"/>
      <c r="BK98" s="94"/>
      <c r="BL98" s="92"/>
      <c r="BM98" s="94"/>
      <c r="BN98" s="94"/>
      <c r="BO98" s="94"/>
      <c r="BP98" s="94"/>
      <c r="BQ98" s="92"/>
      <c r="BR98" s="92"/>
      <c r="BS98" s="92"/>
      <c r="BT98" s="92"/>
      <c r="BU98" s="92"/>
      <c r="BV98" s="92"/>
      <c r="BW98" s="92"/>
      <c r="BX98" s="92"/>
      <c r="BY98" s="92"/>
      <c r="BZ98" s="92"/>
    </row>
    <row r="99" spans="1:78" ht="12.9">
      <c r="A99" s="100" t="s">
        <v>384</v>
      </c>
      <c r="B99" s="85">
        <v>1</v>
      </c>
      <c r="C99" s="26">
        <v>58</v>
      </c>
      <c r="D99" s="26">
        <v>71</v>
      </c>
      <c r="E99" s="26" t="s">
        <v>213</v>
      </c>
      <c r="F99" s="102" t="s">
        <v>193</v>
      </c>
      <c r="G99" s="102">
        <v>2</v>
      </c>
      <c r="H99" s="26" t="s">
        <v>386</v>
      </c>
      <c r="I99" s="102">
        <v>20</v>
      </c>
      <c r="J99" s="102">
        <v>24</v>
      </c>
      <c r="K99" s="97">
        <v>1995</v>
      </c>
      <c r="L99" s="26" t="s">
        <v>188</v>
      </c>
      <c r="M99" s="103" t="s">
        <v>201</v>
      </c>
      <c r="N99" s="26">
        <v>1</v>
      </c>
      <c r="O99" s="102">
        <v>0</v>
      </c>
      <c r="P99" s="26">
        <v>0</v>
      </c>
      <c r="Q99" s="26">
        <v>0</v>
      </c>
      <c r="R99" s="11" t="b">
        <f t="shared" si="0"/>
        <v>0</v>
      </c>
      <c r="S99" s="103" t="s">
        <v>190</v>
      </c>
      <c r="T99" s="97">
        <v>1</v>
      </c>
      <c r="U99" s="31"/>
      <c r="V99" s="31"/>
      <c r="W99" s="101">
        <v>0.82</v>
      </c>
      <c r="X99" s="31"/>
      <c r="Y99" s="102" t="s">
        <v>240</v>
      </c>
      <c r="Z99" s="56"/>
      <c r="AA99" s="97">
        <v>1</v>
      </c>
      <c r="AB99" s="97">
        <v>2</v>
      </c>
      <c r="AC99" s="97">
        <v>15</v>
      </c>
      <c r="AD99" s="97">
        <v>2</v>
      </c>
      <c r="AE99" s="97">
        <v>20</v>
      </c>
      <c r="AF99" s="97"/>
      <c r="AG99" s="101">
        <v>0.22</v>
      </c>
      <c r="AH99" s="31"/>
      <c r="AI99" s="31"/>
      <c r="AJ99" s="31"/>
      <c r="AK99" s="31"/>
      <c r="AL99" s="31"/>
      <c r="AM99" s="31"/>
      <c r="AN99" s="31"/>
      <c r="AO99" s="31"/>
      <c r="AP99" s="31"/>
      <c r="AQ99" s="94"/>
      <c r="AR99" s="94"/>
      <c r="AS99" s="94"/>
      <c r="AT99" s="94"/>
      <c r="AU99" s="92"/>
      <c r="AV99" s="94"/>
      <c r="AW99" s="94"/>
      <c r="AX99" s="94"/>
      <c r="AY99" s="94"/>
      <c r="AZ99" s="94"/>
      <c r="BA99" s="94"/>
      <c r="BB99" s="94"/>
      <c r="BC99" s="94"/>
      <c r="BD99" s="94"/>
      <c r="BE99" s="94"/>
      <c r="BF99" s="94"/>
      <c r="BG99" s="94"/>
      <c r="BH99" s="94"/>
      <c r="BI99" s="94"/>
      <c r="BJ99" s="94"/>
      <c r="BK99" s="94"/>
      <c r="BL99" s="92"/>
      <c r="BM99" s="94"/>
      <c r="BN99" s="94"/>
      <c r="BO99" s="94"/>
      <c r="BP99" s="94"/>
      <c r="BQ99" s="92"/>
      <c r="BR99" s="92"/>
      <c r="BS99" s="92"/>
      <c r="BT99" s="92"/>
      <c r="BU99" s="92"/>
      <c r="BV99" s="92"/>
      <c r="BW99" s="92"/>
      <c r="BX99" s="92"/>
      <c r="BY99" s="92"/>
      <c r="BZ99" s="92"/>
    </row>
    <row r="100" spans="1:78" ht="12.9">
      <c r="A100" s="100" t="s">
        <v>387</v>
      </c>
      <c r="B100" s="85">
        <v>1</v>
      </c>
      <c r="C100" s="26">
        <v>59</v>
      </c>
      <c r="D100" s="26">
        <v>72</v>
      </c>
      <c r="E100" s="26" t="s">
        <v>231</v>
      </c>
      <c r="F100" s="102" t="s">
        <v>193</v>
      </c>
      <c r="G100" s="26">
        <v>1</v>
      </c>
      <c r="H100" s="26" t="s">
        <v>388</v>
      </c>
      <c r="I100" s="102">
        <v>12</v>
      </c>
      <c r="J100" s="102">
        <v>18</v>
      </c>
      <c r="K100" s="97">
        <v>1984</v>
      </c>
      <c r="L100" s="26" t="s">
        <v>188</v>
      </c>
      <c r="M100" s="103" t="s">
        <v>201</v>
      </c>
      <c r="N100" s="26">
        <v>1</v>
      </c>
      <c r="O100" s="26">
        <v>0</v>
      </c>
      <c r="P100" s="26">
        <v>1</v>
      </c>
      <c r="Q100" s="26">
        <v>0</v>
      </c>
      <c r="R100" s="11" t="b">
        <f t="shared" si="0"/>
        <v>1</v>
      </c>
      <c r="S100" s="103" t="s">
        <v>190</v>
      </c>
      <c r="T100" s="97">
        <v>1</v>
      </c>
      <c r="U100" s="101">
        <v>0.89</v>
      </c>
      <c r="V100" s="31"/>
      <c r="W100" s="101">
        <v>0.93</v>
      </c>
      <c r="X100" s="31"/>
      <c r="Y100" s="102" t="s">
        <v>240</v>
      </c>
      <c r="Z100" s="56"/>
      <c r="AA100" s="97">
        <v>47</v>
      </c>
      <c r="AB100" s="97">
        <v>35</v>
      </c>
      <c r="AC100" s="97">
        <v>79</v>
      </c>
      <c r="AD100" s="97">
        <v>28</v>
      </c>
      <c r="AE100" s="97">
        <v>189</v>
      </c>
      <c r="AF100" s="97"/>
      <c r="AG100" s="97">
        <v>0.32</v>
      </c>
      <c r="AH100" s="97">
        <v>0.32</v>
      </c>
      <c r="AI100" s="31"/>
      <c r="AJ100" s="31"/>
      <c r="AK100" s="31"/>
      <c r="AL100" s="31">
        <v>20</v>
      </c>
      <c r="AM100" s="31">
        <v>17</v>
      </c>
      <c r="AN100" s="31">
        <v>7</v>
      </c>
      <c r="AO100" s="31">
        <v>17</v>
      </c>
      <c r="AP100" s="31">
        <v>79</v>
      </c>
      <c r="AQ100" s="94">
        <v>11</v>
      </c>
      <c r="AR100" s="94">
        <v>6</v>
      </c>
      <c r="AS100" s="94">
        <v>18</v>
      </c>
      <c r="AT100" s="94">
        <v>14</v>
      </c>
      <c r="AU100" s="92"/>
      <c r="AV100" s="94"/>
      <c r="AW100" s="94"/>
      <c r="AX100" s="94"/>
      <c r="AY100" s="94"/>
      <c r="AZ100" s="94"/>
      <c r="BA100" s="94"/>
      <c r="BB100" s="94"/>
      <c r="BC100" s="94"/>
      <c r="BD100" s="94"/>
      <c r="BE100" s="94"/>
      <c r="BF100" s="94"/>
      <c r="BG100" s="94"/>
      <c r="BH100" s="94"/>
      <c r="BI100" s="94"/>
      <c r="BJ100" s="94"/>
      <c r="BK100" s="94"/>
      <c r="BL100" s="92"/>
      <c r="BM100" s="94"/>
      <c r="BN100" s="94"/>
      <c r="BO100" s="94"/>
      <c r="BP100" s="94"/>
      <c r="BQ100" s="92"/>
      <c r="BR100" s="92"/>
      <c r="BS100" s="92"/>
      <c r="BT100" s="92"/>
      <c r="BU100" s="92"/>
      <c r="BV100" s="92"/>
      <c r="BW100" s="92"/>
      <c r="BX100" s="92"/>
      <c r="BY100" s="92"/>
      <c r="BZ100" s="92"/>
    </row>
    <row r="101" spans="1:78" ht="12.9">
      <c r="A101" s="85" t="s">
        <v>389</v>
      </c>
      <c r="B101" s="85">
        <v>1</v>
      </c>
      <c r="C101" s="26">
        <v>60</v>
      </c>
      <c r="D101" s="26">
        <v>73</v>
      </c>
      <c r="E101" s="26" t="s">
        <v>215</v>
      </c>
      <c r="F101" s="102" t="s">
        <v>193</v>
      </c>
      <c r="G101" s="26">
        <v>1</v>
      </c>
      <c r="H101" s="26" t="s">
        <v>390</v>
      </c>
      <c r="I101" s="102">
        <v>12</v>
      </c>
      <c r="J101" s="102">
        <v>18</v>
      </c>
      <c r="K101" s="97">
        <v>1981</v>
      </c>
      <c r="L101" s="26" t="s">
        <v>188</v>
      </c>
      <c r="M101" s="103" t="s">
        <v>201</v>
      </c>
      <c r="N101" s="26">
        <v>1</v>
      </c>
      <c r="O101" s="102">
        <v>0</v>
      </c>
      <c r="P101" s="26">
        <v>1</v>
      </c>
      <c r="Q101" s="26">
        <v>0</v>
      </c>
      <c r="R101" s="11" t="b">
        <f t="shared" si="0"/>
        <v>1</v>
      </c>
      <c r="S101" s="103" t="s">
        <v>190</v>
      </c>
      <c r="T101" s="97">
        <v>1</v>
      </c>
      <c r="U101" s="101">
        <v>0.89</v>
      </c>
      <c r="V101" s="31"/>
      <c r="W101" s="101">
        <v>0.93</v>
      </c>
      <c r="X101" s="31"/>
      <c r="Y101" s="102" t="s">
        <v>240</v>
      </c>
      <c r="Z101" s="56"/>
      <c r="AA101" s="97">
        <v>9</v>
      </c>
      <c r="AB101" s="97">
        <v>7</v>
      </c>
      <c r="AC101" s="97">
        <v>7</v>
      </c>
      <c r="AD101" s="97">
        <v>2</v>
      </c>
      <c r="AE101" s="97">
        <v>25</v>
      </c>
      <c r="AF101" s="97"/>
      <c r="AG101" s="101">
        <v>0.33</v>
      </c>
      <c r="AH101" s="101">
        <v>0.33</v>
      </c>
      <c r="AI101" s="31"/>
      <c r="AJ101" s="31"/>
      <c r="AK101" s="31"/>
      <c r="AL101" s="101">
        <v>4</v>
      </c>
      <c r="AM101" s="101">
        <v>2</v>
      </c>
      <c r="AN101" s="101">
        <v>1</v>
      </c>
      <c r="AO101" s="101">
        <v>2</v>
      </c>
      <c r="AP101" s="101">
        <v>7</v>
      </c>
      <c r="AQ101" s="90">
        <v>0</v>
      </c>
      <c r="AR101" s="90">
        <v>3</v>
      </c>
      <c r="AS101" s="90">
        <v>5</v>
      </c>
      <c r="AT101" s="90">
        <v>1</v>
      </c>
      <c r="AU101" s="92"/>
      <c r="AV101" s="94"/>
      <c r="AW101" s="94"/>
      <c r="AX101" s="94"/>
      <c r="AY101" s="94"/>
      <c r="AZ101" s="94"/>
      <c r="BA101" s="94"/>
      <c r="BB101" s="94"/>
      <c r="BC101" s="94"/>
      <c r="BD101" s="94"/>
      <c r="BE101" s="94"/>
      <c r="BF101" s="94"/>
      <c r="BG101" s="94"/>
      <c r="BH101" s="94"/>
      <c r="BI101" s="94"/>
      <c r="BJ101" s="94"/>
      <c r="BK101" s="94"/>
      <c r="BL101" s="92"/>
      <c r="BM101" s="94"/>
      <c r="BN101" s="94"/>
      <c r="BO101" s="94"/>
      <c r="BP101" s="94"/>
      <c r="BQ101" s="92"/>
      <c r="BR101" s="92"/>
      <c r="BS101" s="92"/>
      <c r="BT101" s="92"/>
      <c r="BU101" s="92"/>
      <c r="BV101" s="92"/>
      <c r="BW101" s="92"/>
      <c r="BX101" s="92"/>
      <c r="BY101" s="92"/>
      <c r="BZ101" s="92"/>
    </row>
    <row r="102" spans="1:78" ht="12.9">
      <c r="A102" s="85" t="s">
        <v>389</v>
      </c>
      <c r="B102" s="85">
        <v>1</v>
      </c>
      <c r="C102" s="26">
        <v>60</v>
      </c>
      <c r="D102" s="26">
        <v>74</v>
      </c>
      <c r="E102" s="26" t="s">
        <v>213</v>
      </c>
      <c r="F102" s="102" t="s">
        <v>193</v>
      </c>
      <c r="G102" s="26">
        <v>1</v>
      </c>
      <c r="H102" s="26" t="s">
        <v>390</v>
      </c>
      <c r="I102" s="102">
        <v>12</v>
      </c>
      <c r="J102" s="102">
        <v>18</v>
      </c>
      <c r="K102" s="97">
        <v>1981</v>
      </c>
      <c r="L102" s="26" t="s">
        <v>188</v>
      </c>
      <c r="M102" s="103" t="s">
        <v>201</v>
      </c>
      <c r="N102" s="26">
        <v>1</v>
      </c>
      <c r="O102" s="102">
        <v>0</v>
      </c>
      <c r="P102" s="26">
        <v>0</v>
      </c>
      <c r="Q102" s="26">
        <v>0</v>
      </c>
      <c r="R102" s="11" t="b">
        <f t="shared" si="0"/>
        <v>0</v>
      </c>
      <c r="S102" s="103" t="s">
        <v>190</v>
      </c>
      <c r="T102" s="97">
        <v>1</v>
      </c>
      <c r="U102" s="101">
        <v>0.89</v>
      </c>
      <c r="V102" s="31"/>
      <c r="W102" s="101">
        <v>0.93</v>
      </c>
      <c r="X102" s="31"/>
      <c r="Y102" s="102" t="s">
        <v>240</v>
      </c>
      <c r="Z102" s="56"/>
      <c r="AA102" s="97">
        <v>6</v>
      </c>
      <c r="AB102" s="97">
        <v>2</v>
      </c>
      <c r="AC102" s="97">
        <v>22</v>
      </c>
      <c r="AD102" s="97">
        <v>2</v>
      </c>
      <c r="AE102" s="97">
        <v>32</v>
      </c>
      <c r="AF102" s="97"/>
      <c r="AG102" s="101">
        <v>0.67</v>
      </c>
      <c r="AH102" s="101">
        <v>0.67</v>
      </c>
      <c r="AI102" s="31"/>
      <c r="AJ102" s="31"/>
      <c r="AK102" s="31"/>
      <c r="AL102" s="101">
        <v>3</v>
      </c>
      <c r="AM102" s="101">
        <v>1</v>
      </c>
      <c r="AN102" s="101">
        <v>1</v>
      </c>
      <c r="AO102" s="101">
        <v>2</v>
      </c>
      <c r="AP102" s="101">
        <v>22</v>
      </c>
      <c r="AQ102" s="90">
        <v>0</v>
      </c>
      <c r="AR102" s="90">
        <v>1</v>
      </c>
      <c r="AS102" s="90">
        <v>1</v>
      </c>
      <c r="AT102" s="90">
        <v>1</v>
      </c>
      <c r="AU102" s="92"/>
      <c r="AV102" s="94"/>
      <c r="AW102" s="94"/>
      <c r="AX102" s="94"/>
      <c r="AY102" s="94"/>
      <c r="AZ102" s="94"/>
      <c r="BA102" s="94"/>
      <c r="BB102" s="94"/>
      <c r="BC102" s="94"/>
      <c r="BD102" s="94"/>
      <c r="BE102" s="94"/>
      <c r="BF102" s="94"/>
      <c r="BG102" s="94"/>
      <c r="BH102" s="94"/>
      <c r="BI102" s="94"/>
      <c r="BJ102" s="94"/>
      <c r="BK102" s="94"/>
      <c r="BL102" s="92"/>
      <c r="BM102" s="94"/>
      <c r="BN102" s="94"/>
      <c r="BO102" s="94"/>
      <c r="BP102" s="94"/>
      <c r="BQ102" s="92"/>
      <c r="BR102" s="92"/>
      <c r="BS102" s="92"/>
      <c r="BT102" s="92"/>
      <c r="BU102" s="92"/>
      <c r="BV102" s="92"/>
      <c r="BW102" s="92"/>
      <c r="BX102" s="92"/>
      <c r="BY102" s="92"/>
      <c r="BZ102" s="92"/>
    </row>
    <row r="103" spans="1:78" ht="12.9">
      <c r="A103" s="85" t="s">
        <v>391</v>
      </c>
      <c r="B103" s="85">
        <v>1</v>
      </c>
      <c r="C103" s="26">
        <v>61</v>
      </c>
      <c r="D103" s="26">
        <v>75</v>
      </c>
      <c r="E103" s="26" t="s">
        <v>392</v>
      </c>
      <c r="F103" s="102" t="s">
        <v>193</v>
      </c>
      <c r="G103" s="26">
        <v>1</v>
      </c>
      <c r="H103" s="26" t="s">
        <v>393</v>
      </c>
      <c r="I103" s="102">
        <v>12</v>
      </c>
      <c r="J103" s="102">
        <v>18</v>
      </c>
      <c r="K103" s="97">
        <v>1980</v>
      </c>
      <c r="L103" s="26" t="s">
        <v>188</v>
      </c>
      <c r="M103" s="103" t="s">
        <v>201</v>
      </c>
      <c r="N103" s="26">
        <v>0</v>
      </c>
      <c r="O103" s="102">
        <v>0</v>
      </c>
      <c r="P103" s="26">
        <v>1</v>
      </c>
      <c r="Q103" s="26">
        <v>0</v>
      </c>
      <c r="R103" s="11" t="b">
        <f t="shared" si="0"/>
        <v>1</v>
      </c>
      <c r="S103" s="103" t="s">
        <v>190</v>
      </c>
      <c r="T103" s="97">
        <v>1</v>
      </c>
      <c r="U103" s="101">
        <v>0.89</v>
      </c>
      <c r="V103" s="31"/>
      <c r="W103" s="101">
        <v>0.94</v>
      </c>
      <c r="X103" s="31"/>
      <c r="Y103" s="102" t="s">
        <v>240</v>
      </c>
      <c r="Z103" s="56"/>
      <c r="AA103" s="97">
        <v>13</v>
      </c>
      <c r="AB103" s="97">
        <v>3</v>
      </c>
      <c r="AC103" s="97">
        <v>14</v>
      </c>
      <c r="AD103" s="97">
        <v>4</v>
      </c>
      <c r="AE103" s="97">
        <v>34</v>
      </c>
      <c r="AF103" s="97"/>
      <c r="AG103" s="31"/>
      <c r="AH103" s="31"/>
      <c r="AI103" s="31"/>
      <c r="AJ103" s="31"/>
      <c r="AK103" s="31"/>
      <c r="AL103" s="101">
        <v>11</v>
      </c>
      <c r="AM103" s="101">
        <v>3</v>
      </c>
      <c r="AN103" s="101">
        <v>0</v>
      </c>
      <c r="AO103" s="101">
        <v>3</v>
      </c>
      <c r="AP103" s="101">
        <v>14</v>
      </c>
      <c r="AQ103" s="90">
        <v>0</v>
      </c>
      <c r="AR103" s="90">
        <v>2</v>
      </c>
      <c r="AS103" s="90">
        <v>1</v>
      </c>
      <c r="AT103" s="90">
        <v>0</v>
      </c>
      <c r="AU103" s="92"/>
      <c r="AV103" s="94"/>
      <c r="AW103" s="94"/>
      <c r="AX103" s="94"/>
      <c r="AY103" s="94"/>
      <c r="AZ103" s="94"/>
      <c r="BA103" s="94"/>
      <c r="BB103" s="94"/>
      <c r="BC103" s="94"/>
      <c r="BD103" s="94"/>
      <c r="BE103" s="94"/>
      <c r="BF103" s="94"/>
      <c r="BG103" s="94"/>
      <c r="BH103" s="94"/>
      <c r="BI103" s="94"/>
      <c r="BJ103" s="94"/>
      <c r="BK103" s="94"/>
      <c r="BL103" s="92"/>
      <c r="BM103" s="94"/>
      <c r="BN103" s="94"/>
      <c r="BO103" s="94"/>
      <c r="BP103" s="94"/>
      <c r="BQ103" s="92"/>
      <c r="BR103" s="92"/>
      <c r="BS103" s="92"/>
      <c r="BT103" s="92"/>
      <c r="BU103" s="92"/>
      <c r="BV103" s="92"/>
      <c r="BW103" s="92"/>
      <c r="BX103" s="92"/>
      <c r="BY103" s="92"/>
      <c r="BZ103" s="92"/>
    </row>
    <row r="104" spans="1:78" ht="12.9">
      <c r="A104" s="85" t="s">
        <v>391</v>
      </c>
      <c r="B104" s="85">
        <v>1</v>
      </c>
      <c r="C104" s="26">
        <v>61</v>
      </c>
      <c r="D104" s="26">
        <v>76</v>
      </c>
      <c r="E104" s="26" t="s">
        <v>394</v>
      </c>
      <c r="F104" s="102" t="s">
        <v>193</v>
      </c>
      <c r="G104" s="26">
        <v>1</v>
      </c>
      <c r="H104" s="26" t="s">
        <v>393</v>
      </c>
      <c r="I104" s="102">
        <v>12</v>
      </c>
      <c r="J104" s="102">
        <v>18</v>
      </c>
      <c r="K104" s="97">
        <v>1980</v>
      </c>
      <c r="L104" s="26" t="s">
        <v>188</v>
      </c>
      <c r="M104" s="103" t="s">
        <v>201</v>
      </c>
      <c r="N104" s="26">
        <v>0</v>
      </c>
      <c r="O104" s="102">
        <v>0</v>
      </c>
      <c r="P104" s="26">
        <v>1</v>
      </c>
      <c r="Q104" s="26">
        <v>0</v>
      </c>
      <c r="R104" s="11" t="b">
        <f t="shared" si="0"/>
        <v>1</v>
      </c>
      <c r="S104" s="103" t="s">
        <v>190</v>
      </c>
      <c r="T104" s="97">
        <v>1</v>
      </c>
      <c r="U104" s="101">
        <v>0.89</v>
      </c>
      <c r="V104" s="31"/>
      <c r="W104" s="101">
        <v>0.94</v>
      </c>
      <c r="X104" s="31"/>
      <c r="Y104" s="102" t="s">
        <v>240</v>
      </c>
      <c r="Z104" s="56"/>
      <c r="AA104" s="97">
        <v>6</v>
      </c>
      <c r="AB104" s="97">
        <v>5</v>
      </c>
      <c r="AC104" s="97">
        <v>4</v>
      </c>
      <c r="AD104" s="97">
        <v>3</v>
      </c>
      <c r="AE104" s="97">
        <v>18</v>
      </c>
      <c r="AF104" s="97"/>
      <c r="AG104" s="31"/>
      <c r="AH104" s="31"/>
      <c r="AI104" s="31"/>
      <c r="AJ104" s="31"/>
      <c r="AK104" s="31"/>
      <c r="AL104" s="101">
        <v>1</v>
      </c>
      <c r="AM104" s="101">
        <v>2</v>
      </c>
      <c r="AN104" s="101">
        <v>0</v>
      </c>
      <c r="AO104" s="101">
        <v>3</v>
      </c>
      <c r="AP104" s="101">
        <v>4</v>
      </c>
      <c r="AQ104" s="90">
        <v>2</v>
      </c>
      <c r="AR104" s="90">
        <v>1</v>
      </c>
      <c r="AS104" s="90">
        <v>1</v>
      </c>
      <c r="AT104" s="90">
        <v>4</v>
      </c>
      <c r="AU104" s="92"/>
      <c r="AV104" s="94"/>
      <c r="AW104" s="94"/>
      <c r="AX104" s="94"/>
      <c r="AY104" s="94"/>
      <c r="AZ104" s="94"/>
      <c r="BA104" s="94"/>
      <c r="BB104" s="94"/>
      <c r="BC104" s="94"/>
      <c r="BD104" s="94"/>
      <c r="BE104" s="94"/>
      <c r="BF104" s="94"/>
      <c r="BG104" s="94"/>
      <c r="BH104" s="94"/>
      <c r="BI104" s="94"/>
      <c r="BJ104" s="94"/>
      <c r="BK104" s="94"/>
      <c r="BL104" s="92"/>
      <c r="BM104" s="94"/>
      <c r="BN104" s="94"/>
      <c r="BO104" s="94"/>
      <c r="BP104" s="94"/>
      <c r="BQ104" s="92"/>
      <c r="BR104" s="92"/>
      <c r="BS104" s="92"/>
      <c r="BT104" s="92"/>
      <c r="BU104" s="92"/>
      <c r="BV104" s="92"/>
      <c r="BW104" s="92"/>
      <c r="BX104" s="92"/>
      <c r="BY104" s="92"/>
      <c r="BZ104" s="92"/>
    </row>
    <row r="105" spans="1:78" ht="12.9">
      <c r="A105" s="85" t="s">
        <v>391</v>
      </c>
      <c r="B105" s="85">
        <v>1</v>
      </c>
      <c r="C105" s="26">
        <v>61</v>
      </c>
      <c r="D105" s="26">
        <v>77</v>
      </c>
      <c r="E105" s="26" t="s">
        <v>395</v>
      </c>
      <c r="F105" s="102" t="s">
        <v>193</v>
      </c>
      <c r="G105" s="26">
        <v>1</v>
      </c>
      <c r="H105" s="26" t="s">
        <v>393</v>
      </c>
      <c r="I105" s="102">
        <v>12</v>
      </c>
      <c r="J105" s="102">
        <v>18</v>
      </c>
      <c r="K105" s="97">
        <v>1980</v>
      </c>
      <c r="L105" s="26" t="s">
        <v>188</v>
      </c>
      <c r="M105" s="103" t="s">
        <v>201</v>
      </c>
      <c r="N105" s="26">
        <v>0</v>
      </c>
      <c r="O105" s="102">
        <v>0</v>
      </c>
      <c r="P105" s="26">
        <v>1</v>
      </c>
      <c r="Q105" s="26">
        <v>0</v>
      </c>
      <c r="R105" s="11" t="b">
        <f t="shared" si="0"/>
        <v>1</v>
      </c>
      <c r="S105" s="103" t="s">
        <v>190</v>
      </c>
      <c r="T105" s="97">
        <v>1</v>
      </c>
      <c r="U105" s="101">
        <v>0.89</v>
      </c>
      <c r="V105" s="31"/>
      <c r="W105" s="101">
        <v>0.94</v>
      </c>
      <c r="X105" s="31"/>
      <c r="Y105" s="102" t="s">
        <v>240</v>
      </c>
      <c r="Z105" s="56"/>
      <c r="AA105" s="97">
        <v>10</v>
      </c>
      <c r="AB105" s="97">
        <v>7</v>
      </c>
      <c r="AC105" s="97">
        <v>25</v>
      </c>
      <c r="AD105" s="97">
        <v>10</v>
      </c>
      <c r="AE105" s="97">
        <v>52</v>
      </c>
      <c r="AF105" s="97"/>
      <c r="AG105" s="31"/>
      <c r="AH105" s="31"/>
      <c r="AI105" s="31"/>
      <c r="AJ105" s="31"/>
      <c r="AK105" s="31"/>
      <c r="AL105" s="101">
        <v>3</v>
      </c>
      <c r="AM105" s="101">
        <v>3</v>
      </c>
      <c r="AN105" s="101">
        <v>1</v>
      </c>
      <c r="AO105" s="101">
        <v>3</v>
      </c>
      <c r="AP105" s="101">
        <v>25</v>
      </c>
      <c r="AQ105" s="90">
        <v>7</v>
      </c>
      <c r="AR105" s="90">
        <v>4</v>
      </c>
      <c r="AS105" s="90">
        <v>4</v>
      </c>
      <c r="AT105" s="90">
        <v>2</v>
      </c>
      <c r="AU105" s="92"/>
      <c r="AV105" s="94"/>
      <c r="AW105" s="94"/>
      <c r="AX105" s="94"/>
      <c r="AY105" s="94"/>
      <c r="AZ105" s="94"/>
      <c r="BA105" s="94"/>
      <c r="BB105" s="94"/>
      <c r="BC105" s="94"/>
      <c r="BD105" s="94"/>
      <c r="BE105" s="94"/>
      <c r="BF105" s="94"/>
      <c r="BG105" s="94"/>
      <c r="BH105" s="94"/>
      <c r="BI105" s="94"/>
      <c r="BJ105" s="94"/>
      <c r="BK105" s="94"/>
      <c r="BL105" s="92"/>
      <c r="BM105" s="94"/>
      <c r="BN105" s="94"/>
      <c r="BO105" s="94"/>
      <c r="BP105" s="94"/>
      <c r="BQ105" s="92"/>
      <c r="BR105" s="92"/>
      <c r="BS105" s="92"/>
      <c r="BT105" s="92"/>
      <c r="BU105" s="92"/>
      <c r="BV105" s="92"/>
      <c r="BW105" s="92"/>
      <c r="BX105" s="92"/>
      <c r="BY105" s="92"/>
      <c r="BZ105" s="92"/>
    </row>
    <row r="106" spans="1:78" ht="12.9">
      <c r="A106" s="100" t="s">
        <v>396</v>
      </c>
      <c r="B106" s="85">
        <v>1</v>
      </c>
      <c r="C106" s="26">
        <v>62</v>
      </c>
      <c r="D106" s="26">
        <v>78</v>
      </c>
      <c r="E106" s="26" t="s">
        <v>231</v>
      </c>
      <c r="F106" s="102" t="s">
        <v>193</v>
      </c>
      <c r="G106" s="26">
        <v>1</v>
      </c>
      <c r="H106" s="26" t="s">
        <v>397</v>
      </c>
      <c r="I106" s="26">
        <v>12</v>
      </c>
      <c r="J106" s="26">
        <v>18</v>
      </c>
      <c r="K106" s="97">
        <v>1994</v>
      </c>
      <c r="L106" s="26" t="s">
        <v>247</v>
      </c>
      <c r="M106" s="26" t="s">
        <v>201</v>
      </c>
      <c r="N106" s="26">
        <v>1</v>
      </c>
      <c r="O106" s="26">
        <v>0</v>
      </c>
      <c r="P106" s="26">
        <v>0</v>
      </c>
      <c r="Q106" s="26">
        <v>1</v>
      </c>
      <c r="R106" s="11" t="b">
        <f t="shared" si="0"/>
        <v>1</v>
      </c>
      <c r="S106" s="26" t="s">
        <v>313</v>
      </c>
      <c r="T106" s="97">
        <v>0</v>
      </c>
      <c r="U106" s="97">
        <v>0.9</v>
      </c>
      <c r="V106" s="97">
        <v>0.9</v>
      </c>
      <c r="W106" s="97">
        <v>0.9</v>
      </c>
      <c r="X106" s="97">
        <v>0.9</v>
      </c>
      <c r="Y106" s="26" t="s">
        <v>240</v>
      </c>
      <c r="Z106" s="56"/>
      <c r="AA106" s="97">
        <v>2</v>
      </c>
      <c r="AB106" s="97">
        <v>6</v>
      </c>
      <c r="AC106" s="97">
        <v>23</v>
      </c>
      <c r="AD106" s="97">
        <v>4</v>
      </c>
      <c r="AE106" s="97">
        <v>35</v>
      </c>
      <c r="AF106" s="97"/>
      <c r="AG106" s="101">
        <v>0.11</v>
      </c>
      <c r="AH106" s="31"/>
      <c r="AI106" s="31"/>
      <c r="AJ106" s="31"/>
      <c r="AK106" s="31"/>
      <c r="AL106" s="97">
        <v>2</v>
      </c>
      <c r="AM106" s="97">
        <v>5</v>
      </c>
      <c r="AN106" s="97">
        <v>0</v>
      </c>
      <c r="AO106" s="97">
        <v>4</v>
      </c>
      <c r="AP106" s="97">
        <v>23</v>
      </c>
      <c r="AQ106" s="90">
        <v>0</v>
      </c>
      <c r="AR106" s="90">
        <v>0</v>
      </c>
      <c r="AS106" s="90">
        <v>1</v>
      </c>
      <c r="AT106" s="90">
        <v>0</v>
      </c>
      <c r="AU106" s="92"/>
      <c r="AV106" s="94"/>
      <c r="AW106" s="94"/>
      <c r="AX106" s="94"/>
      <c r="AY106" s="94"/>
      <c r="AZ106" s="94"/>
      <c r="BA106" s="94"/>
      <c r="BB106" s="94"/>
      <c r="BC106" s="94"/>
      <c r="BD106" s="94"/>
      <c r="BE106" s="94"/>
      <c r="BF106" s="94"/>
      <c r="BG106" s="94"/>
      <c r="BH106" s="94"/>
      <c r="BI106" s="94"/>
      <c r="BJ106" s="94"/>
      <c r="BK106" s="94"/>
      <c r="BL106" s="92"/>
      <c r="BM106" s="94"/>
      <c r="BN106" s="94"/>
      <c r="BO106" s="94"/>
      <c r="BP106" s="94"/>
      <c r="BQ106" s="92"/>
      <c r="BR106" s="92"/>
      <c r="BS106" s="92"/>
      <c r="BT106" s="92"/>
      <c r="BU106" s="92"/>
      <c r="BV106" s="92"/>
      <c r="BW106" s="92"/>
      <c r="BX106" s="92"/>
      <c r="BY106" s="92"/>
      <c r="BZ106" s="92"/>
    </row>
    <row r="107" spans="1:78" ht="12.9">
      <c r="A107" s="100" t="s">
        <v>398</v>
      </c>
      <c r="B107" s="85">
        <v>1</v>
      </c>
      <c r="C107" s="26">
        <v>63</v>
      </c>
      <c r="D107" s="26">
        <v>79</v>
      </c>
      <c r="E107" s="26" t="s">
        <v>231</v>
      </c>
      <c r="F107" s="102" t="s">
        <v>193</v>
      </c>
      <c r="G107" s="26">
        <v>1</v>
      </c>
      <c r="H107" s="26" t="s">
        <v>399</v>
      </c>
      <c r="I107" s="26">
        <v>12</v>
      </c>
      <c r="J107" s="26">
        <v>14</v>
      </c>
      <c r="K107" s="97">
        <v>1997</v>
      </c>
      <c r="L107" s="26" t="s">
        <v>364</v>
      </c>
      <c r="M107" s="26" t="s">
        <v>201</v>
      </c>
      <c r="N107" s="26">
        <v>0</v>
      </c>
      <c r="O107" s="26">
        <v>1</v>
      </c>
      <c r="P107" s="26">
        <v>0</v>
      </c>
      <c r="Q107" s="26">
        <v>0</v>
      </c>
      <c r="R107" s="11" t="b">
        <f t="shared" si="0"/>
        <v>0</v>
      </c>
      <c r="S107" s="26" t="s">
        <v>400</v>
      </c>
      <c r="T107" s="97">
        <v>0</v>
      </c>
      <c r="U107" s="31"/>
      <c r="V107" s="31"/>
      <c r="W107" s="31"/>
      <c r="X107" s="31"/>
      <c r="Y107" s="56"/>
      <c r="Z107" s="56"/>
      <c r="AA107" s="97"/>
      <c r="AB107" s="97"/>
      <c r="AC107" s="97"/>
      <c r="AD107" s="97"/>
      <c r="AE107" s="97">
        <v>81</v>
      </c>
      <c r="AF107" s="97"/>
      <c r="AG107" s="31"/>
      <c r="AH107" s="31"/>
      <c r="AI107" s="31"/>
      <c r="AJ107" s="31"/>
      <c r="AK107" s="31"/>
      <c r="AL107" s="31"/>
      <c r="AM107" s="31"/>
      <c r="AN107" s="31"/>
      <c r="AO107" s="31"/>
      <c r="AP107" s="31"/>
      <c r="AQ107" s="94"/>
      <c r="AR107" s="94"/>
      <c r="AS107" s="94"/>
      <c r="AT107" s="94"/>
      <c r="AU107" s="92"/>
      <c r="AV107" s="94"/>
      <c r="AW107" s="94"/>
      <c r="AX107" s="94"/>
      <c r="AY107" s="94"/>
      <c r="AZ107" s="94"/>
      <c r="BA107" s="94"/>
      <c r="BB107" s="94"/>
      <c r="BC107" s="94"/>
      <c r="BD107" s="94"/>
      <c r="BE107" s="94"/>
      <c r="BF107" s="94"/>
      <c r="BG107" s="94"/>
      <c r="BH107" s="94"/>
      <c r="BI107" s="94"/>
      <c r="BJ107" s="94"/>
      <c r="BK107" s="94"/>
      <c r="BL107" s="92"/>
      <c r="BM107" s="94"/>
      <c r="BN107" s="94"/>
      <c r="BO107" s="94"/>
      <c r="BP107" s="94"/>
      <c r="BQ107" s="95">
        <v>0.38</v>
      </c>
      <c r="BR107" s="95">
        <v>11.62</v>
      </c>
      <c r="BS107" s="95">
        <v>1</v>
      </c>
      <c r="BT107" s="92"/>
      <c r="BU107" s="92"/>
      <c r="BV107" s="92"/>
      <c r="BW107" s="92"/>
      <c r="BX107" s="92"/>
      <c r="BY107" s="92"/>
      <c r="BZ107" s="92"/>
    </row>
    <row r="108" spans="1:78" ht="12.9">
      <c r="A108" s="89"/>
      <c r="B108" s="89"/>
      <c r="C108" s="26"/>
      <c r="D108" s="56"/>
      <c r="E108" s="26"/>
      <c r="F108" s="56"/>
      <c r="G108" s="56"/>
      <c r="H108" s="26"/>
      <c r="I108" s="56"/>
      <c r="J108" s="56"/>
      <c r="K108" s="97"/>
      <c r="L108" s="26"/>
      <c r="M108" s="26"/>
      <c r="N108" s="26"/>
      <c r="O108" s="56"/>
      <c r="P108" s="26"/>
      <c r="Q108" s="26"/>
      <c r="R108" s="56"/>
      <c r="S108" s="26"/>
      <c r="T108" s="97"/>
      <c r="U108" s="31"/>
      <c r="V108" s="31"/>
      <c r="W108" s="31"/>
      <c r="X108" s="31"/>
      <c r="Y108" s="56"/>
      <c r="Z108" s="56"/>
      <c r="AA108" s="97"/>
      <c r="AB108" s="97"/>
      <c r="AC108" s="97"/>
      <c r="AD108" s="97"/>
      <c r="AE108" s="97"/>
      <c r="AF108" s="97"/>
      <c r="AG108" s="31"/>
      <c r="AH108" s="31"/>
      <c r="AI108" s="31"/>
      <c r="AJ108" s="31"/>
      <c r="AK108" s="31"/>
      <c r="AL108" s="31"/>
      <c r="AM108" s="31"/>
      <c r="AN108" s="31"/>
      <c r="AO108" s="31"/>
      <c r="AP108" s="31"/>
      <c r="AQ108" s="94"/>
      <c r="AR108" s="94"/>
      <c r="AS108" s="94"/>
      <c r="AT108" s="94"/>
      <c r="AU108" s="92"/>
      <c r="AV108" s="94"/>
      <c r="AW108" s="94"/>
      <c r="AX108" s="94"/>
      <c r="AY108" s="94"/>
      <c r="AZ108" s="94"/>
      <c r="BA108" s="94"/>
      <c r="BB108" s="94"/>
      <c r="BC108" s="94"/>
      <c r="BD108" s="94"/>
      <c r="BE108" s="94"/>
      <c r="BF108" s="94"/>
      <c r="BG108" s="94"/>
      <c r="BH108" s="94"/>
      <c r="BI108" s="94"/>
      <c r="BJ108" s="94"/>
      <c r="BK108" s="94"/>
      <c r="BL108" s="92"/>
      <c r="BM108" s="94"/>
      <c r="BN108" s="94"/>
      <c r="BO108" s="94"/>
      <c r="BP108" s="94"/>
      <c r="BQ108" s="92"/>
      <c r="BR108" s="92"/>
      <c r="BS108" s="92"/>
      <c r="BT108" s="92"/>
      <c r="BU108" s="92"/>
      <c r="BV108" s="92"/>
      <c r="BW108" s="92"/>
      <c r="BX108" s="92"/>
      <c r="BY108" s="92"/>
      <c r="BZ108" s="92"/>
    </row>
    <row r="109" spans="1:78" ht="12.9">
      <c r="A109" s="56"/>
      <c r="B109" s="56"/>
      <c r="C109" s="56"/>
      <c r="D109" s="56"/>
      <c r="E109" s="56"/>
      <c r="F109" s="56"/>
      <c r="G109" s="56"/>
      <c r="H109" s="56"/>
      <c r="I109" s="56"/>
      <c r="J109" s="56"/>
      <c r="K109" s="31"/>
      <c r="L109" s="56"/>
      <c r="M109" s="56"/>
      <c r="N109" s="56"/>
      <c r="O109" s="56"/>
      <c r="P109" s="56"/>
      <c r="Q109" s="56"/>
      <c r="R109" s="56"/>
      <c r="S109" s="56"/>
      <c r="T109" s="31"/>
      <c r="U109" s="31"/>
      <c r="V109" s="31"/>
      <c r="W109" s="31"/>
      <c r="X109" s="31"/>
      <c r="Y109" s="56"/>
      <c r="Z109" s="56"/>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56"/>
      <c r="BW109" s="56"/>
      <c r="BX109" s="56"/>
      <c r="BY109" s="56"/>
      <c r="BZ109" s="56"/>
    </row>
    <row r="110" spans="1:78" ht="12.9">
      <c r="A110" s="85"/>
      <c r="B110" s="89"/>
      <c r="C110" s="85"/>
      <c r="D110" s="89"/>
      <c r="E110" s="89"/>
      <c r="F110" s="85"/>
      <c r="G110" s="85"/>
      <c r="H110" s="105"/>
      <c r="I110" s="106"/>
      <c r="J110" s="106"/>
      <c r="K110" s="89"/>
      <c r="L110" s="89"/>
      <c r="M110" s="89"/>
      <c r="N110" s="107"/>
      <c r="O110" s="107"/>
      <c r="P110" s="89"/>
      <c r="Q110" s="89"/>
      <c r="R110" s="89"/>
      <c r="S110" s="89"/>
      <c r="T110" s="89"/>
      <c r="U110" s="89"/>
      <c r="V110" s="89"/>
      <c r="W110" s="89"/>
      <c r="X110" s="89"/>
      <c r="Y110" s="89"/>
      <c r="Z110" s="77"/>
      <c r="AA110" s="77"/>
      <c r="AB110" s="94"/>
      <c r="AC110" s="94"/>
      <c r="AD110" s="94"/>
      <c r="AE110" s="94"/>
      <c r="AF110" s="91"/>
      <c r="AG110" s="92"/>
      <c r="AH110" s="92"/>
      <c r="AI110" s="93"/>
      <c r="AJ110" s="94"/>
      <c r="AK110" s="92"/>
      <c r="AL110" s="94"/>
      <c r="AM110" s="94"/>
      <c r="AN110" s="94"/>
      <c r="AO110" s="94"/>
      <c r="AP110" s="94"/>
      <c r="AQ110" s="94"/>
      <c r="AR110" s="94"/>
      <c r="AS110" s="94"/>
      <c r="AT110" s="94"/>
      <c r="AU110" s="92"/>
      <c r="AV110" s="94"/>
      <c r="AW110" s="94"/>
      <c r="AX110" s="94"/>
      <c r="AY110" s="94"/>
      <c r="AZ110" s="94"/>
      <c r="BA110" s="94"/>
      <c r="BB110" s="94"/>
      <c r="BC110" s="94"/>
      <c r="BD110" s="94"/>
      <c r="BE110" s="94"/>
      <c r="BF110" s="94"/>
      <c r="BG110" s="94"/>
      <c r="BH110" s="94"/>
      <c r="BI110" s="94"/>
      <c r="BJ110" s="94"/>
      <c r="BK110" s="94"/>
      <c r="BL110" s="92"/>
      <c r="BM110" s="94"/>
      <c r="BN110" s="94"/>
      <c r="BO110" s="94"/>
      <c r="BP110" s="94"/>
      <c r="BQ110" s="92"/>
      <c r="BR110" s="92"/>
      <c r="BS110" s="92"/>
      <c r="BT110" s="92"/>
      <c r="BU110" s="92"/>
      <c r="BV110" s="92"/>
      <c r="BW110" s="92"/>
      <c r="BX110" s="92"/>
      <c r="BY110" s="92"/>
      <c r="BZ110" s="92"/>
    </row>
    <row r="111" spans="1:78" ht="12.9">
      <c r="A111" s="89"/>
      <c r="B111" s="89"/>
      <c r="C111" s="89"/>
      <c r="D111" s="89"/>
      <c r="E111" s="85"/>
      <c r="F111" s="85"/>
      <c r="G111" s="85"/>
      <c r="H111" s="105"/>
      <c r="I111" s="106"/>
      <c r="J111" s="106"/>
      <c r="K111" s="89"/>
      <c r="L111" s="89"/>
      <c r="M111" s="89"/>
      <c r="N111" s="107"/>
      <c r="O111" s="107"/>
      <c r="P111" s="89"/>
      <c r="Q111" s="89"/>
      <c r="R111" s="89"/>
      <c r="S111" s="89"/>
      <c r="T111" s="89"/>
      <c r="U111" s="89"/>
      <c r="V111" s="89"/>
      <c r="W111" s="89"/>
      <c r="X111" s="89"/>
      <c r="Y111" s="89"/>
      <c r="Z111" s="77"/>
      <c r="AA111" s="77"/>
      <c r="AB111" s="94"/>
      <c r="AC111" s="94"/>
      <c r="AD111" s="94"/>
      <c r="AE111" s="94"/>
      <c r="AF111" s="91"/>
      <c r="AG111" s="92"/>
      <c r="AH111" s="92"/>
      <c r="AI111" s="93"/>
      <c r="AJ111" s="94"/>
      <c r="AK111" s="92"/>
      <c r="AL111" s="94"/>
      <c r="AM111" s="94"/>
      <c r="AN111" s="94"/>
      <c r="AO111" s="94"/>
      <c r="AP111" s="94"/>
      <c r="AQ111" s="94"/>
      <c r="AR111" s="94"/>
      <c r="AS111" s="94"/>
      <c r="AT111" s="94"/>
      <c r="AU111" s="92"/>
      <c r="AV111" s="94"/>
      <c r="AW111" s="94"/>
      <c r="AX111" s="94"/>
      <c r="AY111" s="94"/>
      <c r="AZ111" s="94"/>
      <c r="BA111" s="94"/>
      <c r="BB111" s="94"/>
      <c r="BC111" s="94"/>
      <c r="BD111" s="94"/>
      <c r="BE111" s="94"/>
      <c r="BF111" s="94"/>
      <c r="BG111" s="94"/>
      <c r="BH111" s="94"/>
      <c r="BI111" s="94"/>
      <c r="BJ111" s="94"/>
      <c r="BK111" s="94"/>
      <c r="BL111" s="92"/>
      <c r="BM111" s="94"/>
      <c r="BN111" s="94"/>
      <c r="BO111" s="94"/>
      <c r="BP111" s="94"/>
      <c r="BQ111" s="92"/>
      <c r="BR111" s="92"/>
      <c r="BS111" s="92"/>
      <c r="BT111" s="92"/>
      <c r="BU111" s="92"/>
      <c r="BV111" s="92"/>
      <c r="BW111" s="92"/>
      <c r="BX111" s="92"/>
      <c r="BY111" s="92"/>
      <c r="BZ111" s="92"/>
    </row>
    <row r="112" spans="1:78" ht="12.9">
      <c r="A112" s="89"/>
      <c r="B112" s="89"/>
      <c r="C112" s="89"/>
      <c r="D112" s="89"/>
      <c r="E112" s="85"/>
      <c r="F112" s="89"/>
      <c r="G112" s="89"/>
      <c r="H112" s="105"/>
      <c r="I112" s="106"/>
      <c r="J112" s="106"/>
      <c r="K112" s="89"/>
      <c r="L112" s="89"/>
      <c r="M112" s="89"/>
      <c r="N112" s="107"/>
      <c r="O112" s="107"/>
      <c r="P112" s="89"/>
      <c r="Q112" s="89"/>
      <c r="R112" s="89"/>
      <c r="S112" s="89"/>
      <c r="T112" s="89"/>
      <c r="U112" s="89"/>
      <c r="V112" s="89"/>
      <c r="W112" s="89"/>
      <c r="X112" s="89"/>
      <c r="Y112" s="89"/>
      <c r="Z112" s="77"/>
      <c r="AA112" s="77"/>
      <c r="AB112" s="94"/>
      <c r="AC112" s="94"/>
      <c r="AD112" s="94"/>
      <c r="AE112" s="94"/>
      <c r="AF112" s="91"/>
      <c r="AG112" s="92"/>
      <c r="AH112" s="92"/>
      <c r="AI112" s="93"/>
      <c r="AJ112" s="94"/>
      <c r="AK112" s="92"/>
      <c r="AL112" s="94"/>
      <c r="AM112" s="94"/>
      <c r="AN112" s="94"/>
      <c r="AO112" s="94"/>
      <c r="AP112" s="94"/>
      <c r="AQ112" s="94"/>
      <c r="AR112" s="94"/>
      <c r="AS112" s="94"/>
      <c r="AT112" s="94"/>
      <c r="AU112" s="92"/>
      <c r="AV112" s="94"/>
      <c r="AW112" s="94"/>
      <c r="AX112" s="94"/>
      <c r="AY112" s="94"/>
      <c r="AZ112" s="94"/>
      <c r="BA112" s="94"/>
      <c r="BB112" s="94"/>
      <c r="BC112" s="94"/>
      <c r="BD112" s="94"/>
      <c r="BE112" s="94"/>
      <c r="BF112" s="94"/>
      <c r="BG112" s="94"/>
      <c r="BH112" s="94"/>
      <c r="BI112" s="94"/>
      <c r="BJ112" s="94"/>
      <c r="BK112" s="94"/>
      <c r="BL112" s="92"/>
      <c r="BM112" s="94"/>
      <c r="BN112" s="94"/>
      <c r="BO112" s="94"/>
      <c r="BP112" s="94"/>
      <c r="BQ112" s="92"/>
      <c r="BR112" s="92"/>
      <c r="BS112" s="92"/>
      <c r="BT112" s="92"/>
      <c r="BU112" s="92"/>
      <c r="BV112" s="92"/>
      <c r="BW112" s="92"/>
      <c r="BX112" s="92"/>
      <c r="BY112" s="92"/>
      <c r="BZ112" s="92"/>
    </row>
    <row r="113" spans="1:78" ht="12.9">
      <c r="A113" s="89"/>
      <c r="B113" s="89"/>
      <c r="C113" s="89"/>
      <c r="D113" s="89"/>
      <c r="E113" s="89"/>
      <c r="F113" s="89"/>
      <c r="G113" s="89"/>
      <c r="H113" s="105"/>
      <c r="I113" s="106"/>
      <c r="J113" s="106"/>
      <c r="K113" s="89"/>
      <c r="L113" s="89"/>
      <c r="M113" s="89"/>
      <c r="N113" s="107"/>
      <c r="O113" s="107"/>
      <c r="P113" s="89"/>
      <c r="Q113" s="89"/>
      <c r="R113" s="89"/>
      <c r="S113" s="89"/>
      <c r="T113" s="89"/>
      <c r="U113" s="89"/>
      <c r="V113" s="89"/>
      <c r="W113" s="89"/>
      <c r="X113" s="89"/>
      <c r="Y113" s="89"/>
      <c r="Z113" s="77"/>
      <c r="AA113" s="77"/>
      <c r="AB113" s="94"/>
      <c r="AC113" s="94"/>
      <c r="AD113" s="94"/>
      <c r="AE113" s="94"/>
      <c r="AF113" s="91"/>
      <c r="AG113" s="92"/>
      <c r="AH113" s="92"/>
      <c r="AI113" s="93"/>
      <c r="AJ113" s="94"/>
      <c r="AK113" s="92"/>
      <c r="AL113" s="94"/>
      <c r="AM113" s="94"/>
      <c r="AN113" s="94"/>
      <c r="AO113" s="94"/>
      <c r="AP113" s="94"/>
      <c r="AQ113" s="94"/>
      <c r="AR113" s="94"/>
      <c r="AS113" s="94"/>
      <c r="AT113" s="94"/>
      <c r="AU113" s="92"/>
      <c r="AV113" s="94"/>
      <c r="AW113" s="94"/>
      <c r="AX113" s="94"/>
      <c r="AY113" s="94"/>
      <c r="AZ113" s="94"/>
      <c r="BA113" s="94"/>
      <c r="BB113" s="94"/>
      <c r="BC113" s="94"/>
      <c r="BD113" s="94"/>
      <c r="BE113" s="94"/>
      <c r="BF113" s="94"/>
      <c r="BG113" s="94"/>
      <c r="BH113" s="94"/>
      <c r="BI113" s="94"/>
      <c r="BJ113" s="94"/>
      <c r="BK113" s="94"/>
      <c r="BL113" s="92"/>
      <c r="BM113" s="94"/>
      <c r="BN113" s="94"/>
      <c r="BO113" s="94"/>
      <c r="BP113" s="94"/>
      <c r="BQ113" s="92"/>
      <c r="BR113" s="92"/>
      <c r="BS113" s="92"/>
      <c r="BT113" s="92"/>
      <c r="BU113" s="92"/>
      <c r="BV113" s="92"/>
      <c r="BW113" s="92"/>
      <c r="BX113" s="92"/>
      <c r="BY113" s="92"/>
      <c r="BZ113" s="92"/>
    </row>
    <row r="114" spans="1:78" ht="12.9">
      <c r="A114" s="89"/>
      <c r="B114" s="89"/>
      <c r="C114" s="89"/>
      <c r="D114" s="89"/>
      <c r="E114" s="89"/>
      <c r="F114" s="89"/>
      <c r="G114" s="89"/>
      <c r="H114" s="105"/>
      <c r="I114" s="106"/>
      <c r="J114" s="106"/>
      <c r="K114" s="89"/>
      <c r="L114" s="89"/>
      <c r="M114" s="89"/>
      <c r="N114" s="107"/>
      <c r="O114" s="107"/>
      <c r="P114" s="89"/>
      <c r="Q114" s="89"/>
      <c r="R114" s="89"/>
      <c r="S114" s="89"/>
      <c r="T114" s="89"/>
      <c r="U114" s="89"/>
      <c r="V114" s="89"/>
      <c r="W114" s="89"/>
      <c r="X114" s="89"/>
      <c r="Y114" s="89"/>
      <c r="Z114" s="77"/>
      <c r="AA114" s="77"/>
      <c r="AB114" s="94"/>
      <c r="AC114" s="94"/>
      <c r="AD114" s="94"/>
      <c r="AE114" s="94"/>
      <c r="AF114" s="91"/>
      <c r="AG114" s="92"/>
      <c r="AH114" s="92"/>
      <c r="AI114" s="93"/>
      <c r="AJ114" s="94"/>
      <c r="AK114" s="92"/>
      <c r="AL114" s="94"/>
      <c r="AM114" s="94"/>
      <c r="AN114" s="94"/>
      <c r="AO114" s="94"/>
      <c r="AP114" s="94"/>
      <c r="AQ114" s="94"/>
      <c r="AR114" s="94"/>
      <c r="AS114" s="94"/>
      <c r="AT114" s="94"/>
      <c r="AU114" s="92"/>
      <c r="AV114" s="94"/>
      <c r="AW114" s="94"/>
      <c r="AX114" s="94"/>
      <c r="AY114" s="94"/>
      <c r="AZ114" s="94"/>
      <c r="BA114" s="94"/>
      <c r="BB114" s="94"/>
      <c r="BC114" s="94"/>
      <c r="BD114" s="94"/>
      <c r="BE114" s="94"/>
      <c r="BF114" s="94"/>
      <c r="BG114" s="94"/>
      <c r="BH114" s="94"/>
      <c r="BI114" s="94"/>
      <c r="BJ114" s="94"/>
      <c r="BK114" s="94"/>
      <c r="BL114" s="92"/>
      <c r="BM114" s="94"/>
      <c r="BN114" s="94"/>
      <c r="BO114" s="94"/>
      <c r="BP114" s="94"/>
      <c r="BQ114" s="92"/>
      <c r="BR114" s="92"/>
      <c r="BS114" s="92"/>
      <c r="BT114" s="92"/>
      <c r="BU114" s="92"/>
      <c r="BV114" s="92"/>
      <c r="BW114" s="92"/>
      <c r="BX114" s="92"/>
      <c r="BY114" s="92"/>
      <c r="BZ114" s="92"/>
    </row>
    <row r="115" spans="1:78" ht="12.9">
      <c r="A115" s="89"/>
      <c r="B115" s="89"/>
      <c r="C115" s="89"/>
      <c r="D115" s="89"/>
      <c r="E115" s="89"/>
      <c r="F115" s="89"/>
      <c r="G115" s="89"/>
      <c r="H115" s="105"/>
      <c r="I115" s="106"/>
      <c r="J115" s="106"/>
      <c r="K115" s="89"/>
      <c r="L115" s="89"/>
      <c r="M115" s="89"/>
      <c r="N115" s="107"/>
      <c r="O115" s="107"/>
      <c r="P115" s="89"/>
      <c r="Q115" s="89"/>
      <c r="R115" s="89"/>
      <c r="S115" s="89"/>
      <c r="T115" s="89"/>
      <c r="U115" s="89"/>
      <c r="V115" s="89"/>
      <c r="W115" s="89"/>
      <c r="X115" s="89"/>
      <c r="Y115" s="89"/>
      <c r="Z115" s="77"/>
      <c r="AA115" s="77"/>
      <c r="AB115" s="94"/>
      <c r="AC115" s="94"/>
      <c r="AD115" s="94"/>
      <c r="AE115" s="94"/>
      <c r="AF115" s="91"/>
      <c r="AG115" s="92"/>
      <c r="AH115" s="92"/>
      <c r="AI115" s="93"/>
      <c r="AJ115" s="94"/>
      <c r="AK115" s="92"/>
      <c r="AL115" s="94"/>
      <c r="AM115" s="94"/>
      <c r="AN115" s="94"/>
      <c r="AO115" s="94"/>
      <c r="AP115" s="94"/>
      <c r="AQ115" s="94"/>
      <c r="AR115" s="94"/>
      <c r="AS115" s="94"/>
      <c r="AT115" s="94"/>
      <c r="AU115" s="92"/>
      <c r="AV115" s="94"/>
      <c r="AW115" s="94"/>
      <c r="AX115" s="94"/>
      <c r="AY115" s="94"/>
      <c r="AZ115" s="94"/>
      <c r="BA115" s="94"/>
      <c r="BB115" s="94"/>
      <c r="BC115" s="94"/>
      <c r="BD115" s="94"/>
      <c r="BE115" s="94"/>
      <c r="BF115" s="94"/>
      <c r="BG115" s="94"/>
      <c r="BH115" s="94"/>
      <c r="BI115" s="94"/>
      <c r="BJ115" s="94"/>
      <c r="BK115" s="94"/>
      <c r="BL115" s="92"/>
      <c r="BM115" s="94"/>
      <c r="BN115" s="94"/>
      <c r="BO115" s="94"/>
      <c r="BP115" s="94"/>
      <c r="BQ115" s="92"/>
      <c r="BR115" s="92"/>
      <c r="BS115" s="92"/>
      <c r="BT115" s="92"/>
      <c r="BU115" s="92"/>
      <c r="BV115" s="92"/>
      <c r="BW115" s="92"/>
      <c r="BX115" s="92"/>
      <c r="BY115" s="92"/>
      <c r="BZ115" s="92"/>
    </row>
    <row r="116" spans="1:78" ht="12.9">
      <c r="A116" s="89"/>
      <c r="B116" s="89"/>
      <c r="C116" s="89"/>
      <c r="D116" s="89"/>
      <c r="E116" s="89"/>
      <c r="F116" s="89"/>
      <c r="G116" s="89"/>
      <c r="H116" s="105"/>
      <c r="I116" s="106"/>
      <c r="J116" s="106"/>
      <c r="K116" s="89"/>
      <c r="L116" s="89"/>
      <c r="M116" s="89"/>
      <c r="N116" s="107"/>
      <c r="O116" s="107"/>
      <c r="P116" s="89"/>
      <c r="Q116" s="89"/>
      <c r="R116" s="89"/>
      <c r="S116" s="89"/>
      <c r="T116" s="89"/>
      <c r="U116" s="89"/>
      <c r="V116" s="89"/>
      <c r="W116" s="89"/>
      <c r="X116" s="89"/>
      <c r="Y116" s="89"/>
      <c r="Z116" s="77"/>
      <c r="AA116" s="77"/>
      <c r="AB116" s="94"/>
      <c r="AC116" s="94"/>
      <c r="AD116" s="94"/>
      <c r="AE116" s="94"/>
      <c r="AF116" s="91"/>
      <c r="AG116" s="92"/>
      <c r="AH116" s="92"/>
      <c r="AI116" s="93"/>
      <c r="AJ116" s="94"/>
      <c r="AK116" s="92"/>
      <c r="AL116" s="94"/>
      <c r="AM116" s="94"/>
      <c r="AN116" s="94"/>
      <c r="AO116" s="94"/>
      <c r="AP116" s="94"/>
      <c r="AQ116" s="94"/>
      <c r="AR116" s="94"/>
      <c r="AS116" s="94"/>
      <c r="AT116" s="94"/>
      <c r="AU116" s="92"/>
      <c r="AV116" s="94"/>
      <c r="AW116" s="94"/>
      <c r="AX116" s="94"/>
      <c r="AY116" s="94"/>
      <c r="AZ116" s="94"/>
      <c r="BA116" s="94"/>
      <c r="BB116" s="94"/>
      <c r="BC116" s="94"/>
      <c r="BD116" s="94"/>
      <c r="BE116" s="94"/>
      <c r="BF116" s="94"/>
      <c r="BG116" s="94"/>
      <c r="BH116" s="94"/>
      <c r="BI116" s="94"/>
      <c r="BJ116" s="94"/>
      <c r="BK116" s="94"/>
      <c r="BL116" s="92"/>
      <c r="BM116" s="94"/>
      <c r="BN116" s="94"/>
      <c r="BO116" s="94"/>
      <c r="BP116" s="94"/>
      <c r="BQ116" s="92"/>
      <c r="BR116" s="92"/>
      <c r="BS116" s="92"/>
      <c r="BT116" s="92"/>
      <c r="BU116" s="92"/>
      <c r="BV116" s="92"/>
      <c r="BW116" s="92"/>
      <c r="BX116" s="92"/>
      <c r="BY116" s="92"/>
      <c r="BZ116" s="92"/>
    </row>
    <row r="117" spans="1:78" ht="12.9">
      <c r="A117" s="89"/>
      <c r="B117" s="89"/>
      <c r="C117" s="89"/>
      <c r="D117" s="89"/>
      <c r="E117" s="89"/>
      <c r="F117" s="89"/>
      <c r="G117" s="89"/>
      <c r="H117" s="105"/>
      <c r="I117" s="106"/>
      <c r="J117" s="106"/>
      <c r="K117" s="89"/>
      <c r="L117" s="89"/>
      <c r="M117" s="89"/>
      <c r="N117" s="107"/>
      <c r="O117" s="107"/>
      <c r="P117" s="89"/>
      <c r="Q117" s="89"/>
      <c r="R117" s="89"/>
      <c r="S117" s="89"/>
      <c r="T117" s="89"/>
      <c r="U117" s="89"/>
      <c r="V117" s="89"/>
      <c r="W117" s="89"/>
      <c r="X117" s="89"/>
      <c r="Y117" s="89"/>
      <c r="Z117" s="77"/>
      <c r="AA117" s="77"/>
      <c r="AB117" s="94"/>
      <c r="AC117" s="94"/>
      <c r="AD117" s="94"/>
      <c r="AE117" s="94"/>
      <c r="AF117" s="91"/>
      <c r="AG117" s="92"/>
      <c r="AH117" s="92"/>
      <c r="AI117" s="93"/>
      <c r="AJ117" s="94"/>
      <c r="AK117" s="92"/>
      <c r="AL117" s="94"/>
      <c r="AM117" s="94"/>
      <c r="AN117" s="94"/>
      <c r="AO117" s="94"/>
      <c r="AP117" s="94"/>
      <c r="AQ117" s="94"/>
      <c r="AR117" s="94"/>
      <c r="AS117" s="94"/>
      <c r="AT117" s="94"/>
      <c r="AU117" s="92"/>
      <c r="AV117" s="94"/>
      <c r="AW117" s="94"/>
      <c r="AX117" s="94"/>
      <c r="AY117" s="94"/>
      <c r="AZ117" s="94"/>
      <c r="BA117" s="94"/>
      <c r="BB117" s="94"/>
      <c r="BC117" s="94"/>
      <c r="BD117" s="94"/>
      <c r="BE117" s="94"/>
      <c r="BF117" s="94"/>
      <c r="BG117" s="94"/>
      <c r="BH117" s="94"/>
      <c r="BI117" s="94"/>
      <c r="BJ117" s="94"/>
      <c r="BK117" s="94"/>
      <c r="BL117" s="92"/>
      <c r="BM117" s="94"/>
      <c r="BN117" s="94"/>
      <c r="BO117" s="94"/>
      <c r="BP117" s="94"/>
      <c r="BQ117" s="92"/>
      <c r="BR117" s="92"/>
      <c r="BS117" s="92"/>
      <c r="BT117" s="92"/>
      <c r="BU117" s="92"/>
      <c r="BV117" s="92"/>
      <c r="BW117" s="92"/>
      <c r="BX117" s="92"/>
      <c r="BY117" s="92"/>
      <c r="BZ117" s="92"/>
    </row>
    <row r="118" spans="1:78" ht="12.9">
      <c r="A118" s="89"/>
      <c r="B118" s="89"/>
      <c r="C118" s="89"/>
      <c r="D118" s="89"/>
      <c r="E118" s="89"/>
      <c r="F118" s="89"/>
      <c r="G118" s="89"/>
      <c r="H118" s="105"/>
      <c r="I118" s="106"/>
      <c r="J118" s="106"/>
      <c r="K118" s="89"/>
      <c r="L118" s="89"/>
      <c r="M118" s="89"/>
      <c r="N118" s="107"/>
      <c r="O118" s="107"/>
      <c r="P118" s="89"/>
      <c r="Q118" s="89"/>
      <c r="R118" s="89"/>
      <c r="S118" s="89"/>
      <c r="T118" s="89"/>
      <c r="U118" s="89"/>
      <c r="V118" s="89"/>
      <c r="W118" s="89"/>
      <c r="X118" s="89"/>
      <c r="Y118" s="89"/>
      <c r="Z118" s="77"/>
      <c r="AA118" s="77"/>
      <c r="AB118" s="94"/>
      <c r="AC118" s="94"/>
      <c r="AD118" s="94"/>
      <c r="AE118" s="94"/>
      <c r="AF118" s="91"/>
      <c r="AG118" s="92"/>
      <c r="AH118" s="92"/>
      <c r="AI118" s="93"/>
      <c r="AJ118" s="94"/>
      <c r="AK118" s="92"/>
      <c r="AL118" s="94"/>
      <c r="AM118" s="94"/>
      <c r="AN118" s="94"/>
      <c r="AO118" s="94"/>
      <c r="AP118" s="94"/>
      <c r="AQ118" s="94"/>
      <c r="AR118" s="94"/>
      <c r="AS118" s="94"/>
      <c r="AT118" s="94"/>
      <c r="AU118" s="92"/>
      <c r="AV118" s="94"/>
      <c r="AW118" s="94"/>
      <c r="AX118" s="94"/>
      <c r="AY118" s="94"/>
      <c r="AZ118" s="94"/>
      <c r="BA118" s="94"/>
      <c r="BB118" s="94"/>
      <c r="BC118" s="94"/>
      <c r="BD118" s="94"/>
      <c r="BE118" s="94"/>
      <c r="BF118" s="94"/>
      <c r="BG118" s="94"/>
      <c r="BH118" s="94"/>
      <c r="BI118" s="94"/>
      <c r="BJ118" s="94"/>
      <c r="BK118" s="94"/>
      <c r="BL118" s="92"/>
      <c r="BM118" s="94"/>
      <c r="BN118" s="94"/>
      <c r="BO118" s="94"/>
      <c r="BP118" s="94"/>
      <c r="BQ118" s="92"/>
      <c r="BR118" s="92"/>
      <c r="BS118" s="92"/>
      <c r="BT118" s="92"/>
      <c r="BU118" s="92"/>
      <c r="BV118" s="92"/>
      <c r="BW118" s="92"/>
      <c r="BX118" s="92"/>
      <c r="BY118" s="92"/>
      <c r="BZ118" s="92"/>
    </row>
    <row r="119" spans="1:78" ht="12.9">
      <c r="A119" s="89"/>
      <c r="B119" s="89"/>
      <c r="C119" s="89"/>
      <c r="D119" s="89"/>
      <c r="E119" s="89"/>
      <c r="F119" s="89"/>
      <c r="G119" s="89"/>
      <c r="H119" s="105"/>
      <c r="I119" s="106"/>
      <c r="J119" s="106"/>
      <c r="K119" s="89"/>
      <c r="L119" s="89"/>
      <c r="M119" s="89"/>
      <c r="N119" s="107"/>
      <c r="O119" s="107"/>
      <c r="P119" s="89"/>
      <c r="Q119" s="89"/>
      <c r="R119" s="89"/>
      <c r="S119" s="89"/>
      <c r="T119" s="89"/>
      <c r="U119" s="89"/>
      <c r="V119" s="89"/>
      <c r="W119" s="89"/>
      <c r="X119" s="89"/>
      <c r="Y119" s="89"/>
      <c r="Z119" s="77"/>
      <c r="AA119" s="77"/>
      <c r="AB119" s="94"/>
      <c r="AC119" s="94"/>
      <c r="AD119" s="94"/>
      <c r="AE119" s="94"/>
      <c r="AF119" s="91"/>
      <c r="AG119" s="92"/>
      <c r="AH119" s="92"/>
      <c r="AI119" s="93"/>
      <c r="AJ119" s="94"/>
      <c r="AK119" s="92"/>
      <c r="AL119" s="94"/>
      <c r="AM119" s="94"/>
      <c r="AN119" s="94"/>
      <c r="AO119" s="94"/>
      <c r="AP119" s="94"/>
      <c r="AQ119" s="94"/>
      <c r="AR119" s="94"/>
      <c r="AS119" s="94"/>
      <c r="AT119" s="94"/>
      <c r="AU119" s="92"/>
      <c r="AV119" s="94"/>
      <c r="AW119" s="94"/>
      <c r="AX119" s="94"/>
      <c r="AY119" s="94"/>
      <c r="AZ119" s="94"/>
      <c r="BA119" s="94"/>
      <c r="BB119" s="94"/>
      <c r="BC119" s="94"/>
      <c r="BD119" s="94"/>
      <c r="BE119" s="94"/>
      <c r="BF119" s="94"/>
      <c r="BG119" s="94"/>
      <c r="BH119" s="94"/>
      <c r="BI119" s="94"/>
      <c r="BJ119" s="94"/>
      <c r="BK119" s="94"/>
      <c r="BL119" s="92"/>
      <c r="BM119" s="94"/>
      <c r="BN119" s="94"/>
      <c r="BO119" s="94"/>
      <c r="BP119" s="94"/>
      <c r="BQ119" s="92"/>
      <c r="BR119" s="92"/>
      <c r="BS119" s="92"/>
      <c r="BT119" s="92"/>
      <c r="BU119" s="92"/>
      <c r="BV119" s="92"/>
      <c r="BW119" s="92"/>
      <c r="BX119" s="92"/>
      <c r="BY119" s="92"/>
      <c r="BZ119" s="92"/>
    </row>
    <row r="120" spans="1:78" ht="12.9">
      <c r="A120" s="89"/>
      <c r="B120" s="89"/>
      <c r="C120" s="89"/>
      <c r="D120" s="89"/>
      <c r="E120" s="89"/>
      <c r="F120" s="89"/>
      <c r="G120" s="89"/>
      <c r="H120" s="105"/>
      <c r="I120" s="106"/>
      <c r="J120" s="106"/>
      <c r="K120" s="89"/>
      <c r="L120" s="89"/>
      <c r="M120" s="89"/>
      <c r="N120" s="107"/>
      <c r="O120" s="107"/>
      <c r="P120" s="89"/>
      <c r="Q120" s="89"/>
      <c r="R120" s="89"/>
      <c r="S120" s="89"/>
      <c r="T120" s="89"/>
      <c r="U120" s="89"/>
      <c r="V120" s="89"/>
      <c r="W120" s="89"/>
      <c r="X120" s="89"/>
      <c r="Y120" s="89"/>
      <c r="Z120" s="77"/>
      <c r="AA120" s="77"/>
      <c r="AB120" s="94"/>
      <c r="AC120" s="94"/>
      <c r="AD120" s="94"/>
      <c r="AE120" s="94"/>
      <c r="AF120" s="91"/>
      <c r="AG120" s="92"/>
      <c r="AH120" s="92"/>
      <c r="AI120" s="93"/>
      <c r="AJ120" s="94"/>
      <c r="AK120" s="92"/>
      <c r="AL120" s="94"/>
      <c r="AM120" s="94"/>
      <c r="AN120" s="94"/>
      <c r="AO120" s="94"/>
      <c r="AP120" s="94"/>
      <c r="AQ120" s="94"/>
      <c r="AR120" s="94"/>
      <c r="AS120" s="94"/>
      <c r="AT120" s="94"/>
      <c r="AU120" s="92"/>
      <c r="AV120" s="94"/>
      <c r="AW120" s="94"/>
      <c r="AX120" s="94"/>
      <c r="AY120" s="94"/>
      <c r="AZ120" s="94"/>
      <c r="BA120" s="94"/>
      <c r="BB120" s="94"/>
      <c r="BC120" s="94"/>
      <c r="BD120" s="94"/>
      <c r="BE120" s="94"/>
      <c r="BF120" s="94"/>
      <c r="BG120" s="94"/>
      <c r="BH120" s="94"/>
      <c r="BI120" s="94"/>
      <c r="BJ120" s="94"/>
      <c r="BK120" s="94"/>
      <c r="BL120" s="92"/>
      <c r="BM120" s="94"/>
      <c r="BN120" s="94"/>
      <c r="BO120" s="94"/>
      <c r="BP120" s="94"/>
      <c r="BQ120" s="92"/>
      <c r="BR120" s="92"/>
      <c r="BS120" s="92"/>
      <c r="BT120" s="92"/>
      <c r="BU120" s="92"/>
      <c r="BV120" s="92"/>
      <c r="BW120" s="92"/>
      <c r="BX120" s="92"/>
      <c r="BY120" s="92"/>
      <c r="BZ120" s="92"/>
    </row>
    <row r="121" spans="1:78" ht="12.9">
      <c r="A121" s="89"/>
      <c r="B121" s="89"/>
      <c r="C121" s="89"/>
      <c r="D121" s="89"/>
      <c r="E121" s="89"/>
      <c r="F121" s="89"/>
      <c r="G121" s="89"/>
      <c r="H121" s="105"/>
      <c r="I121" s="106"/>
      <c r="J121" s="106"/>
      <c r="K121" s="89"/>
      <c r="L121" s="89"/>
      <c r="M121" s="89"/>
      <c r="N121" s="107"/>
      <c r="O121" s="107"/>
      <c r="P121" s="89"/>
      <c r="Q121" s="89"/>
      <c r="R121" s="89"/>
      <c r="S121" s="89"/>
      <c r="T121" s="89"/>
      <c r="U121" s="89"/>
      <c r="V121" s="89"/>
      <c r="W121" s="89"/>
      <c r="X121" s="89"/>
      <c r="Y121" s="89"/>
      <c r="Z121" s="77"/>
      <c r="AA121" s="77"/>
      <c r="AB121" s="94"/>
      <c r="AC121" s="94"/>
      <c r="AD121" s="94"/>
      <c r="AE121" s="94"/>
      <c r="AF121" s="91"/>
      <c r="AG121" s="92"/>
      <c r="AH121" s="92"/>
      <c r="AI121" s="93"/>
      <c r="AJ121" s="94"/>
      <c r="AK121" s="92"/>
      <c r="AL121" s="94"/>
      <c r="AM121" s="94"/>
      <c r="AN121" s="94"/>
      <c r="AO121" s="94"/>
      <c r="AP121" s="94"/>
      <c r="AQ121" s="94"/>
      <c r="AR121" s="94"/>
      <c r="AS121" s="94"/>
      <c r="AT121" s="94"/>
      <c r="AU121" s="92"/>
      <c r="AV121" s="94"/>
      <c r="AW121" s="94"/>
      <c r="AX121" s="94"/>
      <c r="AY121" s="94"/>
      <c r="AZ121" s="94"/>
      <c r="BA121" s="94"/>
      <c r="BB121" s="94"/>
      <c r="BC121" s="94"/>
      <c r="BD121" s="94"/>
      <c r="BE121" s="94"/>
      <c r="BF121" s="94"/>
      <c r="BG121" s="94"/>
      <c r="BH121" s="94"/>
      <c r="BI121" s="94"/>
      <c r="BJ121" s="94"/>
      <c r="BK121" s="94"/>
      <c r="BL121" s="92"/>
      <c r="BM121" s="94"/>
      <c r="BN121" s="94"/>
      <c r="BO121" s="94"/>
      <c r="BP121" s="94"/>
      <c r="BQ121" s="92"/>
      <c r="BR121" s="92"/>
      <c r="BS121" s="92"/>
      <c r="BT121" s="92"/>
      <c r="BU121" s="92"/>
      <c r="BV121" s="92"/>
      <c r="BW121" s="92"/>
      <c r="BX121" s="92"/>
      <c r="BY121" s="92"/>
      <c r="BZ121" s="92"/>
    </row>
    <row r="122" spans="1:78" ht="12.9">
      <c r="A122" s="89"/>
      <c r="B122" s="89"/>
      <c r="C122" s="89"/>
      <c r="D122" s="89"/>
      <c r="E122" s="89"/>
      <c r="F122" s="89"/>
      <c r="G122" s="89"/>
      <c r="H122" s="105"/>
      <c r="I122" s="106"/>
      <c r="J122" s="106"/>
      <c r="K122" s="89"/>
      <c r="L122" s="89"/>
      <c r="M122" s="89"/>
      <c r="N122" s="107"/>
      <c r="O122" s="107"/>
      <c r="P122" s="89"/>
      <c r="Q122" s="89"/>
      <c r="R122" s="89"/>
      <c r="S122" s="89"/>
      <c r="T122" s="89"/>
      <c r="U122" s="89"/>
      <c r="V122" s="89"/>
      <c r="W122" s="89"/>
      <c r="X122" s="89"/>
      <c r="Y122" s="89"/>
      <c r="Z122" s="77"/>
      <c r="AA122" s="77"/>
      <c r="AB122" s="94"/>
      <c r="AC122" s="94"/>
      <c r="AD122" s="94"/>
      <c r="AE122" s="94"/>
      <c r="AF122" s="91"/>
      <c r="AG122" s="92"/>
      <c r="AH122" s="92"/>
      <c r="AI122" s="93"/>
      <c r="AJ122" s="94"/>
      <c r="AK122" s="92"/>
      <c r="AL122" s="94"/>
      <c r="AM122" s="94"/>
      <c r="AN122" s="94"/>
      <c r="AO122" s="94"/>
      <c r="AP122" s="94"/>
      <c r="AQ122" s="94"/>
      <c r="AR122" s="94"/>
      <c r="AS122" s="94"/>
      <c r="AT122" s="94"/>
      <c r="AU122" s="92"/>
      <c r="AV122" s="94"/>
      <c r="AW122" s="94"/>
      <c r="AX122" s="94"/>
      <c r="AY122" s="94"/>
      <c r="AZ122" s="94"/>
      <c r="BA122" s="94"/>
      <c r="BB122" s="94"/>
      <c r="BC122" s="94"/>
      <c r="BD122" s="94"/>
      <c r="BE122" s="94"/>
      <c r="BF122" s="94"/>
      <c r="BG122" s="94"/>
      <c r="BH122" s="94"/>
      <c r="BI122" s="94"/>
      <c r="BJ122" s="94"/>
      <c r="BK122" s="94"/>
      <c r="BL122" s="92"/>
      <c r="BM122" s="94"/>
      <c r="BN122" s="94"/>
      <c r="BO122" s="94"/>
      <c r="BP122" s="94"/>
      <c r="BQ122" s="92"/>
      <c r="BR122" s="92"/>
      <c r="BS122" s="92"/>
      <c r="BT122" s="92"/>
      <c r="BU122" s="92"/>
      <c r="BV122" s="92"/>
      <c r="BW122" s="92"/>
      <c r="BX122" s="92"/>
      <c r="BY122" s="92"/>
      <c r="BZ122" s="92"/>
    </row>
    <row r="123" spans="1:78" ht="12.9">
      <c r="A123" s="89"/>
      <c r="B123" s="89"/>
      <c r="C123" s="89"/>
      <c r="D123" s="89"/>
      <c r="E123" s="89"/>
      <c r="F123" s="89"/>
      <c r="G123" s="89"/>
      <c r="H123" s="105"/>
      <c r="I123" s="106"/>
      <c r="J123" s="106"/>
      <c r="K123" s="89"/>
      <c r="L123" s="89"/>
      <c r="M123" s="89"/>
      <c r="N123" s="107"/>
      <c r="O123" s="107"/>
      <c r="P123" s="89"/>
      <c r="Q123" s="89"/>
      <c r="R123" s="89"/>
      <c r="S123" s="89"/>
      <c r="T123" s="89"/>
      <c r="U123" s="89"/>
      <c r="V123" s="89"/>
      <c r="W123" s="89"/>
      <c r="X123" s="89"/>
      <c r="Y123" s="89"/>
      <c r="Z123" s="77"/>
      <c r="AA123" s="77"/>
      <c r="AB123" s="94"/>
      <c r="AC123" s="94"/>
      <c r="AD123" s="94"/>
      <c r="AE123" s="94"/>
      <c r="AF123" s="91"/>
      <c r="AG123" s="92"/>
      <c r="AH123" s="92"/>
      <c r="AI123" s="93"/>
      <c r="AJ123" s="94"/>
      <c r="AK123" s="92"/>
      <c r="AL123" s="94"/>
      <c r="AM123" s="94"/>
      <c r="AN123" s="94"/>
      <c r="AO123" s="94"/>
      <c r="AP123" s="94"/>
      <c r="AQ123" s="94"/>
      <c r="AR123" s="94"/>
      <c r="AS123" s="94"/>
      <c r="AT123" s="94"/>
      <c r="AU123" s="92"/>
      <c r="AV123" s="94"/>
      <c r="AW123" s="94"/>
      <c r="AX123" s="94"/>
      <c r="AY123" s="94"/>
      <c r="AZ123" s="94"/>
      <c r="BA123" s="94"/>
      <c r="BB123" s="94"/>
      <c r="BC123" s="94"/>
      <c r="BD123" s="94"/>
      <c r="BE123" s="94"/>
      <c r="BF123" s="94"/>
      <c r="BG123" s="94"/>
      <c r="BH123" s="94"/>
      <c r="BI123" s="94"/>
      <c r="BJ123" s="94"/>
      <c r="BK123" s="94"/>
      <c r="BL123" s="92"/>
      <c r="BM123" s="94"/>
      <c r="BN123" s="94"/>
      <c r="BO123" s="94"/>
      <c r="BP123" s="94"/>
      <c r="BQ123" s="92"/>
      <c r="BR123" s="92"/>
      <c r="BS123" s="92"/>
      <c r="BT123" s="92"/>
      <c r="BU123" s="92"/>
      <c r="BV123" s="92"/>
      <c r="BW123" s="92"/>
      <c r="BX123" s="92"/>
      <c r="BY123" s="92"/>
      <c r="BZ123" s="92"/>
    </row>
    <row r="124" spans="1:78" ht="12.9">
      <c r="A124" s="89"/>
      <c r="B124" s="89"/>
      <c r="C124" s="89"/>
      <c r="D124" s="89"/>
      <c r="E124" s="89"/>
      <c r="F124" s="89"/>
      <c r="G124" s="89"/>
      <c r="H124" s="105"/>
      <c r="I124" s="106"/>
      <c r="J124" s="106"/>
      <c r="K124" s="89"/>
      <c r="L124" s="89"/>
      <c r="M124" s="89"/>
      <c r="N124" s="107"/>
      <c r="O124" s="107"/>
      <c r="P124" s="89"/>
      <c r="Q124" s="89"/>
      <c r="R124" s="89"/>
      <c r="S124" s="89"/>
      <c r="T124" s="89"/>
      <c r="U124" s="89"/>
      <c r="V124" s="89"/>
      <c r="W124" s="89"/>
      <c r="X124" s="89"/>
      <c r="Y124" s="89"/>
      <c r="Z124" s="77"/>
      <c r="AA124" s="77"/>
      <c r="AB124" s="94"/>
      <c r="AC124" s="94"/>
      <c r="AD124" s="94"/>
      <c r="AE124" s="94"/>
      <c r="AF124" s="91"/>
      <c r="AG124" s="92"/>
      <c r="AH124" s="92"/>
      <c r="AI124" s="93"/>
      <c r="AJ124" s="94"/>
      <c r="AK124" s="92"/>
      <c r="AL124" s="94"/>
      <c r="AM124" s="94"/>
      <c r="AN124" s="94"/>
      <c r="AO124" s="94"/>
      <c r="AP124" s="94"/>
      <c r="AQ124" s="94"/>
      <c r="AR124" s="94"/>
      <c r="AS124" s="94"/>
      <c r="AT124" s="94"/>
      <c r="AU124" s="92"/>
      <c r="AV124" s="94"/>
      <c r="AW124" s="94"/>
      <c r="AX124" s="94"/>
      <c r="AY124" s="94"/>
      <c r="AZ124" s="94"/>
      <c r="BA124" s="94"/>
      <c r="BB124" s="94"/>
      <c r="BC124" s="94"/>
      <c r="BD124" s="94"/>
      <c r="BE124" s="94"/>
      <c r="BF124" s="94"/>
      <c r="BG124" s="94"/>
      <c r="BH124" s="94"/>
      <c r="BI124" s="94"/>
      <c r="BJ124" s="94"/>
      <c r="BK124" s="94"/>
      <c r="BL124" s="92"/>
      <c r="BM124" s="94"/>
      <c r="BN124" s="94"/>
      <c r="BO124" s="94"/>
      <c r="BP124" s="94"/>
      <c r="BQ124" s="92"/>
      <c r="BR124" s="92"/>
      <c r="BS124" s="92"/>
      <c r="BT124" s="92"/>
      <c r="BU124" s="92"/>
      <c r="BV124" s="92"/>
      <c r="BW124" s="92"/>
      <c r="BX124" s="92"/>
      <c r="BY124" s="92"/>
      <c r="BZ124" s="92"/>
    </row>
    <row r="125" spans="1:78" ht="12.9">
      <c r="A125" s="89"/>
      <c r="B125" s="89"/>
      <c r="C125" s="89"/>
      <c r="D125" s="89"/>
      <c r="E125" s="89"/>
      <c r="F125" s="89"/>
      <c r="G125" s="89"/>
      <c r="H125" s="105"/>
      <c r="I125" s="106"/>
      <c r="J125" s="106"/>
      <c r="K125" s="89"/>
      <c r="L125" s="89"/>
      <c r="M125" s="89"/>
      <c r="N125" s="107"/>
      <c r="O125" s="107"/>
      <c r="P125" s="89"/>
      <c r="Q125" s="89"/>
      <c r="R125" s="89"/>
      <c r="S125" s="89"/>
      <c r="T125" s="89"/>
      <c r="U125" s="89"/>
      <c r="V125" s="89"/>
      <c r="W125" s="89"/>
      <c r="X125" s="89"/>
      <c r="Y125" s="89"/>
      <c r="Z125" s="77"/>
      <c r="AA125" s="77"/>
      <c r="AB125" s="94"/>
      <c r="AC125" s="94"/>
      <c r="AD125" s="94"/>
      <c r="AE125" s="94"/>
      <c r="AF125" s="91"/>
      <c r="AG125" s="92"/>
      <c r="AH125" s="92"/>
      <c r="AI125" s="93"/>
      <c r="AJ125" s="94"/>
      <c r="AK125" s="92"/>
      <c r="AL125" s="94"/>
      <c r="AM125" s="94"/>
      <c r="AN125" s="94"/>
      <c r="AO125" s="94"/>
      <c r="AP125" s="94"/>
      <c r="AQ125" s="94"/>
      <c r="AR125" s="94"/>
      <c r="AS125" s="94"/>
      <c r="AT125" s="94"/>
      <c r="AU125" s="92"/>
      <c r="AV125" s="94"/>
      <c r="AW125" s="94"/>
      <c r="AX125" s="94"/>
      <c r="AY125" s="94"/>
      <c r="AZ125" s="94"/>
      <c r="BA125" s="94"/>
      <c r="BB125" s="94"/>
      <c r="BC125" s="94"/>
      <c r="BD125" s="94"/>
      <c r="BE125" s="94"/>
      <c r="BF125" s="94"/>
      <c r="BG125" s="94"/>
      <c r="BH125" s="94"/>
      <c r="BI125" s="94"/>
      <c r="BJ125" s="94"/>
      <c r="BK125" s="94"/>
      <c r="BL125" s="92"/>
      <c r="BM125" s="94"/>
      <c r="BN125" s="94"/>
      <c r="BO125" s="94"/>
      <c r="BP125" s="94"/>
      <c r="BQ125" s="92"/>
      <c r="BR125" s="92"/>
      <c r="BS125" s="92"/>
      <c r="BT125" s="92"/>
      <c r="BU125" s="92"/>
      <c r="BV125" s="92"/>
      <c r="BW125" s="92"/>
      <c r="BX125" s="92"/>
      <c r="BY125" s="92"/>
      <c r="BZ125" s="92"/>
    </row>
    <row r="126" spans="1:78" ht="12.9">
      <c r="A126" s="89"/>
      <c r="B126" s="89"/>
      <c r="C126" s="89"/>
      <c r="D126" s="89"/>
      <c r="E126" s="89"/>
      <c r="F126" s="89"/>
      <c r="G126" s="89"/>
      <c r="H126" s="105"/>
      <c r="I126" s="106"/>
      <c r="J126" s="106"/>
      <c r="K126" s="89"/>
      <c r="L126" s="89"/>
      <c r="M126" s="89"/>
      <c r="N126" s="107"/>
      <c r="O126" s="107"/>
      <c r="P126" s="89"/>
      <c r="Q126" s="89"/>
      <c r="R126" s="89"/>
      <c r="S126" s="89"/>
      <c r="T126" s="89"/>
      <c r="U126" s="89"/>
      <c r="V126" s="89"/>
      <c r="W126" s="89"/>
      <c r="X126" s="89"/>
      <c r="Y126" s="89"/>
      <c r="Z126" s="77"/>
      <c r="AA126" s="77"/>
      <c r="AB126" s="94"/>
      <c r="AC126" s="94"/>
      <c r="AD126" s="94"/>
      <c r="AE126" s="94"/>
      <c r="AF126" s="91"/>
      <c r="AG126" s="92"/>
      <c r="AH126" s="92"/>
      <c r="AI126" s="93"/>
      <c r="AJ126" s="94"/>
      <c r="AK126" s="92"/>
      <c r="AL126" s="94"/>
      <c r="AM126" s="94"/>
      <c r="AN126" s="94"/>
      <c r="AO126" s="94"/>
      <c r="AP126" s="94"/>
      <c r="AQ126" s="94"/>
      <c r="AR126" s="94"/>
      <c r="AS126" s="94"/>
      <c r="AT126" s="94"/>
      <c r="AU126" s="92"/>
      <c r="AV126" s="94"/>
      <c r="AW126" s="94"/>
      <c r="AX126" s="94"/>
      <c r="AY126" s="94"/>
      <c r="AZ126" s="94"/>
      <c r="BA126" s="94"/>
      <c r="BB126" s="94"/>
      <c r="BC126" s="94"/>
      <c r="BD126" s="94"/>
      <c r="BE126" s="94"/>
      <c r="BF126" s="94"/>
      <c r="BG126" s="94"/>
      <c r="BH126" s="94"/>
      <c r="BI126" s="94"/>
      <c r="BJ126" s="94"/>
      <c r="BK126" s="94"/>
      <c r="BL126" s="92"/>
      <c r="BM126" s="94"/>
      <c r="BN126" s="94"/>
      <c r="BO126" s="94"/>
      <c r="BP126" s="94"/>
      <c r="BQ126" s="92"/>
      <c r="BR126" s="92"/>
      <c r="BS126" s="92"/>
      <c r="BT126" s="92"/>
      <c r="BU126" s="92"/>
      <c r="BV126" s="92"/>
      <c r="BW126" s="92"/>
      <c r="BX126" s="92"/>
      <c r="BY126" s="92"/>
      <c r="BZ126" s="92"/>
    </row>
    <row r="127" spans="1:78" ht="12.9">
      <c r="A127" s="89"/>
      <c r="B127" s="89"/>
      <c r="C127" s="89"/>
      <c r="D127" s="89"/>
      <c r="E127" s="89"/>
      <c r="F127" s="89"/>
      <c r="G127" s="89"/>
      <c r="H127" s="105"/>
      <c r="I127" s="106"/>
      <c r="J127" s="106"/>
      <c r="K127" s="89"/>
      <c r="L127" s="89"/>
      <c r="M127" s="89"/>
      <c r="N127" s="107"/>
      <c r="O127" s="107"/>
      <c r="P127" s="89"/>
      <c r="Q127" s="89"/>
      <c r="R127" s="89"/>
      <c r="S127" s="89"/>
      <c r="T127" s="89"/>
      <c r="U127" s="89"/>
      <c r="V127" s="89"/>
      <c r="W127" s="89"/>
      <c r="X127" s="89"/>
      <c r="Y127" s="89"/>
      <c r="Z127" s="77"/>
      <c r="AA127" s="77"/>
      <c r="AB127" s="94"/>
      <c r="AC127" s="94"/>
      <c r="AD127" s="94"/>
      <c r="AE127" s="94"/>
      <c r="AF127" s="91"/>
      <c r="AG127" s="92"/>
      <c r="AH127" s="92"/>
      <c r="AI127" s="93"/>
      <c r="AJ127" s="94"/>
      <c r="AK127" s="92"/>
      <c r="AL127" s="94"/>
      <c r="AM127" s="94"/>
      <c r="AN127" s="94"/>
      <c r="AO127" s="94"/>
      <c r="AP127" s="94"/>
      <c r="AQ127" s="94"/>
      <c r="AR127" s="94"/>
      <c r="AS127" s="94"/>
      <c r="AT127" s="94"/>
      <c r="AU127" s="92"/>
      <c r="AV127" s="94"/>
      <c r="AW127" s="94"/>
      <c r="AX127" s="94"/>
      <c r="AY127" s="94"/>
      <c r="AZ127" s="94"/>
      <c r="BA127" s="94"/>
      <c r="BB127" s="94"/>
      <c r="BC127" s="94"/>
      <c r="BD127" s="94"/>
      <c r="BE127" s="94"/>
      <c r="BF127" s="94"/>
      <c r="BG127" s="94"/>
      <c r="BH127" s="94"/>
      <c r="BI127" s="94"/>
      <c r="BJ127" s="94"/>
      <c r="BK127" s="94"/>
      <c r="BL127" s="92"/>
      <c r="BM127" s="94"/>
      <c r="BN127" s="94"/>
      <c r="BO127" s="94"/>
      <c r="BP127" s="94"/>
      <c r="BQ127" s="92"/>
      <c r="BR127" s="92"/>
      <c r="BS127" s="92"/>
      <c r="BT127" s="92"/>
      <c r="BU127" s="92"/>
      <c r="BV127" s="92"/>
      <c r="BW127" s="92"/>
      <c r="BX127" s="92"/>
      <c r="BY127" s="92"/>
      <c r="BZ127" s="92"/>
    </row>
    <row r="128" spans="1:78" ht="12.9">
      <c r="A128" s="89"/>
      <c r="B128" s="89"/>
      <c r="C128" s="89"/>
      <c r="D128" s="89"/>
      <c r="E128" s="89"/>
      <c r="F128" s="89"/>
      <c r="G128" s="89"/>
      <c r="H128" s="105"/>
      <c r="I128" s="106"/>
      <c r="J128" s="106"/>
      <c r="K128" s="89"/>
      <c r="L128" s="89"/>
      <c r="M128" s="89"/>
      <c r="N128" s="107"/>
      <c r="O128" s="107"/>
      <c r="P128" s="89"/>
      <c r="Q128" s="89"/>
      <c r="R128" s="89"/>
      <c r="S128" s="89"/>
      <c r="T128" s="89"/>
      <c r="U128" s="89"/>
      <c r="V128" s="89"/>
      <c r="W128" s="89"/>
      <c r="X128" s="89"/>
      <c r="Y128" s="89"/>
      <c r="Z128" s="77"/>
      <c r="AA128" s="77"/>
      <c r="AB128" s="94"/>
      <c r="AC128" s="94"/>
      <c r="AD128" s="94"/>
      <c r="AE128" s="94"/>
      <c r="AF128" s="91"/>
      <c r="AG128" s="92"/>
      <c r="AH128" s="92"/>
      <c r="AI128" s="93"/>
      <c r="AJ128" s="94"/>
      <c r="AK128" s="92"/>
      <c r="AL128" s="94"/>
      <c r="AM128" s="94"/>
      <c r="AN128" s="94"/>
      <c r="AO128" s="94"/>
      <c r="AP128" s="94"/>
      <c r="AQ128" s="94"/>
      <c r="AR128" s="94"/>
      <c r="AS128" s="94"/>
      <c r="AT128" s="94"/>
      <c r="AU128" s="92"/>
      <c r="AV128" s="94"/>
      <c r="AW128" s="94"/>
      <c r="AX128" s="94"/>
      <c r="AY128" s="94"/>
      <c r="AZ128" s="94"/>
      <c r="BA128" s="94"/>
      <c r="BB128" s="94"/>
      <c r="BC128" s="94"/>
      <c r="BD128" s="94"/>
      <c r="BE128" s="94"/>
      <c r="BF128" s="94"/>
      <c r="BG128" s="94"/>
      <c r="BH128" s="94"/>
      <c r="BI128" s="94"/>
      <c r="BJ128" s="94"/>
      <c r="BK128" s="94"/>
      <c r="BL128" s="92"/>
      <c r="BM128" s="94"/>
      <c r="BN128" s="94"/>
      <c r="BO128" s="94"/>
      <c r="BP128" s="94"/>
      <c r="BQ128" s="92"/>
      <c r="BR128" s="92"/>
      <c r="BS128" s="92"/>
      <c r="BT128" s="92"/>
      <c r="BU128" s="92"/>
      <c r="BV128" s="92"/>
      <c r="BW128" s="92"/>
      <c r="BX128" s="92"/>
      <c r="BY128" s="92"/>
      <c r="BZ128" s="92"/>
    </row>
    <row r="129" spans="1:78" ht="12.9">
      <c r="A129" s="89"/>
      <c r="B129" s="89"/>
      <c r="C129" s="89"/>
      <c r="D129" s="89"/>
      <c r="E129" s="89"/>
      <c r="F129" s="89"/>
      <c r="G129" s="89"/>
      <c r="H129" s="105"/>
      <c r="I129" s="106"/>
      <c r="J129" s="106"/>
      <c r="K129" s="89"/>
      <c r="L129" s="89"/>
      <c r="M129" s="89"/>
      <c r="N129" s="107"/>
      <c r="O129" s="107"/>
      <c r="P129" s="89"/>
      <c r="Q129" s="89"/>
      <c r="R129" s="89"/>
      <c r="S129" s="89"/>
      <c r="T129" s="89"/>
      <c r="U129" s="89"/>
      <c r="V129" s="89"/>
      <c r="W129" s="89"/>
      <c r="X129" s="89"/>
      <c r="Y129" s="89"/>
      <c r="Z129" s="77"/>
      <c r="AA129" s="77"/>
      <c r="AB129" s="94"/>
      <c r="AC129" s="94"/>
      <c r="AD129" s="94"/>
      <c r="AE129" s="94"/>
      <c r="AF129" s="91"/>
      <c r="AG129" s="92"/>
      <c r="AH129" s="92"/>
      <c r="AI129" s="93"/>
      <c r="AJ129" s="94"/>
      <c r="AK129" s="92"/>
      <c r="AL129" s="94"/>
      <c r="AM129" s="94"/>
      <c r="AN129" s="94"/>
      <c r="AO129" s="94"/>
      <c r="AP129" s="94"/>
      <c r="AQ129" s="94"/>
      <c r="AR129" s="94"/>
      <c r="AS129" s="94"/>
      <c r="AT129" s="94"/>
      <c r="AU129" s="92"/>
      <c r="AV129" s="94"/>
      <c r="AW129" s="94"/>
      <c r="AX129" s="94"/>
      <c r="AY129" s="94"/>
      <c r="AZ129" s="94"/>
      <c r="BA129" s="94"/>
      <c r="BB129" s="94"/>
      <c r="BC129" s="94"/>
      <c r="BD129" s="94"/>
      <c r="BE129" s="94"/>
      <c r="BF129" s="94"/>
      <c r="BG129" s="94"/>
      <c r="BH129" s="94"/>
      <c r="BI129" s="94"/>
      <c r="BJ129" s="94"/>
      <c r="BK129" s="94"/>
      <c r="BL129" s="92"/>
      <c r="BM129" s="94"/>
      <c r="BN129" s="94"/>
      <c r="BO129" s="94"/>
      <c r="BP129" s="94"/>
      <c r="BQ129" s="92"/>
      <c r="BR129" s="92"/>
      <c r="BS129" s="92"/>
      <c r="BT129" s="92"/>
      <c r="BU129" s="92"/>
      <c r="BV129" s="92"/>
      <c r="BW129" s="92"/>
      <c r="BX129" s="92"/>
      <c r="BY129" s="92"/>
      <c r="BZ129" s="92"/>
    </row>
    <row r="130" spans="1:78" ht="12.9">
      <c r="A130" s="89"/>
      <c r="B130" s="89"/>
      <c r="C130" s="89"/>
      <c r="D130" s="89"/>
      <c r="E130" s="89"/>
      <c r="F130" s="89"/>
      <c r="G130" s="89"/>
      <c r="H130" s="105"/>
      <c r="I130" s="106"/>
      <c r="J130" s="106"/>
      <c r="K130" s="89"/>
      <c r="L130" s="89"/>
      <c r="M130" s="89"/>
      <c r="N130" s="107"/>
      <c r="O130" s="107"/>
      <c r="P130" s="89"/>
      <c r="Q130" s="89"/>
      <c r="R130" s="89"/>
      <c r="S130" s="89"/>
      <c r="T130" s="89"/>
      <c r="U130" s="89"/>
      <c r="V130" s="89"/>
      <c r="W130" s="89"/>
      <c r="X130" s="89"/>
      <c r="Y130" s="89"/>
      <c r="Z130" s="77"/>
      <c r="AA130" s="77"/>
      <c r="AB130" s="94"/>
      <c r="AC130" s="94"/>
      <c r="AD130" s="94"/>
      <c r="AE130" s="94"/>
      <c r="AF130" s="91"/>
      <c r="AG130" s="92"/>
      <c r="AH130" s="92"/>
      <c r="AI130" s="93"/>
      <c r="AJ130" s="94"/>
      <c r="AK130" s="92"/>
      <c r="AL130" s="94"/>
      <c r="AM130" s="94"/>
      <c r="AN130" s="94"/>
      <c r="AO130" s="94"/>
      <c r="AP130" s="94"/>
      <c r="AQ130" s="94"/>
      <c r="AR130" s="94"/>
      <c r="AS130" s="94"/>
      <c r="AT130" s="94"/>
      <c r="AU130" s="92"/>
      <c r="AV130" s="94"/>
      <c r="AW130" s="94"/>
      <c r="AX130" s="94"/>
      <c r="AY130" s="94"/>
      <c r="AZ130" s="94"/>
      <c r="BA130" s="94"/>
      <c r="BB130" s="94"/>
      <c r="BC130" s="94"/>
      <c r="BD130" s="94"/>
      <c r="BE130" s="94"/>
      <c r="BF130" s="94"/>
      <c r="BG130" s="94"/>
      <c r="BH130" s="94"/>
      <c r="BI130" s="94"/>
      <c r="BJ130" s="94"/>
      <c r="BK130" s="94"/>
      <c r="BL130" s="92"/>
      <c r="BM130" s="94"/>
      <c r="BN130" s="94"/>
      <c r="BO130" s="94"/>
      <c r="BP130" s="94"/>
      <c r="BQ130" s="92"/>
      <c r="BR130" s="92"/>
      <c r="BS130" s="92"/>
      <c r="BT130" s="92"/>
      <c r="BU130" s="92"/>
      <c r="BV130" s="92"/>
      <c r="BW130" s="92"/>
      <c r="BX130" s="92"/>
      <c r="BY130" s="92"/>
      <c r="BZ130" s="92"/>
    </row>
    <row r="131" spans="1:78" ht="12.9">
      <c r="A131" s="89"/>
      <c r="B131" s="89"/>
      <c r="C131" s="89"/>
      <c r="D131" s="89"/>
      <c r="E131" s="89"/>
      <c r="F131" s="89"/>
      <c r="G131" s="89"/>
      <c r="H131" s="105"/>
      <c r="I131" s="106"/>
      <c r="J131" s="106"/>
      <c r="K131" s="89"/>
      <c r="L131" s="89"/>
      <c r="M131" s="89"/>
      <c r="N131" s="107"/>
      <c r="O131" s="107"/>
      <c r="P131" s="89"/>
      <c r="Q131" s="89"/>
      <c r="R131" s="89"/>
      <c r="S131" s="89"/>
      <c r="T131" s="89"/>
      <c r="U131" s="89"/>
      <c r="V131" s="89"/>
      <c r="W131" s="89"/>
      <c r="X131" s="89"/>
      <c r="Y131" s="89"/>
      <c r="Z131" s="77"/>
      <c r="AA131" s="77"/>
      <c r="AB131" s="94"/>
      <c r="AC131" s="94"/>
      <c r="AD131" s="94"/>
      <c r="AE131" s="94"/>
      <c r="AF131" s="91"/>
      <c r="AG131" s="92"/>
      <c r="AH131" s="92"/>
      <c r="AI131" s="93"/>
      <c r="AJ131" s="94"/>
      <c r="AK131" s="92"/>
      <c r="AL131" s="94"/>
      <c r="AM131" s="94"/>
      <c r="AN131" s="94"/>
      <c r="AO131" s="94"/>
      <c r="AP131" s="94"/>
      <c r="AQ131" s="94"/>
      <c r="AR131" s="94"/>
      <c r="AS131" s="94"/>
      <c r="AT131" s="94"/>
      <c r="AU131" s="92"/>
      <c r="AV131" s="94"/>
      <c r="AW131" s="94"/>
      <c r="AX131" s="94"/>
      <c r="AY131" s="94"/>
      <c r="AZ131" s="94"/>
      <c r="BA131" s="94"/>
      <c r="BB131" s="94"/>
      <c r="BC131" s="94"/>
      <c r="BD131" s="94"/>
      <c r="BE131" s="94"/>
      <c r="BF131" s="94"/>
      <c r="BG131" s="94"/>
      <c r="BH131" s="94"/>
      <c r="BI131" s="94"/>
      <c r="BJ131" s="94"/>
      <c r="BK131" s="94"/>
      <c r="BL131" s="92"/>
      <c r="BM131" s="94"/>
      <c r="BN131" s="94"/>
      <c r="BO131" s="94"/>
      <c r="BP131" s="94"/>
      <c r="BQ131" s="92"/>
      <c r="BR131" s="92"/>
      <c r="BS131" s="92"/>
      <c r="BT131" s="92"/>
      <c r="BU131" s="92"/>
      <c r="BV131" s="92"/>
      <c r="BW131" s="92"/>
      <c r="BX131" s="92"/>
      <c r="BY131" s="92"/>
      <c r="BZ131" s="92"/>
    </row>
    <row r="132" spans="1:78" ht="12.9">
      <c r="A132" s="89"/>
      <c r="B132" s="89"/>
      <c r="C132" s="89"/>
      <c r="D132" s="89"/>
      <c r="E132" s="89"/>
      <c r="F132" s="89"/>
      <c r="G132" s="89"/>
      <c r="H132" s="105"/>
      <c r="I132" s="106"/>
      <c r="J132" s="106"/>
      <c r="K132" s="89"/>
      <c r="L132" s="89"/>
      <c r="M132" s="89"/>
      <c r="N132" s="107"/>
      <c r="O132" s="107"/>
      <c r="P132" s="89"/>
      <c r="Q132" s="89"/>
      <c r="R132" s="89"/>
      <c r="S132" s="89"/>
      <c r="T132" s="89"/>
      <c r="U132" s="89"/>
      <c r="V132" s="89"/>
      <c r="W132" s="89"/>
      <c r="X132" s="89"/>
      <c r="Y132" s="89"/>
      <c r="Z132" s="77"/>
      <c r="AA132" s="77"/>
      <c r="AB132" s="94"/>
      <c r="AC132" s="94"/>
      <c r="AD132" s="94"/>
      <c r="AE132" s="94"/>
      <c r="AF132" s="91"/>
      <c r="AG132" s="92"/>
      <c r="AH132" s="92"/>
      <c r="AI132" s="93"/>
      <c r="AJ132" s="94"/>
      <c r="AK132" s="92"/>
      <c r="AL132" s="94"/>
      <c r="AM132" s="94"/>
      <c r="AN132" s="94"/>
      <c r="AO132" s="94"/>
      <c r="AP132" s="94"/>
      <c r="AQ132" s="94"/>
      <c r="AR132" s="94"/>
      <c r="AS132" s="94"/>
      <c r="AT132" s="94"/>
      <c r="AU132" s="92"/>
      <c r="AV132" s="94"/>
      <c r="AW132" s="94"/>
      <c r="AX132" s="94"/>
      <c r="AY132" s="94"/>
      <c r="AZ132" s="94"/>
      <c r="BA132" s="94"/>
      <c r="BB132" s="94"/>
      <c r="BC132" s="94"/>
      <c r="BD132" s="94"/>
      <c r="BE132" s="94"/>
      <c r="BF132" s="94"/>
      <c r="BG132" s="94"/>
      <c r="BH132" s="94"/>
      <c r="BI132" s="94"/>
      <c r="BJ132" s="94"/>
      <c r="BK132" s="94"/>
      <c r="BL132" s="92"/>
      <c r="BM132" s="94"/>
      <c r="BN132" s="94"/>
      <c r="BO132" s="94"/>
      <c r="BP132" s="94"/>
      <c r="BQ132" s="92"/>
      <c r="BR132" s="92"/>
      <c r="BS132" s="92"/>
      <c r="BT132" s="92"/>
      <c r="BU132" s="92"/>
      <c r="BV132" s="92"/>
      <c r="BW132" s="92"/>
      <c r="BX132" s="92"/>
      <c r="BY132" s="92"/>
      <c r="BZ132" s="92"/>
    </row>
    <row r="133" spans="1:78" ht="12.9">
      <c r="A133" s="89"/>
      <c r="B133" s="89"/>
      <c r="C133" s="89"/>
      <c r="D133" s="89"/>
      <c r="E133" s="89"/>
      <c r="F133" s="89"/>
      <c r="G133" s="89"/>
      <c r="H133" s="105"/>
      <c r="I133" s="106"/>
      <c r="J133" s="106"/>
      <c r="K133" s="89"/>
      <c r="L133" s="89"/>
      <c r="M133" s="89"/>
      <c r="N133" s="107"/>
      <c r="O133" s="107"/>
      <c r="P133" s="89"/>
      <c r="Q133" s="89"/>
      <c r="R133" s="89"/>
      <c r="S133" s="89"/>
      <c r="T133" s="89"/>
      <c r="U133" s="89"/>
      <c r="V133" s="89"/>
      <c r="W133" s="89"/>
      <c r="X133" s="89"/>
      <c r="Y133" s="89"/>
      <c r="Z133" s="77"/>
      <c r="AA133" s="77"/>
      <c r="AB133" s="94"/>
      <c r="AC133" s="94"/>
      <c r="AD133" s="94"/>
      <c r="AE133" s="94"/>
      <c r="AF133" s="91"/>
      <c r="AG133" s="92"/>
      <c r="AH133" s="92"/>
      <c r="AI133" s="93"/>
      <c r="AJ133" s="94"/>
      <c r="AK133" s="92"/>
      <c r="AL133" s="94"/>
      <c r="AM133" s="94"/>
      <c r="AN133" s="94"/>
      <c r="AO133" s="94"/>
      <c r="AP133" s="94"/>
      <c r="AQ133" s="94"/>
      <c r="AR133" s="94"/>
      <c r="AS133" s="94"/>
      <c r="AT133" s="94"/>
      <c r="AU133" s="92"/>
      <c r="AV133" s="94"/>
      <c r="AW133" s="94"/>
      <c r="AX133" s="94"/>
      <c r="AY133" s="94"/>
      <c r="AZ133" s="94"/>
      <c r="BA133" s="94"/>
      <c r="BB133" s="94"/>
      <c r="BC133" s="94"/>
      <c r="BD133" s="94"/>
      <c r="BE133" s="94"/>
      <c r="BF133" s="94"/>
      <c r="BG133" s="94"/>
      <c r="BH133" s="94"/>
      <c r="BI133" s="94"/>
      <c r="BJ133" s="94"/>
      <c r="BK133" s="94"/>
      <c r="BL133" s="92"/>
      <c r="BM133" s="94"/>
      <c r="BN133" s="94"/>
      <c r="BO133" s="94"/>
      <c r="BP133" s="94"/>
      <c r="BQ133" s="92"/>
      <c r="BR133" s="92"/>
      <c r="BS133" s="92"/>
      <c r="BT133" s="92"/>
      <c r="BU133" s="92"/>
      <c r="BV133" s="92"/>
      <c r="BW133" s="92"/>
      <c r="BX133" s="92"/>
      <c r="BY133" s="92"/>
      <c r="BZ133" s="92"/>
    </row>
    <row r="134" spans="1:78" ht="12.9">
      <c r="A134" s="89"/>
      <c r="B134" s="89"/>
      <c r="C134" s="89"/>
      <c r="D134" s="89"/>
      <c r="E134" s="89"/>
      <c r="F134" s="89"/>
      <c r="G134" s="89"/>
      <c r="H134" s="105"/>
      <c r="I134" s="106"/>
      <c r="J134" s="106"/>
      <c r="K134" s="89"/>
      <c r="L134" s="89"/>
      <c r="M134" s="89"/>
      <c r="N134" s="107"/>
      <c r="O134" s="107"/>
      <c r="P134" s="89"/>
      <c r="Q134" s="89"/>
      <c r="R134" s="89"/>
      <c r="S134" s="89"/>
      <c r="T134" s="89"/>
      <c r="U134" s="89"/>
      <c r="V134" s="89"/>
      <c r="W134" s="89"/>
      <c r="X134" s="89"/>
      <c r="Y134" s="89"/>
      <c r="Z134" s="77"/>
      <c r="AA134" s="77"/>
      <c r="AB134" s="94"/>
      <c r="AC134" s="94"/>
      <c r="AD134" s="94"/>
      <c r="AE134" s="94"/>
      <c r="AF134" s="91"/>
      <c r="AG134" s="92"/>
      <c r="AH134" s="92"/>
      <c r="AI134" s="93"/>
      <c r="AJ134" s="94"/>
      <c r="AK134" s="92"/>
      <c r="AL134" s="94"/>
      <c r="AM134" s="94"/>
      <c r="AN134" s="94"/>
      <c r="AO134" s="94"/>
      <c r="AP134" s="94"/>
      <c r="AQ134" s="94"/>
      <c r="AR134" s="94"/>
      <c r="AS134" s="94"/>
      <c r="AT134" s="94"/>
      <c r="AU134" s="92"/>
      <c r="AV134" s="94"/>
      <c r="AW134" s="94"/>
      <c r="AX134" s="94"/>
      <c r="AY134" s="94"/>
      <c r="AZ134" s="94"/>
      <c r="BA134" s="94"/>
      <c r="BB134" s="94"/>
      <c r="BC134" s="94"/>
      <c r="BD134" s="94"/>
      <c r="BE134" s="94"/>
      <c r="BF134" s="94"/>
      <c r="BG134" s="94"/>
      <c r="BH134" s="94"/>
      <c r="BI134" s="94"/>
      <c r="BJ134" s="94"/>
      <c r="BK134" s="94"/>
      <c r="BL134" s="92"/>
      <c r="BM134" s="94"/>
      <c r="BN134" s="94"/>
      <c r="BO134" s="94"/>
      <c r="BP134" s="94"/>
      <c r="BQ134" s="92"/>
      <c r="BR134" s="92"/>
      <c r="BS134" s="92"/>
      <c r="BT134" s="92"/>
      <c r="BU134" s="92"/>
      <c r="BV134" s="92"/>
      <c r="BW134" s="92"/>
      <c r="BX134" s="92"/>
      <c r="BY134" s="92"/>
      <c r="BZ134" s="92"/>
    </row>
    <row r="135" spans="1:78" ht="12.9">
      <c r="A135" s="89"/>
      <c r="B135" s="89"/>
      <c r="C135" s="89"/>
      <c r="D135" s="89"/>
      <c r="E135" s="89"/>
      <c r="F135" s="89"/>
      <c r="G135" s="89"/>
      <c r="H135" s="105"/>
      <c r="I135" s="106"/>
      <c r="J135" s="106"/>
      <c r="K135" s="89"/>
      <c r="L135" s="89"/>
      <c r="M135" s="89"/>
      <c r="N135" s="107"/>
      <c r="O135" s="107"/>
      <c r="P135" s="89"/>
      <c r="Q135" s="89"/>
      <c r="R135" s="89"/>
      <c r="S135" s="89"/>
      <c r="T135" s="89"/>
      <c r="U135" s="89"/>
      <c r="V135" s="89"/>
      <c r="W135" s="89"/>
      <c r="X135" s="89"/>
      <c r="Y135" s="89"/>
      <c r="Z135" s="77"/>
      <c r="AA135" s="77"/>
      <c r="AB135" s="94"/>
      <c r="AC135" s="94"/>
      <c r="AD135" s="94"/>
      <c r="AE135" s="94"/>
      <c r="AF135" s="91"/>
      <c r="AG135" s="92"/>
      <c r="AH135" s="92"/>
      <c r="AI135" s="93"/>
      <c r="AJ135" s="94"/>
      <c r="AK135" s="92"/>
      <c r="AL135" s="94"/>
      <c r="AM135" s="94"/>
      <c r="AN135" s="94"/>
      <c r="AO135" s="94"/>
      <c r="AP135" s="94"/>
      <c r="AQ135" s="94"/>
      <c r="AR135" s="94"/>
      <c r="AS135" s="94"/>
      <c r="AT135" s="94"/>
      <c r="AU135" s="92"/>
      <c r="AV135" s="94"/>
      <c r="AW135" s="94"/>
      <c r="AX135" s="94"/>
      <c r="AY135" s="94"/>
      <c r="AZ135" s="94"/>
      <c r="BA135" s="94"/>
      <c r="BB135" s="94"/>
      <c r="BC135" s="94"/>
      <c r="BD135" s="94"/>
      <c r="BE135" s="94"/>
      <c r="BF135" s="94"/>
      <c r="BG135" s="94"/>
      <c r="BH135" s="94"/>
      <c r="BI135" s="94"/>
      <c r="BJ135" s="94"/>
      <c r="BK135" s="94"/>
      <c r="BL135" s="92"/>
      <c r="BM135" s="94"/>
      <c r="BN135" s="94"/>
      <c r="BO135" s="94"/>
      <c r="BP135" s="94"/>
      <c r="BQ135" s="92"/>
      <c r="BR135" s="92"/>
      <c r="BS135" s="92"/>
      <c r="BT135" s="92"/>
      <c r="BU135" s="92"/>
      <c r="BV135" s="92"/>
      <c r="BW135" s="92"/>
      <c r="BX135" s="92"/>
      <c r="BY135" s="92"/>
      <c r="BZ135" s="92"/>
    </row>
    <row r="136" spans="1:78" ht="12.9">
      <c r="A136" s="89"/>
      <c r="B136" s="89"/>
      <c r="C136" s="89"/>
      <c r="D136" s="89"/>
      <c r="E136" s="89"/>
      <c r="F136" s="89"/>
      <c r="G136" s="89"/>
      <c r="H136" s="105"/>
      <c r="I136" s="106"/>
      <c r="J136" s="106"/>
      <c r="K136" s="89"/>
      <c r="L136" s="89"/>
      <c r="M136" s="89"/>
      <c r="N136" s="107"/>
      <c r="O136" s="107"/>
      <c r="P136" s="89"/>
      <c r="Q136" s="89"/>
      <c r="R136" s="89"/>
      <c r="S136" s="89"/>
      <c r="T136" s="89"/>
      <c r="U136" s="89"/>
      <c r="V136" s="89"/>
      <c r="W136" s="89"/>
      <c r="X136" s="89"/>
      <c r="Y136" s="89"/>
      <c r="Z136" s="77"/>
      <c r="AA136" s="77"/>
      <c r="AB136" s="94"/>
      <c r="AC136" s="94"/>
      <c r="AD136" s="94"/>
      <c r="AE136" s="94"/>
      <c r="AF136" s="91"/>
      <c r="AG136" s="92"/>
      <c r="AH136" s="92"/>
      <c r="AI136" s="93"/>
      <c r="AJ136" s="94"/>
      <c r="AK136" s="92"/>
      <c r="AL136" s="94"/>
      <c r="AM136" s="94"/>
      <c r="AN136" s="94"/>
      <c r="AO136" s="94"/>
      <c r="AP136" s="94"/>
      <c r="AQ136" s="94"/>
      <c r="AR136" s="94"/>
      <c r="AS136" s="94"/>
      <c r="AT136" s="94"/>
      <c r="AU136" s="92"/>
      <c r="AV136" s="94"/>
      <c r="AW136" s="94"/>
      <c r="AX136" s="94"/>
      <c r="AY136" s="94"/>
      <c r="AZ136" s="94"/>
      <c r="BA136" s="94"/>
      <c r="BB136" s="94"/>
      <c r="BC136" s="94"/>
      <c r="BD136" s="94"/>
      <c r="BE136" s="94"/>
      <c r="BF136" s="94"/>
      <c r="BG136" s="94"/>
      <c r="BH136" s="94"/>
      <c r="BI136" s="94"/>
      <c r="BJ136" s="94"/>
      <c r="BK136" s="94"/>
      <c r="BL136" s="92"/>
      <c r="BM136" s="94"/>
      <c r="BN136" s="94"/>
      <c r="BO136" s="94"/>
      <c r="BP136" s="94"/>
      <c r="BQ136" s="92"/>
      <c r="BR136" s="92"/>
      <c r="BS136" s="92"/>
      <c r="BT136" s="92"/>
      <c r="BU136" s="92"/>
      <c r="BV136" s="92"/>
      <c r="BW136" s="92"/>
      <c r="BX136" s="92"/>
      <c r="BY136" s="92"/>
      <c r="BZ136" s="92"/>
    </row>
    <row r="137" spans="1:78" ht="12.9">
      <c r="A137" s="89"/>
      <c r="B137" s="89"/>
      <c r="C137" s="89"/>
      <c r="D137" s="89"/>
      <c r="E137" s="89"/>
      <c r="F137" s="89"/>
      <c r="G137" s="89"/>
      <c r="H137" s="105"/>
      <c r="I137" s="106"/>
      <c r="J137" s="106"/>
      <c r="K137" s="89"/>
      <c r="L137" s="89"/>
      <c r="M137" s="89"/>
      <c r="N137" s="107"/>
      <c r="O137" s="107"/>
      <c r="P137" s="89"/>
      <c r="Q137" s="89"/>
      <c r="R137" s="89"/>
      <c r="S137" s="89"/>
      <c r="T137" s="89"/>
      <c r="U137" s="89"/>
      <c r="V137" s="89"/>
      <c r="W137" s="89"/>
      <c r="X137" s="89"/>
      <c r="Y137" s="89"/>
      <c r="Z137" s="77"/>
      <c r="AA137" s="77"/>
      <c r="AB137" s="94"/>
      <c r="AC137" s="94"/>
      <c r="AD137" s="94"/>
      <c r="AE137" s="94"/>
      <c r="AF137" s="91"/>
      <c r="AG137" s="92"/>
      <c r="AH137" s="92"/>
      <c r="AI137" s="93"/>
      <c r="AJ137" s="94"/>
      <c r="AK137" s="92"/>
      <c r="AL137" s="94"/>
      <c r="AM137" s="94"/>
      <c r="AN137" s="94"/>
      <c r="AO137" s="94"/>
      <c r="AP137" s="94"/>
      <c r="AQ137" s="94"/>
      <c r="AR137" s="94"/>
      <c r="AS137" s="94"/>
      <c r="AT137" s="94"/>
      <c r="AU137" s="92"/>
      <c r="AV137" s="94"/>
      <c r="AW137" s="94"/>
      <c r="AX137" s="94"/>
      <c r="AY137" s="94"/>
      <c r="AZ137" s="94"/>
      <c r="BA137" s="94"/>
      <c r="BB137" s="94"/>
      <c r="BC137" s="94"/>
      <c r="BD137" s="94"/>
      <c r="BE137" s="94"/>
      <c r="BF137" s="94"/>
      <c r="BG137" s="94"/>
      <c r="BH137" s="94"/>
      <c r="BI137" s="94"/>
      <c r="BJ137" s="94"/>
      <c r="BK137" s="94"/>
      <c r="BL137" s="92"/>
      <c r="BM137" s="94"/>
      <c r="BN137" s="94"/>
      <c r="BO137" s="94"/>
      <c r="BP137" s="94"/>
      <c r="BQ137" s="92"/>
      <c r="BR137" s="92"/>
      <c r="BS137" s="92"/>
      <c r="BT137" s="92"/>
      <c r="BU137" s="92"/>
      <c r="BV137" s="92"/>
      <c r="BW137" s="92"/>
      <c r="BX137" s="92"/>
      <c r="BY137" s="92"/>
      <c r="BZ137" s="92"/>
    </row>
    <row r="138" spans="1:78" ht="12.9">
      <c r="A138" s="89"/>
      <c r="B138" s="89"/>
      <c r="C138" s="89"/>
      <c r="D138" s="89"/>
      <c r="E138" s="89"/>
      <c r="F138" s="89"/>
      <c r="G138" s="89"/>
      <c r="H138" s="105"/>
      <c r="I138" s="106"/>
      <c r="J138" s="106"/>
      <c r="K138" s="89"/>
      <c r="L138" s="89"/>
      <c r="M138" s="89"/>
      <c r="N138" s="107"/>
      <c r="O138" s="107"/>
      <c r="P138" s="89"/>
      <c r="Q138" s="89"/>
      <c r="R138" s="89"/>
      <c r="S138" s="89"/>
      <c r="T138" s="89"/>
      <c r="U138" s="89"/>
      <c r="V138" s="89"/>
      <c r="W138" s="89"/>
      <c r="X138" s="89"/>
      <c r="Y138" s="89"/>
      <c r="Z138" s="77"/>
      <c r="AA138" s="77"/>
      <c r="AB138" s="94"/>
      <c r="AC138" s="94"/>
      <c r="AD138" s="94"/>
      <c r="AE138" s="94"/>
      <c r="AF138" s="91"/>
      <c r="AG138" s="92"/>
      <c r="AH138" s="92"/>
      <c r="AI138" s="93"/>
      <c r="AJ138" s="94"/>
      <c r="AK138" s="92"/>
      <c r="AL138" s="94"/>
      <c r="AM138" s="94"/>
      <c r="AN138" s="94"/>
      <c r="AO138" s="94"/>
      <c r="AP138" s="94"/>
      <c r="AQ138" s="94"/>
      <c r="AR138" s="94"/>
      <c r="AS138" s="94"/>
      <c r="AT138" s="94"/>
      <c r="AU138" s="92"/>
      <c r="AV138" s="94"/>
      <c r="AW138" s="94"/>
      <c r="AX138" s="94"/>
      <c r="AY138" s="94"/>
      <c r="AZ138" s="94"/>
      <c r="BA138" s="94"/>
      <c r="BB138" s="94"/>
      <c r="BC138" s="94"/>
      <c r="BD138" s="94"/>
      <c r="BE138" s="94"/>
      <c r="BF138" s="94"/>
      <c r="BG138" s="94"/>
      <c r="BH138" s="94"/>
      <c r="BI138" s="94"/>
      <c r="BJ138" s="94"/>
      <c r="BK138" s="94"/>
      <c r="BL138" s="92"/>
      <c r="BM138" s="94"/>
      <c r="BN138" s="94"/>
      <c r="BO138" s="94"/>
      <c r="BP138" s="94"/>
      <c r="BQ138" s="92"/>
      <c r="BR138" s="92"/>
      <c r="BS138" s="92"/>
      <c r="BT138" s="92"/>
      <c r="BU138" s="92"/>
      <c r="BV138" s="92"/>
      <c r="BW138" s="92"/>
      <c r="BX138" s="92"/>
      <c r="BY138" s="92"/>
      <c r="BZ138" s="92"/>
    </row>
    <row r="139" spans="1:78" ht="12.9">
      <c r="A139" s="89"/>
      <c r="B139" s="89"/>
      <c r="C139" s="89"/>
      <c r="D139" s="89"/>
      <c r="E139" s="89"/>
      <c r="F139" s="89"/>
      <c r="G139" s="89"/>
      <c r="H139" s="105"/>
      <c r="I139" s="106"/>
      <c r="J139" s="106"/>
      <c r="K139" s="89"/>
      <c r="L139" s="89"/>
      <c r="M139" s="89"/>
      <c r="N139" s="107"/>
      <c r="O139" s="107"/>
      <c r="P139" s="89"/>
      <c r="Q139" s="89"/>
      <c r="R139" s="89"/>
      <c r="S139" s="89"/>
      <c r="T139" s="89"/>
      <c r="U139" s="89"/>
      <c r="V139" s="89"/>
      <c r="W139" s="89"/>
      <c r="X139" s="89"/>
      <c r="Y139" s="89"/>
      <c r="Z139" s="77"/>
      <c r="AA139" s="77"/>
      <c r="AB139" s="94"/>
      <c r="AC139" s="94"/>
      <c r="AD139" s="94"/>
      <c r="AE139" s="94"/>
      <c r="AF139" s="91"/>
      <c r="AG139" s="92"/>
      <c r="AH139" s="92"/>
      <c r="AI139" s="93"/>
      <c r="AJ139" s="94"/>
      <c r="AK139" s="92"/>
      <c r="AL139" s="94"/>
      <c r="AM139" s="94"/>
      <c r="AN139" s="94"/>
      <c r="AO139" s="94"/>
      <c r="AP139" s="94"/>
      <c r="AQ139" s="94"/>
      <c r="AR139" s="94"/>
      <c r="AS139" s="94"/>
      <c r="AT139" s="94"/>
      <c r="AU139" s="92"/>
      <c r="AV139" s="94"/>
      <c r="AW139" s="94"/>
      <c r="AX139" s="94"/>
      <c r="AY139" s="94"/>
      <c r="AZ139" s="94"/>
      <c r="BA139" s="94"/>
      <c r="BB139" s="94"/>
      <c r="BC139" s="94"/>
      <c r="BD139" s="94"/>
      <c r="BE139" s="94"/>
      <c r="BF139" s="94"/>
      <c r="BG139" s="94"/>
      <c r="BH139" s="94"/>
      <c r="BI139" s="94"/>
      <c r="BJ139" s="94"/>
      <c r="BK139" s="94"/>
      <c r="BL139" s="92"/>
      <c r="BM139" s="94"/>
      <c r="BN139" s="94"/>
      <c r="BO139" s="94"/>
      <c r="BP139" s="94"/>
      <c r="BQ139" s="92"/>
      <c r="BR139" s="92"/>
      <c r="BS139" s="92"/>
      <c r="BT139" s="92"/>
      <c r="BU139" s="92"/>
      <c r="BV139" s="92"/>
      <c r="BW139" s="92"/>
      <c r="BX139" s="92"/>
      <c r="BY139" s="92"/>
      <c r="BZ139" s="92"/>
    </row>
    <row r="140" spans="1:78" ht="12.9">
      <c r="A140" s="89"/>
      <c r="B140" s="89"/>
      <c r="C140" s="89"/>
      <c r="D140" s="89"/>
      <c r="E140" s="89"/>
      <c r="F140" s="89"/>
      <c r="G140" s="89"/>
      <c r="H140" s="105"/>
      <c r="I140" s="106"/>
      <c r="J140" s="106"/>
      <c r="K140" s="89"/>
      <c r="L140" s="89"/>
      <c r="M140" s="89"/>
      <c r="N140" s="107"/>
      <c r="O140" s="107"/>
      <c r="P140" s="89"/>
      <c r="Q140" s="89"/>
      <c r="R140" s="89"/>
      <c r="S140" s="89"/>
      <c r="T140" s="89"/>
      <c r="U140" s="89"/>
      <c r="V140" s="89"/>
      <c r="W140" s="89"/>
      <c r="X140" s="89"/>
      <c r="Y140" s="89"/>
      <c r="Z140" s="77"/>
      <c r="AA140" s="77"/>
      <c r="AB140" s="94"/>
      <c r="AC140" s="94"/>
      <c r="AD140" s="94"/>
      <c r="AE140" s="94"/>
      <c r="AF140" s="91"/>
      <c r="AG140" s="92"/>
      <c r="AH140" s="92"/>
      <c r="AI140" s="93"/>
      <c r="AJ140" s="94"/>
      <c r="AK140" s="92"/>
      <c r="AL140" s="94"/>
      <c r="AM140" s="94"/>
      <c r="AN140" s="94"/>
      <c r="AO140" s="94"/>
      <c r="AP140" s="94"/>
      <c r="AQ140" s="94"/>
      <c r="AR140" s="94"/>
      <c r="AS140" s="94"/>
      <c r="AT140" s="94"/>
      <c r="AU140" s="92"/>
      <c r="AV140" s="94"/>
      <c r="AW140" s="94"/>
      <c r="AX140" s="94"/>
      <c r="AY140" s="94"/>
      <c r="AZ140" s="94"/>
      <c r="BA140" s="94"/>
      <c r="BB140" s="94"/>
      <c r="BC140" s="94"/>
      <c r="BD140" s="94"/>
      <c r="BE140" s="94"/>
      <c r="BF140" s="94"/>
      <c r="BG140" s="94"/>
      <c r="BH140" s="94"/>
      <c r="BI140" s="94"/>
      <c r="BJ140" s="94"/>
      <c r="BK140" s="94"/>
      <c r="BL140" s="92"/>
      <c r="BM140" s="94"/>
      <c r="BN140" s="94"/>
      <c r="BO140" s="94"/>
      <c r="BP140" s="94"/>
      <c r="BQ140" s="92"/>
      <c r="BR140" s="92"/>
      <c r="BS140" s="92"/>
      <c r="BT140" s="92"/>
      <c r="BU140" s="92"/>
      <c r="BV140" s="92"/>
      <c r="BW140" s="92"/>
      <c r="BX140" s="92"/>
      <c r="BY140" s="92"/>
      <c r="BZ140" s="92"/>
    </row>
    <row r="141" spans="1:78" ht="12.9">
      <c r="A141" s="89"/>
      <c r="B141" s="89"/>
      <c r="C141" s="89"/>
      <c r="D141" s="89"/>
      <c r="E141" s="89"/>
      <c r="F141" s="89"/>
      <c r="G141" s="89"/>
      <c r="H141" s="105"/>
      <c r="I141" s="106"/>
      <c r="J141" s="106"/>
      <c r="K141" s="89"/>
      <c r="L141" s="89"/>
      <c r="M141" s="89"/>
      <c r="N141" s="107"/>
      <c r="O141" s="107"/>
      <c r="P141" s="89"/>
      <c r="Q141" s="89"/>
      <c r="R141" s="89"/>
      <c r="S141" s="89"/>
      <c r="T141" s="89"/>
      <c r="U141" s="89"/>
      <c r="V141" s="89"/>
      <c r="W141" s="89"/>
      <c r="X141" s="89"/>
      <c r="Y141" s="89"/>
      <c r="Z141" s="77"/>
      <c r="AA141" s="77"/>
      <c r="AB141" s="94"/>
      <c r="AC141" s="94"/>
      <c r="AD141" s="94"/>
      <c r="AE141" s="94"/>
      <c r="AF141" s="91"/>
      <c r="AG141" s="92"/>
      <c r="AH141" s="92"/>
      <c r="AI141" s="93"/>
      <c r="AJ141" s="94"/>
      <c r="AK141" s="92"/>
      <c r="AL141" s="94"/>
      <c r="AM141" s="94"/>
      <c r="AN141" s="94"/>
      <c r="AO141" s="94"/>
      <c r="AP141" s="94"/>
      <c r="AQ141" s="94"/>
      <c r="AR141" s="94"/>
      <c r="AS141" s="94"/>
      <c r="AT141" s="94"/>
      <c r="AU141" s="92"/>
      <c r="AV141" s="94"/>
      <c r="AW141" s="94"/>
      <c r="AX141" s="94"/>
      <c r="AY141" s="94"/>
      <c r="AZ141" s="94"/>
      <c r="BA141" s="94"/>
      <c r="BB141" s="94"/>
      <c r="BC141" s="94"/>
      <c r="BD141" s="94"/>
      <c r="BE141" s="94"/>
      <c r="BF141" s="94"/>
      <c r="BG141" s="94"/>
      <c r="BH141" s="94"/>
      <c r="BI141" s="94"/>
      <c r="BJ141" s="94"/>
      <c r="BK141" s="94"/>
      <c r="BL141" s="92"/>
      <c r="BM141" s="94"/>
      <c r="BN141" s="94"/>
      <c r="BO141" s="94"/>
      <c r="BP141" s="94"/>
      <c r="BQ141" s="92"/>
      <c r="BR141" s="92"/>
      <c r="BS141" s="92"/>
      <c r="BT141" s="92"/>
      <c r="BU141" s="92"/>
      <c r="BV141" s="92"/>
      <c r="BW141" s="92"/>
      <c r="BX141" s="92"/>
      <c r="BY141" s="92"/>
      <c r="BZ141" s="92"/>
    </row>
    <row r="142" spans="1:78" ht="12.9">
      <c r="A142" s="89"/>
      <c r="B142" s="89"/>
      <c r="C142" s="89"/>
      <c r="D142" s="89"/>
      <c r="E142" s="89"/>
      <c r="F142" s="89"/>
      <c r="G142" s="89"/>
      <c r="H142" s="105"/>
      <c r="I142" s="106"/>
      <c r="J142" s="106"/>
      <c r="K142" s="89"/>
      <c r="L142" s="89"/>
      <c r="M142" s="89"/>
      <c r="N142" s="107"/>
      <c r="O142" s="107"/>
      <c r="P142" s="89"/>
      <c r="Q142" s="89"/>
      <c r="R142" s="89"/>
      <c r="S142" s="89"/>
      <c r="T142" s="89"/>
      <c r="U142" s="89"/>
      <c r="V142" s="89"/>
      <c r="W142" s="89"/>
      <c r="X142" s="89"/>
      <c r="Y142" s="89"/>
      <c r="Z142" s="77"/>
      <c r="AA142" s="77"/>
      <c r="AB142" s="94"/>
      <c r="AC142" s="94"/>
      <c r="AD142" s="94"/>
      <c r="AE142" s="94"/>
      <c r="AF142" s="91"/>
      <c r="AG142" s="92"/>
      <c r="AH142" s="92"/>
      <c r="AI142" s="93"/>
      <c r="AJ142" s="94"/>
      <c r="AK142" s="92"/>
      <c r="AL142" s="94"/>
      <c r="AM142" s="94"/>
      <c r="AN142" s="94"/>
      <c r="AO142" s="94"/>
      <c r="AP142" s="94"/>
      <c r="AQ142" s="94"/>
      <c r="AR142" s="94"/>
      <c r="AS142" s="94"/>
      <c r="AT142" s="94"/>
      <c r="AU142" s="92"/>
      <c r="AV142" s="94"/>
      <c r="AW142" s="94"/>
      <c r="AX142" s="94"/>
      <c r="AY142" s="94"/>
      <c r="AZ142" s="94"/>
      <c r="BA142" s="94"/>
      <c r="BB142" s="94"/>
      <c r="BC142" s="94"/>
      <c r="BD142" s="94"/>
      <c r="BE142" s="94"/>
      <c r="BF142" s="94"/>
      <c r="BG142" s="94"/>
      <c r="BH142" s="94"/>
      <c r="BI142" s="94"/>
      <c r="BJ142" s="94"/>
      <c r="BK142" s="94"/>
      <c r="BL142" s="92"/>
      <c r="BM142" s="94"/>
      <c r="BN142" s="94"/>
      <c r="BO142" s="94"/>
      <c r="BP142" s="94"/>
      <c r="BQ142" s="92"/>
      <c r="BR142" s="92"/>
      <c r="BS142" s="92"/>
      <c r="BT142" s="92"/>
      <c r="BU142" s="92"/>
      <c r="BV142" s="92"/>
      <c r="BW142" s="92"/>
      <c r="BX142" s="92"/>
      <c r="BY142" s="92"/>
      <c r="BZ142" s="92"/>
    </row>
    <row r="143" spans="1:78" ht="12.9">
      <c r="A143" s="89"/>
      <c r="B143" s="89"/>
      <c r="C143" s="89"/>
      <c r="D143" s="89"/>
      <c r="E143" s="89"/>
      <c r="F143" s="89"/>
      <c r="G143" s="89"/>
      <c r="H143" s="105"/>
      <c r="I143" s="106"/>
      <c r="J143" s="106"/>
      <c r="K143" s="89"/>
      <c r="L143" s="89"/>
      <c r="M143" s="89"/>
      <c r="N143" s="107"/>
      <c r="O143" s="107"/>
      <c r="P143" s="89"/>
      <c r="Q143" s="89"/>
      <c r="R143" s="89"/>
      <c r="S143" s="89"/>
      <c r="T143" s="89"/>
      <c r="U143" s="89"/>
      <c r="V143" s="89"/>
      <c r="W143" s="89"/>
      <c r="X143" s="89"/>
      <c r="Y143" s="89"/>
      <c r="Z143" s="77"/>
      <c r="AA143" s="77"/>
      <c r="AB143" s="94"/>
      <c r="AC143" s="94"/>
      <c r="AD143" s="94"/>
      <c r="AE143" s="94"/>
      <c r="AF143" s="91"/>
      <c r="AG143" s="92"/>
      <c r="AH143" s="92"/>
      <c r="AI143" s="93"/>
      <c r="AJ143" s="94"/>
      <c r="AK143" s="92"/>
      <c r="AL143" s="94"/>
      <c r="AM143" s="94"/>
      <c r="AN143" s="94"/>
      <c r="AO143" s="94"/>
      <c r="AP143" s="94"/>
      <c r="AQ143" s="94"/>
      <c r="AR143" s="94"/>
      <c r="AS143" s="94"/>
      <c r="AT143" s="94"/>
      <c r="AU143" s="92"/>
      <c r="AV143" s="94"/>
      <c r="AW143" s="94"/>
      <c r="AX143" s="94"/>
      <c r="AY143" s="94"/>
      <c r="AZ143" s="94"/>
      <c r="BA143" s="94"/>
      <c r="BB143" s="94"/>
      <c r="BC143" s="94"/>
      <c r="BD143" s="94"/>
      <c r="BE143" s="94"/>
      <c r="BF143" s="94"/>
      <c r="BG143" s="94"/>
      <c r="BH143" s="94"/>
      <c r="BI143" s="94"/>
      <c r="BJ143" s="94"/>
      <c r="BK143" s="94"/>
      <c r="BL143" s="92"/>
      <c r="BM143" s="94"/>
      <c r="BN143" s="94"/>
      <c r="BO143" s="94"/>
      <c r="BP143" s="94"/>
      <c r="BQ143" s="92"/>
      <c r="BR143" s="92"/>
      <c r="BS143" s="92"/>
      <c r="BT143" s="92"/>
      <c r="BU143" s="92"/>
      <c r="BV143" s="92"/>
      <c r="BW143" s="92"/>
      <c r="BX143" s="92"/>
      <c r="BY143" s="92"/>
      <c r="BZ143" s="92"/>
    </row>
    <row r="144" spans="1:78" ht="12.9">
      <c r="A144" s="89"/>
      <c r="B144" s="89"/>
      <c r="C144" s="89"/>
      <c r="D144" s="89"/>
      <c r="E144" s="89"/>
      <c r="F144" s="89"/>
      <c r="G144" s="89"/>
      <c r="H144" s="105"/>
      <c r="I144" s="106"/>
      <c r="J144" s="106"/>
      <c r="K144" s="89"/>
      <c r="L144" s="89"/>
      <c r="M144" s="89"/>
      <c r="N144" s="107"/>
      <c r="O144" s="107"/>
      <c r="P144" s="89"/>
      <c r="Q144" s="89"/>
      <c r="R144" s="89"/>
      <c r="S144" s="89"/>
      <c r="T144" s="89"/>
      <c r="U144" s="89"/>
      <c r="V144" s="89"/>
      <c r="W144" s="89"/>
      <c r="X144" s="89"/>
      <c r="Y144" s="89"/>
      <c r="Z144" s="77"/>
      <c r="AA144" s="77"/>
      <c r="AB144" s="94"/>
      <c r="AC144" s="94"/>
      <c r="AD144" s="94"/>
      <c r="AE144" s="94"/>
      <c r="AF144" s="91"/>
      <c r="AG144" s="92"/>
      <c r="AH144" s="92"/>
      <c r="AI144" s="93"/>
      <c r="AJ144" s="94"/>
      <c r="AK144" s="92"/>
      <c r="AL144" s="94"/>
      <c r="AM144" s="94"/>
      <c r="AN144" s="94"/>
      <c r="AO144" s="94"/>
      <c r="AP144" s="94"/>
      <c r="AQ144" s="94"/>
      <c r="AR144" s="94"/>
      <c r="AS144" s="94"/>
      <c r="AT144" s="94"/>
      <c r="AU144" s="92"/>
      <c r="AV144" s="94"/>
      <c r="AW144" s="94"/>
      <c r="AX144" s="94"/>
      <c r="AY144" s="94"/>
      <c r="AZ144" s="94"/>
      <c r="BA144" s="94"/>
      <c r="BB144" s="94"/>
      <c r="BC144" s="94"/>
      <c r="BD144" s="94"/>
      <c r="BE144" s="94"/>
      <c r="BF144" s="94"/>
      <c r="BG144" s="94"/>
      <c r="BH144" s="94"/>
      <c r="BI144" s="94"/>
      <c r="BJ144" s="94"/>
      <c r="BK144" s="94"/>
      <c r="BL144" s="92"/>
      <c r="BM144" s="94"/>
      <c r="BN144" s="94"/>
      <c r="BO144" s="94"/>
      <c r="BP144" s="94"/>
      <c r="BQ144" s="92"/>
      <c r="BR144" s="92"/>
      <c r="BS144" s="92"/>
      <c r="BT144" s="92"/>
      <c r="BU144" s="92"/>
      <c r="BV144" s="92"/>
      <c r="BW144" s="92"/>
      <c r="BX144" s="92"/>
      <c r="BY144" s="92"/>
      <c r="BZ144" s="92"/>
    </row>
    <row r="145" spans="1:78" ht="12.9">
      <c r="A145" s="89"/>
      <c r="B145" s="89"/>
      <c r="C145" s="89"/>
      <c r="D145" s="89"/>
      <c r="E145" s="89"/>
      <c r="F145" s="89"/>
      <c r="G145" s="89"/>
      <c r="H145" s="105"/>
      <c r="I145" s="106"/>
      <c r="J145" s="106"/>
      <c r="K145" s="89"/>
      <c r="L145" s="89"/>
      <c r="M145" s="89"/>
      <c r="N145" s="107"/>
      <c r="O145" s="107"/>
      <c r="P145" s="89"/>
      <c r="Q145" s="89"/>
      <c r="R145" s="89"/>
      <c r="S145" s="89"/>
      <c r="T145" s="89"/>
      <c r="U145" s="89"/>
      <c r="V145" s="89"/>
      <c r="W145" s="89"/>
      <c r="X145" s="89"/>
      <c r="Y145" s="89"/>
      <c r="Z145" s="77"/>
      <c r="AA145" s="77"/>
      <c r="AB145" s="94"/>
      <c r="AC145" s="94"/>
      <c r="AD145" s="94"/>
      <c r="AE145" s="94"/>
      <c r="AF145" s="91"/>
      <c r="AG145" s="92"/>
      <c r="AH145" s="92"/>
      <c r="AI145" s="93"/>
      <c r="AJ145" s="94"/>
      <c r="AK145" s="92"/>
      <c r="AL145" s="94"/>
      <c r="AM145" s="94"/>
      <c r="AN145" s="94"/>
      <c r="AO145" s="94"/>
      <c r="AP145" s="94"/>
      <c r="AQ145" s="94"/>
      <c r="AR145" s="94"/>
      <c r="AS145" s="94"/>
      <c r="AT145" s="94"/>
      <c r="AU145" s="92"/>
      <c r="AV145" s="94"/>
      <c r="AW145" s="94"/>
      <c r="AX145" s="94"/>
      <c r="AY145" s="94"/>
      <c r="AZ145" s="94"/>
      <c r="BA145" s="94"/>
      <c r="BB145" s="94"/>
      <c r="BC145" s="94"/>
      <c r="BD145" s="94"/>
      <c r="BE145" s="94"/>
      <c r="BF145" s="94"/>
      <c r="BG145" s="94"/>
      <c r="BH145" s="94"/>
      <c r="BI145" s="94"/>
      <c r="BJ145" s="94"/>
      <c r="BK145" s="94"/>
      <c r="BL145" s="92"/>
      <c r="BM145" s="94"/>
      <c r="BN145" s="94"/>
      <c r="BO145" s="94"/>
      <c r="BP145" s="94"/>
      <c r="BQ145" s="92"/>
      <c r="BR145" s="92"/>
      <c r="BS145" s="92"/>
      <c r="BT145" s="92"/>
      <c r="BU145" s="92"/>
      <c r="BV145" s="92"/>
      <c r="BW145" s="92"/>
      <c r="BX145" s="92"/>
      <c r="BY145" s="92"/>
      <c r="BZ145" s="92"/>
    </row>
    <row r="146" spans="1:78" ht="12.9">
      <c r="A146" s="89"/>
      <c r="B146" s="89"/>
      <c r="C146" s="89"/>
      <c r="D146" s="89"/>
      <c r="E146" s="89"/>
      <c r="F146" s="89"/>
      <c r="G146" s="89"/>
      <c r="H146" s="105"/>
      <c r="I146" s="106"/>
      <c r="J146" s="106"/>
      <c r="K146" s="89"/>
      <c r="L146" s="89"/>
      <c r="M146" s="89"/>
      <c r="N146" s="107"/>
      <c r="O146" s="107"/>
      <c r="P146" s="89"/>
      <c r="Q146" s="89"/>
      <c r="R146" s="89"/>
      <c r="S146" s="89"/>
      <c r="T146" s="89"/>
      <c r="U146" s="89"/>
      <c r="V146" s="89"/>
      <c r="W146" s="89"/>
      <c r="X146" s="89"/>
      <c r="Y146" s="89"/>
      <c r="Z146" s="77"/>
      <c r="AA146" s="77"/>
      <c r="AB146" s="94"/>
      <c r="AC146" s="94"/>
      <c r="AD146" s="94"/>
      <c r="AE146" s="94"/>
      <c r="AF146" s="91"/>
      <c r="AG146" s="92"/>
      <c r="AH146" s="92"/>
      <c r="AI146" s="93"/>
      <c r="AJ146" s="94"/>
      <c r="AK146" s="92"/>
      <c r="AL146" s="94"/>
      <c r="AM146" s="94"/>
      <c r="AN146" s="94"/>
      <c r="AO146" s="94"/>
      <c r="AP146" s="94"/>
      <c r="AQ146" s="94"/>
      <c r="AR146" s="94"/>
      <c r="AS146" s="94"/>
      <c r="AT146" s="94"/>
      <c r="AU146" s="92"/>
      <c r="AV146" s="94"/>
      <c r="AW146" s="94"/>
      <c r="AX146" s="94"/>
      <c r="AY146" s="94"/>
      <c r="AZ146" s="94"/>
      <c r="BA146" s="94"/>
      <c r="BB146" s="94"/>
      <c r="BC146" s="94"/>
      <c r="BD146" s="94"/>
      <c r="BE146" s="94"/>
      <c r="BF146" s="94"/>
      <c r="BG146" s="94"/>
      <c r="BH146" s="94"/>
      <c r="BI146" s="94"/>
      <c r="BJ146" s="94"/>
      <c r="BK146" s="94"/>
      <c r="BL146" s="92"/>
      <c r="BM146" s="94"/>
      <c r="BN146" s="94"/>
      <c r="BO146" s="94"/>
      <c r="BP146" s="94"/>
      <c r="BQ146" s="92"/>
      <c r="BR146" s="92"/>
      <c r="BS146" s="92"/>
      <c r="BT146" s="92"/>
      <c r="BU146" s="92"/>
      <c r="BV146" s="92"/>
      <c r="BW146" s="92"/>
      <c r="BX146" s="92"/>
      <c r="BY146" s="92"/>
      <c r="BZ146" s="92"/>
    </row>
    <row r="147" spans="1:78" ht="12.9">
      <c r="A147" s="89"/>
      <c r="B147" s="89"/>
      <c r="C147" s="89"/>
      <c r="D147" s="89"/>
      <c r="E147" s="89"/>
      <c r="F147" s="89"/>
      <c r="G147" s="89"/>
      <c r="H147" s="105"/>
      <c r="I147" s="106"/>
      <c r="J147" s="106"/>
      <c r="K147" s="89"/>
      <c r="L147" s="89"/>
      <c r="M147" s="89"/>
      <c r="N147" s="107"/>
      <c r="O147" s="107"/>
      <c r="P147" s="89"/>
      <c r="Q147" s="89"/>
      <c r="R147" s="89"/>
      <c r="S147" s="89"/>
      <c r="T147" s="89"/>
      <c r="U147" s="89"/>
      <c r="V147" s="89"/>
      <c r="W147" s="89"/>
      <c r="X147" s="89"/>
      <c r="Y147" s="89"/>
      <c r="Z147" s="77"/>
      <c r="AA147" s="77"/>
      <c r="AB147" s="94"/>
      <c r="AC147" s="94"/>
      <c r="AD147" s="94"/>
      <c r="AE147" s="94"/>
      <c r="AF147" s="91"/>
      <c r="AG147" s="92"/>
      <c r="AH147" s="92"/>
      <c r="AI147" s="93"/>
      <c r="AJ147" s="94"/>
      <c r="AK147" s="92"/>
      <c r="AL147" s="94"/>
      <c r="AM147" s="94"/>
      <c r="AN147" s="94"/>
      <c r="AO147" s="94"/>
      <c r="AP147" s="94"/>
      <c r="AQ147" s="94"/>
      <c r="AR147" s="94"/>
      <c r="AS147" s="94"/>
      <c r="AT147" s="94"/>
      <c r="AU147" s="92"/>
      <c r="AV147" s="94"/>
      <c r="AW147" s="94"/>
      <c r="AX147" s="94"/>
      <c r="AY147" s="94"/>
      <c r="AZ147" s="94"/>
      <c r="BA147" s="94"/>
      <c r="BB147" s="94"/>
      <c r="BC147" s="94"/>
      <c r="BD147" s="94"/>
      <c r="BE147" s="94"/>
      <c r="BF147" s="94"/>
      <c r="BG147" s="94"/>
      <c r="BH147" s="94"/>
      <c r="BI147" s="94"/>
      <c r="BJ147" s="94"/>
      <c r="BK147" s="94"/>
      <c r="BL147" s="92"/>
      <c r="BM147" s="94"/>
      <c r="BN147" s="94"/>
      <c r="BO147" s="94"/>
      <c r="BP147" s="94"/>
      <c r="BQ147" s="92"/>
      <c r="BR147" s="92"/>
      <c r="BS147" s="92"/>
      <c r="BT147" s="92"/>
      <c r="BU147" s="92"/>
      <c r="BV147" s="92"/>
      <c r="BW147" s="92"/>
      <c r="BX147" s="92"/>
      <c r="BY147" s="92"/>
      <c r="BZ147" s="92"/>
    </row>
    <row r="148" spans="1:78" ht="12.9">
      <c r="A148" s="89"/>
      <c r="B148" s="89"/>
      <c r="C148" s="89"/>
      <c r="D148" s="89"/>
      <c r="E148" s="89"/>
      <c r="F148" s="89"/>
      <c r="G148" s="89"/>
      <c r="H148" s="105"/>
      <c r="I148" s="106"/>
      <c r="J148" s="106"/>
      <c r="K148" s="89"/>
      <c r="L148" s="89"/>
      <c r="M148" s="89"/>
      <c r="N148" s="107"/>
      <c r="O148" s="107"/>
      <c r="P148" s="89"/>
      <c r="Q148" s="89"/>
      <c r="R148" s="89"/>
      <c r="S148" s="89"/>
      <c r="T148" s="89"/>
      <c r="U148" s="89"/>
      <c r="V148" s="89"/>
      <c r="W148" s="89"/>
      <c r="X148" s="89"/>
      <c r="Y148" s="89"/>
      <c r="Z148" s="77"/>
      <c r="AA148" s="77"/>
      <c r="AB148" s="94"/>
      <c r="AC148" s="94"/>
      <c r="AD148" s="94"/>
      <c r="AE148" s="94"/>
      <c r="AF148" s="91"/>
      <c r="AG148" s="92"/>
      <c r="AH148" s="92"/>
      <c r="AI148" s="93"/>
      <c r="AJ148" s="94"/>
      <c r="AK148" s="92"/>
      <c r="AL148" s="94"/>
      <c r="AM148" s="94"/>
      <c r="AN148" s="94"/>
      <c r="AO148" s="94"/>
      <c r="AP148" s="94"/>
      <c r="AQ148" s="94"/>
      <c r="AR148" s="94"/>
      <c r="AS148" s="94"/>
      <c r="AT148" s="94"/>
      <c r="AU148" s="92"/>
      <c r="AV148" s="94"/>
      <c r="AW148" s="94"/>
      <c r="AX148" s="94"/>
      <c r="AY148" s="94"/>
      <c r="AZ148" s="94"/>
      <c r="BA148" s="94"/>
      <c r="BB148" s="94"/>
      <c r="BC148" s="94"/>
      <c r="BD148" s="94"/>
      <c r="BE148" s="94"/>
      <c r="BF148" s="94"/>
      <c r="BG148" s="94"/>
      <c r="BH148" s="94"/>
      <c r="BI148" s="94"/>
      <c r="BJ148" s="94"/>
      <c r="BK148" s="94"/>
      <c r="BL148" s="92"/>
      <c r="BM148" s="94"/>
      <c r="BN148" s="94"/>
      <c r="BO148" s="94"/>
      <c r="BP148" s="94"/>
      <c r="BQ148" s="92"/>
      <c r="BR148" s="92"/>
      <c r="BS148" s="92"/>
      <c r="BT148" s="92"/>
      <c r="BU148" s="92"/>
      <c r="BV148" s="92"/>
      <c r="BW148" s="92"/>
      <c r="BX148" s="92"/>
      <c r="BY148" s="92"/>
      <c r="BZ148" s="92"/>
    </row>
    <row r="149" spans="1:78" ht="12.9">
      <c r="A149" s="89"/>
      <c r="B149" s="89"/>
      <c r="C149" s="89"/>
      <c r="D149" s="89"/>
      <c r="E149" s="89"/>
      <c r="F149" s="89"/>
      <c r="G149" s="89"/>
      <c r="H149" s="105"/>
      <c r="I149" s="106"/>
      <c r="J149" s="106"/>
      <c r="K149" s="89"/>
      <c r="L149" s="89"/>
      <c r="M149" s="89"/>
      <c r="N149" s="107"/>
      <c r="O149" s="107"/>
      <c r="P149" s="89"/>
      <c r="Q149" s="89"/>
      <c r="R149" s="89"/>
      <c r="S149" s="89"/>
      <c r="T149" s="89"/>
      <c r="U149" s="89"/>
      <c r="V149" s="89"/>
      <c r="W149" s="89"/>
      <c r="X149" s="89"/>
      <c r="Y149" s="89"/>
      <c r="Z149" s="77"/>
      <c r="AA149" s="77"/>
      <c r="AB149" s="94"/>
      <c r="AC149" s="94"/>
      <c r="AD149" s="94"/>
      <c r="AE149" s="94"/>
      <c r="AF149" s="91"/>
      <c r="AG149" s="92"/>
      <c r="AH149" s="92"/>
      <c r="AI149" s="93"/>
      <c r="AJ149" s="94"/>
      <c r="AK149" s="92"/>
      <c r="AL149" s="94"/>
      <c r="AM149" s="94"/>
      <c r="AN149" s="94"/>
      <c r="AO149" s="94"/>
      <c r="AP149" s="94"/>
      <c r="AQ149" s="94"/>
      <c r="AR149" s="94"/>
      <c r="AS149" s="94"/>
      <c r="AT149" s="94"/>
      <c r="AU149" s="92"/>
      <c r="AV149" s="94"/>
      <c r="AW149" s="94"/>
      <c r="AX149" s="94"/>
      <c r="AY149" s="94"/>
      <c r="AZ149" s="94"/>
      <c r="BA149" s="94"/>
      <c r="BB149" s="94"/>
      <c r="BC149" s="94"/>
      <c r="BD149" s="94"/>
      <c r="BE149" s="94"/>
      <c r="BF149" s="94"/>
      <c r="BG149" s="94"/>
      <c r="BH149" s="94"/>
      <c r="BI149" s="94"/>
      <c r="BJ149" s="94"/>
      <c r="BK149" s="94"/>
      <c r="BL149" s="92"/>
      <c r="BM149" s="94"/>
      <c r="BN149" s="94"/>
      <c r="BO149" s="94"/>
      <c r="BP149" s="94"/>
      <c r="BQ149" s="92"/>
      <c r="BR149" s="92"/>
      <c r="BS149" s="92"/>
      <c r="BT149" s="92"/>
      <c r="BU149" s="92"/>
      <c r="BV149" s="92"/>
      <c r="BW149" s="92"/>
      <c r="BX149" s="92"/>
      <c r="BY149" s="92"/>
      <c r="BZ149" s="92"/>
    </row>
    <row r="150" spans="1:78" ht="12.9">
      <c r="A150" s="89"/>
      <c r="B150" s="89"/>
      <c r="C150" s="89"/>
      <c r="D150" s="89"/>
      <c r="E150" s="89"/>
      <c r="F150" s="89"/>
      <c r="G150" s="89"/>
      <c r="H150" s="105"/>
      <c r="I150" s="106"/>
      <c r="J150" s="106"/>
      <c r="K150" s="89"/>
      <c r="L150" s="89"/>
      <c r="M150" s="89"/>
      <c r="N150" s="107"/>
      <c r="O150" s="107"/>
      <c r="P150" s="89"/>
      <c r="Q150" s="89"/>
      <c r="R150" s="89"/>
      <c r="S150" s="89"/>
      <c r="T150" s="89"/>
      <c r="U150" s="89"/>
      <c r="V150" s="89"/>
      <c r="W150" s="89"/>
      <c r="X150" s="89"/>
      <c r="Y150" s="89"/>
      <c r="Z150" s="77"/>
      <c r="AA150" s="77"/>
      <c r="AB150" s="94"/>
      <c r="AC150" s="94"/>
      <c r="AD150" s="94"/>
      <c r="AE150" s="94"/>
      <c r="AF150" s="91"/>
      <c r="AG150" s="92"/>
      <c r="AH150" s="92"/>
      <c r="AI150" s="93"/>
      <c r="AJ150" s="94"/>
      <c r="AK150" s="92"/>
      <c r="AL150" s="94"/>
      <c r="AM150" s="94"/>
      <c r="AN150" s="94"/>
      <c r="AO150" s="94"/>
      <c r="AP150" s="94"/>
      <c r="AQ150" s="94"/>
      <c r="AR150" s="94"/>
      <c r="AS150" s="94"/>
      <c r="AT150" s="94"/>
      <c r="AU150" s="92"/>
      <c r="AV150" s="94"/>
      <c r="AW150" s="94"/>
      <c r="AX150" s="94"/>
      <c r="AY150" s="94"/>
      <c r="AZ150" s="94"/>
      <c r="BA150" s="94"/>
      <c r="BB150" s="94"/>
      <c r="BC150" s="94"/>
      <c r="BD150" s="94"/>
      <c r="BE150" s="94"/>
      <c r="BF150" s="94"/>
      <c r="BG150" s="94"/>
      <c r="BH150" s="94"/>
      <c r="BI150" s="94"/>
      <c r="BJ150" s="94"/>
      <c r="BK150" s="94"/>
      <c r="BL150" s="92"/>
      <c r="BM150" s="94"/>
      <c r="BN150" s="94"/>
      <c r="BO150" s="94"/>
      <c r="BP150" s="94"/>
      <c r="BQ150" s="92"/>
      <c r="BR150" s="92"/>
      <c r="BS150" s="92"/>
      <c r="BT150" s="92"/>
      <c r="BU150" s="92"/>
      <c r="BV150" s="92"/>
      <c r="BW150" s="92"/>
      <c r="BX150" s="92"/>
      <c r="BY150" s="92"/>
      <c r="BZ150" s="92"/>
    </row>
    <row r="151" spans="1:78" ht="12.9">
      <c r="A151" s="89"/>
      <c r="B151" s="89"/>
      <c r="C151" s="89"/>
      <c r="D151" s="89"/>
      <c r="E151" s="89"/>
      <c r="F151" s="89"/>
      <c r="G151" s="89"/>
      <c r="H151" s="105"/>
      <c r="I151" s="106"/>
      <c r="J151" s="106"/>
      <c r="K151" s="89"/>
      <c r="L151" s="89"/>
      <c r="M151" s="89"/>
      <c r="N151" s="107"/>
      <c r="O151" s="107"/>
      <c r="P151" s="89"/>
      <c r="Q151" s="89"/>
      <c r="R151" s="89"/>
      <c r="S151" s="89"/>
      <c r="T151" s="89"/>
      <c r="U151" s="89"/>
      <c r="V151" s="89"/>
      <c r="W151" s="89"/>
      <c r="X151" s="89"/>
      <c r="Y151" s="89"/>
      <c r="Z151" s="77"/>
      <c r="AA151" s="77"/>
      <c r="AB151" s="94"/>
      <c r="AC151" s="94"/>
      <c r="AD151" s="94"/>
      <c r="AE151" s="94"/>
      <c r="AF151" s="91"/>
      <c r="AG151" s="92"/>
      <c r="AH151" s="92"/>
      <c r="AI151" s="93"/>
      <c r="AJ151" s="94"/>
      <c r="AK151" s="92"/>
      <c r="AL151" s="94"/>
      <c r="AM151" s="94"/>
      <c r="AN151" s="94"/>
      <c r="AO151" s="94"/>
      <c r="AP151" s="94"/>
      <c r="AQ151" s="94"/>
      <c r="AR151" s="94"/>
      <c r="AS151" s="94"/>
      <c r="AT151" s="94"/>
      <c r="AU151" s="92"/>
      <c r="AV151" s="94"/>
      <c r="AW151" s="94"/>
      <c r="AX151" s="94"/>
      <c r="AY151" s="94"/>
      <c r="AZ151" s="94"/>
      <c r="BA151" s="94"/>
      <c r="BB151" s="94"/>
      <c r="BC151" s="94"/>
      <c r="BD151" s="94"/>
      <c r="BE151" s="94"/>
      <c r="BF151" s="94"/>
      <c r="BG151" s="94"/>
      <c r="BH151" s="94"/>
      <c r="BI151" s="94"/>
      <c r="BJ151" s="94"/>
      <c r="BK151" s="94"/>
      <c r="BL151" s="92"/>
      <c r="BM151" s="94"/>
      <c r="BN151" s="94"/>
      <c r="BO151" s="94"/>
      <c r="BP151" s="94"/>
      <c r="BQ151" s="92"/>
      <c r="BR151" s="92"/>
      <c r="BS151" s="92"/>
      <c r="BT151" s="92"/>
      <c r="BU151" s="92"/>
      <c r="BV151" s="92"/>
      <c r="BW151" s="92"/>
      <c r="BX151" s="92"/>
      <c r="BY151" s="92"/>
      <c r="BZ151" s="92"/>
    </row>
    <row r="152" spans="1:78" ht="12.9">
      <c r="A152" s="89"/>
      <c r="B152" s="89"/>
      <c r="C152" s="89"/>
      <c r="D152" s="89"/>
      <c r="E152" s="89"/>
      <c r="F152" s="89"/>
      <c r="G152" s="89"/>
      <c r="H152" s="105"/>
      <c r="I152" s="106"/>
      <c r="J152" s="106"/>
      <c r="K152" s="89"/>
      <c r="L152" s="89"/>
      <c r="M152" s="89"/>
      <c r="N152" s="107"/>
      <c r="O152" s="107"/>
      <c r="P152" s="89"/>
      <c r="Q152" s="89"/>
      <c r="R152" s="89"/>
      <c r="S152" s="89"/>
      <c r="T152" s="89"/>
      <c r="U152" s="89"/>
      <c r="V152" s="89"/>
      <c r="W152" s="89"/>
      <c r="X152" s="89"/>
      <c r="Y152" s="89"/>
      <c r="Z152" s="77"/>
      <c r="AA152" s="77"/>
      <c r="AB152" s="94"/>
      <c r="AC152" s="94"/>
      <c r="AD152" s="94"/>
      <c r="AE152" s="94"/>
      <c r="AF152" s="91"/>
      <c r="AG152" s="92"/>
      <c r="AH152" s="92"/>
      <c r="AI152" s="93"/>
      <c r="AJ152" s="94"/>
      <c r="AK152" s="92"/>
      <c r="AL152" s="94"/>
      <c r="AM152" s="94"/>
      <c r="AN152" s="94"/>
      <c r="AO152" s="94"/>
      <c r="AP152" s="94"/>
      <c r="AQ152" s="94"/>
      <c r="AR152" s="94"/>
      <c r="AS152" s="94"/>
      <c r="AT152" s="94"/>
      <c r="AU152" s="92"/>
      <c r="AV152" s="94"/>
      <c r="AW152" s="94"/>
      <c r="AX152" s="94"/>
      <c r="AY152" s="94"/>
      <c r="AZ152" s="94"/>
      <c r="BA152" s="94"/>
      <c r="BB152" s="94"/>
      <c r="BC152" s="94"/>
      <c r="BD152" s="94"/>
      <c r="BE152" s="94"/>
      <c r="BF152" s="94"/>
      <c r="BG152" s="94"/>
      <c r="BH152" s="94"/>
      <c r="BI152" s="94"/>
      <c r="BJ152" s="94"/>
      <c r="BK152" s="94"/>
      <c r="BL152" s="92"/>
      <c r="BM152" s="94"/>
      <c r="BN152" s="94"/>
      <c r="BO152" s="94"/>
      <c r="BP152" s="94"/>
      <c r="BQ152" s="92"/>
      <c r="BR152" s="92"/>
      <c r="BS152" s="92"/>
      <c r="BT152" s="92"/>
      <c r="BU152" s="92"/>
      <c r="BV152" s="92"/>
      <c r="BW152" s="92"/>
      <c r="BX152" s="92"/>
      <c r="BY152" s="92"/>
      <c r="BZ152" s="92"/>
    </row>
    <row r="153" spans="1:78" ht="12.9">
      <c r="A153" s="89"/>
      <c r="B153" s="89"/>
      <c r="C153" s="89"/>
      <c r="D153" s="89"/>
      <c r="E153" s="89"/>
      <c r="F153" s="89"/>
      <c r="G153" s="89"/>
      <c r="H153" s="105"/>
      <c r="I153" s="106"/>
      <c r="J153" s="106"/>
      <c r="K153" s="89"/>
      <c r="L153" s="89"/>
      <c r="M153" s="89"/>
      <c r="N153" s="107"/>
      <c r="O153" s="107"/>
      <c r="P153" s="89"/>
      <c r="Q153" s="89"/>
      <c r="R153" s="89"/>
      <c r="S153" s="89"/>
      <c r="T153" s="89"/>
      <c r="U153" s="89"/>
      <c r="V153" s="89"/>
      <c r="W153" s="89"/>
      <c r="X153" s="89"/>
      <c r="Y153" s="89"/>
      <c r="Z153" s="77"/>
      <c r="AA153" s="77"/>
      <c r="AB153" s="94"/>
      <c r="AC153" s="94"/>
      <c r="AD153" s="94"/>
      <c r="AE153" s="94"/>
      <c r="AF153" s="91"/>
      <c r="AG153" s="92"/>
      <c r="AH153" s="92"/>
      <c r="AI153" s="93"/>
      <c r="AJ153" s="94"/>
      <c r="AK153" s="92"/>
      <c r="AL153" s="94"/>
      <c r="AM153" s="94"/>
      <c r="AN153" s="94"/>
      <c r="AO153" s="94"/>
      <c r="AP153" s="94"/>
      <c r="AQ153" s="94"/>
      <c r="AR153" s="94"/>
      <c r="AS153" s="94"/>
      <c r="AT153" s="94"/>
      <c r="AU153" s="92"/>
      <c r="AV153" s="94"/>
      <c r="AW153" s="94"/>
      <c r="AX153" s="94"/>
      <c r="AY153" s="94"/>
      <c r="AZ153" s="94"/>
      <c r="BA153" s="94"/>
      <c r="BB153" s="94"/>
      <c r="BC153" s="94"/>
      <c r="BD153" s="94"/>
      <c r="BE153" s="94"/>
      <c r="BF153" s="94"/>
      <c r="BG153" s="94"/>
      <c r="BH153" s="94"/>
      <c r="BI153" s="94"/>
      <c r="BJ153" s="94"/>
      <c r="BK153" s="94"/>
      <c r="BL153" s="92"/>
      <c r="BM153" s="94"/>
      <c r="BN153" s="94"/>
      <c r="BO153" s="94"/>
      <c r="BP153" s="94"/>
      <c r="BQ153" s="92"/>
      <c r="BR153" s="92"/>
      <c r="BS153" s="92"/>
      <c r="BT153" s="92"/>
      <c r="BU153" s="92"/>
      <c r="BV153" s="92"/>
      <c r="BW153" s="92"/>
      <c r="BX153" s="92"/>
      <c r="BY153" s="92"/>
      <c r="BZ153" s="92"/>
    </row>
    <row r="154" spans="1:78" ht="12.9">
      <c r="A154" s="89"/>
      <c r="B154" s="89"/>
      <c r="C154" s="89"/>
      <c r="D154" s="89"/>
      <c r="E154" s="89"/>
      <c r="F154" s="89"/>
      <c r="G154" s="89"/>
      <c r="H154" s="105"/>
      <c r="I154" s="106"/>
      <c r="J154" s="106"/>
      <c r="K154" s="89"/>
      <c r="L154" s="89"/>
      <c r="M154" s="89"/>
      <c r="N154" s="107"/>
      <c r="O154" s="107"/>
      <c r="P154" s="89"/>
      <c r="Q154" s="89"/>
      <c r="R154" s="89"/>
      <c r="S154" s="89"/>
      <c r="T154" s="89"/>
      <c r="U154" s="89"/>
      <c r="V154" s="89"/>
      <c r="W154" s="89"/>
      <c r="X154" s="89"/>
      <c r="Y154" s="89"/>
      <c r="Z154" s="77"/>
      <c r="AA154" s="77"/>
      <c r="AB154" s="94"/>
      <c r="AC154" s="94"/>
      <c r="AD154" s="94"/>
      <c r="AE154" s="94"/>
      <c r="AF154" s="91"/>
      <c r="AG154" s="92"/>
      <c r="AH154" s="92"/>
      <c r="AI154" s="93"/>
      <c r="AJ154" s="94"/>
      <c r="AK154" s="92"/>
      <c r="AL154" s="94"/>
      <c r="AM154" s="94"/>
      <c r="AN154" s="94"/>
      <c r="AO154" s="94"/>
      <c r="AP154" s="94"/>
      <c r="AQ154" s="94"/>
      <c r="AR154" s="94"/>
      <c r="AS154" s="94"/>
      <c r="AT154" s="94"/>
      <c r="AU154" s="92"/>
      <c r="AV154" s="94"/>
      <c r="AW154" s="94"/>
      <c r="AX154" s="94"/>
      <c r="AY154" s="94"/>
      <c r="AZ154" s="94"/>
      <c r="BA154" s="94"/>
      <c r="BB154" s="94"/>
      <c r="BC154" s="94"/>
      <c r="BD154" s="94"/>
      <c r="BE154" s="94"/>
      <c r="BF154" s="94"/>
      <c r="BG154" s="94"/>
      <c r="BH154" s="94"/>
      <c r="BI154" s="94"/>
      <c r="BJ154" s="94"/>
      <c r="BK154" s="94"/>
      <c r="BL154" s="92"/>
      <c r="BM154" s="94"/>
      <c r="BN154" s="94"/>
      <c r="BO154" s="94"/>
      <c r="BP154" s="94"/>
      <c r="BQ154" s="92"/>
      <c r="BR154" s="92"/>
      <c r="BS154" s="92"/>
      <c r="BT154" s="92"/>
      <c r="BU154" s="92"/>
      <c r="BV154" s="92"/>
      <c r="BW154" s="92"/>
      <c r="BX154" s="92"/>
      <c r="BY154" s="92"/>
      <c r="BZ154" s="92"/>
    </row>
    <row r="155" spans="1:78" ht="12.9">
      <c r="A155" s="89"/>
      <c r="B155" s="89"/>
      <c r="C155" s="89"/>
      <c r="D155" s="89"/>
      <c r="E155" s="89"/>
      <c r="F155" s="89"/>
      <c r="G155" s="89"/>
      <c r="H155" s="105"/>
      <c r="I155" s="106"/>
      <c r="J155" s="106"/>
      <c r="K155" s="89"/>
      <c r="L155" s="89"/>
      <c r="M155" s="89"/>
      <c r="N155" s="107"/>
      <c r="O155" s="107"/>
      <c r="P155" s="89"/>
      <c r="Q155" s="89"/>
      <c r="R155" s="89"/>
      <c r="S155" s="89"/>
      <c r="T155" s="89"/>
      <c r="U155" s="89"/>
      <c r="V155" s="89"/>
      <c r="W155" s="89"/>
      <c r="X155" s="89"/>
      <c r="Y155" s="89"/>
      <c r="Z155" s="77"/>
      <c r="AA155" s="77"/>
      <c r="AB155" s="94"/>
      <c r="AC155" s="94"/>
      <c r="AD155" s="94"/>
      <c r="AE155" s="94"/>
      <c r="AF155" s="91"/>
      <c r="AG155" s="92"/>
      <c r="AH155" s="92"/>
      <c r="AI155" s="93"/>
      <c r="AJ155" s="94"/>
      <c r="AK155" s="92"/>
      <c r="AL155" s="94"/>
      <c r="AM155" s="94"/>
      <c r="AN155" s="94"/>
      <c r="AO155" s="94"/>
      <c r="AP155" s="94"/>
      <c r="AQ155" s="94"/>
      <c r="AR155" s="94"/>
      <c r="AS155" s="94"/>
      <c r="AT155" s="94"/>
      <c r="AU155" s="92"/>
      <c r="AV155" s="94"/>
      <c r="AW155" s="94"/>
      <c r="AX155" s="94"/>
      <c r="AY155" s="94"/>
      <c r="AZ155" s="94"/>
      <c r="BA155" s="94"/>
      <c r="BB155" s="94"/>
      <c r="BC155" s="94"/>
      <c r="BD155" s="94"/>
      <c r="BE155" s="94"/>
      <c r="BF155" s="94"/>
      <c r="BG155" s="94"/>
      <c r="BH155" s="94"/>
      <c r="BI155" s="94"/>
      <c r="BJ155" s="94"/>
      <c r="BK155" s="94"/>
      <c r="BL155" s="92"/>
      <c r="BM155" s="94"/>
      <c r="BN155" s="94"/>
      <c r="BO155" s="94"/>
      <c r="BP155" s="94"/>
      <c r="BQ155" s="92"/>
      <c r="BR155" s="92"/>
      <c r="BS155" s="92"/>
      <c r="BT155" s="92"/>
      <c r="BU155" s="92"/>
      <c r="BV155" s="92"/>
      <c r="BW155" s="92"/>
      <c r="BX155" s="92"/>
      <c r="BY155" s="92"/>
      <c r="BZ155" s="92"/>
    </row>
    <row r="156" spans="1:78" ht="12.9">
      <c r="A156" s="89"/>
      <c r="B156" s="89"/>
      <c r="C156" s="89"/>
      <c r="D156" s="89"/>
      <c r="E156" s="89"/>
      <c r="F156" s="89"/>
      <c r="G156" s="89"/>
      <c r="H156" s="105"/>
      <c r="I156" s="106"/>
      <c r="J156" s="106"/>
      <c r="K156" s="89"/>
      <c r="L156" s="89"/>
      <c r="M156" s="89"/>
      <c r="N156" s="107"/>
      <c r="O156" s="107"/>
      <c r="P156" s="89"/>
      <c r="Q156" s="89"/>
      <c r="R156" s="89"/>
      <c r="S156" s="89"/>
      <c r="T156" s="89"/>
      <c r="U156" s="89"/>
      <c r="V156" s="89"/>
      <c r="W156" s="89"/>
      <c r="X156" s="89"/>
      <c r="Y156" s="89"/>
      <c r="Z156" s="77"/>
      <c r="AA156" s="77"/>
      <c r="AB156" s="94"/>
      <c r="AC156" s="94"/>
      <c r="AD156" s="94"/>
      <c r="AE156" s="94"/>
      <c r="AF156" s="91"/>
      <c r="AG156" s="92"/>
      <c r="AH156" s="92"/>
      <c r="AI156" s="93"/>
      <c r="AJ156" s="94"/>
      <c r="AK156" s="92"/>
      <c r="AL156" s="94"/>
      <c r="AM156" s="94"/>
      <c r="AN156" s="94"/>
      <c r="AO156" s="94"/>
      <c r="AP156" s="94"/>
      <c r="AQ156" s="94"/>
      <c r="AR156" s="94"/>
      <c r="AS156" s="94"/>
      <c r="AT156" s="94"/>
      <c r="AU156" s="92"/>
      <c r="AV156" s="94"/>
      <c r="AW156" s="94"/>
      <c r="AX156" s="94"/>
      <c r="AY156" s="94"/>
      <c r="AZ156" s="94"/>
      <c r="BA156" s="94"/>
      <c r="BB156" s="94"/>
      <c r="BC156" s="94"/>
      <c r="BD156" s="94"/>
      <c r="BE156" s="94"/>
      <c r="BF156" s="94"/>
      <c r="BG156" s="94"/>
      <c r="BH156" s="94"/>
      <c r="BI156" s="94"/>
      <c r="BJ156" s="94"/>
      <c r="BK156" s="94"/>
      <c r="BL156" s="92"/>
      <c r="BM156" s="94"/>
      <c r="BN156" s="94"/>
      <c r="BO156" s="94"/>
      <c r="BP156" s="94"/>
      <c r="BQ156" s="92"/>
      <c r="BR156" s="92"/>
      <c r="BS156" s="92"/>
      <c r="BT156" s="92"/>
      <c r="BU156" s="92"/>
      <c r="BV156" s="92"/>
      <c r="BW156" s="92"/>
      <c r="BX156" s="92"/>
      <c r="BY156" s="92"/>
      <c r="BZ156" s="92"/>
    </row>
    <row r="157" spans="1:78" ht="12.9">
      <c r="A157" s="89"/>
      <c r="B157" s="89"/>
      <c r="C157" s="89"/>
      <c r="D157" s="89"/>
      <c r="E157" s="89"/>
      <c r="F157" s="89"/>
      <c r="G157" s="89"/>
      <c r="H157" s="105"/>
      <c r="I157" s="106"/>
      <c r="J157" s="106"/>
      <c r="K157" s="89"/>
      <c r="L157" s="89"/>
      <c r="M157" s="89"/>
      <c r="N157" s="107"/>
      <c r="O157" s="107"/>
      <c r="P157" s="89"/>
      <c r="Q157" s="89"/>
      <c r="R157" s="89"/>
      <c r="S157" s="89"/>
      <c r="T157" s="89"/>
      <c r="U157" s="89"/>
      <c r="V157" s="89"/>
      <c r="W157" s="89"/>
      <c r="X157" s="89"/>
      <c r="Y157" s="89"/>
      <c r="Z157" s="77"/>
      <c r="AA157" s="77"/>
      <c r="AB157" s="94"/>
      <c r="AC157" s="94"/>
      <c r="AD157" s="94"/>
      <c r="AE157" s="94"/>
      <c r="AF157" s="91"/>
      <c r="AG157" s="92"/>
      <c r="AH157" s="92"/>
      <c r="AI157" s="93"/>
      <c r="AJ157" s="94"/>
      <c r="AK157" s="92"/>
      <c r="AL157" s="94"/>
      <c r="AM157" s="94"/>
      <c r="AN157" s="94"/>
      <c r="AO157" s="94"/>
      <c r="AP157" s="94"/>
      <c r="AQ157" s="94"/>
      <c r="AR157" s="94"/>
      <c r="AS157" s="94"/>
      <c r="AT157" s="94"/>
      <c r="AU157" s="92"/>
      <c r="AV157" s="94"/>
      <c r="AW157" s="94"/>
      <c r="AX157" s="94"/>
      <c r="AY157" s="94"/>
      <c r="AZ157" s="94"/>
      <c r="BA157" s="94"/>
      <c r="BB157" s="94"/>
      <c r="BC157" s="94"/>
      <c r="BD157" s="94"/>
      <c r="BE157" s="94"/>
      <c r="BF157" s="94"/>
      <c r="BG157" s="94"/>
      <c r="BH157" s="94"/>
      <c r="BI157" s="94"/>
      <c r="BJ157" s="94"/>
      <c r="BK157" s="94"/>
      <c r="BL157" s="92"/>
      <c r="BM157" s="94"/>
      <c r="BN157" s="94"/>
      <c r="BO157" s="94"/>
      <c r="BP157" s="94"/>
      <c r="BQ157" s="92"/>
      <c r="BR157" s="92"/>
      <c r="BS157" s="92"/>
      <c r="BT157" s="92"/>
      <c r="BU157" s="92"/>
      <c r="BV157" s="92"/>
      <c r="BW157" s="92"/>
      <c r="BX157" s="92"/>
      <c r="BY157" s="92"/>
      <c r="BZ157" s="92"/>
    </row>
    <row r="158" spans="1:78" ht="12.9">
      <c r="A158" s="89"/>
      <c r="B158" s="89"/>
      <c r="C158" s="89"/>
      <c r="D158" s="89"/>
      <c r="E158" s="89"/>
      <c r="F158" s="89"/>
      <c r="G158" s="89"/>
      <c r="H158" s="105"/>
      <c r="I158" s="106"/>
      <c r="J158" s="106"/>
      <c r="K158" s="89"/>
      <c r="L158" s="89"/>
      <c r="M158" s="89"/>
      <c r="N158" s="107"/>
      <c r="O158" s="107"/>
      <c r="P158" s="89"/>
      <c r="Q158" s="89"/>
      <c r="R158" s="89"/>
      <c r="S158" s="89"/>
      <c r="T158" s="89"/>
      <c r="U158" s="89"/>
      <c r="V158" s="89"/>
      <c r="W158" s="89"/>
      <c r="X158" s="89"/>
      <c r="Y158" s="89"/>
      <c r="Z158" s="77"/>
      <c r="AA158" s="77"/>
      <c r="AB158" s="94"/>
      <c r="AC158" s="94"/>
      <c r="AD158" s="94"/>
      <c r="AE158" s="94"/>
      <c r="AF158" s="91"/>
      <c r="AG158" s="92"/>
      <c r="AH158" s="92"/>
      <c r="AI158" s="93"/>
      <c r="AJ158" s="94"/>
      <c r="AK158" s="92"/>
      <c r="AL158" s="94"/>
      <c r="AM158" s="94"/>
      <c r="AN158" s="94"/>
      <c r="AO158" s="94"/>
      <c r="AP158" s="94"/>
      <c r="AQ158" s="94"/>
      <c r="AR158" s="94"/>
      <c r="AS158" s="94"/>
      <c r="AT158" s="94"/>
      <c r="AU158" s="92"/>
      <c r="AV158" s="94"/>
      <c r="AW158" s="94"/>
      <c r="AX158" s="94"/>
      <c r="AY158" s="94"/>
      <c r="AZ158" s="94"/>
      <c r="BA158" s="94"/>
      <c r="BB158" s="94"/>
      <c r="BC158" s="94"/>
      <c r="BD158" s="94"/>
      <c r="BE158" s="94"/>
      <c r="BF158" s="94"/>
      <c r="BG158" s="94"/>
      <c r="BH158" s="94"/>
      <c r="BI158" s="94"/>
      <c r="BJ158" s="94"/>
      <c r="BK158" s="94"/>
      <c r="BL158" s="92"/>
      <c r="BM158" s="94"/>
      <c r="BN158" s="94"/>
      <c r="BO158" s="94"/>
      <c r="BP158" s="94"/>
      <c r="BQ158" s="92"/>
      <c r="BR158" s="92"/>
      <c r="BS158" s="92"/>
      <c r="BT158" s="92"/>
      <c r="BU158" s="92"/>
      <c r="BV158" s="92"/>
      <c r="BW158" s="92"/>
      <c r="BX158" s="92"/>
      <c r="BY158" s="92"/>
      <c r="BZ158" s="92"/>
    </row>
    <row r="159" spans="1:78" ht="12.9">
      <c r="A159" s="89"/>
      <c r="B159" s="89"/>
      <c r="C159" s="89"/>
      <c r="D159" s="89"/>
      <c r="E159" s="89"/>
      <c r="F159" s="89"/>
      <c r="G159" s="89"/>
      <c r="H159" s="105"/>
      <c r="I159" s="106"/>
      <c r="J159" s="106"/>
      <c r="K159" s="89"/>
      <c r="L159" s="89"/>
      <c r="M159" s="89"/>
      <c r="N159" s="107"/>
      <c r="O159" s="107"/>
      <c r="P159" s="89"/>
      <c r="Q159" s="89"/>
      <c r="R159" s="89"/>
      <c r="S159" s="89"/>
      <c r="T159" s="89"/>
      <c r="U159" s="89"/>
      <c r="V159" s="89"/>
      <c r="W159" s="89"/>
      <c r="X159" s="89"/>
      <c r="Y159" s="89"/>
      <c r="Z159" s="77"/>
      <c r="AA159" s="77"/>
      <c r="AB159" s="94"/>
      <c r="AC159" s="94"/>
      <c r="AD159" s="94"/>
      <c r="AE159" s="94"/>
      <c r="AF159" s="91"/>
      <c r="AG159" s="92"/>
      <c r="AH159" s="92"/>
      <c r="AI159" s="93"/>
      <c r="AJ159" s="94"/>
      <c r="AK159" s="92"/>
      <c r="AL159" s="94"/>
      <c r="AM159" s="94"/>
      <c r="AN159" s="94"/>
      <c r="AO159" s="94"/>
      <c r="AP159" s="94"/>
      <c r="AQ159" s="94"/>
      <c r="AR159" s="94"/>
      <c r="AS159" s="94"/>
      <c r="AT159" s="94"/>
      <c r="AU159" s="92"/>
      <c r="AV159" s="94"/>
      <c r="AW159" s="94"/>
      <c r="AX159" s="94"/>
      <c r="AY159" s="94"/>
      <c r="AZ159" s="94"/>
      <c r="BA159" s="94"/>
      <c r="BB159" s="94"/>
      <c r="BC159" s="94"/>
      <c r="BD159" s="94"/>
      <c r="BE159" s="94"/>
      <c r="BF159" s="94"/>
      <c r="BG159" s="94"/>
      <c r="BH159" s="94"/>
      <c r="BI159" s="94"/>
      <c r="BJ159" s="94"/>
      <c r="BK159" s="94"/>
      <c r="BL159" s="92"/>
      <c r="BM159" s="94"/>
      <c r="BN159" s="94"/>
      <c r="BO159" s="94"/>
      <c r="BP159" s="94"/>
      <c r="BQ159" s="92"/>
      <c r="BR159" s="92"/>
      <c r="BS159" s="92"/>
      <c r="BT159" s="92"/>
      <c r="BU159" s="92"/>
      <c r="BV159" s="92"/>
      <c r="BW159" s="92"/>
      <c r="BX159" s="92"/>
      <c r="BY159" s="92"/>
      <c r="BZ159" s="92"/>
    </row>
    <row r="160" spans="1:78" ht="12.9">
      <c r="A160" s="89"/>
      <c r="B160" s="89"/>
      <c r="C160" s="89"/>
      <c r="D160" s="89"/>
      <c r="E160" s="89"/>
      <c r="F160" s="89"/>
      <c r="G160" s="89"/>
      <c r="H160" s="105"/>
      <c r="I160" s="106"/>
      <c r="J160" s="106"/>
      <c r="K160" s="89"/>
      <c r="L160" s="89"/>
      <c r="M160" s="89"/>
      <c r="N160" s="107"/>
      <c r="O160" s="107"/>
      <c r="P160" s="89"/>
      <c r="Q160" s="89"/>
      <c r="R160" s="89"/>
      <c r="S160" s="89"/>
      <c r="T160" s="89"/>
      <c r="U160" s="89"/>
      <c r="V160" s="89"/>
      <c r="W160" s="89"/>
      <c r="X160" s="89"/>
      <c r="Y160" s="89"/>
      <c r="Z160" s="77"/>
      <c r="AA160" s="77"/>
      <c r="AB160" s="94"/>
      <c r="AC160" s="94"/>
      <c r="AD160" s="94"/>
      <c r="AE160" s="94"/>
      <c r="AF160" s="91"/>
      <c r="AG160" s="92"/>
      <c r="AH160" s="92"/>
      <c r="AI160" s="93"/>
      <c r="AJ160" s="94"/>
      <c r="AK160" s="92"/>
      <c r="AL160" s="94"/>
      <c r="AM160" s="94"/>
      <c r="AN160" s="94"/>
      <c r="AO160" s="94"/>
      <c r="AP160" s="94"/>
      <c r="AQ160" s="94"/>
      <c r="AR160" s="94"/>
      <c r="AS160" s="94"/>
      <c r="AT160" s="94"/>
      <c r="AU160" s="92"/>
      <c r="AV160" s="94"/>
      <c r="AW160" s="94"/>
      <c r="AX160" s="94"/>
      <c r="AY160" s="94"/>
      <c r="AZ160" s="94"/>
      <c r="BA160" s="94"/>
      <c r="BB160" s="94"/>
      <c r="BC160" s="94"/>
      <c r="BD160" s="94"/>
      <c r="BE160" s="94"/>
      <c r="BF160" s="94"/>
      <c r="BG160" s="94"/>
      <c r="BH160" s="94"/>
      <c r="BI160" s="94"/>
      <c r="BJ160" s="94"/>
      <c r="BK160" s="94"/>
      <c r="BL160" s="92"/>
      <c r="BM160" s="94"/>
      <c r="BN160" s="94"/>
      <c r="BO160" s="94"/>
      <c r="BP160" s="94"/>
      <c r="BQ160" s="92"/>
      <c r="BR160" s="92"/>
      <c r="BS160" s="92"/>
      <c r="BT160" s="92"/>
      <c r="BU160" s="92"/>
      <c r="BV160" s="92"/>
      <c r="BW160" s="92"/>
      <c r="BX160" s="92"/>
      <c r="BY160" s="92"/>
      <c r="BZ160" s="92"/>
    </row>
    <row r="161" spans="1:78" ht="12.9">
      <c r="A161" s="89"/>
      <c r="B161" s="89"/>
      <c r="C161" s="89"/>
      <c r="D161" s="89"/>
      <c r="E161" s="89"/>
      <c r="F161" s="89"/>
      <c r="G161" s="89"/>
      <c r="H161" s="105"/>
      <c r="I161" s="106"/>
      <c r="J161" s="106"/>
      <c r="K161" s="89"/>
      <c r="L161" s="89"/>
      <c r="M161" s="89"/>
      <c r="N161" s="107"/>
      <c r="O161" s="107"/>
      <c r="P161" s="89"/>
      <c r="Q161" s="89"/>
      <c r="R161" s="89"/>
      <c r="S161" s="89"/>
      <c r="T161" s="89"/>
      <c r="U161" s="89"/>
      <c r="V161" s="89"/>
      <c r="W161" s="89"/>
      <c r="X161" s="89"/>
      <c r="Y161" s="89"/>
      <c r="Z161" s="77"/>
      <c r="AA161" s="77"/>
      <c r="AB161" s="94"/>
      <c r="AC161" s="94"/>
      <c r="AD161" s="94"/>
      <c r="AE161" s="94"/>
      <c r="AF161" s="91"/>
      <c r="AG161" s="92"/>
      <c r="AH161" s="92"/>
      <c r="AI161" s="93"/>
      <c r="AJ161" s="94"/>
      <c r="AK161" s="92"/>
      <c r="AL161" s="94"/>
      <c r="AM161" s="94"/>
      <c r="AN161" s="94"/>
      <c r="AO161" s="94"/>
      <c r="AP161" s="94"/>
      <c r="AQ161" s="94"/>
      <c r="AR161" s="94"/>
      <c r="AS161" s="94"/>
      <c r="AT161" s="94"/>
      <c r="AU161" s="92"/>
      <c r="AV161" s="94"/>
      <c r="AW161" s="94"/>
      <c r="AX161" s="94"/>
      <c r="AY161" s="94"/>
      <c r="AZ161" s="94"/>
      <c r="BA161" s="94"/>
      <c r="BB161" s="94"/>
      <c r="BC161" s="94"/>
      <c r="BD161" s="94"/>
      <c r="BE161" s="94"/>
      <c r="BF161" s="94"/>
      <c r="BG161" s="94"/>
      <c r="BH161" s="94"/>
      <c r="BI161" s="94"/>
      <c r="BJ161" s="94"/>
      <c r="BK161" s="94"/>
      <c r="BL161" s="92"/>
      <c r="BM161" s="94"/>
      <c r="BN161" s="94"/>
      <c r="BO161" s="94"/>
      <c r="BP161" s="94"/>
      <c r="BQ161" s="92"/>
      <c r="BR161" s="92"/>
      <c r="BS161" s="92"/>
      <c r="BT161" s="92"/>
      <c r="BU161" s="92"/>
      <c r="BV161" s="92"/>
      <c r="BW161" s="92"/>
      <c r="BX161" s="92"/>
      <c r="BY161" s="92"/>
      <c r="BZ161" s="92"/>
    </row>
    <row r="162" spans="1:78" ht="12.9">
      <c r="A162" s="89"/>
      <c r="B162" s="89"/>
      <c r="C162" s="89"/>
      <c r="D162" s="89"/>
      <c r="E162" s="89"/>
      <c r="F162" s="89"/>
      <c r="G162" s="89"/>
      <c r="H162" s="105"/>
      <c r="I162" s="106"/>
      <c r="J162" s="106"/>
      <c r="K162" s="89"/>
      <c r="L162" s="89"/>
      <c r="M162" s="89"/>
      <c r="N162" s="107"/>
      <c r="O162" s="107"/>
      <c r="P162" s="89"/>
      <c r="Q162" s="89"/>
      <c r="R162" s="89"/>
      <c r="S162" s="89"/>
      <c r="T162" s="89"/>
      <c r="U162" s="89"/>
      <c r="V162" s="89"/>
      <c r="W162" s="89"/>
      <c r="X162" s="89"/>
      <c r="Y162" s="89"/>
      <c r="Z162" s="77"/>
      <c r="AA162" s="77"/>
      <c r="AB162" s="94"/>
      <c r="AC162" s="94"/>
      <c r="AD162" s="94"/>
      <c r="AE162" s="94"/>
      <c r="AF162" s="91"/>
      <c r="AG162" s="92"/>
      <c r="AH162" s="92"/>
      <c r="AI162" s="93"/>
      <c r="AJ162" s="94"/>
      <c r="AK162" s="92"/>
      <c r="AL162" s="94"/>
      <c r="AM162" s="94"/>
      <c r="AN162" s="94"/>
      <c r="AO162" s="94"/>
      <c r="AP162" s="94"/>
      <c r="AQ162" s="94"/>
      <c r="AR162" s="94"/>
      <c r="AS162" s="94"/>
      <c r="AT162" s="94"/>
      <c r="AU162" s="92"/>
      <c r="AV162" s="94"/>
      <c r="AW162" s="94"/>
      <c r="AX162" s="94"/>
      <c r="AY162" s="94"/>
      <c r="AZ162" s="94"/>
      <c r="BA162" s="94"/>
      <c r="BB162" s="94"/>
      <c r="BC162" s="94"/>
      <c r="BD162" s="94"/>
      <c r="BE162" s="94"/>
      <c r="BF162" s="94"/>
      <c r="BG162" s="94"/>
      <c r="BH162" s="94"/>
      <c r="BI162" s="94"/>
      <c r="BJ162" s="94"/>
      <c r="BK162" s="94"/>
      <c r="BL162" s="92"/>
      <c r="BM162" s="94"/>
      <c r="BN162" s="94"/>
      <c r="BO162" s="94"/>
      <c r="BP162" s="94"/>
      <c r="BQ162" s="92"/>
      <c r="BR162" s="92"/>
      <c r="BS162" s="92"/>
      <c r="BT162" s="92"/>
      <c r="BU162" s="92"/>
      <c r="BV162" s="92"/>
      <c r="BW162" s="92"/>
      <c r="BX162" s="92"/>
      <c r="BY162" s="92"/>
      <c r="BZ162" s="92"/>
    </row>
    <row r="163" spans="1:78" ht="12.9">
      <c r="A163" s="89"/>
      <c r="B163" s="89"/>
      <c r="C163" s="89"/>
      <c r="D163" s="89"/>
      <c r="E163" s="89"/>
      <c r="F163" s="89"/>
      <c r="G163" s="89"/>
      <c r="H163" s="105"/>
      <c r="I163" s="106"/>
      <c r="J163" s="106"/>
      <c r="K163" s="89"/>
      <c r="L163" s="89"/>
      <c r="M163" s="89"/>
      <c r="N163" s="107"/>
      <c r="O163" s="107"/>
      <c r="P163" s="89"/>
      <c r="Q163" s="89"/>
      <c r="R163" s="89"/>
      <c r="S163" s="89"/>
      <c r="T163" s="89"/>
      <c r="U163" s="89"/>
      <c r="V163" s="89"/>
      <c r="W163" s="89"/>
      <c r="X163" s="89"/>
      <c r="Y163" s="89"/>
      <c r="Z163" s="77"/>
      <c r="AA163" s="77"/>
      <c r="AB163" s="94"/>
      <c r="AC163" s="94"/>
      <c r="AD163" s="94"/>
      <c r="AE163" s="94"/>
      <c r="AF163" s="91"/>
      <c r="AG163" s="92"/>
      <c r="AH163" s="92"/>
      <c r="AI163" s="93"/>
      <c r="AJ163" s="94"/>
      <c r="AK163" s="92"/>
      <c r="AL163" s="94"/>
      <c r="AM163" s="94"/>
      <c r="AN163" s="94"/>
      <c r="AO163" s="94"/>
      <c r="AP163" s="94"/>
      <c r="AQ163" s="94"/>
      <c r="AR163" s="94"/>
      <c r="AS163" s="94"/>
      <c r="AT163" s="94"/>
      <c r="AU163" s="92"/>
      <c r="AV163" s="94"/>
      <c r="AW163" s="94"/>
      <c r="AX163" s="94"/>
      <c r="AY163" s="94"/>
      <c r="AZ163" s="94"/>
      <c r="BA163" s="94"/>
      <c r="BB163" s="94"/>
      <c r="BC163" s="94"/>
      <c r="BD163" s="94"/>
      <c r="BE163" s="94"/>
      <c r="BF163" s="94"/>
      <c r="BG163" s="94"/>
      <c r="BH163" s="94"/>
      <c r="BI163" s="94"/>
      <c r="BJ163" s="94"/>
      <c r="BK163" s="94"/>
      <c r="BL163" s="92"/>
      <c r="BM163" s="94"/>
      <c r="BN163" s="94"/>
      <c r="BO163" s="94"/>
      <c r="BP163" s="94"/>
      <c r="BQ163" s="92"/>
      <c r="BR163" s="92"/>
      <c r="BS163" s="92"/>
      <c r="BT163" s="92"/>
      <c r="BU163" s="92"/>
      <c r="BV163" s="92"/>
      <c r="BW163" s="92"/>
      <c r="BX163" s="92"/>
      <c r="BY163" s="92"/>
      <c r="BZ163" s="92"/>
    </row>
    <row r="164" spans="1:78" ht="12.9">
      <c r="A164" s="89"/>
      <c r="B164" s="89"/>
      <c r="C164" s="89"/>
      <c r="D164" s="89"/>
      <c r="E164" s="89"/>
      <c r="F164" s="89"/>
      <c r="G164" s="89"/>
      <c r="H164" s="105"/>
      <c r="I164" s="106"/>
      <c r="J164" s="106"/>
      <c r="K164" s="89"/>
      <c r="L164" s="89"/>
      <c r="M164" s="89"/>
      <c r="N164" s="107"/>
      <c r="O164" s="107"/>
      <c r="P164" s="89"/>
      <c r="Q164" s="89"/>
      <c r="R164" s="89"/>
      <c r="S164" s="89"/>
      <c r="T164" s="89"/>
      <c r="U164" s="89"/>
      <c r="V164" s="89"/>
      <c r="W164" s="89"/>
      <c r="X164" s="89"/>
      <c r="Y164" s="89"/>
      <c r="Z164" s="77"/>
      <c r="AA164" s="77"/>
      <c r="AB164" s="94"/>
      <c r="AC164" s="94"/>
      <c r="AD164" s="94"/>
      <c r="AE164" s="94"/>
      <c r="AF164" s="91"/>
      <c r="AG164" s="92"/>
      <c r="AH164" s="92"/>
      <c r="AI164" s="93"/>
      <c r="AJ164" s="94"/>
      <c r="AK164" s="92"/>
      <c r="AL164" s="94"/>
      <c r="AM164" s="94"/>
      <c r="AN164" s="94"/>
      <c r="AO164" s="94"/>
      <c r="AP164" s="94"/>
      <c r="AQ164" s="94"/>
      <c r="AR164" s="94"/>
      <c r="AS164" s="94"/>
      <c r="AT164" s="94"/>
      <c r="AU164" s="92"/>
      <c r="AV164" s="94"/>
      <c r="AW164" s="94"/>
      <c r="AX164" s="94"/>
      <c r="AY164" s="94"/>
      <c r="AZ164" s="94"/>
      <c r="BA164" s="94"/>
      <c r="BB164" s="94"/>
      <c r="BC164" s="94"/>
      <c r="BD164" s="94"/>
      <c r="BE164" s="94"/>
      <c r="BF164" s="94"/>
      <c r="BG164" s="94"/>
      <c r="BH164" s="94"/>
      <c r="BI164" s="94"/>
      <c r="BJ164" s="94"/>
      <c r="BK164" s="94"/>
      <c r="BL164" s="92"/>
      <c r="BM164" s="94"/>
      <c r="BN164" s="94"/>
      <c r="BO164" s="94"/>
      <c r="BP164" s="94"/>
      <c r="BQ164" s="92"/>
      <c r="BR164" s="92"/>
      <c r="BS164" s="92"/>
      <c r="BT164" s="92"/>
      <c r="BU164" s="92"/>
      <c r="BV164" s="92"/>
      <c r="BW164" s="92"/>
      <c r="BX164" s="92"/>
      <c r="BY164" s="92"/>
      <c r="BZ164" s="92"/>
    </row>
    <row r="165" spans="1:78" ht="12.9">
      <c r="A165" s="89"/>
      <c r="B165" s="89"/>
      <c r="C165" s="89"/>
      <c r="D165" s="89"/>
      <c r="E165" s="89"/>
      <c r="F165" s="89"/>
      <c r="G165" s="89"/>
      <c r="H165" s="105"/>
      <c r="I165" s="106"/>
      <c r="J165" s="106"/>
      <c r="K165" s="89"/>
      <c r="L165" s="89"/>
      <c r="M165" s="89"/>
      <c r="N165" s="107"/>
      <c r="O165" s="107"/>
      <c r="P165" s="89"/>
      <c r="Q165" s="89"/>
      <c r="R165" s="89"/>
      <c r="S165" s="89"/>
      <c r="T165" s="89"/>
      <c r="U165" s="89"/>
      <c r="V165" s="89"/>
      <c r="W165" s="89"/>
      <c r="X165" s="89"/>
      <c r="Y165" s="89"/>
      <c r="Z165" s="77"/>
      <c r="AA165" s="77"/>
      <c r="AB165" s="94"/>
      <c r="AC165" s="94"/>
      <c r="AD165" s="94"/>
      <c r="AE165" s="94"/>
      <c r="AF165" s="91"/>
      <c r="AG165" s="92"/>
      <c r="AH165" s="92"/>
      <c r="AI165" s="93"/>
      <c r="AJ165" s="94"/>
      <c r="AK165" s="92"/>
      <c r="AL165" s="94"/>
      <c r="AM165" s="94"/>
      <c r="AN165" s="94"/>
      <c r="AO165" s="94"/>
      <c r="AP165" s="94"/>
      <c r="AQ165" s="94"/>
      <c r="AR165" s="94"/>
      <c r="AS165" s="94"/>
      <c r="AT165" s="94"/>
      <c r="AU165" s="92"/>
      <c r="AV165" s="94"/>
      <c r="AW165" s="94"/>
      <c r="AX165" s="94"/>
      <c r="AY165" s="94"/>
      <c r="AZ165" s="94"/>
      <c r="BA165" s="94"/>
      <c r="BB165" s="94"/>
      <c r="BC165" s="94"/>
      <c r="BD165" s="94"/>
      <c r="BE165" s="94"/>
      <c r="BF165" s="94"/>
      <c r="BG165" s="94"/>
      <c r="BH165" s="94"/>
      <c r="BI165" s="94"/>
      <c r="BJ165" s="94"/>
      <c r="BK165" s="94"/>
      <c r="BL165" s="92"/>
      <c r="BM165" s="94"/>
      <c r="BN165" s="94"/>
      <c r="BO165" s="94"/>
      <c r="BP165" s="94"/>
      <c r="BQ165" s="92"/>
      <c r="BR165" s="92"/>
      <c r="BS165" s="92"/>
      <c r="BT165" s="92"/>
      <c r="BU165" s="92"/>
      <c r="BV165" s="92"/>
      <c r="BW165" s="92"/>
      <c r="BX165" s="92"/>
      <c r="BY165" s="92"/>
      <c r="BZ165" s="92"/>
    </row>
    <row r="166" spans="1:78" ht="12.9">
      <c r="A166" s="89"/>
      <c r="B166" s="89"/>
      <c r="C166" s="89"/>
      <c r="D166" s="89"/>
      <c r="E166" s="89"/>
      <c r="F166" s="89"/>
      <c r="G166" s="89"/>
      <c r="H166" s="105"/>
      <c r="I166" s="106"/>
      <c r="J166" s="106"/>
      <c r="K166" s="89"/>
      <c r="L166" s="89"/>
      <c r="M166" s="89"/>
      <c r="N166" s="107"/>
      <c r="O166" s="107"/>
      <c r="P166" s="89"/>
      <c r="Q166" s="89"/>
      <c r="R166" s="89"/>
      <c r="S166" s="89"/>
      <c r="T166" s="89"/>
      <c r="U166" s="89"/>
      <c r="V166" s="89"/>
      <c r="W166" s="89"/>
      <c r="X166" s="89"/>
      <c r="Y166" s="89"/>
      <c r="Z166" s="77"/>
      <c r="AA166" s="77"/>
      <c r="AB166" s="94"/>
      <c r="AC166" s="94"/>
      <c r="AD166" s="94"/>
      <c r="AE166" s="94"/>
      <c r="AF166" s="91"/>
      <c r="AG166" s="92"/>
      <c r="AH166" s="92"/>
      <c r="AI166" s="93"/>
      <c r="AJ166" s="94"/>
      <c r="AK166" s="92"/>
      <c r="AL166" s="94"/>
      <c r="AM166" s="94"/>
      <c r="AN166" s="94"/>
      <c r="AO166" s="94"/>
      <c r="AP166" s="94"/>
      <c r="AQ166" s="94"/>
      <c r="AR166" s="94"/>
      <c r="AS166" s="94"/>
      <c r="AT166" s="94"/>
      <c r="AU166" s="92"/>
      <c r="AV166" s="94"/>
      <c r="AW166" s="94"/>
      <c r="AX166" s="94"/>
      <c r="AY166" s="94"/>
      <c r="AZ166" s="94"/>
      <c r="BA166" s="94"/>
      <c r="BB166" s="94"/>
      <c r="BC166" s="94"/>
      <c r="BD166" s="94"/>
      <c r="BE166" s="94"/>
      <c r="BF166" s="94"/>
      <c r="BG166" s="94"/>
      <c r="BH166" s="94"/>
      <c r="BI166" s="94"/>
      <c r="BJ166" s="94"/>
      <c r="BK166" s="94"/>
      <c r="BL166" s="92"/>
      <c r="BM166" s="94"/>
      <c r="BN166" s="94"/>
      <c r="BO166" s="94"/>
      <c r="BP166" s="94"/>
      <c r="BQ166" s="92"/>
      <c r="BR166" s="92"/>
      <c r="BS166" s="92"/>
      <c r="BT166" s="92"/>
      <c r="BU166" s="92"/>
      <c r="BV166" s="92"/>
      <c r="BW166" s="92"/>
      <c r="BX166" s="92"/>
      <c r="BY166" s="92"/>
      <c r="BZ166" s="92"/>
    </row>
    <row r="167" spans="1:78" ht="12.9">
      <c r="A167" s="89"/>
      <c r="B167" s="89"/>
      <c r="C167" s="89"/>
      <c r="D167" s="89"/>
      <c r="E167" s="89"/>
      <c r="F167" s="89"/>
      <c r="G167" s="89"/>
      <c r="H167" s="105"/>
      <c r="I167" s="106"/>
      <c r="J167" s="106"/>
      <c r="K167" s="89"/>
      <c r="L167" s="89"/>
      <c r="M167" s="89"/>
      <c r="N167" s="107"/>
      <c r="O167" s="107"/>
      <c r="P167" s="89"/>
      <c r="Q167" s="89"/>
      <c r="R167" s="89"/>
      <c r="S167" s="89"/>
      <c r="T167" s="89"/>
      <c r="U167" s="89"/>
      <c r="V167" s="89"/>
      <c r="W167" s="89"/>
      <c r="X167" s="89"/>
      <c r="Y167" s="89"/>
      <c r="Z167" s="77"/>
      <c r="AA167" s="77"/>
      <c r="AB167" s="94"/>
      <c r="AC167" s="94"/>
      <c r="AD167" s="94"/>
      <c r="AE167" s="94"/>
      <c r="AF167" s="91"/>
      <c r="AG167" s="92"/>
      <c r="AH167" s="92"/>
      <c r="AI167" s="93"/>
      <c r="AJ167" s="94"/>
      <c r="AK167" s="92"/>
      <c r="AL167" s="94"/>
      <c r="AM167" s="94"/>
      <c r="AN167" s="94"/>
      <c r="AO167" s="94"/>
      <c r="AP167" s="94"/>
      <c r="AQ167" s="94"/>
      <c r="AR167" s="94"/>
      <c r="AS167" s="94"/>
      <c r="AT167" s="94"/>
      <c r="AU167" s="92"/>
      <c r="AV167" s="94"/>
      <c r="AW167" s="94"/>
      <c r="AX167" s="94"/>
      <c r="AY167" s="94"/>
      <c r="AZ167" s="94"/>
      <c r="BA167" s="94"/>
      <c r="BB167" s="94"/>
      <c r="BC167" s="94"/>
      <c r="BD167" s="94"/>
      <c r="BE167" s="94"/>
      <c r="BF167" s="94"/>
      <c r="BG167" s="94"/>
      <c r="BH167" s="94"/>
      <c r="BI167" s="94"/>
      <c r="BJ167" s="94"/>
      <c r="BK167" s="94"/>
      <c r="BL167" s="92"/>
      <c r="BM167" s="94"/>
      <c r="BN167" s="94"/>
      <c r="BO167" s="94"/>
      <c r="BP167" s="94"/>
      <c r="BQ167" s="92"/>
      <c r="BR167" s="92"/>
      <c r="BS167" s="92"/>
      <c r="BT167" s="92"/>
      <c r="BU167" s="92"/>
      <c r="BV167" s="92"/>
      <c r="BW167" s="92"/>
      <c r="BX167" s="92"/>
      <c r="BY167" s="92"/>
      <c r="BZ167" s="92"/>
    </row>
    <row r="168" spans="1:78" ht="12.9">
      <c r="A168" s="89"/>
      <c r="B168" s="89"/>
      <c r="C168" s="89"/>
      <c r="D168" s="89"/>
      <c r="E168" s="89"/>
      <c r="F168" s="89"/>
      <c r="G168" s="89"/>
      <c r="H168" s="105"/>
      <c r="I168" s="106"/>
      <c r="J168" s="106"/>
      <c r="K168" s="89"/>
      <c r="L168" s="89"/>
      <c r="M168" s="89"/>
      <c r="N168" s="107"/>
      <c r="O168" s="107"/>
      <c r="P168" s="89"/>
      <c r="Q168" s="89"/>
      <c r="R168" s="89"/>
      <c r="S168" s="89"/>
      <c r="T168" s="89"/>
      <c r="U168" s="89"/>
      <c r="V168" s="89"/>
      <c r="W168" s="89"/>
      <c r="X168" s="89"/>
      <c r="Y168" s="89"/>
      <c r="Z168" s="77"/>
      <c r="AA168" s="77"/>
      <c r="AB168" s="94"/>
      <c r="AC168" s="94"/>
      <c r="AD168" s="94"/>
      <c r="AE168" s="94"/>
      <c r="AF168" s="91"/>
      <c r="AG168" s="92"/>
      <c r="AH168" s="92"/>
      <c r="AI168" s="93"/>
      <c r="AJ168" s="94"/>
      <c r="AK168" s="92"/>
      <c r="AL168" s="94"/>
      <c r="AM168" s="94"/>
      <c r="AN168" s="94"/>
      <c r="AO168" s="94"/>
      <c r="AP168" s="94"/>
      <c r="AQ168" s="94"/>
      <c r="AR168" s="94"/>
      <c r="AS168" s="94"/>
      <c r="AT168" s="94"/>
      <c r="AU168" s="92"/>
      <c r="AV168" s="94"/>
      <c r="AW168" s="94"/>
      <c r="AX168" s="94"/>
      <c r="AY168" s="94"/>
      <c r="AZ168" s="94"/>
      <c r="BA168" s="94"/>
      <c r="BB168" s="94"/>
      <c r="BC168" s="94"/>
      <c r="BD168" s="94"/>
      <c r="BE168" s="94"/>
      <c r="BF168" s="94"/>
      <c r="BG168" s="94"/>
      <c r="BH168" s="94"/>
      <c r="BI168" s="94"/>
      <c r="BJ168" s="94"/>
      <c r="BK168" s="94"/>
      <c r="BL168" s="92"/>
      <c r="BM168" s="94"/>
      <c r="BN168" s="94"/>
      <c r="BO168" s="94"/>
      <c r="BP168" s="94"/>
      <c r="BQ168" s="92"/>
      <c r="BR168" s="92"/>
      <c r="BS168" s="92"/>
      <c r="BT168" s="92"/>
      <c r="BU168" s="92"/>
      <c r="BV168" s="92"/>
      <c r="BW168" s="92"/>
      <c r="BX168" s="92"/>
      <c r="BY168" s="92"/>
      <c r="BZ168" s="92"/>
    </row>
    <row r="169" spans="1:78" ht="12.9">
      <c r="A169" s="89"/>
      <c r="B169" s="89"/>
      <c r="C169" s="89"/>
      <c r="D169" s="89"/>
      <c r="E169" s="89"/>
      <c r="F169" s="89"/>
      <c r="G169" s="89"/>
      <c r="H169" s="105"/>
      <c r="I169" s="106"/>
      <c r="J169" s="106"/>
      <c r="K169" s="89"/>
      <c r="L169" s="89"/>
      <c r="M169" s="89"/>
      <c r="N169" s="107"/>
      <c r="O169" s="107"/>
      <c r="P169" s="89"/>
      <c r="Q169" s="89"/>
      <c r="R169" s="89"/>
      <c r="S169" s="89"/>
      <c r="T169" s="89"/>
      <c r="U169" s="89"/>
      <c r="V169" s="89"/>
      <c r="W169" s="89"/>
      <c r="X169" s="89"/>
      <c r="Y169" s="89"/>
      <c r="Z169" s="77"/>
      <c r="AA169" s="77"/>
      <c r="AB169" s="94"/>
      <c r="AC169" s="94"/>
      <c r="AD169" s="94"/>
      <c r="AE169" s="94"/>
      <c r="AF169" s="91"/>
      <c r="AG169" s="92"/>
      <c r="AH169" s="92"/>
      <c r="AI169" s="93"/>
      <c r="AJ169" s="94"/>
      <c r="AK169" s="92"/>
      <c r="AL169" s="94"/>
      <c r="AM169" s="94"/>
      <c r="AN169" s="94"/>
      <c r="AO169" s="94"/>
      <c r="AP169" s="94"/>
      <c r="AQ169" s="94"/>
      <c r="AR169" s="94"/>
      <c r="AS169" s="94"/>
      <c r="AT169" s="94"/>
      <c r="AU169" s="92"/>
      <c r="AV169" s="94"/>
      <c r="AW169" s="94"/>
      <c r="AX169" s="94"/>
      <c r="AY169" s="94"/>
      <c r="AZ169" s="94"/>
      <c r="BA169" s="94"/>
      <c r="BB169" s="94"/>
      <c r="BC169" s="94"/>
      <c r="BD169" s="94"/>
      <c r="BE169" s="94"/>
      <c r="BF169" s="94"/>
      <c r="BG169" s="94"/>
      <c r="BH169" s="94"/>
      <c r="BI169" s="94"/>
      <c r="BJ169" s="94"/>
      <c r="BK169" s="94"/>
      <c r="BL169" s="92"/>
      <c r="BM169" s="94"/>
      <c r="BN169" s="94"/>
      <c r="BO169" s="94"/>
      <c r="BP169" s="94"/>
      <c r="BQ169" s="92"/>
      <c r="BR169" s="92"/>
      <c r="BS169" s="92"/>
      <c r="BT169" s="92"/>
      <c r="BU169" s="92"/>
      <c r="BV169" s="92"/>
      <c r="BW169" s="92"/>
      <c r="BX169" s="92"/>
      <c r="BY169" s="92"/>
      <c r="BZ169" s="92"/>
    </row>
    <row r="170" spans="1:78" ht="12.9">
      <c r="A170" s="89"/>
      <c r="B170" s="89"/>
      <c r="C170" s="89"/>
      <c r="D170" s="89"/>
      <c r="E170" s="89"/>
      <c r="F170" s="89"/>
      <c r="G170" s="89"/>
      <c r="H170" s="105"/>
      <c r="I170" s="106"/>
      <c r="J170" s="106"/>
      <c r="K170" s="89"/>
      <c r="L170" s="89"/>
      <c r="M170" s="89"/>
      <c r="N170" s="107"/>
      <c r="O170" s="107"/>
      <c r="P170" s="89"/>
      <c r="Q170" s="89"/>
      <c r="R170" s="89"/>
      <c r="S170" s="89"/>
      <c r="T170" s="89"/>
      <c r="U170" s="89"/>
      <c r="V170" s="89"/>
      <c r="W170" s="89"/>
      <c r="X170" s="89"/>
      <c r="Y170" s="89"/>
      <c r="Z170" s="77"/>
      <c r="AA170" s="77"/>
      <c r="AB170" s="94"/>
      <c r="AC170" s="94"/>
      <c r="AD170" s="94"/>
      <c r="AE170" s="94"/>
      <c r="AF170" s="91"/>
      <c r="AG170" s="92"/>
      <c r="AH170" s="92"/>
      <c r="AI170" s="93"/>
      <c r="AJ170" s="94"/>
      <c r="AK170" s="92"/>
      <c r="AL170" s="94"/>
      <c r="AM170" s="94"/>
      <c r="AN170" s="94"/>
      <c r="AO170" s="94"/>
      <c r="AP170" s="94"/>
      <c r="AQ170" s="94"/>
      <c r="AR170" s="94"/>
      <c r="AS170" s="94"/>
      <c r="AT170" s="94"/>
      <c r="AU170" s="92"/>
      <c r="AV170" s="94"/>
      <c r="AW170" s="94"/>
      <c r="AX170" s="94"/>
      <c r="AY170" s="94"/>
      <c r="AZ170" s="94"/>
      <c r="BA170" s="94"/>
      <c r="BB170" s="94"/>
      <c r="BC170" s="94"/>
      <c r="BD170" s="94"/>
      <c r="BE170" s="94"/>
      <c r="BF170" s="94"/>
      <c r="BG170" s="94"/>
      <c r="BH170" s="94"/>
      <c r="BI170" s="94"/>
      <c r="BJ170" s="94"/>
      <c r="BK170" s="94"/>
      <c r="BL170" s="92"/>
      <c r="BM170" s="94"/>
      <c r="BN170" s="94"/>
      <c r="BO170" s="94"/>
      <c r="BP170" s="94"/>
      <c r="BQ170" s="92"/>
      <c r="BR170" s="92"/>
      <c r="BS170" s="92"/>
      <c r="BT170" s="92"/>
      <c r="BU170" s="92"/>
      <c r="BV170" s="92"/>
      <c r="BW170" s="92"/>
      <c r="BX170" s="92"/>
      <c r="BY170" s="92"/>
      <c r="BZ170" s="92"/>
    </row>
    <row r="171" spans="1:78" ht="12.9">
      <c r="A171" s="89"/>
      <c r="B171" s="89"/>
      <c r="C171" s="89"/>
      <c r="D171" s="89"/>
      <c r="E171" s="89"/>
      <c r="F171" s="89"/>
      <c r="G171" s="89"/>
      <c r="H171" s="105"/>
      <c r="I171" s="106"/>
      <c r="J171" s="106"/>
      <c r="K171" s="89"/>
      <c r="L171" s="89"/>
      <c r="M171" s="89"/>
      <c r="N171" s="107"/>
      <c r="O171" s="107"/>
      <c r="P171" s="89"/>
      <c r="Q171" s="89"/>
      <c r="R171" s="89"/>
      <c r="S171" s="89"/>
      <c r="T171" s="89"/>
      <c r="U171" s="89"/>
      <c r="V171" s="89"/>
      <c r="W171" s="89"/>
      <c r="X171" s="89"/>
      <c r="Y171" s="89"/>
      <c r="Z171" s="77"/>
      <c r="AA171" s="77"/>
      <c r="AB171" s="94"/>
      <c r="AC171" s="94"/>
      <c r="AD171" s="94"/>
      <c r="AE171" s="94"/>
      <c r="AF171" s="91"/>
      <c r="AG171" s="92"/>
      <c r="AH171" s="92"/>
      <c r="AI171" s="93"/>
      <c r="AJ171" s="94"/>
      <c r="AK171" s="92"/>
      <c r="AL171" s="94"/>
      <c r="AM171" s="94"/>
      <c r="AN171" s="94"/>
      <c r="AO171" s="94"/>
      <c r="AP171" s="94"/>
      <c r="AQ171" s="94"/>
      <c r="AR171" s="94"/>
      <c r="AS171" s="94"/>
      <c r="AT171" s="94"/>
      <c r="AU171" s="92"/>
      <c r="AV171" s="94"/>
      <c r="AW171" s="94"/>
      <c r="AX171" s="94"/>
      <c r="AY171" s="94"/>
      <c r="AZ171" s="94"/>
      <c r="BA171" s="94"/>
      <c r="BB171" s="94"/>
      <c r="BC171" s="94"/>
      <c r="BD171" s="94"/>
      <c r="BE171" s="94"/>
      <c r="BF171" s="94"/>
      <c r="BG171" s="94"/>
      <c r="BH171" s="94"/>
      <c r="BI171" s="94"/>
      <c r="BJ171" s="94"/>
      <c r="BK171" s="94"/>
      <c r="BL171" s="92"/>
      <c r="BM171" s="94"/>
      <c r="BN171" s="94"/>
      <c r="BO171" s="94"/>
      <c r="BP171" s="94"/>
      <c r="BQ171" s="92"/>
      <c r="BR171" s="92"/>
      <c r="BS171" s="92"/>
      <c r="BT171" s="92"/>
      <c r="BU171" s="92"/>
      <c r="BV171" s="92"/>
      <c r="BW171" s="92"/>
      <c r="BX171" s="92"/>
      <c r="BY171" s="92"/>
      <c r="BZ171" s="92"/>
    </row>
    <row r="172" spans="1:78" ht="12.9">
      <c r="A172" s="89"/>
      <c r="B172" s="89"/>
      <c r="C172" s="89"/>
      <c r="D172" s="89"/>
      <c r="E172" s="89"/>
      <c r="F172" s="89"/>
      <c r="G172" s="89"/>
      <c r="H172" s="105"/>
      <c r="I172" s="106"/>
      <c r="J172" s="106"/>
      <c r="K172" s="89"/>
      <c r="L172" s="89"/>
      <c r="M172" s="89"/>
      <c r="N172" s="107"/>
      <c r="O172" s="107"/>
      <c r="P172" s="89"/>
      <c r="Q172" s="89"/>
      <c r="R172" s="89"/>
      <c r="S172" s="89"/>
      <c r="T172" s="89"/>
      <c r="U172" s="89"/>
      <c r="V172" s="89"/>
      <c r="W172" s="89"/>
      <c r="X172" s="89"/>
      <c r="Y172" s="89"/>
      <c r="Z172" s="77"/>
      <c r="AA172" s="77"/>
      <c r="AB172" s="94"/>
      <c r="AC172" s="94"/>
      <c r="AD172" s="94"/>
      <c r="AE172" s="94"/>
      <c r="AF172" s="91"/>
      <c r="AG172" s="92"/>
      <c r="AH172" s="92"/>
      <c r="AI172" s="93"/>
      <c r="AJ172" s="94"/>
      <c r="AK172" s="92"/>
      <c r="AL172" s="94"/>
      <c r="AM172" s="94"/>
      <c r="AN172" s="94"/>
      <c r="AO172" s="94"/>
      <c r="AP172" s="94"/>
      <c r="AQ172" s="94"/>
      <c r="AR172" s="94"/>
      <c r="AS172" s="94"/>
      <c r="AT172" s="94"/>
      <c r="AU172" s="92"/>
      <c r="AV172" s="94"/>
      <c r="AW172" s="94"/>
      <c r="AX172" s="94"/>
      <c r="AY172" s="94"/>
      <c r="AZ172" s="94"/>
      <c r="BA172" s="94"/>
      <c r="BB172" s="94"/>
      <c r="BC172" s="94"/>
      <c r="BD172" s="94"/>
      <c r="BE172" s="94"/>
      <c r="BF172" s="94"/>
      <c r="BG172" s="94"/>
      <c r="BH172" s="94"/>
      <c r="BI172" s="94"/>
      <c r="BJ172" s="94"/>
      <c r="BK172" s="94"/>
      <c r="BL172" s="92"/>
      <c r="BM172" s="94"/>
      <c r="BN172" s="94"/>
      <c r="BO172" s="94"/>
      <c r="BP172" s="94"/>
      <c r="BQ172" s="92"/>
      <c r="BR172" s="92"/>
      <c r="BS172" s="92"/>
      <c r="BT172" s="92"/>
      <c r="BU172" s="92"/>
      <c r="BV172" s="92"/>
      <c r="BW172" s="92"/>
      <c r="BX172" s="92"/>
      <c r="BY172" s="92"/>
      <c r="BZ172" s="92"/>
    </row>
    <row r="173" spans="1:78" ht="12.9">
      <c r="A173" s="89"/>
      <c r="B173" s="89"/>
      <c r="C173" s="89"/>
      <c r="D173" s="89"/>
      <c r="E173" s="89"/>
      <c r="F173" s="89"/>
      <c r="G173" s="89"/>
      <c r="H173" s="105"/>
      <c r="I173" s="106"/>
      <c r="J173" s="106"/>
      <c r="K173" s="89"/>
      <c r="L173" s="89"/>
      <c r="M173" s="89"/>
      <c r="N173" s="107"/>
      <c r="O173" s="107"/>
      <c r="P173" s="89"/>
      <c r="Q173" s="89"/>
      <c r="R173" s="89"/>
      <c r="S173" s="89"/>
      <c r="T173" s="89"/>
      <c r="U173" s="89"/>
      <c r="V173" s="89"/>
      <c r="W173" s="89"/>
      <c r="X173" s="89"/>
      <c r="Y173" s="89"/>
      <c r="Z173" s="77"/>
      <c r="AA173" s="77"/>
      <c r="AB173" s="94"/>
      <c r="AC173" s="94"/>
      <c r="AD173" s="94"/>
      <c r="AE173" s="94"/>
      <c r="AF173" s="91"/>
      <c r="AG173" s="92"/>
      <c r="AH173" s="92"/>
      <c r="AI173" s="93"/>
      <c r="AJ173" s="94"/>
      <c r="AK173" s="92"/>
      <c r="AL173" s="94"/>
      <c r="AM173" s="94"/>
      <c r="AN173" s="94"/>
      <c r="AO173" s="94"/>
      <c r="AP173" s="94"/>
      <c r="AQ173" s="94"/>
      <c r="AR173" s="94"/>
      <c r="AS173" s="94"/>
      <c r="AT173" s="94"/>
      <c r="AU173" s="92"/>
      <c r="AV173" s="94"/>
      <c r="AW173" s="94"/>
      <c r="AX173" s="94"/>
      <c r="AY173" s="94"/>
      <c r="AZ173" s="94"/>
      <c r="BA173" s="94"/>
      <c r="BB173" s="94"/>
      <c r="BC173" s="94"/>
      <c r="BD173" s="94"/>
      <c r="BE173" s="94"/>
      <c r="BF173" s="94"/>
      <c r="BG173" s="94"/>
      <c r="BH173" s="94"/>
      <c r="BI173" s="94"/>
      <c r="BJ173" s="94"/>
      <c r="BK173" s="94"/>
      <c r="BL173" s="92"/>
      <c r="BM173" s="94"/>
      <c r="BN173" s="94"/>
      <c r="BO173" s="94"/>
      <c r="BP173" s="94"/>
      <c r="BQ173" s="92"/>
      <c r="BR173" s="92"/>
      <c r="BS173" s="92"/>
      <c r="BT173" s="92"/>
      <c r="BU173" s="92"/>
      <c r="BV173" s="92"/>
      <c r="BW173" s="92"/>
      <c r="BX173" s="92"/>
      <c r="BY173" s="92"/>
      <c r="BZ173" s="92"/>
    </row>
    <row r="174" spans="1:78" ht="12.9">
      <c r="A174" s="89"/>
      <c r="B174" s="89"/>
      <c r="C174" s="89"/>
      <c r="D174" s="89"/>
      <c r="E174" s="89"/>
      <c r="F174" s="89"/>
      <c r="G174" s="89"/>
      <c r="H174" s="105"/>
      <c r="I174" s="106"/>
      <c r="J174" s="106"/>
      <c r="K174" s="89"/>
      <c r="L174" s="89"/>
      <c r="M174" s="89"/>
      <c r="N174" s="107"/>
      <c r="O174" s="107"/>
      <c r="P174" s="89"/>
      <c r="Q174" s="89"/>
      <c r="R174" s="89"/>
      <c r="S174" s="89"/>
      <c r="T174" s="89"/>
      <c r="U174" s="89"/>
      <c r="V174" s="89"/>
      <c r="W174" s="89"/>
      <c r="X174" s="89"/>
      <c r="Y174" s="89"/>
      <c r="Z174" s="77"/>
      <c r="AA174" s="77"/>
      <c r="AB174" s="94"/>
      <c r="AC174" s="94"/>
      <c r="AD174" s="94"/>
      <c r="AE174" s="94"/>
      <c r="AF174" s="91"/>
      <c r="AG174" s="92"/>
      <c r="AH174" s="92"/>
      <c r="AI174" s="93"/>
      <c r="AJ174" s="94"/>
      <c r="AK174" s="92"/>
      <c r="AL174" s="94"/>
      <c r="AM174" s="94"/>
      <c r="AN174" s="94"/>
      <c r="AO174" s="94"/>
      <c r="AP174" s="94"/>
      <c r="AQ174" s="94"/>
      <c r="AR174" s="94"/>
      <c r="AS174" s="94"/>
      <c r="AT174" s="94"/>
      <c r="AU174" s="92"/>
      <c r="AV174" s="94"/>
      <c r="AW174" s="94"/>
      <c r="AX174" s="94"/>
      <c r="AY174" s="94"/>
      <c r="AZ174" s="94"/>
      <c r="BA174" s="94"/>
      <c r="BB174" s="94"/>
      <c r="BC174" s="94"/>
      <c r="BD174" s="94"/>
      <c r="BE174" s="94"/>
      <c r="BF174" s="94"/>
      <c r="BG174" s="94"/>
      <c r="BH174" s="94"/>
      <c r="BI174" s="94"/>
      <c r="BJ174" s="94"/>
      <c r="BK174" s="94"/>
      <c r="BL174" s="92"/>
      <c r="BM174" s="94"/>
      <c r="BN174" s="94"/>
      <c r="BO174" s="94"/>
      <c r="BP174" s="94"/>
      <c r="BQ174" s="92"/>
      <c r="BR174" s="92"/>
      <c r="BS174" s="92"/>
      <c r="BT174" s="92"/>
      <c r="BU174" s="92"/>
      <c r="BV174" s="92"/>
      <c r="BW174" s="92"/>
      <c r="BX174" s="92"/>
      <c r="BY174" s="92"/>
      <c r="BZ174" s="92"/>
    </row>
    <row r="175" spans="1:78" ht="12.9">
      <c r="A175" s="89"/>
      <c r="B175" s="89"/>
      <c r="C175" s="89"/>
      <c r="D175" s="89"/>
      <c r="E175" s="89"/>
      <c r="F175" s="89"/>
      <c r="G175" s="89"/>
      <c r="H175" s="105"/>
      <c r="I175" s="106"/>
      <c r="J175" s="106"/>
      <c r="K175" s="89"/>
      <c r="L175" s="89"/>
      <c r="M175" s="89"/>
      <c r="N175" s="107"/>
      <c r="O175" s="107"/>
      <c r="P175" s="89"/>
      <c r="Q175" s="89"/>
      <c r="R175" s="89"/>
      <c r="S175" s="89"/>
      <c r="T175" s="89"/>
      <c r="U175" s="89"/>
      <c r="V175" s="89"/>
      <c r="W175" s="89"/>
      <c r="X175" s="89"/>
      <c r="Y175" s="89"/>
      <c r="Z175" s="77"/>
      <c r="AA175" s="77"/>
      <c r="AB175" s="94"/>
      <c r="AC175" s="94"/>
      <c r="AD175" s="94"/>
      <c r="AE175" s="94"/>
      <c r="AF175" s="91"/>
      <c r="AG175" s="92"/>
      <c r="AH175" s="92"/>
      <c r="AI175" s="93"/>
      <c r="AJ175" s="94"/>
      <c r="AK175" s="92"/>
      <c r="AL175" s="94"/>
      <c r="AM175" s="94"/>
      <c r="AN175" s="94"/>
      <c r="AO175" s="94"/>
      <c r="AP175" s="94"/>
      <c r="AQ175" s="94"/>
      <c r="AR175" s="94"/>
      <c r="AS175" s="94"/>
      <c r="AT175" s="94"/>
      <c r="AU175" s="92"/>
      <c r="AV175" s="94"/>
      <c r="AW175" s="94"/>
      <c r="AX175" s="94"/>
      <c r="AY175" s="94"/>
      <c r="AZ175" s="94"/>
      <c r="BA175" s="94"/>
      <c r="BB175" s="94"/>
      <c r="BC175" s="94"/>
      <c r="BD175" s="94"/>
      <c r="BE175" s="94"/>
      <c r="BF175" s="94"/>
      <c r="BG175" s="94"/>
      <c r="BH175" s="94"/>
      <c r="BI175" s="94"/>
      <c r="BJ175" s="94"/>
      <c r="BK175" s="94"/>
      <c r="BL175" s="92"/>
      <c r="BM175" s="94"/>
      <c r="BN175" s="94"/>
      <c r="BO175" s="94"/>
      <c r="BP175" s="94"/>
      <c r="BQ175" s="92"/>
      <c r="BR175" s="92"/>
      <c r="BS175" s="92"/>
      <c r="BT175" s="92"/>
      <c r="BU175" s="92"/>
      <c r="BV175" s="92"/>
      <c r="BW175" s="92"/>
      <c r="BX175" s="92"/>
      <c r="BY175" s="92"/>
      <c r="BZ175" s="92"/>
    </row>
    <row r="176" spans="1:78" ht="12.9">
      <c r="A176" s="89"/>
      <c r="B176" s="89"/>
      <c r="C176" s="89"/>
      <c r="D176" s="89"/>
      <c r="E176" s="89"/>
      <c r="F176" s="89"/>
      <c r="G176" s="89"/>
      <c r="H176" s="105"/>
      <c r="I176" s="106"/>
      <c r="J176" s="106"/>
      <c r="K176" s="89"/>
      <c r="L176" s="89"/>
      <c r="M176" s="89"/>
      <c r="N176" s="107"/>
      <c r="O176" s="107"/>
      <c r="P176" s="89"/>
      <c r="Q176" s="89"/>
      <c r="R176" s="89"/>
      <c r="S176" s="89"/>
      <c r="T176" s="89"/>
      <c r="U176" s="89"/>
      <c r="V176" s="89"/>
      <c r="W176" s="89"/>
      <c r="X176" s="89"/>
      <c r="Y176" s="89"/>
      <c r="Z176" s="77"/>
      <c r="AA176" s="77"/>
      <c r="AB176" s="94"/>
      <c r="AC176" s="94"/>
      <c r="AD176" s="94"/>
      <c r="AE176" s="94"/>
      <c r="AF176" s="91"/>
      <c r="AG176" s="92"/>
      <c r="AH176" s="92"/>
      <c r="AI176" s="93"/>
      <c r="AJ176" s="94"/>
      <c r="AK176" s="92"/>
      <c r="AL176" s="94"/>
      <c r="AM176" s="94"/>
      <c r="AN176" s="94"/>
      <c r="AO176" s="94"/>
      <c r="AP176" s="94"/>
      <c r="AQ176" s="94"/>
      <c r="AR176" s="94"/>
      <c r="AS176" s="94"/>
      <c r="AT176" s="94"/>
      <c r="AU176" s="92"/>
      <c r="AV176" s="94"/>
      <c r="AW176" s="94"/>
      <c r="AX176" s="94"/>
      <c r="AY176" s="94"/>
      <c r="AZ176" s="94"/>
      <c r="BA176" s="94"/>
      <c r="BB176" s="94"/>
      <c r="BC176" s="94"/>
      <c r="BD176" s="94"/>
      <c r="BE176" s="94"/>
      <c r="BF176" s="94"/>
      <c r="BG176" s="94"/>
      <c r="BH176" s="94"/>
      <c r="BI176" s="94"/>
      <c r="BJ176" s="94"/>
      <c r="BK176" s="94"/>
      <c r="BL176" s="92"/>
      <c r="BM176" s="94"/>
      <c r="BN176" s="94"/>
      <c r="BO176" s="94"/>
      <c r="BP176" s="94"/>
      <c r="BQ176" s="92"/>
      <c r="BR176" s="92"/>
      <c r="BS176" s="92"/>
      <c r="BT176" s="92"/>
      <c r="BU176" s="92"/>
      <c r="BV176" s="92"/>
      <c r="BW176" s="92"/>
      <c r="BX176" s="92"/>
      <c r="BY176" s="92"/>
      <c r="BZ176" s="92"/>
    </row>
    <row r="177" spans="1:78" ht="12.9">
      <c r="A177" s="89"/>
      <c r="B177" s="89"/>
      <c r="C177" s="89"/>
      <c r="D177" s="89"/>
      <c r="E177" s="89"/>
      <c r="F177" s="89"/>
      <c r="G177" s="89"/>
      <c r="H177" s="105"/>
      <c r="I177" s="106"/>
      <c r="J177" s="106"/>
      <c r="K177" s="89"/>
      <c r="L177" s="89"/>
      <c r="M177" s="89"/>
      <c r="N177" s="107"/>
      <c r="O177" s="107"/>
      <c r="P177" s="89"/>
      <c r="Q177" s="89"/>
      <c r="R177" s="89"/>
      <c r="S177" s="89"/>
      <c r="T177" s="89"/>
      <c r="U177" s="89"/>
      <c r="V177" s="89"/>
      <c r="W177" s="89"/>
      <c r="X177" s="89"/>
      <c r="Y177" s="89"/>
      <c r="Z177" s="77"/>
      <c r="AA177" s="77"/>
      <c r="AB177" s="94"/>
      <c r="AC177" s="94"/>
      <c r="AD177" s="94"/>
      <c r="AE177" s="94"/>
      <c r="AF177" s="91"/>
      <c r="AG177" s="92"/>
      <c r="AH177" s="92"/>
      <c r="AI177" s="93"/>
      <c r="AJ177" s="94"/>
      <c r="AK177" s="92"/>
      <c r="AL177" s="94"/>
      <c r="AM177" s="94"/>
      <c r="AN177" s="94"/>
      <c r="AO177" s="94"/>
      <c r="AP177" s="94"/>
      <c r="AQ177" s="94"/>
      <c r="AR177" s="94"/>
      <c r="AS177" s="94"/>
      <c r="AT177" s="94"/>
      <c r="AU177" s="92"/>
      <c r="AV177" s="94"/>
      <c r="AW177" s="94"/>
      <c r="AX177" s="94"/>
      <c r="AY177" s="94"/>
      <c r="AZ177" s="94"/>
      <c r="BA177" s="94"/>
      <c r="BB177" s="94"/>
      <c r="BC177" s="94"/>
      <c r="BD177" s="94"/>
      <c r="BE177" s="94"/>
      <c r="BF177" s="94"/>
      <c r="BG177" s="94"/>
      <c r="BH177" s="94"/>
      <c r="BI177" s="94"/>
      <c r="BJ177" s="94"/>
      <c r="BK177" s="94"/>
      <c r="BL177" s="92"/>
      <c r="BM177" s="94"/>
      <c r="BN177" s="94"/>
      <c r="BO177" s="94"/>
      <c r="BP177" s="94"/>
      <c r="BQ177" s="92"/>
      <c r="BR177" s="92"/>
      <c r="BS177" s="92"/>
      <c r="BT177" s="92"/>
      <c r="BU177" s="92"/>
      <c r="BV177" s="92"/>
      <c r="BW177" s="92"/>
      <c r="BX177" s="92"/>
      <c r="BY177" s="92"/>
      <c r="BZ177" s="92"/>
    </row>
    <row r="178" spans="1:78" ht="12.9">
      <c r="A178" s="89"/>
      <c r="B178" s="89"/>
      <c r="C178" s="89"/>
      <c r="D178" s="89"/>
      <c r="E178" s="89"/>
      <c r="F178" s="89"/>
      <c r="G178" s="89"/>
      <c r="H178" s="105"/>
      <c r="I178" s="106"/>
      <c r="J178" s="106"/>
      <c r="K178" s="89"/>
      <c r="L178" s="89"/>
      <c r="M178" s="89"/>
      <c r="N178" s="107"/>
      <c r="O178" s="107"/>
      <c r="P178" s="89"/>
      <c r="Q178" s="89"/>
      <c r="R178" s="89"/>
      <c r="S178" s="89"/>
      <c r="T178" s="89"/>
      <c r="U178" s="89"/>
      <c r="V178" s="89"/>
      <c r="W178" s="89"/>
      <c r="X178" s="89"/>
      <c r="Y178" s="89"/>
      <c r="Z178" s="77"/>
      <c r="AA178" s="77"/>
      <c r="AB178" s="94"/>
      <c r="AC178" s="94"/>
      <c r="AD178" s="94"/>
      <c r="AE178" s="94"/>
      <c r="AF178" s="91"/>
      <c r="AG178" s="92"/>
      <c r="AH178" s="92"/>
      <c r="AI178" s="93"/>
      <c r="AJ178" s="94"/>
      <c r="AK178" s="92"/>
      <c r="AL178" s="94"/>
      <c r="AM178" s="94"/>
      <c r="AN178" s="94"/>
      <c r="AO178" s="94"/>
      <c r="AP178" s="94"/>
      <c r="AQ178" s="94"/>
      <c r="AR178" s="94"/>
      <c r="AS178" s="94"/>
      <c r="AT178" s="94"/>
      <c r="AU178" s="92"/>
      <c r="AV178" s="94"/>
      <c r="AW178" s="94"/>
      <c r="AX178" s="94"/>
      <c r="AY178" s="94"/>
      <c r="AZ178" s="94"/>
      <c r="BA178" s="94"/>
      <c r="BB178" s="94"/>
      <c r="BC178" s="94"/>
      <c r="BD178" s="94"/>
      <c r="BE178" s="94"/>
      <c r="BF178" s="94"/>
      <c r="BG178" s="94"/>
      <c r="BH178" s="94"/>
      <c r="BI178" s="94"/>
      <c r="BJ178" s="94"/>
      <c r="BK178" s="94"/>
      <c r="BL178" s="92"/>
      <c r="BM178" s="94"/>
      <c r="BN178" s="94"/>
      <c r="BO178" s="94"/>
      <c r="BP178" s="94"/>
      <c r="BQ178" s="92"/>
      <c r="BR178" s="92"/>
      <c r="BS178" s="92"/>
      <c r="BT178" s="92"/>
      <c r="BU178" s="92"/>
      <c r="BV178" s="92"/>
      <c r="BW178" s="92"/>
      <c r="BX178" s="92"/>
      <c r="BY178" s="92"/>
      <c r="BZ178" s="92"/>
    </row>
    <row r="179" spans="1:78" ht="12.9">
      <c r="A179" s="89"/>
      <c r="B179" s="89"/>
      <c r="C179" s="89"/>
      <c r="D179" s="89"/>
      <c r="E179" s="89"/>
      <c r="F179" s="89"/>
      <c r="G179" s="89"/>
      <c r="H179" s="105"/>
      <c r="I179" s="106"/>
      <c r="J179" s="106"/>
      <c r="K179" s="89"/>
      <c r="L179" s="89"/>
      <c r="M179" s="89"/>
      <c r="N179" s="107"/>
      <c r="O179" s="107"/>
      <c r="P179" s="89"/>
      <c r="Q179" s="89"/>
      <c r="R179" s="89"/>
      <c r="S179" s="89"/>
      <c r="T179" s="89"/>
      <c r="U179" s="89"/>
      <c r="V179" s="89"/>
      <c r="W179" s="89"/>
      <c r="X179" s="89"/>
      <c r="Y179" s="89"/>
      <c r="Z179" s="77"/>
      <c r="AA179" s="77"/>
      <c r="AB179" s="94"/>
      <c r="AC179" s="94"/>
      <c r="AD179" s="94"/>
      <c r="AE179" s="94"/>
      <c r="AF179" s="91"/>
      <c r="AG179" s="92"/>
      <c r="AH179" s="92"/>
      <c r="AI179" s="93"/>
      <c r="AJ179" s="94"/>
      <c r="AK179" s="92"/>
      <c r="AL179" s="94"/>
      <c r="AM179" s="94"/>
      <c r="AN179" s="94"/>
      <c r="AO179" s="94"/>
      <c r="AP179" s="94"/>
      <c r="AQ179" s="94"/>
      <c r="AR179" s="94"/>
      <c r="AS179" s="94"/>
      <c r="AT179" s="94"/>
      <c r="AU179" s="92"/>
      <c r="AV179" s="94"/>
      <c r="AW179" s="94"/>
      <c r="AX179" s="94"/>
      <c r="AY179" s="94"/>
      <c r="AZ179" s="94"/>
      <c r="BA179" s="94"/>
      <c r="BB179" s="94"/>
      <c r="BC179" s="94"/>
      <c r="BD179" s="94"/>
      <c r="BE179" s="94"/>
      <c r="BF179" s="94"/>
      <c r="BG179" s="94"/>
      <c r="BH179" s="94"/>
      <c r="BI179" s="94"/>
      <c r="BJ179" s="94"/>
      <c r="BK179" s="94"/>
      <c r="BL179" s="92"/>
      <c r="BM179" s="94"/>
      <c r="BN179" s="94"/>
      <c r="BO179" s="94"/>
      <c r="BP179" s="94"/>
      <c r="BQ179" s="92"/>
      <c r="BR179" s="92"/>
      <c r="BS179" s="92"/>
      <c r="BT179" s="92"/>
      <c r="BU179" s="92"/>
      <c r="BV179" s="92"/>
      <c r="BW179" s="92"/>
      <c r="BX179" s="92"/>
      <c r="BY179" s="92"/>
      <c r="BZ179" s="92"/>
    </row>
    <row r="180" spans="1:78" ht="12.9">
      <c r="A180" s="89"/>
      <c r="B180" s="89"/>
      <c r="C180" s="89"/>
      <c r="D180" s="89"/>
      <c r="E180" s="89"/>
      <c r="F180" s="89"/>
      <c r="G180" s="89"/>
      <c r="H180" s="105"/>
      <c r="I180" s="106"/>
      <c r="J180" s="106"/>
      <c r="K180" s="89"/>
      <c r="L180" s="89"/>
      <c r="M180" s="89"/>
      <c r="N180" s="107"/>
      <c r="O180" s="107"/>
      <c r="P180" s="89"/>
      <c r="Q180" s="89"/>
      <c r="R180" s="89"/>
      <c r="S180" s="89"/>
      <c r="T180" s="89"/>
      <c r="U180" s="89"/>
      <c r="V180" s="89"/>
      <c r="W180" s="89"/>
      <c r="X180" s="89"/>
      <c r="Y180" s="89"/>
      <c r="Z180" s="77"/>
      <c r="AA180" s="77"/>
      <c r="AB180" s="94"/>
      <c r="AC180" s="94"/>
      <c r="AD180" s="94"/>
      <c r="AE180" s="94"/>
      <c r="AF180" s="91"/>
      <c r="AG180" s="92"/>
      <c r="AH180" s="92"/>
      <c r="AI180" s="93"/>
      <c r="AJ180" s="94"/>
      <c r="AK180" s="92"/>
      <c r="AL180" s="94"/>
      <c r="AM180" s="94"/>
      <c r="AN180" s="94"/>
      <c r="AO180" s="94"/>
      <c r="AP180" s="94"/>
      <c r="AQ180" s="94"/>
      <c r="AR180" s="94"/>
      <c r="AS180" s="94"/>
      <c r="AT180" s="94"/>
      <c r="AU180" s="92"/>
      <c r="AV180" s="94"/>
      <c r="AW180" s="94"/>
      <c r="AX180" s="94"/>
      <c r="AY180" s="94"/>
      <c r="AZ180" s="94"/>
      <c r="BA180" s="94"/>
      <c r="BB180" s="94"/>
      <c r="BC180" s="94"/>
      <c r="BD180" s="94"/>
      <c r="BE180" s="94"/>
      <c r="BF180" s="94"/>
      <c r="BG180" s="94"/>
      <c r="BH180" s="94"/>
      <c r="BI180" s="94"/>
      <c r="BJ180" s="94"/>
      <c r="BK180" s="94"/>
      <c r="BL180" s="92"/>
      <c r="BM180" s="94"/>
      <c r="BN180" s="94"/>
      <c r="BO180" s="94"/>
      <c r="BP180" s="94"/>
      <c r="BQ180" s="92"/>
      <c r="BR180" s="92"/>
      <c r="BS180" s="92"/>
      <c r="BT180" s="92"/>
      <c r="BU180" s="92"/>
      <c r="BV180" s="92"/>
      <c r="BW180" s="92"/>
      <c r="BX180" s="92"/>
      <c r="BY180" s="92"/>
      <c r="BZ180" s="92"/>
    </row>
    <row r="181" spans="1:78" ht="12.9">
      <c r="A181" s="89"/>
      <c r="B181" s="89"/>
      <c r="C181" s="89"/>
      <c r="D181" s="89"/>
      <c r="E181" s="89"/>
      <c r="F181" s="89"/>
      <c r="G181" s="89"/>
      <c r="H181" s="105"/>
      <c r="I181" s="106"/>
      <c r="J181" s="106"/>
      <c r="K181" s="89"/>
      <c r="L181" s="89"/>
      <c r="M181" s="89"/>
      <c r="N181" s="107"/>
      <c r="O181" s="107"/>
      <c r="P181" s="89"/>
      <c r="Q181" s="89"/>
      <c r="R181" s="89"/>
      <c r="S181" s="89"/>
      <c r="T181" s="89"/>
      <c r="U181" s="89"/>
      <c r="V181" s="89"/>
      <c r="W181" s="89"/>
      <c r="X181" s="89"/>
      <c r="Y181" s="89"/>
      <c r="Z181" s="77"/>
      <c r="AA181" s="77"/>
      <c r="AB181" s="94"/>
      <c r="AC181" s="94"/>
      <c r="AD181" s="94"/>
      <c r="AE181" s="94"/>
      <c r="AF181" s="91"/>
      <c r="AG181" s="92"/>
      <c r="AH181" s="92"/>
      <c r="AI181" s="93"/>
      <c r="AJ181" s="94"/>
      <c r="AK181" s="92"/>
      <c r="AL181" s="94"/>
      <c r="AM181" s="94"/>
      <c r="AN181" s="94"/>
      <c r="AO181" s="94"/>
      <c r="AP181" s="94"/>
      <c r="AQ181" s="94"/>
      <c r="AR181" s="94"/>
      <c r="AS181" s="94"/>
      <c r="AT181" s="94"/>
      <c r="AU181" s="92"/>
      <c r="AV181" s="94"/>
      <c r="AW181" s="94"/>
      <c r="AX181" s="94"/>
      <c r="AY181" s="94"/>
      <c r="AZ181" s="94"/>
      <c r="BA181" s="94"/>
      <c r="BB181" s="94"/>
      <c r="BC181" s="94"/>
      <c r="BD181" s="94"/>
      <c r="BE181" s="94"/>
      <c r="BF181" s="94"/>
      <c r="BG181" s="94"/>
      <c r="BH181" s="94"/>
      <c r="BI181" s="94"/>
      <c r="BJ181" s="94"/>
      <c r="BK181" s="94"/>
      <c r="BL181" s="92"/>
      <c r="BM181" s="94"/>
      <c r="BN181" s="94"/>
      <c r="BO181" s="94"/>
      <c r="BP181" s="94"/>
      <c r="BQ181" s="92"/>
      <c r="BR181" s="92"/>
      <c r="BS181" s="92"/>
      <c r="BT181" s="92"/>
      <c r="BU181" s="92"/>
      <c r="BV181" s="92"/>
      <c r="BW181" s="92"/>
      <c r="BX181" s="92"/>
      <c r="BY181" s="92"/>
      <c r="BZ181" s="92"/>
    </row>
    <row r="182" spans="1:78" ht="12.9">
      <c r="A182" s="89"/>
      <c r="B182" s="89"/>
      <c r="C182" s="89"/>
      <c r="D182" s="89"/>
      <c r="E182" s="89"/>
      <c r="F182" s="89"/>
      <c r="G182" s="89"/>
      <c r="H182" s="105"/>
      <c r="I182" s="106"/>
      <c r="J182" s="106"/>
      <c r="K182" s="89"/>
      <c r="L182" s="89"/>
      <c r="M182" s="89"/>
      <c r="N182" s="107"/>
      <c r="O182" s="107"/>
      <c r="P182" s="89"/>
      <c r="Q182" s="89"/>
      <c r="R182" s="89"/>
      <c r="S182" s="89"/>
      <c r="T182" s="89"/>
      <c r="U182" s="89"/>
      <c r="V182" s="89"/>
      <c r="W182" s="89"/>
      <c r="X182" s="89"/>
      <c r="Y182" s="89"/>
      <c r="Z182" s="77"/>
      <c r="AA182" s="77"/>
      <c r="AB182" s="94"/>
      <c r="AC182" s="94"/>
      <c r="AD182" s="94"/>
      <c r="AE182" s="94"/>
      <c r="AF182" s="91"/>
      <c r="AG182" s="92"/>
      <c r="AH182" s="92"/>
      <c r="AI182" s="93"/>
      <c r="AJ182" s="94"/>
      <c r="AK182" s="92"/>
      <c r="AL182" s="94"/>
      <c r="AM182" s="94"/>
      <c r="AN182" s="94"/>
      <c r="AO182" s="94"/>
      <c r="AP182" s="94"/>
      <c r="AQ182" s="94"/>
      <c r="AR182" s="94"/>
      <c r="AS182" s="94"/>
      <c r="AT182" s="94"/>
      <c r="AU182" s="92"/>
      <c r="AV182" s="94"/>
      <c r="AW182" s="94"/>
      <c r="AX182" s="94"/>
      <c r="AY182" s="94"/>
      <c r="AZ182" s="94"/>
      <c r="BA182" s="94"/>
      <c r="BB182" s="94"/>
      <c r="BC182" s="94"/>
      <c r="BD182" s="94"/>
      <c r="BE182" s="94"/>
      <c r="BF182" s="94"/>
      <c r="BG182" s="94"/>
      <c r="BH182" s="94"/>
      <c r="BI182" s="94"/>
      <c r="BJ182" s="94"/>
      <c r="BK182" s="94"/>
      <c r="BL182" s="92"/>
      <c r="BM182" s="94"/>
      <c r="BN182" s="94"/>
      <c r="BO182" s="94"/>
      <c r="BP182" s="94"/>
      <c r="BQ182" s="92"/>
      <c r="BR182" s="92"/>
      <c r="BS182" s="92"/>
      <c r="BT182" s="92"/>
      <c r="BU182" s="92"/>
      <c r="BV182" s="92"/>
      <c r="BW182" s="92"/>
      <c r="BX182" s="92"/>
      <c r="BY182" s="92"/>
      <c r="BZ182" s="92"/>
    </row>
    <row r="183" spans="1:78" ht="12.9">
      <c r="A183" s="89"/>
      <c r="B183" s="89"/>
      <c r="C183" s="89"/>
      <c r="D183" s="89"/>
      <c r="E183" s="89"/>
      <c r="F183" s="89"/>
      <c r="G183" s="89"/>
      <c r="H183" s="105"/>
      <c r="I183" s="106"/>
      <c r="J183" s="106"/>
      <c r="K183" s="89"/>
      <c r="L183" s="89"/>
      <c r="M183" s="89"/>
      <c r="N183" s="107"/>
      <c r="O183" s="107"/>
      <c r="P183" s="89"/>
      <c r="Q183" s="89"/>
      <c r="R183" s="89"/>
      <c r="S183" s="89"/>
      <c r="T183" s="89"/>
      <c r="U183" s="89"/>
      <c r="V183" s="89"/>
      <c r="W183" s="89"/>
      <c r="X183" s="89"/>
      <c r="Y183" s="89"/>
      <c r="Z183" s="77"/>
      <c r="AA183" s="77"/>
      <c r="AB183" s="94"/>
      <c r="AC183" s="94"/>
      <c r="AD183" s="94"/>
      <c r="AE183" s="94"/>
      <c r="AF183" s="91"/>
      <c r="AG183" s="92"/>
      <c r="AH183" s="92"/>
      <c r="AI183" s="93"/>
      <c r="AJ183" s="94"/>
      <c r="AK183" s="92"/>
      <c r="AL183" s="94"/>
      <c r="AM183" s="94"/>
      <c r="AN183" s="94"/>
      <c r="AO183" s="94"/>
      <c r="AP183" s="94"/>
      <c r="AQ183" s="94"/>
      <c r="AR183" s="94"/>
      <c r="AS183" s="94"/>
      <c r="AT183" s="94"/>
      <c r="AU183" s="92"/>
      <c r="AV183" s="94"/>
      <c r="AW183" s="94"/>
      <c r="AX183" s="94"/>
      <c r="AY183" s="94"/>
      <c r="AZ183" s="94"/>
      <c r="BA183" s="94"/>
      <c r="BB183" s="94"/>
      <c r="BC183" s="94"/>
      <c r="BD183" s="94"/>
      <c r="BE183" s="94"/>
      <c r="BF183" s="94"/>
      <c r="BG183" s="94"/>
      <c r="BH183" s="94"/>
      <c r="BI183" s="94"/>
      <c r="BJ183" s="94"/>
      <c r="BK183" s="94"/>
      <c r="BL183" s="92"/>
      <c r="BM183" s="94"/>
      <c r="BN183" s="94"/>
      <c r="BO183" s="94"/>
      <c r="BP183" s="94"/>
      <c r="BQ183" s="92"/>
      <c r="BR183" s="92"/>
      <c r="BS183" s="92"/>
      <c r="BT183" s="92"/>
      <c r="BU183" s="92"/>
      <c r="BV183" s="92"/>
      <c r="BW183" s="92"/>
      <c r="BX183" s="92"/>
      <c r="BY183" s="92"/>
      <c r="BZ183" s="92"/>
    </row>
    <row r="184" spans="1:78" ht="12.9">
      <c r="A184" s="89"/>
      <c r="B184" s="89"/>
      <c r="C184" s="89"/>
      <c r="D184" s="89"/>
      <c r="E184" s="89"/>
      <c r="F184" s="89"/>
      <c r="G184" s="89"/>
      <c r="H184" s="105"/>
      <c r="I184" s="106"/>
      <c r="J184" s="106"/>
      <c r="K184" s="89"/>
      <c r="L184" s="89"/>
      <c r="M184" s="89"/>
      <c r="N184" s="107"/>
      <c r="O184" s="107"/>
      <c r="P184" s="89"/>
      <c r="Q184" s="89"/>
      <c r="R184" s="89"/>
      <c r="S184" s="89"/>
      <c r="T184" s="89"/>
      <c r="U184" s="89"/>
      <c r="V184" s="89"/>
      <c r="W184" s="89"/>
      <c r="X184" s="89"/>
      <c r="Y184" s="89"/>
      <c r="Z184" s="77"/>
      <c r="AA184" s="77"/>
      <c r="AB184" s="94"/>
      <c r="AC184" s="94"/>
      <c r="AD184" s="94"/>
      <c r="AE184" s="94"/>
      <c r="AF184" s="91"/>
      <c r="AG184" s="92"/>
      <c r="AH184" s="92"/>
      <c r="AI184" s="93"/>
      <c r="AJ184" s="94"/>
      <c r="AK184" s="92"/>
      <c r="AL184" s="94"/>
      <c r="AM184" s="94"/>
      <c r="AN184" s="94"/>
      <c r="AO184" s="94"/>
      <c r="AP184" s="94"/>
      <c r="AQ184" s="94"/>
      <c r="AR184" s="94"/>
      <c r="AS184" s="94"/>
      <c r="AT184" s="94"/>
      <c r="AU184" s="92"/>
      <c r="AV184" s="94"/>
      <c r="AW184" s="94"/>
      <c r="AX184" s="94"/>
      <c r="AY184" s="94"/>
      <c r="AZ184" s="94"/>
      <c r="BA184" s="94"/>
      <c r="BB184" s="94"/>
      <c r="BC184" s="94"/>
      <c r="BD184" s="94"/>
      <c r="BE184" s="94"/>
      <c r="BF184" s="94"/>
      <c r="BG184" s="94"/>
      <c r="BH184" s="94"/>
      <c r="BI184" s="94"/>
      <c r="BJ184" s="94"/>
      <c r="BK184" s="94"/>
      <c r="BL184" s="92"/>
      <c r="BM184" s="94"/>
      <c r="BN184" s="94"/>
      <c r="BO184" s="94"/>
      <c r="BP184" s="94"/>
      <c r="BQ184" s="92"/>
      <c r="BR184" s="92"/>
      <c r="BS184" s="92"/>
      <c r="BT184" s="92"/>
      <c r="BU184" s="92"/>
      <c r="BV184" s="92"/>
      <c r="BW184" s="92"/>
      <c r="BX184" s="92"/>
      <c r="BY184" s="92"/>
      <c r="BZ184" s="92"/>
    </row>
    <row r="185" spans="1:78" ht="12.9">
      <c r="A185" s="89"/>
      <c r="B185" s="89"/>
      <c r="C185" s="89"/>
      <c r="D185" s="89"/>
      <c r="E185" s="89"/>
      <c r="F185" s="89"/>
      <c r="G185" s="89"/>
      <c r="H185" s="105"/>
      <c r="I185" s="106"/>
      <c r="J185" s="106"/>
      <c r="K185" s="89"/>
      <c r="L185" s="89"/>
      <c r="M185" s="89"/>
      <c r="N185" s="107"/>
      <c r="O185" s="107"/>
      <c r="P185" s="89"/>
      <c r="Q185" s="89"/>
      <c r="R185" s="89"/>
      <c r="S185" s="89"/>
      <c r="T185" s="89"/>
      <c r="U185" s="89"/>
      <c r="V185" s="89"/>
      <c r="W185" s="89"/>
      <c r="X185" s="89"/>
      <c r="Y185" s="89"/>
      <c r="Z185" s="77"/>
      <c r="AA185" s="77"/>
      <c r="AB185" s="94"/>
      <c r="AC185" s="94"/>
      <c r="AD185" s="94"/>
      <c r="AE185" s="94"/>
      <c r="AF185" s="91"/>
      <c r="AG185" s="92"/>
      <c r="AH185" s="92"/>
      <c r="AI185" s="93"/>
      <c r="AJ185" s="94"/>
      <c r="AK185" s="92"/>
      <c r="AL185" s="94"/>
      <c r="AM185" s="94"/>
      <c r="AN185" s="94"/>
      <c r="AO185" s="94"/>
      <c r="AP185" s="94"/>
      <c r="AQ185" s="94"/>
      <c r="AR185" s="94"/>
      <c r="AS185" s="94"/>
      <c r="AT185" s="94"/>
      <c r="AU185" s="92"/>
      <c r="AV185" s="94"/>
      <c r="AW185" s="94"/>
      <c r="AX185" s="94"/>
      <c r="AY185" s="94"/>
      <c r="AZ185" s="94"/>
      <c r="BA185" s="94"/>
      <c r="BB185" s="94"/>
      <c r="BC185" s="94"/>
      <c r="BD185" s="94"/>
      <c r="BE185" s="94"/>
      <c r="BF185" s="94"/>
      <c r="BG185" s="94"/>
      <c r="BH185" s="94"/>
      <c r="BI185" s="94"/>
      <c r="BJ185" s="94"/>
      <c r="BK185" s="94"/>
      <c r="BL185" s="92"/>
      <c r="BM185" s="94"/>
      <c r="BN185" s="94"/>
      <c r="BO185" s="94"/>
      <c r="BP185" s="94"/>
      <c r="BQ185" s="92"/>
      <c r="BR185" s="92"/>
      <c r="BS185" s="92"/>
      <c r="BT185" s="92"/>
      <c r="BU185" s="92"/>
      <c r="BV185" s="92"/>
      <c r="BW185" s="92"/>
      <c r="BX185" s="92"/>
      <c r="BY185" s="92"/>
      <c r="BZ185" s="92"/>
    </row>
    <row r="186" spans="1:78" ht="12.9">
      <c r="A186" s="89"/>
      <c r="B186" s="89"/>
      <c r="C186" s="89"/>
      <c r="D186" s="89"/>
      <c r="E186" s="89"/>
      <c r="F186" s="89"/>
      <c r="G186" s="89"/>
      <c r="H186" s="105"/>
      <c r="I186" s="106"/>
      <c r="J186" s="106"/>
      <c r="K186" s="89"/>
      <c r="L186" s="89"/>
      <c r="M186" s="89"/>
      <c r="N186" s="107"/>
      <c r="O186" s="107"/>
      <c r="P186" s="89"/>
      <c r="Q186" s="89"/>
      <c r="R186" s="89"/>
      <c r="S186" s="89"/>
      <c r="T186" s="89"/>
      <c r="U186" s="89"/>
      <c r="V186" s="89"/>
      <c r="W186" s="89"/>
      <c r="X186" s="89"/>
      <c r="Y186" s="89"/>
      <c r="Z186" s="77"/>
      <c r="AA186" s="77"/>
      <c r="AB186" s="94"/>
      <c r="AC186" s="94"/>
      <c r="AD186" s="94"/>
      <c r="AE186" s="94"/>
      <c r="AF186" s="91"/>
      <c r="AG186" s="92"/>
      <c r="AH186" s="92"/>
      <c r="AI186" s="93"/>
      <c r="AJ186" s="94"/>
      <c r="AK186" s="92"/>
      <c r="AL186" s="94"/>
      <c r="AM186" s="94"/>
      <c r="AN186" s="94"/>
      <c r="AO186" s="94"/>
      <c r="AP186" s="94"/>
      <c r="AQ186" s="94"/>
      <c r="AR186" s="94"/>
      <c r="AS186" s="94"/>
      <c r="AT186" s="94"/>
      <c r="AU186" s="92"/>
      <c r="AV186" s="94"/>
      <c r="AW186" s="94"/>
      <c r="AX186" s="94"/>
      <c r="AY186" s="94"/>
      <c r="AZ186" s="94"/>
      <c r="BA186" s="94"/>
      <c r="BB186" s="94"/>
      <c r="BC186" s="94"/>
      <c r="BD186" s="94"/>
      <c r="BE186" s="94"/>
      <c r="BF186" s="94"/>
      <c r="BG186" s="94"/>
      <c r="BH186" s="94"/>
      <c r="BI186" s="94"/>
      <c r="BJ186" s="94"/>
      <c r="BK186" s="94"/>
      <c r="BL186" s="92"/>
      <c r="BM186" s="94"/>
      <c r="BN186" s="94"/>
      <c r="BO186" s="94"/>
      <c r="BP186" s="94"/>
      <c r="BQ186" s="92"/>
      <c r="BR186" s="92"/>
      <c r="BS186" s="92"/>
      <c r="BT186" s="92"/>
      <c r="BU186" s="92"/>
      <c r="BV186" s="92"/>
      <c r="BW186" s="92"/>
      <c r="BX186" s="92"/>
      <c r="BY186" s="92"/>
      <c r="BZ186" s="92"/>
    </row>
    <row r="187" spans="1:78" ht="12.9">
      <c r="A187" s="89"/>
      <c r="B187" s="89"/>
      <c r="C187" s="89"/>
      <c r="D187" s="89"/>
      <c r="E187" s="89"/>
      <c r="F187" s="89"/>
      <c r="G187" s="89"/>
      <c r="H187" s="105"/>
      <c r="I187" s="106"/>
      <c r="J187" s="106"/>
      <c r="K187" s="89"/>
      <c r="L187" s="89"/>
      <c r="M187" s="89"/>
      <c r="N187" s="107"/>
      <c r="O187" s="107"/>
      <c r="P187" s="89"/>
      <c r="Q187" s="89"/>
      <c r="R187" s="89"/>
      <c r="S187" s="89"/>
      <c r="T187" s="89"/>
      <c r="U187" s="89"/>
      <c r="V187" s="89"/>
      <c r="W187" s="89"/>
      <c r="X187" s="89"/>
      <c r="Y187" s="89"/>
      <c r="Z187" s="77"/>
      <c r="AA187" s="77"/>
      <c r="AB187" s="94"/>
      <c r="AC187" s="94"/>
      <c r="AD187" s="94"/>
      <c r="AE187" s="94"/>
      <c r="AF187" s="91"/>
      <c r="AG187" s="92"/>
      <c r="AH187" s="92"/>
      <c r="AI187" s="93"/>
      <c r="AJ187" s="94"/>
      <c r="AK187" s="92"/>
      <c r="AL187" s="94"/>
      <c r="AM187" s="94"/>
      <c r="AN187" s="94"/>
      <c r="AO187" s="94"/>
      <c r="AP187" s="94"/>
      <c r="AQ187" s="94"/>
      <c r="AR187" s="94"/>
      <c r="AS187" s="94"/>
      <c r="AT187" s="94"/>
      <c r="AU187" s="92"/>
      <c r="AV187" s="94"/>
      <c r="AW187" s="94"/>
      <c r="AX187" s="94"/>
      <c r="AY187" s="94"/>
      <c r="AZ187" s="94"/>
      <c r="BA187" s="94"/>
      <c r="BB187" s="94"/>
      <c r="BC187" s="94"/>
      <c r="BD187" s="94"/>
      <c r="BE187" s="94"/>
      <c r="BF187" s="94"/>
      <c r="BG187" s="94"/>
      <c r="BH187" s="94"/>
      <c r="BI187" s="94"/>
      <c r="BJ187" s="94"/>
      <c r="BK187" s="94"/>
      <c r="BL187" s="92"/>
      <c r="BM187" s="94"/>
      <c r="BN187" s="94"/>
      <c r="BO187" s="94"/>
      <c r="BP187" s="94"/>
      <c r="BQ187" s="92"/>
      <c r="BR187" s="92"/>
      <c r="BS187" s="92"/>
      <c r="BT187" s="92"/>
      <c r="BU187" s="92"/>
      <c r="BV187" s="92"/>
      <c r="BW187" s="92"/>
      <c r="BX187" s="92"/>
      <c r="BY187" s="92"/>
      <c r="BZ187" s="92"/>
    </row>
    <row r="188" spans="1:78" ht="12.9">
      <c r="A188" s="89"/>
      <c r="B188" s="89"/>
      <c r="C188" s="89"/>
      <c r="D188" s="89"/>
      <c r="E188" s="89"/>
      <c r="F188" s="89"/>
      <c r="G188" s="89"/>
      <c r="H188" s="105"/>
      <c r="I188" s="106"/>
      <c r="J188" s="106"/>
      <c r="K188" s="89"/>
      <c r="L188" s="89"/>
      <c r="M188" s="89"/>
      <c r="N188" s="107"/>
      <c r="O188" s="107"/>
      <c r="P188" s="89"/>
      <c r="Q188" s="89"/>
      <c r="R188" s="89"/>
      <c r="S188" s="89"/>
      <c r="T188" s="89"/>
      <c r="U188" s="89"/>
      <c r="V188" s="89"/>
      <c r="W188" s="89"/>
      <c r="X188" s="89"/>
      <c r="Y188" s="89"/>
      <c r="Z188" s="77"/>
      <c r="AA188" s="77"/>
      <c r="AB188" s="94"/>
      <c r="AC188" s="94"/>
      <c r="AD188" s="94"/>
      <c r="AE188" s="94"/>
      <c r="AF188" s="91"/>
      <c r="AG188" s="92"/>
      <c r="AH188" s="92"/>
      <c r="AI188" s="93"/>
      <c r="AJ188" s="94"/>
      <c r="AK188" s="92"/>
      <c r="AL188" s="94"/>
      <c r="AM188" s="94"/>
      <c r="AN188" s="94"/>
      <c r="AO188" s="94"/>
      <c r="AP188" s="94"/>
      <c r="AQ188" s="94"/>
      <c r="AR188" s="94"/>
      <c r="AS188" s="94"/>
      <c r="AT188" s="94"/>
      <c r="AU188" s="92"/>
      <c r="AV188" s="94"/>
      <c r="AW188" s="94"/>
      <c r="AX188" s="94"/>
      <c r="AY188" s="94"/>
      <c r="AZ188" s="94"/>
      <c r="BA188" s="94"/>
      <c r="BB188" s="94"/>
      <c r="BC188" s="94"/>
      <c r="BD188" s="94"/>
      <c r="BE188" s="94"/>
      <c r="BF188" s="94"/>
      <c r="BG188" s="94"/>
      <c r="BH188" s="94"/>
      <c r="BI188" s="94"/>
      <c r="BJ188" s="94"/>
      <c r="BK188" s="94"/>
      <c r="BL188" s="92"/>
      <c r="BM188" s="94"/>
      <c r="BN188" s="94"/>
      <c r="BO188" s="94"/>
      <c r="BP188" s="94"/>
      <c r="BQ188" s="92"/>
      <c r="BR188" s="92"/>
      <c r="BS188" s="92"/>
      <c r="BT188" s="92"/>
      <c r="BU188" s="92"/>
      <c r="BV188" s="92"/>
      <c r="BW188" s="92"/>
      <c r="BX188" s="92"/>
      <c r="BY188" s="92"/>
      <c r="BZ188" s="92"/>
    </row>
    <row r="189" spans="1:78" ht="12.9">
      <c r="A189" s="89"/>
      <c r="B189" s="89"/>
      <c r="C189" s="89"/>
      <c r="D189" s="89"/>
      <c r="E189" s="89"/>
      <c r="F189" s="89"/>
      <c r="G189" s="89"/>
      <c r="H189" s="105"/>
      <c r="I189" s="106"/>
      <c r="J189" s="106"/>
      <c r="K189" s="89"/>
      <c r="L189" s="89"/>
      <c r="M189" s="89"/>
      <c r="N189" s="107"/>
      <c r="O189" s="107"/>
      <c r="P189" s="89"/>
      <c r="Q189" s="89"/>
      <c r="R189" s="89"/>
      <c r="S189" s="89"/>
      <c r="T189" s="89"/>
      <c r="U189" s="89"/>
      <c r="V189" s="89"/>
      <c r="W189" s="89"/>
      <c r="X189" s="89"/>
      <c r="Y189" s="89"/>
      <c r="Z189" s="77"/>
      <c r="AA189" s="77"/>
      <c r="AB189" s="94"/>
      <c r="AC189" s="94"/>
      <c r="AD189" s="94"/>
      <c r="AE189" s="94"/>
      <c r="AF189" s="91"/>
      <c r="AG189" s="92"/>
      <c r="AH189" s="92"/>
      <c r="AI189" s="93"/>
      <c r="AJ189" s="94"/>
      <c r="AK189" s="92"/>
      <c r="AL189" s="94"/>
      <c r="AM189" s="94"/>
      <c r="AN189" s="94"/>
      <c r="AO189" s="94"/>
      <c r="AP189" s="94"/>
      <c r="AQ189" s="94"/>
      <c r="AR189" s="94"/>
      <c r="AS189" s="94"/>
      <c r="AT189" s="94"/>
      <c r="AU189" s="92"/>
      <c r="AV189" s="94"/>
      <c r="AW189" s="94"/>
      <c r="AX189" s="94"/>
      <c r="AY189" s="94"/>
      <c r="AZ189" s="94"/>
      <c r="BA189" s="94"/>
      <c r="BB189" s="94"/>
      <c r="BC189" s="94"/>
      <c r="BD189" s="94"/>
      <c r="BE189" s="94"/>
      <c r="BF189" s="94"/>
      <c r="BG189" s="94"/>
      <c r="BH189" s="94"/>
      <c r="BI189" s="94"/>
      <c r="BJ189" s="94"/>
      <c r="BK189" s="94"/>
      <c r="BL189" s="92"/>
      <c r="BM189" s="94"/>
      <c r="BN189" s="94"/>
      <c r="BO189" s="94"/>
      <c r="BP189" s="94"/>
      <c r="BQ189" s="92"/>
      <c r="BR189" s="92"/>
      <c r="BS189" s="92"/>
      <c r="BT189" s="92"/>
      <c r="BU189" s="92"/>
      <c r="BV189" s="92"/>
      <c r="BW189" s="92"/>
      <c r="BX189" s="92"/>
      <c r="BY189" s="92"/>
      <c r="BZ189" s="92"/>
    </row>
    <row r="190" spans="1:78" ht="12.9">
      <c r="A190" s="89"/>
      <c r="B190" s="89"/>
      <c r="C190" s="89"/>
      <c r="D190" s="89"/>
      <c r="E190" s="89"/>
      <c r="F190" s="89"/>
      <c r="G190" s="89"/>
      <c r="H190" s="105"/>
      <c r="I190" s="106"/>
      <c r="J190" s="106"/>
      <c r="K190" s="89"/>
      <c r="L190" s="89"/>
      <c r="M190" s="89"/>
      <c r="N190" s="107"/>
      <c r="O190" s="107"/>
      <c r="P190" s="89"/>
      <c r="Q190" s="89"/>
      <c r="R190" s="89"/>
      <c r="S190" s="89"/>
      <c r="T190" s="89"/>
      <c r="U190" s="89"/>
      <c r="V190" s="89"/>
      <c r="W190" s="89"/>
      <c r="X190" s="89"/>
      <c r="Y190" s="89"/>
      <c r="Z190" s="77"/>
      <c r="AA190" s="77"/>
      <c r="AB190" s="94"/>
      <c r="AC190" s="94"/>
      <c r="AD190" s="94"/>
      <c r="AE190" s="94"/>
      <c r="AF190" s="91"/>
      <c r="AG190" s="92"/>
      <c r="AH190" s="92"/>
      <c r="AI190" s="93"/>
      <c r="AJ190" s="94"/>
      <c r="AK190" s="92"/>
      <c r="AL190" s="94"/>
      <c r="AM190" s="94"/>
      <c r="AN190" s="94"/>
      <c r="AO190" s="94"/>
      <c r="AP190" s="94"/>
      <c r="AQ190" s="94"/>
      <c r="AR190" s="94"/>
      <c r="AS190" s="94"/>
      <c r="AT190" s="94"/>
      <c r="AU190" s="92"/>
      <c r="AV190" s="94"/>
      <c r="AW190" s="94"/>
      <c r="AX190" s="94"/>
      <c r="AY190" s="94"/>
      <c r="AZ190" s="94"/>
      <c r="BA190" s="94"/>
      <c r="BB190" s="94"/>
      <c r="BC190" s="94"/>
      <c r="BD190" s="94"/>
      <c r="BE190" s="94"/>
      <c r="BF190" s="94"/>
      <c r="BG190" s="94"/>
      <c r="BH190" s="94"/>
      <c r="BI190" s="94"/>
      <c r="BJ190" s="94"/>
      <c r="BK190" s="94"/>
      <c r="BL190" s="92"/>
      <c r="BM190" s="94"/>
      <c r="BN190" s="94"/>
      <c r="BO190" s="94"/>
      <c r="BP190" s="94"/>
      <c r="BQ190" s="92"/>
      <c r="BR190" s="92"/>
      <c r="BS190" s="92"/>
      <c r="BT190" s="92"/>
      <c r="BU190" s="92"/>
      <c r="BV190" s="92"/>
      <c r="BW190" s="92"/>
      <c r="BX190" s="92"/>
      <c r="BY190" s="92"/>
      <c r="BZ190" s="92"/>
    </row>
    <row r="191" spans="1:78" ht="12.9">
      <c r="A191" s="89"/>
      <c r="B191" s="89"/>
      <c r="C191" s="89"/>
      <c r="D191" s="89"/>
      <c r="E191" s="89"/>
      <c r="F191" s="89"/>
      <c r="G191" s="89"/>
      <c r="H191" s="105"/>
      <c r="I191" s="106"/>
      <c r="J191" s="106"/>
      <c r="K191" s="89"/>
      <c r="L191" s="89"/>
      <c r="M191" s="89"/>
      <c r="N191" s="107"/>
      <c r="O191" s="107"/>
      <c r="P191" s="89"/>
      <c r="Q191" s="89"/>
      <c r="R191" s="89"/>
      <c r="S191" s="89"/>
      <c r="T191" s="89"/>
      <c r="U191" s="89"/>
      <c r="V191" s="89"/>
      <c r="W191" s="89"/>
      <c r="X191" s="89"/>
      <c r="Y191" s="89"/>
      <c r="Z191" s="77"/>
      <c r="AA191" s="77"/>
      <c r="AB191" s="94"/>
      <c r="AC191" s="94"/>
      <c r="AD191" s="94"/>
      <c r="AE191" s="94"/>
      <c r="AF191" s="91"/>
      <c r="AG191" s="92"/>
      <c r="AH191" s="92"/>
      <c r="AI191" s="93"/>
      <c r="AJ191" s="94"/>
      <c r="AK191" s="92"/>
      <c r="AL191" s="94"/>
      <c r="AM191" s="94"/>
      <c r="AN191" s="94"/>
      <c r="AO191" s="94"/>
      <c r="AP191" s="94"/>
      <c r="AQ191" s="94"/>
      <c r="AR191" s="94"/>
      <c r="AS191" s="94"/>
      <c r="AT191" s="94"/>
      <c r="AU191" s="92"/>
      <c r="AV191" s="94"/>
      <c r="AW191" s="94"/>
      <c r="AX191" s="94"/>
      <c r="AY191" s="94"/>
      <c r="AZ191" s="94"/>
      <c r="BA191" s="94"/>
      <c r="BB191" s="94"/>
      <c r="BC191" s="94"/>
      <c r="BD191" s="94"/>
      <c r="BE191" s="94"/>
      <c r="BF191" s="94"/>
      <c r="BG191" s="94"/>
      <c r="BH191" s="94"/>
      <c r="BI191" s="94"/>
      <c r="BJ191" s="94"/>
      <c r="BK191" s="94"/>
      <c r="BL191" s="92"/>
      <c r="BM191" s="94"/>
      <c r="BN191" s="94"/>
      <c r="BO191" s="94"/>
      <c r="BP191" s="94"/>
      <c r="BQ191" s="92"/>
      <c r="BR191" s="92"/>
      <c r="BS191" s="92"/>
      <c r="BT191" s="92"/>
      <c r="BU191" s="92"/>
      <c r="BV191" s="92"/>
      <c r="BW191" s="92"/>
      <c r="BX191" s="92"/>
      <c r="BY191" s="92"/>
      <c r="BZ191" s="92"/>
    </row>
    <row r="192" spans="1:78" ht="12.9">
      <c r="A192" s="89"/>
      <c r="B192" s="89"/>
      <c r="C192" s="89"/>
      <c r="D192" s="89"/>
      <c r="E192" s="89"/>
      <c r="F192" s="89"/>
      <c r="G192" s="89"/>
      <c r="H192" s="105"/>
      <c r="I192" s="106"/>
      <c r="J192" s="106"/>
      <c r="K192" s="89"/>
      <c r="L192" s="89"/>
      <c r="M192" s="89"/>
      <c r="N192" s="107"/>
      <c r="O192" s="107"/>
      <c r="P192" s="89"/>
      <c r="Q192" s="89"/>
      <c r="R192" s="89"/>
      <c r="S192" s="89"/>
      <c r="T192" s="89"/>
      <c r="U192" s="89"/>
      <c r="V192" s="89"/>
      <c r="W192" s="89"/>
      <c r="X192" s="89"/>
      <c r="Y192" s="89"/>
      <c r="Z192" s="77"/>
      <c r="AA192" s="77"/>
      <c r="AB192" s="94"/>
      <c r="AC192" s="94"/>
      <c r="AD192" s="94"/>
      <c r="AE192" s="94"/>
      <c r="AF192" s="91"/>
      <c r="AG192" s="92"/>
      <c r="AH192" s="92"/>
      <c r="AI192" s="93"/>
      <c r="AJ192" s="94"/>
      <c r="AK192" s="92"/>
      <c r="AL192" s="94"/>
      <c r="AM192" s="94"/>
      <c r="AN192" s="94"/>
      <c r="AO192" s="94"/>
      <c r="AP192" s="94"/>
      <c r="AQ192" s="94"/>
      <c r="AR192" s="94"/>
      <c r="AS192" s="94"/>
      <c r="AT192" s="94"/>
      <c r="AU192" s="92"/>
      <c r="AV192" s="94"/>
      <c r="AW192" s="94"/>
      <c r="AX192" s="94"/>
      <c r="AY192" s="94"/>
      <c r="AZ192" s="94"/>
      <c r="BA192" s="94"/>
      <c r="BB192" s="94"/>
      <c r="BC192" s="94"/>
      <c r="BD192" s="94"/>
      <c r="BE192" s="94"/>
      <c r="BF192" s="94"/>
      <c r="BG192" s="94"/>
      <c r="BH192" s="94"/>
      <c r="BI192" s="94"/>
      <c r="BJ192" s="94"/>
      <c r="BK192" s="94"/>
      <c r="BL192" s="92"/>
      <c r="BM192" s="94"/>
      <c r="BN192" s="94"/>
      <c r="BO192" s="94"/>
      <c r="BP192" s="94"/>
      <c r="BQ192" s="92"/>
      <c r="BR192" s="92"/>
      <c r="BS192" s="92"/>
      <c r="BT192" s="92"/>
      <c r="BU192" s="92"/>
      <c r="BV192" s="92"/>
      <c r="BW192" s="92"/>
      <c r="BX192" s="92"/>
      <c r="BY192" s="92"/>
      <c r="BZ192" s="92"/>
    </row>
    <row r="193" spans="1:78" ht="12.9">
      <c r="A193" s="89"/>
      <c r="B193" s="89"/>
      <c r="C193" s="89"/>
      <c r="D193" s="89"/>
      <c r="E193" s="89"/>
      <c r="F193" s="89"/>
      <c r="G193" s="89"/>
      <c r="H193" s="105"/>
      <c r="I193" s="106"/>
      <c r="J193" s="106"/>
      <c r="K193" s="89"/>
      <c r="L193" s="89"/>
      <c r="M193" s="89"/>
      <c r="N193" s="107"/>
      <c r="O193" s="107"/>
      <c r="P193" s="89"/>
      <c r="Q193" s="89"/>
      <c r="R193" s="89"/>
      <c r="S193" s="89"/>
      <c r="T193" s="89"/>
      <c r="U193" s="89"/>
      <c r="V193" s="89"/>
      <c r="W193" s="89"/>
      <c r="X193" s="89"/>
      <c r="Y193" s="89"/>
      <c r="Z193" s="77"/>
      <c r="AA193" s="77"/>
      <c r="AB193" s="94"/>
      <c r="AC193" s="94"/>
      <c r="AD193" s="94"/>
      <c r="AE193" s="94"/>
      <c r="AF193" s="91"/>
      <c r="AG193" s="92"/>
      <c r="AH193" s="92"/>
      <c r="AI193" s="93"/>
      <c r="AJ193" s="94"/>
      <c r="AK193" s="92"/>
      <c r="AL193" s="94"/>
      <c r="AM193" s="94"/>
      <c r="AN193" s="94"/>
      <c r="AO193" s="94"/>
      <c r="AP193" s="94"/>
      <c r="AQ193" s="94"/>
      <c r="AR193" s="94"/>
      <c r="AS193" s="94"/>
      <c r="AT193" s="94"/>
      <c r="AU193" s="92"/>
      <c r="AV193" s="94"/>
      <c r="AW193" s="94"/>
      <c r="AX193" s="94"/>
      <c r="AY193" s="94"/>
      <c r="AZ193" s="94"/>
      <c r="BA193" s="94"/>
      <c r="BB193" s="94"/>
      <c r="BC193" s="94"/>
      <c r="BD193" s="94"/>
      <c r="BE193" s="94"/>
      <c r="BF193" s="94"/>
      <c r="BG193" s="94"/>
      <c r="BH193" s="94"/>
      <c r="BI193" s="94"/>
      <c r="BJ193" s="94"/>
      <c r="BK193" s="94"/>
      <c r="BL193" s="92"/>
      <c r="BM193" s="94"/>
      <c r="BN193" s="94"/>
      <c r="BO193" s="94"/>
      <c r="BP193" s="94"/>
      <c r="BQ193" s="92"/>
      <c r="BR193" s="92"/>
      <c r="BS193" s="92"/>
      <c r="BT193" s="92"/>
      <c r="BU193" s="92"/>
      <c r="BV193" s="92"/>
      <c r="BW193" s="92"/>
      <c r="BX193" s="92"/>
      <c r="BY193" s="92"/>
      <c r="BZ193" s="92"/>
    </row>
    <row r="194" spans="1:78" ht="12.9">
      <c r="A194" s="89"/>
      <c r="B194" s="89"/>
      <c r="C194" s="89"/>
      <c r="D194" s="89"/>
      <c r="E194" s="89"/>
      <c r="F194" s="89"/>
      <c r="G194" s="89"/>
      <c r="H194" s="105"/>
      <c r="I194" s="106"/>
      <c r="J194" s="106"/>
      <c r="K194" s="89"/>
      <c r="L194" s="89"/>
      <c r="M194" s="89"/>
      <c r="N194" s="107"/>
      <c r="O194" s="107"/>
      <c r="P194" s="89"/>
      <c r="Q194" s="89"/>
      <c r="R194" s="89"/>
      <c r="S194" s="89"/>
      <c r="T194" s="89"/>
      <c r="U194" s="89"/>
      <c r="V194" s="89"/>
      <c r="W194" s="89"/>
      <c r="X194" s="89"/>
      <c r="Y194" s="89"/>
      <c r="Z194" s="77"/>
      <c r="AA194" s="77"/>
      <c r="AB194" s="94"/>
      <c r="AC194" s="94"/>
      <c r="AD194" s="94"/>
      <c r="AE194" s="94"/>
      <c r="AF194" s="91"/>
      <c r="AG194" s="92"/>
      <c r="AH194" s="92"/>
      <c r="AI194" s="93"/>
      <c r="AJ194" s="94"/>
      <c r="AK194" s="92"/>
      <c r="AL194" s="94"/>
      <c r="AM194" s="94"/>
      <c r="AN194" s="94"/>
      <c r="AO194" s="94"/>
      <c r="AP194" s="94"/>
      <c r="AQ194" s="94"/>
      <c r="AR194" s="94"/>
      <c r="AS194" s="94"/>
      <c r="AT194" s="94"/>
      <c r="AU194" s="92"/>
      <c r="AV194" s="94"/>
      <c r="AW194" s="94"/>
      <c r="AX194" s="94"/>
      <c r="AY194" s="94"/>
      <c r="AZ194" s="94"/>
      <c r="BA194" s="94"/>
      <c r="BB194" s="94"/>
      <c r="BC194" s="94"/>
      <c r="BD194" s="94"/>
      <c r="BE194" s="94"/>
      <c r="BF194" s="94"/>
      <c r="BG194" s="94"/>
      <c r="BH194" s="94"/>
      <c r="BI194" s="94"/>
      <c r="BJ194" s="94"/>
      <c r="BK194" s="94"/>
      <c r="BL194" s="92"/>
      <c r="BM194" s="94"/>
      <c r="BN194" s="94"/>
      <c r="BO194" s="94"/>
      <c r="BP194" s="94"/>
      <c r="BQ194" s="92"/>
      <c r="BR194" s="92"/>
      <c r="BS194" s="92"/>
      <c r="BT194" s="92"/>
      <c r="BU194" s="92"/>
      <c r="BV194" s="92"/>
      <c r="BW194" s="92"/>
      <c r="BX194" s="92"/>
      <c r="BY194" s="92"/>
      <c r="BZ194" s="92"/>
    </row>
    <row r="195" spans="1:78" ht="12.9">
      <c r="A195" s="89"/>
      <c r="B195" s="89"/>
      <c r="C195" s="89"/>
      <c r="D195" s="89"/>
      <c r="E195" s="89"/>
      <c r="F195" s="89"/>
      <c r="G195" s="89"/>
      <c r="H195" s="105"/>
      <c r="I195" s="106"/>
      <c r="J195" s="106"/>
      <c r="K195" s="89"/>
      <c r="L195" s="89"/>
      <c r="M195" s="89"/>
      <c r="N195" s="107"/>
      <c r="O195" s="107"/>
      <c r="P195" s="89"/>
      <c r="Q195" s="89"/>
      <c r="R195" s="89"/>
      <c r="S195" s="89"/>
      <c r="T195" s="89"/>
      <c r="U195" s="89"/>
      <c r="V195" s="89"/>
      <c r="W195" s="89"/>
      <c r="X195" s="89"/>
      <c r="Y195" s="89"/>
      <c r="Z195" s="77"/>
      <c r="AA195" s="77"/>
      <c r="AB195" s="94"/>
      <c r="AC195" s="94"/>
      <c r="AD195" s="94"/>
      <c r="AE195" s="94"/>
      <c r="AF195" s="91"/>
      <c r="AG195" s="92"/>
      <c r="AH195" s="92"/>
      <c r="AI195" s="93"/>
      <c r="AJ195" s="94"/>
      <c r="AK195" s="92"/>
      <c r="AL195" s="94"/>
      <c r="AM195" s="94"/>
      <c r="AN195" s="94"/>
      <c r="AO195" s="94"/>
      <c r="AP195" s="94"/>
      <c r="AQ195" s="94"/>
      <c r="AR195" s="94"/>
      <c r="AS195" s="94"/>
      <c r="AT195" s="94"/>
      <c r="AU195" s="92"/>
      <c r="AV195" s="94"/>
      <c r="AW195" s="94"/>
      <c r="AX195" s="94"/>
      <c r="AY195" s="94"/>
      <c r="AZ195" s="94"/>
      <c r="BA195" s="94"/>
      <c r="BB195" s="94"/>
      <c r="BC195" s="94"/>
      <c r="BD195" s="94"/>
      <c r="BE195" s="94"/>
      <c r="BF195" s="94"/>
      <c r="BG195" s="94"/>
      <c r="BH195" s="94"/>
      <c r="BI195" s="94"/>
      <c r="BJ195" s="94"/>
      <c r="BK195" s="94"/>
      <c r="BL195" s="92"/>
      <c r="BM195" s="94"/>
      <c r="BN195" s="94"/>
      <c r="BO195" s="94"/>
      <c r="BP195" s="94"/>
      <c r="BQ195" s="92"/>
      <c r="BR195" s="92"/>
      <c r="BS195" s="92"/>
      <c r="BT195" s="92"/>
      <c r="BU195" s="92"/>
      <c r="BV195" s="92"/>
      <c r="BW195" s="92"/>
      <c r="BX195" s="92"/>
      <c r="BY195" s="92"/>
      <c r="BZ195" s="92"/>
    </row>
    <row r="196" spans="1:78" ht="12.9">
      <c r="A196" s="89"/>
      <c r="B196" s="89"/>
      <c r="C196" s="89"/>
      <c r="D196" s="89"/>
      <c r="E196" s="89"/>
      <c r="F196" s="89"/>
      <c r="G196" s="89"/>
      <c r="H196" s="105"/>
      <c r="I196" s="106"/>
      <c r="J196" s="106"/>
      <c r="K196" s="89"/>
      <c r="L196" s="89"/>
      <c r="M196" s="89"/>
      <c r="N196" s="107"/>
      <c r="O196" s="107"/>
      <c r="P196" s="89"/>
      <c r="Q196" s="89"/>
      <c r="R196" s="89"/>
      <c r="S196" s="89"/>
      <c r="T196" s="89"/>
      <c r="U196" s="89"/>
      <c r="V196" s="89"/>
      <c r="W196" s="89"/>
      <c r="X196" s="89"/>
      <c r="Y196" s="89"/>
      <c r="Z196" s="77"/>
      <c r="AA196" s="77"/>
      <c r="AB196" s="94"/>
      <c r="AC196" s="94"/>
      <c r="AD196" s="94"/>
      <c r="AE196" s="94"/>
      <c r="AF196" s="91"/>
      <c r="AG196" s="92"/>
      <c r="AH196" s="92"/>
      <c r="AI196" s="93"/>
      <c r="AJ196" s="94"/>
      <c r="AK196" s="92"/>
      <c r="AL196" s="94"/>
      <c r="AM196" s="94"/>
      <c r="AN196" s="94"/>
      <c r="AO196" s="94"/>
      <c r="AP196" s="94"/>
      <c r="AQ196" s="94"/>
      <c r="AR196" s="94"/>
      <c r="AS196" s="94"/>
      <c r="AT196" s="94"/>
      <c r="AU196" s="92"/>
      <c r="AV196" s="94"/>
      <c r="AW196" s="94"/>
      <c r="AX196" s="94"/>
      <c r="AY196" s="94"/>
      <c r="AZ196" s="94"/>
      <c r="BA196" s="94"/>
      <c r="BB196" s="94"/>
      <c r="BC196" s="94"/>
      <c r="BD196" s="94"/>
      <c r="BE196" s="94"/>
      <c r="BF196" s="94"/>
      <c r="BG196" s="94"/>
      <c r="BH196" s="94"/>
      <c r="BI196" s="94"/>
      <c r="BJ196" s="94"/>
      <c r="BK196" s="94"/>
      <c r="BL196" s="92"/>
      <c r="BM196" s="94"/>
      <c r="BN196" s="94"/>
      <c r="BO196" s="94"/>
      <c r="BP196" s="94"/>
      <c r="BQ196" s="92"/>
      <c r="BR196" s="92"/>
      <c r="BS196" s="92"/>
      <c r="BT196" s="92"/>
      <c r="BU196" s="92"/>
      <c r="BV196" s="92"/>
      <c r="BW196" s="92"/>
      <c r="BX196" s="92"/>
      <c r="BY196" s="92"/>
      <c r="BZ196" s="92"/>
    </row>
    <row r="197" spans="1:78" ht="12.9">
      <c r="A197" s="89"/>
      <c r="B197" s="89"/>
      <c r="C197" s="89"/>
      <c r="D197" s="89"/>
      <c r="E197" s="89"/>
      <c r="F197" s="89"/>
      <c r="G197" s="89"/>
      <c r="H197" s="105"/>
      <c r="I197" s="106"/>
      <c r="J197" s="106"/>
      <c r="K197" s="89"/>
      <c r="L197" s="89"/>
      <c r="M197" s="89"/>
      <c r="N197" s="107"/>
      <c r="O197" s="107"/>
      <c r="P197" s="89"/>
      <c r="Q197" s="89"/>
      <c r="R197" s="89"/>
      <c r="S197" s="89"/>
      <c r="T197" s="89"/>
      <c r="U197" s="89"/>
      <c r="V197" s="89"/>
      <c r="W197" s="89"/>
      <c r="X197" s="89"/>
      <c r="Y197" s="89"/>
      <c r="Z197" s="77"/>
      <c r="AA197" s="77"/>
      <c r="AB197" s="94"/>
      <c r="AC197" s="94"/>
      <c r="AD197" s="94"/>
      <c r="AE197" s="94"/>
      <c r="AF197" s="91"/>
      <c r="AG197" s="92"/>
      <c r="AH197" s="92"/>
      <c r="AI197" s="93"/>
      <c r="AJ197" s="94"/>
      <c r="AK197" s="92"/>
      <c r="AL197" s="94"/>
      <c r="AM197" s="94"/>
      <c r="AN197" s="94"/>
      <c r="AO197" s="94"/>
      <c r="AP197" s="94"/>
      <c r="AQ197" s="94"/>
      <c r="AR197" s="94"/>
      <c r="AS197" s="94"/>
      <c r="AT197" s="94"/>
      <c r="AU197" s="92"/>
      <c r="AV197" s="94"/>
      <c r="AW197" s="94"/>
      <c r="AX197" s="94"/>
      <c r="AY197" s="94"/>
      <c r="AZ197" s="94"/>
      <c r="BA197" s="94"/>
      <c r="BB197" s="94"/>
      <c r="BC197" s="94"/>
      <c r="BD197" s="94"/>
      <c r="BE197" s="94"/>
      <c r="BF197" s="94"/>
      <c r="BG197" s="94"/>
      <c r="BH197" s="94"/>
      <c r="BI197" s="94"/>
      <c r="BJ197" s="94"/>
      <c r="BK197" s="94"/>
      <c r="BL197" s="92"/>
      <c r="BM197" s="94"/>
      <c r="BN197" s="94"/>
      <c r="BO197" s="94"/>
      <c r="BP197" s="94"/>
      <c r="BQ197" s="92"/>
      <c r="BR197" s="92"/>
      <c r="BS197" s="92"/>
      <c r="BT197" s="92"/>
      <c r="BU197" s="92"/>
      <c r="BV197" s="92"/>
      <c r="BW197" s="92"/>
      <c r="BX197" s="92"/>
      <c r="BY197" s="92"/>
      <c r="BZ197" s="92"/>
    </row>
    <row r="198" spans="1:78" ht="12.9">
      <c r="A198" s="89"/>
      <c r="B198" s="89"/>
      <c r="C198" s="89"/>
      <c r="D198" s="89"/>
      <c r="E198" s="89"/>
      <c r="F198" s="89"/>
      <c r="G198" s="89"/>
      <c r="H198" s="105"/>
      <c r="I198" s="106"/>
      <c r="J198" s="106"/>
      <c r="K198" s="89"/>
      <c r="L198" s="89"/>
      <c r="M198" s="89"/>
      <c r="N198" s="107"/>
      <c r="O198" s="107"/>
      <c r="P198" s="89"/>
      <c r="Q198" s="89"/>
      <c r="R198" s="89"/>
      <c r="S198" s="89"/>
      <c r="T198" s="89"/>
      <c r="U198" s="89"/>
      <c r="V198" s="89"/>
      <c r="W198" s="89"/>
      <c r="X198" s="89"/>
      <c r="Y198" s="89"/>
      <c r="Z198" s="77"/>
      <c r="AA198" s="77"/>
      <c r="AB198" s="94"/>
      <c r="AC198" s="94"/>
      <c r="AD198" s="94"/>
      <c r="AE198" s="94"/>
      <c r="AF198" s="91"/>
      <c r="AG198" s="92"/>
      <c r="AH198" s="92"/>
      <c r="AI198" s="93"/>
      <c r="AJ198" s="94"/>
      <c r="AK198" s="92"/>
      <c r="AL198" s="94"/>
      <c r="AM198" s="94"/>
      <c r="AN198" s="94"/>
      <c r="AO198" s="94"/>
      <c r="AP198" s="94"/>
      <c r="AQ198" s="94"/>
      <c r="AR198" s="94"/>
      <c r="AS198" s="94"/>
      <c r="AT198" s="94"/>
      <c r="AU198" s="92"/>
      <c r="AV198" s="94"/>
      <c r="AW198" s="94"/>
      <c r="AX198" s="94"/>
      <c r="AY198" s="94"/>
      <c r="AZ198" s="94"/>
      <c r="BA198" s="94"/>
      <c r="BB198" s="94"/>
      <c r="BC198" s="94"/>
      <c r="BD198" s="94"/>
      <c r="BE198" s="94"/>
      <c r="BF198" s="94"/>
      <c r="BG198" s="94"/>
      <c r="BH198" s="94"/>
      <c r="BI198" s="94"/>
      <c r="BJ198" s="94"/>
      <c r="BK198" s="94"/>
      <c r="BL198" s="92"/>
      <c r="BM198" s="94"/>
      <c r="BN198" s="94"/>
      <c r="BO198" s="94"/>
      <c r="BP198" s="94"/>
      <c r="BQ198" s="92"/>
      <c r="BR198" s="92"/>
      <c r="BS198" s="92"/>
      <c r="BT198" s="92"/>
      <c r="BU198" s="92"/>
      <c r="BV198" s="92"/>
      <c r="BW198" s="92"/>
      <c r="BX198" s="92"/>
      <c r="BY198" s="92"/>
      <c r="BZ198" s="92"/>
    </row>
    <row r="199" spans="1:78" ht="12.9">
      <c r="A199" s="89"/>
      <c r="B199" s="89"/>
      <c r="C199" s="89"/>
      <c r="D199" s="89"/>
      <c r="E199" s="89"/>
      <c r="F199" s="89"/>
      <c r="G199" s="89"/>
      <c r="H199" s="105"/>
      <c r="I199" s="106"/>
      <c r="J199" s="106"/>
      <c r="K199" s="89"/>
      <c r="L199" s="89"/>
      <c r="M199" s="89"/>
      <c r="N199" s="107"/>
      <c r="O199" s="107"/>
      <c r="P199" s="89"/>
      <c r="Q199" s="89"/>
      <c r="R199" s="89"/>
      <c r="S199" s="89"/>
      <c r="T199" s="89"/>
      <c r="U199" s="89"/>
      <c r="V199" s="89"/>
      <c r="W199" s="89"/>
      <c r="X199" s="89"/>
      <c r="Y199" s="89"/>
      <c r="Z199" s="77"/>
      <c r="AA199" s="77"/>
      <c r="AB199" s="94"/>
      <c r="AC199" s="94"/>
      <c r="AD199" s="94"/>
      <c r="AE199" s="94"/>
      <c r="AF199" s="91"/>
      <c r="AG199" s="92"/>
      <c r="AH199" s="92"/>
      <c r="AI199" s="93"/>
      <c r="AJ199" s="94"/>
      <c r="AK199" s="92"/>
      <c r="AL199" s="94"/>
      <c r="AM199" s="94"/>
      <c r="AN199" s="94"/>
      <c r="AO199" s="94"/>
      <c r="AP199" s="94"/>
      <c r="AQ199" s="94"/>
      <c r="AR199" s="94"/>
      <c r="AS199" s="94"/>
      <c r="AT199" s="94"/>
      <c r="AU199" s="92"/>
      <c r="AV199" s="94"/>
      <c r="AW199" s="94"/>
      <c r="AX199" s="94"/>
      <c r="AY199" s="94"/>
      <c r="AZ199" s="94"/>
      <c r="BA199" s="94"/>
      <c r="BB199" s="94"/>
      <c r="BC199" s="94"/>
      <c r="BD199" s="94"/>
      <c r="BE199" s="94"/>
      <c r="BF199" s="94"/>
      <c r="BG199" s="94"/>
      <c r="BH199" s="94"/>
      <c r="BI199" s="94"/>
      <c r="BJ199" s="94"/>
      <c r="BK199" s="94"/>
      <c r="BL199" s="92"/>
      <c r="BM199" s="94"/>
      <c r="BN199" s="94"/>
      <c r="BO199" s="94"/>
      <c r="BP199" s="94"/>
      <c r="BQ199" s="92"/>
      <c r="BR199" s="92"/>
      <c r="BS199" s="92"/>
      <c r="BT199" s="92"/>
      <c r="BU199" s="92"/>
      <c r="BV199" s="92"/>
      <c r="BW199" s="92"/>
      <c r="BX199" s="92"/>
      <c r="BY199" s="92"/>
      <c r="BZ199" s="92"/>
    </row>
    <row r="200" spans="1:78" ht="12.9">
      <c r="A200" s="89"/>
      <c r="B200" s="89"/>
      <c r="C200" s="89"/>
      <c r="D200" s="89"/>
      <c r="E200" s="89"/>
      <c r="F200" s="89"/>
      <c r="G200" s="89"/>
      <c r="H200" s="105"/>
      <c r="I200" s="106"/>
      <c r="J200" s="106"/>
      <c r="K200" s="89"/>
      <c r="L200" s="89"/>
      <c r="M200" s="89"/>
      <c r="N200" s="107"/>
      <c r="O200" s="107"/>
      <c r="P200" s="89"/>
      <c r="Q200" s="89"/>
      <c r="R200" s="89"/>
      <c r="S200" s="89"/>
      <c r="T200" s="89"/>
      <c r="U200" s="89"/>
      <c r="V200" s="89"/>
      <c r="W200" s="89"/>
      <c r="X200" s="89"/>
      <c r="Y200" s="89"/>
      <c r="Z200" s="77"/>
      <c r="AA200" s="77"/>
      <c r="AB200" s="94"/>
      <c r="AC200" s="94"/>
      <c r="AD200" s="94"/>
      <c r="AE200" s="94"/>
      <c r="AF200" s="91"/>
      <c r="AG200" s="92"/>
      <c r="AH200" s="92"/>
      <c r="AI200" s="93"/>
      <c r="AJ200" s="94"/>
      <c r="AK200" s="92"/>
      <c r="AL200" s="94"/>
      <c r="AM200" s="94"/>
      <c r="AN200" s="94"/>
      <c r="AO200" s="94"/>
      <c r="AP200" s="94"/>
      <c r="AQ200" s="94"/>
      <c r="AR200" s="94"/>
      <c r="AS200" s="94"/>
      <c r="AT200" s="94"/>
      <c r="AU200" s="92"/>
      <c r="AV200" s="94"/>
      <c r="AW200" s="94"/>
      <c r="AX200" s="94"/>
      <c r="AY200" s="94"/>
      <c r="AZ200" s="94"/>
      <c r="BA200" s="94"/>
      <c r="BB200" s="94"/>
      <c r="BC200" s="94"/>
      <c r="BD200" s="94"/>
      <c r="BE200" s="94"/>
      <c r="BF200" s="94"/>
      <c r="BG200" s="94"/>
      <c r="BH200" s="94"/>
      <c r="BI200" s="94"/>
      <c r="BJ200" s="94"/>
      <c r="BK200" s="94"/>
      <c r="BL200" s="92"/>
      <c r="BM200" s="94"/>
      <c r="BN200" s="94"/>
      <c r="BO200" s="94"/>
      <c r="BP200" s="94"/>
      <c r="BQ200" s="92"/>
      <c r="BR200" s="92"/>
      <c r="BS200" s="92"/>
      <c r="BT200" s="92"/>
      <c r="BU200" s="92"/>
      <c r="BV200" s="92"/>
      <c r="BW200" s="92"/>
      <c r="BX200" s="92"/>
      <c r="BY200" s="92"/>
      <c r="BZ200" s="92"/>
    </row>
    <row r="201" spans="1:78" ht="12.9">
      <c r="A201" s="89"/>
      <c r="B201" s="89"/>
      <c r="C201" s="89"/>
      <c r="D201" s="89"/>
      <c r="E201" s="89"/>
      <c r="F201" s="89"/>
      <c r="G201" s="89"/>
      <c r="H201" s="105"/>
      <c r="I201" s="106"/>
      <c r="J201" s="106"/>
      <c r="K201" s="89"/>
      <c r="L201" s="89"/>
      <c r="M201" s="89"/>
      <c r="N201" s="107"/>
      <c r="O201" s="107"/>
      <c r="P201" s="89"/>
      <c r="Q201" s="89"/>
      <c r="R201" s="89"/>
      <c r="S201" s="89"/>
      <c r="T201" s="89"/>
      <c r="U201" s="89"/>
      <c r="V201" s="89"/>
      <c r="W201" s="89"/>
      <c r="X201" s="89"/>
      <c r="Y201" s="89"/>
      <c r="Z201" s="77"/>
      <c r="AA201" s="77"/>
      <c r="AB201" s="94"/>
      <c r="AC201" s="94"/>
      <c r="AD201" s="94"/>
      <c r="AE201" s="94"/>
      <c r="AF201" s="91"/>
      <c r="AG201" s="92"/>
      <c r="AH201" s="92"/>
      <c r="AI201" s="93"/>
      <c r="AJ201" s="94"/>
      <c r="AK201" s="92"/>
      <c r="AL201" s="94"/>
      <c r="AM201" s="94"/>
      <c r="AN201" s="94"/>
      <c r="AO201" s="94"/>
      <c r="AP201" s="94"/>
      <c r="AQ201" s="94"/>
      <c r="AR201" s="94"/>
      <c r="AS201" s="94"/>
      <c r="AT201" s="94"/>
      <c r="AU201" s="92"/>
      <c r="AV201" s="94"/>
      <c r="AW201" s="94"/>
      <c r="AX201" s="94"/>
      <c r="AY201" s="94"/>
      <c r="AZ201" s="94"/>
      <c r="BA201" s="94"/>
      <c r="BB201" s="94"/>
      <c r="BC201" s="94"/>
      <c r="BD201" s="94"/>
      <c r="BE201" s="94"/>
      <c r="BF201" s="94"/>
      <c r="BG201" s="94"/>
      <c r="BH201" s="94"/>
      <c r="BI201" s="94"/>
      <c r="BJ201" s="94"/>
      <c r="BK201" s="94"/>
      <c r="BL201" s="92"/>
      <c r="BM201" s="94"/>
      <c r="BN201" s="94"/>
      <c r="BO201" s="94"/>
      <c r="BP201" s="94"/>
      <c r="BQ201" s="92"/>
      <c r="BR201" s="92"/>
      <c r="BS201" s="92"/>
      <c r="BT201" s="92"/>
      <c r="BU201" s="92"/>
      <c r="BV201" s="92"/>
      <c r="BW201" s="92"/>
      <c r="BX201" s="92"/>
      <c r="BY201" s="92"/>
      <c r="BZ201" s="92"/>
    </row>
    <row r="202" spans="1:78" ht="12.9">
      <c r="A202" s="89"/>
      <c r="B202" s="89"/>
      <c r="C202" s="89"/>
      <c r="D202" s="89"/>
      <c r="E202" s="89"/>
      <c r="F202" s="89"/>
      <c r="G202" s="89"/>
      <c r="H202" s="105"/>
      <c r="I202" s="106"/>
      <c r="J202" s="106"/>
      <c r="K202" s="89"/>
      <c r="L202" s="89"/>
      <c r="M202" s="89"/>
      <c r="N202" s="107"/>
      <c r="O202" s="107"/>
      <c r="P202" s="89"/>
      <c r="Q202" s="89"/>
      <c r="R202" s="89"/>
      <c r="S202" s="89"/>
      <c r="T202" s="89"/>
      <c r="U202" s="89"/>
      <c r="V202" s="89"/>
      <c r="W202" s="89"/>
      <c r="X202" s="89"/>
      <c r="Y202" s="89"/>
      <c r="Z202" s="77"/>
      <c r="AA202" s="77"/>
      <c r="AB202" s="94"/>
      <c r="AC202" s="94"/>
      <c r="AD202" s="94"/>
      <c r="AE202" s="94"/>
      <c r="AF202" s="91"/>
      <c r="AG202" s="92"/>
      <c r="AH202" s="92"/>
      <c r="AI202" s="93"/>
      <c r="AJ202" s="94"/>
      <c r="AK202" s="92"/>
      <c r="AL202" s="94"/>
      <c r="AM202" s="94"/>
      <c r="AN202" s="94"/>
      <c r="AO202" s="94"/>
      <c r="AP202" s="94"/>
      <c r="AQ202" s="94"/>
      <c r="AR202" s="94"/>
      <c r="AS202" s="94"/>
      <c r="AT202" s="94"/>
      <c r="AU202" s="92"/>
      <c r="AV202" s="94"/>
      <c r="AW202" s="94"/>
      <c r="AX202" s="94"/>
      <c r="AY202" s="94"/>
      <c r="AZ202" s="94"/>
      <c r="BA202" s="94"/>
      <c r="BB202" s="94"/>
      <c r="BC202" s="94"/>
      <c r="BD202" s="94"/>
      <c r="BE202" s="94"/>
      <c r="BF202" s="94"/>
      <c r="BG202" s="94"/>
      <c r="BH202" s="94"/>
      <c r="BI202" s="94"/>
      <c r="BJ202" s="94"/>
      <c r="BK202" s="94"/>
      <c r="BL202" s="92"/>
      <c r="BM202" s="94"/>
      <c r="BN202" s="94"/>
      <c r="BO202" s="94"/>
      <c r="BP202" s="94"/>
      <c r="BQ202" s="92"/>
      <c r="BR202" s="92"/>
      <c r="BS202" s="92"/>
      <c r="BT202" s="92"/>
      <c r="BU202" s="92"/>
      <c r="BV202" s="92"/>
      <c r="BW202" s="92"/>
      <c r="BX202" s="92"/>
      <c r="BY202" s="92"/>
      <c r="BZ202" s="92"/>
    </row>
    <row r="203" spans="1:78" ht="12.9">
      <c r="A203" s="89"/>
      <c r="B203" s="89"/>
      <c r="C203" s="89"/>
      <c r="D203" s="89"/>
      <c r="E203" s="89"/>
      <c r="F203" s="89"/>
      <c r="G203" s="89"/>
      <c r="H203" s="105"/>
      <c r="I203" s="106"/>
      <c r="J203" s="106"/>
      <c r="K203" s="89"/>
      <c r="L203" s="89"/>
      <c r="M203" s="89"/>
      <c r="N203" s="107"/>
      <c r="O203" s="107"/>
      <c r="P203" s="89"/>
      <c r="Q203" s="89"/>
      <c r="R203" s="89"/>
      <c r="S203" s="89"/>
      <c r="T203" s="89"/>
      <c r="U203" s="89"/>
      <c r="V203" s="89"/>
      <c r="W203" s="89"/>
      <c r="X203" s="89"/>
      <c r="Y203" s="89"/>
      <c r="Z203" s="77"/>
      <c r="AA203" s="77"/>
      <c r="AB203" s="94"/>
      <c r="AC203" s="94"/>
      <c r="AD203" s="94"/>
      <c r="AE203" s="94"/>
      <c r="AF203" s="91"/>
      <c r="AG203" s="92"/>
      <c r="AH203" s="92"/>
      <c r="AI203" s="93"/>
      <c r="AJ203" s="94"/>
      <c r="AK203" s="92"/>
      <c r="AL203" s="94"/>
      <c r="AM203" s="94"/>
      <c r="AN203" s="94"/>
      <c r="AO203" s="94"/>
      <c r="AP203" s="94"/>
      <c r="AQ203" s="94"/>
      <c r="AR203" s="94"/>
      <c r="AS203" s="94"/>
      <c r="AT203" s="94"/>
      <c r="AU203" s="92"/>
      <c r="AV203" s="94"/>
      <c r="AW203" s="94"/>
      <c r="AX203" s="94"/>
      <c r="AY203" s="94"/>
      <c r="AZ203" s="94"/>
      <c r="BA203" s="94"/>
      <c r="BB203" s="94"/>
      <c r="BC203" s="94"/>
      <c r="BD203" s="94"/>
      <c r="BE203" s="94"/>
      <c r="BF203" s="94"/>
      <c r="BG203" s="94"/>
      <c r="BH203" s="94"/>
      <c r="BI203" s="94"/>
      <c r="BJ203" s="94"/>
      <c r="BK203" s="94"/>
      <c r="BL203" s="92"/>
      <c r="BM203" s="94"/>
      <c r="BN203" s="94"/>
      <c r="BO203" s="94"/>
      <c r="BP203" s="94"/>
      <c r="BQ203" s="92"/>
      <c r="BR203" s="92"/>
      <c r="BS203" s="92"/>
      <c r="BT203" s="92"/>
      <c r="BU203" s="92"/>
      <c r="BV203" s="92"/>
      <c r="BW203" s="92"/>
      <c r="BX203" s="92"/>
      <c r="BY203" s="92"/>
      <c r="BZ203" s="92"/>
    </row>
    <row r="204" spans="1:78" ht="12.9">
      <c r="A204" s="89"/>
      <c r="B204" s="89"/>
      <c r="C204" s="89"/>
      <c r="D204" s="89"/>
      <c r="E204" s="89"/>
      <c r="F204" s="89"/>
      <c r="G204" s="89"/>
      <c r="H204" s="105"/>
      <c r="I204" s="106"/>
      <c r="J204" s="106"/>
      <c r="K204" s="89"/>
      <c r="L204" s="89"/>
      <c r="M204" s="89"/>
      <c r="N204" s="107"/>
      <c r="O204" s="107"/>
      <c r="P204" s="89"/>
      <c r="Q204" s="89"/>
      <c r="R204" s="89"/>
      <c r="S204" s="89"/>
      <c r="T204" s="89"/>
      <c r="U204" s="89"/>
      <c r="V204" s="89"/>
      <c r="W204" s="89"/>
      <c r="X204" s="89"/>
      <c r="Y204" s="89"/>
      <c r="Z204" s="77"/>
      <c r="AA204" s="77"/>
      <c r="AB204" s="94"/>
      <c r="AC204" s="94"/>
      <c r="AD204" s="94"/>
      <c r="AE204" s="94"/>
      <c r="AF204" s="91"/>
      <c r="AG204" s="92"/>
      <c r="AH204" s="92"/>
      <c r="AI204" s="93"/>
      <c r="AJ204" s="94"/>
      <c r="AK204" s="92"/>
      <c r="AL204" s="94"/>
      <c r="AM204" s="94"/>
      <c r="AN204" s="94"/>
      <c r="AO204" s="94"/>
      <c r="AP204" s="94"/>
      <c r="AQ204" s="94"/>
      <c r="AR204" s="94"/>
      <c r="AS204" s="94"/>
      <c r="AT204" s="94"/>
      <c r="AU204" s="92"/>
      <c r="AV204" s="94"/>
      <c r="AW204" s="94"/>
      <c r="AX204" s="94"/>
      <c r="AY204" s="94"/>
      <c r="AZ204" s="94"/>
      <c r="BA204" s="94"/>
      <c r="BB204" s="94"/>
      <c r="BC204" s="94"/>
      <c r="BD204" s="94"/>
      <c r="BE204" s="94"/>
      <c r="BF204" s="94"/>
      <c r="BG204" s="94"/>
      <c r="BH204" s="94"/>
      <c r="BI204" s="94"/>
      <c r="BJ204" s="94"/>
      <c r="BK204" s="94"/>
      <c r="BL204" s="92"/>
      <c r="BM204" s="94"/>
      <c r="BN204" s="94"/>
      <c r="BO204" s="94"/>
      <c r="BP204" s="94"/>
      <c r="BQ204" s="92"/>
      <c r="BR204" s="92"/>
      <c r="BS204" s="92"/>
      <c r="BT204" s="92"/>
      <c r="BU204" s="92"/>
      <c r="BV204" s="92"/>
      <c r="BW204" s="92"/>
      <c r="BX204" s="92"/>
      <c r="BY204" s="92"/>
      <c r="BZ204" s="92"/>
    </row>
    <row r="205" spans="1:78" ht="12.9">
      <c r="A205" s="89"/>
      <c r="B205" s="89"/>
      <c r="C205" s="89"/>
      <c r="D205" s="89"/>
      <c r="E205" s="89"/>
      <c r="F205" s="89"/>
      <c r="G205" s="89"/>
      <c r="H205" s="105"/>
      <c r="I205" s="106"/>
      <c r="J205" s="106"/>
      <c r="K205" s="89"/>
      <c r="L205" s="89"/>
      <c r="M205" s="89"/>
      <c r="N205" s="107"/>
      <c r="O205" s="107"/>
      <c r="P205" s="89"/>
      <c r="Q205" s="89"/>
      <c r="R205" s="89"/>
      <c r="S205" s="89"/>
      <c r="T205" s="89"/>
      <c r="U205" s="89"/>
      <c r="V205" s="89"/>
      <c r="W205" s="89"/>
      <c r="X205" s="89"/>
      <c r="Y205" s="89"/>
      <c r="Z205" s="77"/>
      <c r="AA205" s="77"/>
      <c r="AB205" s="94"/>
      <c r="AC205" s="94"/>
      <c r="AD205" s="94"/>
      <c r="AE205" s="94"/>
      <c r="AF205" s="91"/>
      <c r="AG205" s="92"/>
      <c r="AH205" s="92"/>
      <c r="AI205" s="93"/>
      <c r="AJ205" s="94"/>
      <c r="AK205" s="92"/>
      <c r="AL205" s="94"/>
      <c r="AM205" s="94"/>
      <c r="AN205" s="94"/>
      <c r="AO205" s="94"/>
      <c r="AP205" s="94"/>
      <c r="AQ205" s="94"/>
      <c r="AR205" s="94"/>
      <c r="AS205" s="94"/>
      <c r="AT205" s="94"/>
      <c r="AU205" s="92"/>
      <c r="AV205" s="94"/>
      <c r="AW205" s="94"/>
      <c r="AX205" s="94"/>
      <c r="AY205" s="94"/>
      <c r="AZ205" s="94"/>
      <c r="BA205" s="94"/>
      <c r="BB205" s="94"/>
      <c r="BC205" s="94"/>
      <c r="BD205" s="94"/>
      <c r="BE205" s="94"/>
      <c r="BF205" s="94"/>
      <c r="BG205" s="94"/>
      <c r="BH205" s="94"/>
      <c r="BI205" s="94"/>
      <c r="BJ205" s="94"/>
      <c r="BK205" s="94"/>
      <c r="BL205" s="92"/>
      <c r="BM205" s="94"/>
      <c r="BN205" s="94"/>
      <c r="BO205" s="94"/>
      <c r="BP205" s="94"/>
      <c r="BQ205" s="92"/>
      <c r="BR205" s="92"/>
      <c r="BS205" s="92"/>
      <c r="BT205" s="92"/>
      <c r="BU205" s="92"/>
      <c r="BV205" s="92"/>
      <c r="BW205" s="92"/>
      <c r="BX205" s="92"/>
      <c r="BY205" s="92"/>
      <c r="BZ205" s="92"/>
    </row>
    <row r="206" spans="1:78" ht="12.9">
      <c r="A206" s="89"/>
      <c r="B206" s="89"/>
      <c r="C206" s="89"/>
      <c r="D206" s="89"/>
      <c r="E206" s="89"/>
      <c r="F206" s="89"/>
      <c r="G206" s="89"/>
      <c r="H206" s="105"/>
      <c r="I206" s="106"/>
      <c r="J206" s="106"/>
      <c r="K206" s="89"/>
      <c r="L206" s="89"/>
      <c r="M206" s="89"/>
      <c r="N206" s="107"/>
      <c r="O206" s="107"/>
      <c r="P206" s="89"/>
      <c r="Q206" s="89"/>
      <c r="R206" s="89"/>
      <c r="S206" s="89"/>
      <c r="T206" s="89"/>
      <c r="U206" s="89"/>
      <c r="V206" s="89"/>
      <c r="W206" s="89"/>
      <c r="X206" s="89"/>
      <c r="Y206" s="89"/>
      <c r="Z206" s="77"/>
      <c r="AA206" s="77"/>
      <c r="AB206" s="94"/>
      <c r="AC206" s="94"/>
      <c r="AD206" s="94"/>
      <c r="AE206" s="94"/>
      <c r="AF206" s="91"/>
      <c r="AG206" s="92"/>
      <c r="AH206" s="92"/>
      <c r="AI206" s="93"/>
      <c r="AJ206" s="94"/>
      <c r="AK206" s="92"/>
      <c r="AL206" s="94"/>
      <c r="AM206" s="94"/>
      <c r="AN206" s="94"/>
      <c r="AO206" s="94"/>
      <c r="AP206" s="94"/>
      <c r="AQ206" s="94"/>
      <c r="AR206" s="94"/>
      <c r="AS206" s="94"/>
      <c r="AT206" s="94"/>
      <c r="AU206" s="92"/>
      <c r="AV206" s="94"/>
      <c r="AW206" s="94"/>
      <c r="AX206" s="94"/>
      <c r="AY206" s="94"/>
      <c r="AZ206" s="94"/>
      <c r="BA206" s="94"/>
      <c r="BB206" s="94"/>
      <c r="BC206" s="94"/>
      <c r="BD206" s="94"/>
      <c r="BE206" s="94"/>
      <c r="BF206" s="94"/>
      <c r="BG206" s="94"/>
      <c r="BH206" s="94"/>
      <c r="BI206" s="94"/>
      <c r="BJ206" s="94"/>
      <c r="BK206" s="94"/>
      <c r="BL206" s="92"/>
      <c r="BM206" s="94"/>
      <c r="BN206" s="94"/>
      <c r="BO206" s="94"/>
      <c r="BP206" s="94"/>
      <c r="BQ206" s="92"/>
      <c r="BR206" s="92"/>
      <c r="BS206" s="92"/>
      <c r="BT206" s="92"/>
      <c r="BU206" s="92"/>
      <c r="BV206" s="92"/>
      <c r="BW206" s="92"/>
      <c r="BX206" s="92"/>
      <c r="BY206" s="92"/>
      <c r="BZ206" s="92"/>
    </row>
    <row r="207" spans="1:78" ht="12.9">
      <c r="A207" s="89"/>
      <c r="B207" s="89"/>
      <c r="C207" s="89"/>
      <c r="D207" s="89"/>
      <c r="E207" s="89"/>
      <c r="F207" s="89"/>
      <c r="G207" s="89"/>
      <c r="H207" s="105"/>
      <c r="I207" s="106"/>
      <c r="J207" s="106"/>
      <c r="K207" s="89"/>
      <c r="L207" s="89"/>
      <c r="M207" s="89"/>
      <c r="N207" s="107"/>
      <c r="O207" s="107"/>
      <c r="P207" s="89"/>
      <c r="Q207" s="89"/>
      <c r="R207" s="89"/>
      <c r="S207" s="89"/>
      <c r="T207" s="89"/>
      <c r="U207" s="89"/>
      <c r="V207" s="89"/>
      <c r="W207" s="89"/>
      <c r="X207" s="89"/>
      <c r="Y207" s="89"/>
      <c r="Z207" s="77"/>
      <c r="AA207" s="77"/>
      <c r="AB207" s="94"/>
      <c r="AC207" s="94"/>
      <c r="AD207" s="94"/>
      <c r="AE207" s="94"/>
      <c r="AF207" s="91"/>
      <c r="AG207" s="92"/>
      <c r="AH207" s="92"/>
      <c r="AI207" s="93"/>
      <c r="AJ207" s="94"/>
      <c r="AK207" s="92"/>
      <c r="AL207" s="94"/>
      <c r="AM207" s="94"/>
      <c r="AN207" s="94"/>
      <c r="AO207" s="94"/>
      <c r="AP207" s="94"/>
      <c r="AQ207" s="94"/>
      <c r="AR207" s="94"/>
      <c r="AS207" s="94"/>
      <c r="AT207" s="94"/>
      <c r="AU207" s="92"/>
      <c r="AV207" s="94"/>
      <c r="AW207" s="94"/>
      <c r="AX207" s="94"/>
      <c r="AY207" s="94"/>
      <c r="AZ207" s="94"/>
      <c r="BA207" s="94"/>
      <c r="BB207" s="94"/>
      <c r="BC207" s="94"/>
      <c r="BD207" s="94"/>
      <c r="BE207" s="94"/>
      <c r="BF207" s="94"/>
      <c r="BG207" s="94"/>
      <c r="BH207" s="94"/>
      <c r="BI207" s="94"/>
      <c r="BJ207" s="94"/>
      <c r="BK207" s="94"/>
      <c r="BL207" s="92"/>
      <c r="BM207" s="94"/>
      <c r="BN207" s="94"/>
      <c r="BO207" s="94"/>
      <c r="BP207" s="94"/>
      <c r="BQ207" s="92"/>
      <c r="BR207" s="92"/>
      <c r="BS207" s="92"/>
      <c r="BT207" s="92"/>
      <c r="BU207" s="92"/>
      <c r="BV207" s="92"/>
      <c r="BW207" s="92"/>
      <c r="BX207" s="92"/>
      <c r="BY207" s="92"/>
      <c r="BZ207" s="92"/>
    </row>
    <row r="208" spans="1:78" ht="12.9">
      <c r="A208" s="89"/>
      <c r="B208" s="89"/>
      <c r="C208" s="89"/>
      <c r="D208" s="89"/>
      <c r="E208" s="89"/>
      <c r="F208" s="89"/>
      <c r="G208" s="89"/>
      <c r="H208" s="105"/>
      <c r="I208" s="106"/>
      <c r="J208" s="106"/>
      <c r="K208" s="89"/>
      <c r="L208" s="89"/>
      <c r="M208" s="89"/>
      <c r="N208" s="107"/>
      <c r="O208" s="107"/>
      <c r="P208" s="89"/>
      <c r="Q208" s="89"/>
      <c r="R208" s="89"/>
      <c r="S208" s="89"/>
      <c r="T208" s="89"/>
      <c r="U208" s="89"/>
      <c r="V208" s="89"/>
      <c r="W208" s="89"/>
      <c r="X208" s="89"/>
      <c r="Y208" s="89"/>
      <c r="Z208" s="77"/>
      <c r="AA208" s="77"/>
      <c r="AB208" s="94"/>
      <c r="AC208" s="94"/>
      <c r="AD208" s="94"/>
      <c r="AE208" s="94"/>
      <c r="AF208" s="91"/>
      <c r="AG208" s="92"/>
      <c r="AH208" s="92"/>
      <c r="AI208" s="93"/>
      <c r="AJ208" s="94"/>
      <c r="AK208" s="92"/>
      <c r="AL208" s="94"/>
      <c r="AM208" s="94"/>
      <c r="AN208" s="94"/>
      <c r="AO208" s="94"/>
      <c r="AP208" s="94"/>
      <c r="AQ208" s="94"/>
      <c r="AR208" s="94"/>
      <c r="AS208" s="94"/>
      <c r="AT208" s="94"/>
      <c r="AU208" s="92"/>
      <c r="AV208" s="94"/>
      <c r="AW208" s="94"/>
      <c r="AX208" s="94"/>
      <c r="AY208" s="94"/>
      <c r="AZ208" s="94"/>
      <c r="BA208" s="94"/>
      <c r="BB208" s="94"/>
      <c r="BC208" s="94"/>
      <c r="BD208" s="94"/>
      <c r="BE208" s="94"/>
      <c r="BF208" s="94"/>
      <c r="BG208" s="94"/>
      <c r="BH208" s="94"/>
      <c r="BI208" s="94"/>
      <c r="BJ208" s="94"/>
      <c r="BK208" s="94"/>
      <c r="BL208" s="92"/>
      <c r="BM208" s="94"/>
      <c r="BN208" s="94"/>
      <c r="BO208" s="94"/>
      <c r="BP208" s="94"/>
      <c r="BQ208" s="92"/>
      <c r="BR208" s="92"/>
      <c r="BS208" s="92"/>
      <c r="BT208" s="92"/>
      <c r="BU208" s="92"/>
      <c r="BV208" s="92"/>
      <c r="BW208" s="92"/>
      <c r="BX208" s="92"/>
      <c r="BY208" s="92"/>
      <c r="BZ208" s="92"/>
    </row>
    <row r="209" spans="1:78" ht="12.9">
      <c r="A209" s="89"/>
      <c r="B209" s="89"/>
      <c r="C209" s="89"/>
      <c r="D209" s="89"/>
      <c r="E209" s="89"/>
      <c r="F209" s="89"/>
      <c r="G209" s="89"/>
      <c r="H209" s="105"/>
      <c r="I209" s="106"/>
      <c r="J209" s="106"/>
      <c r="K209" s="89"/>
      <c r="L209" s="89"/>
      <c r="M209" s="89"/>
      <c r="N209" s="107"/>
      <c r="O209" s="107"/>
      <c r="P209" s="89"/>
      <c r="Q209" s="89"/>
      <c r="R209" s="89"/>
      <c r="S209" s="89"/>
      <c r="T209" s="89"/>
      <c r="U209" s="89"/>
      <c r="V209" s="89"/>
      <c r="W209" s="89"/>
      <c r="X209" s="89"/>
      <c r="Y209" s="89"/>
      <c r="Z209" s="77"/>
      <c r="AA209" s="77"/>
      <c r="AB209" s="94"/>
      <c r="AC209" s="94"/>
      <c r="AD209" s="94"/>
      <c r="AE209" s="94"/>
      <c r="AF209" s="91"/>
      <c r="AG209" s="92"/>
      <c r="AH209" s="92"/>
      <c r="AI209" s="93"/>
      <c r="AJ209" s="94"/>
      <c r="AK209" s="92"/>
      <c r="AL209" s="94"/>
      <c r="AM209" s="94"/>
      <c r="AN209" s="94"/>
      <c r="AO209" s="94"/>
      <c r="AP209" s="94"/>
      <c r="AQ209" s="94"/>
      <c r="AR209" s="94"/>
      <c r="AS209" s="94"/>
      <c r="AT209" s="94"/>
      <c r="AU209" s="92"/>
      <c r="AV209" s="94"/>
      <c r="AW209" s="94"/>
      <c r="AX209" s="94"/>
      <c r="AY209" s="94"/>
      <c r="AZ209" s="94"/>
      <c r="BA209" s="94"/>
      <c r="BB209" s="94"/>
      <c r="BC209" s="94"/>
      <c r="BD209" s="94"/>
      <c r="BE209" s="94"/>
      <c r="BF209" s="94"/>
      <c r="BG209" s="94"/>
      <c r="BH209" s="94"/>
      <c r="BI209" s="94"/>
      <c r="BJ209" s="94"/>
      <c r="BK209" s="94"/>
      <c r="BL209" s="92"/>
      <c r="BM209" s="94"/>
      <c r="BN209" s="94"/>
      <c r="BO209" s="94"/>
      <c r="BP209" s="94"/>
      <c r="BQ209" s="92"/>
      <c r="BR209" s="92"/>
      <c r="BS209" s="92"/>
      <c r="BT209" s="92"/>
      <c r="BU209" s="92"/>
      <c r="BV209" s="92"/>
      <c r="BW209" s="92"/>
      <c r="BX209" s="92"/>
      <c r="BY209" s="92"/>
      <c r="BZ209" s="92"/>
    </row>
    <row r="210" spans="1:78" ht="12.9">
      <c r="A210" s="89"/>
      <c r="B210" s="89"/>
      <c r="C210" s="89"/>
      <c r="D210" s="89"/>
      <c r="E210" s="89"/>
      <c r="F210" s="89"/>
      <c r="G210" s="89"/>
      <c r="H210" s="105"/>
      <c r="I210" s="106"/>
      <c r="J210" s="106"/>
      <c r="K210" s="89"/>
      <c r="L210" s="89"/>
      <c r="M210" s="89"/>
      <c r="N210" s="107"/>
      <c r="O210" s="107"/>
      <c r="P210" s="89"/>
      <c r="Q210" s="89"/>
      <c r="R210" s="89"/>
      <c r="S210" s="89"/>
      <c r="T210" s="89"/>
      <c r="U210" s="89"/>
      <c r="V210" s="89"/>
      <c r="W210" s="89"/>
      <c r="X210" s="89"/>
      <c r="Y210" s="89"/>
      <c r="Z210" s="77"/>
      <c r="AA210" s="77"/>
      <c r="AB210" s="94"/>
      <c r="AC210" s="94"/>
      <c r="AD210" s="94"/>
      <c r="AE210" s="94"/>
      <c r="AF210" s="91"/>
      <c r="AG210" s="92"/>
      <c r="AH210" s="92"/>
      <c r="AI210" s="93"/>
      <c r="AJ210" s="94"/>
      <c r="AK210" s="92"/>
      <c r="AL210" s="94"/>
      <c r="AM210" s="94"/>
      <c r="AN210" s="94"/>
      <c r="AO210" s="94"/>
      <c r="AP210" s="94"/>
      <c r="AQ210" s="94"/>
      <c r="AR210" s="94"/>
      <c r="AS210" s="94"/>
      <c r="AT210" s="94"/>
      <c r="AU210" s="92"/>
      <c r="AV210" s="94"/>
      <c r="AW210" s="94"/>
      <c r="AX210" s="94"/>
      <c r="AY210" s="94"/>
      <c r="AZ210" s="94"/>
      <c r="BA210" s="94"/>
      <c r="BB210" s="94"/>
      <c r="BC210" s="94"/>
      <c r="BD210" s="94"/>
      <c r="BE210" s="94"/>
      <c r="BF210" s="94"/>
      <c r="BG210" s="94"/>
      <c r="BH210" s="94"/>
      <c r="BI210" s="94"/>
      <c r="BJ210" s="94"/>
      <c r="BK210" s="94"/>
      <c r="BL210" s="92"/>
      <c r="BM210" s="94"/>
      <c r="BN210" s="94"/>
      <c r="BO210" s="94"/>
      <c r="BP210" s="94"/>
      <c r="BQ210" s="92"/>
      <c r="BR210" s="92"/>
      <c r="BS210" s="92"/>
      <c r="BT210" s="92"/>
      <c r="BU210" s="92"/>
      <c r="BV210" s="92"/>
      <c r="BW210" s="92"/>
      <c r="BX210" s="92"/>
      <c r="BY210" s="92"/>
      <c r="BZ210" s="92"/>
    </row>
    <row r="211" spans="1:78" ht="12.9">
      <c r="A211" s="89"/>
      <c r="B211" s="89"/>
      <c r="C211" s="89"/>
      <c r="D211" s="89"/>
      <c r="E211" s="89"/>
      <c r="F211" s="89"/>
      <c r="G211" s="89"/>
      <c r="H211" s="105"/>
      <c r="I211" s="106"/>
      <c r="J211" s="106"/>
      <c r="K211" s="89"/>
      <c r="L211" s="89"/>
      <c r="M211" s="89"/>
      <c r="N211" s="107"/>
      <c r="O211" s="107"/>
      <c r="P211" s="89"/>
      <c r="Q211" s="89"/>
      <c r="R211" s="89"/>
      <c r="S211" s="89"/>
      <c r="T211" s="89"/>
      <c r="U211" s="89"/>
      <c r="V211" s="89"/>
      <c r="W211" s="89"/>
      <c r="X211" s="89"/>
      <c r="Y211" s="89"/>
      <c r="Z211" s="77"/>
      <c r="AA211" s="77"/>
      <c r="AB211" s="94"/>
      <c r="AC211" s="94"/>
      <c r="AD211" s="94"/>
      <c r="AE211" s="94"/>
      <c r="AF211" s="91"/>
      <c r="AG211" s="92"/>
      <c r="AH211" s="92"/>
      <c r="AI211" s="93"/>
      <c r="AJ211" s="94"/>
      <c r="AK211" s="92"/>
      <c r="AL211" s="94"/>
      <c r="AM211" s="94"/>
      <c r="AN211" s="94"/>
      <c r="AO211" s="94"/>
      <c r="AP211" s="94"/>
      <c r="AQ211" s="94"/>
      <c r="AR211" s="94"/>
      <c r="AS211" s="94"/>
      <c r="AT211" s="94"/>
      <c r="AU211" s="92"/>
      <c r="AV211" s="94"/>
      <c r="AW211" s="94"/>
      <c r="AX211" s="94"/>
      <c r="AY211" s="94"/>
      <c r="AZ211" s="94"/>
      <c r="BA211" s="94"/>
      <c r="BB211" s="94"/>
      <c r="BC211" s="94"/>
      <c r="BD211" s="94"/>
      <c r="BE211" s="94"/>
      <c r="BF211" s="94"/>
      <c r="BG211" s="94"/>
      <c r="BH211" s="94"/>
      <c r="BI211" s="94"/>
      <c r="BJ211" s="94"/>
      <c r="BK211" s="94"/>
      <c r="BL211" s="92"/>
      <c r="BM211" s="94"/>
      <c r="BN211" s="94"/>
      <c r="BO211" s="94"/>
      <c r="BP211" s="94"/>
      <c r="BQ211" s="92"/>
      <c r="BR211" s="92"/>
      <c r="BS211" s="92"/>
      <c r="BT211" s="92"/>
      <c r="BU211" s="92"/>
      <c r="BV211" s="92"/>
      <c r="BW211" s="92"/>
      <c r="BX211" s="92"/>
      <c r="BY211" s="92"/>
      <c r="BZ211" s="92"/>
    </row>
    <row r="212" spans="1:78" ht="12.9">
      <c r="A212" s="89"/>
      <c r="B212" s="89"/>
      <c r="C212" s="89"/>
      <c r="D212" s="89"/>
      <c r="E212" s="89"/>
      <c r="F212" s="89"/>
      <c r="G212" s="89"/>
      <c r="H212" s="105"/>
      <c r="I212" s="106"/>
      <c r="J212" s="106"/>
      <c r="K212" s="89"/>
      <c r="L212" s="89"/>
      <c r="M212" s="89"/>
      <c r="N212" s="107"/>
      <c r="O212" s="107"/>
      <c r="P212" s="89"/>
      <c r="Q212" s="89"/>
      <c r="R212" s="89"/>
      <c r="S212" s="89"/>
      <c r="T212" s="89"/>
      <c r="U212" s="89"/>
      <c r="V212" s="89"/>
      <c r="W212" s="89"/>
      <c r="X212" s="89"/>
      <c r="Y212" s="89"/>
      <c r="Z212" s="77"/>
      <c r="AA212" s="77"/>
      <c r="AB212" s="94"/>
      <c r="AC212" s="94"/>
      <c r="AD212" s="94"/>
      <c r="AE212" s="94"/>
      <c r="AF212" s="91"/>
      <c r="AG212" s="92"/>
      <c r="AH212" s="92"/>
      <c r="AI212" s="93"/>
      <c r="AJ212" s="94"/>
      <c r="AK212" s="92"/>
      <c r="AL212" s="94"/>
      <c r="AM212" s="94"/>
      <c r="AN212" s="94"/>
      <c r="AO212" s="94"/>
      <c r="AP212" s="94"/>
      <c r="AQ212" s="94"/>
      <c r="AR212" s="94"/>
      <c r="AS212" s="94"/>
      <c r="AT212" s="94"/>
      <c r="AU212" s="92"/>
      <c r="AV212" s="94"/>
      <c r="AW212" s="94"/>
      <c r="AX212" s="94"/>
      <c r="AY212" s="94"/>
      <c r="AZ212" s="94"/>
      <c r="BA212" s="94"/>
      <c r="BB212" s="94"/>
      <c r="BC212" s="94"/>
      <c r="BD212" s="94"/>
      <c r="BE212" s="94"/>
      <c r="BF212" s="94"/>
      <c r="BG212" s="94"/>
      <c r="BH212" s="94"/>
      <c r="BI212" s="94"/>
      <c r="BJ212" s="94"/>
      <c r="BK212" s="94"/>
      <c r="BL212" s="92"/>
      <c r="BM212" s="94"/>
      <c r="BN212" s="94"/>
      <c r="BO212" s="94"/>
      <c r="BP212" s="94"/>
      <c r="BQ212" s="92"/>
      <c r="BR212" s="92"/>
      <c r="BS212" s="92"/>
      <c r="BT212" s="92"/>
      <c r="BU212" s="92"/>
      <c r="BV212" s="92"/>
      <c r="BW212" s="92"/>
      <c r="BX212" s="92"/>
      <c r="BY212" s="92"/>
      <c r="BZ212" s="92"/>
    </row>
    <row r="213" spans="1:78" ht="12.9">
      <c r="A213" s="89"/>
      <c r="B213" s="89"/>
      <c r="C213" s="89"/>
      <c r="D213" s="89"/>
      <c r="E213" s="89"/>
      <c r="F213" s="89"/>
      <c r="G213" s="89"/>
      <c r="H213" s="105"/>
      <c r="I213" s="106"/>
      <c r="J213" s="106"/>
      <c r="K213" s="89"/>
      <c r="L213" s="89"/>
      <c r="M213" s="89"/>
      <c r="N213" s="107"/>
      <c r="O213" s="107"/>
      <c r="P213" s="89"/>
      <c r="Q213" s="89"/>
      <c r="R213" s="89"/>
      <c r="S213" s="89"/>
      <c r="T213" s="89"/>
      <c r="U213" s="89"/>
      <c r="V213" s="89"/>
      <c r="W213" s="89"/>
      <c r="X213" s="89"/>
      <c r="Y213" s="89"/>
      <c r="Z213" s="77"/>
      <c r="AA213" s="77"/>
      <c r="AB213" s="94"/>
      <c r="AC213" s="94"/>
      <c r="AD213" s="94"/>
      <c r="AE213" s="94"/>
      <c r="AF213" s="91"/>
      <c r="AG213" s="92"/>
      <c r="AH213" s="92"/>
      <c r="AI213" s="93"/>
      <c r="AJ213" s="94"/>
      <c r="AK213" s="92"/>
      <c r="AL213" s="94"/>
      <c r="AM213" s="94"/>
      <c r="AN213" s="94"/>
      <c r="AO213" s="94"/>
      <c r="AP213" s="94"/>
      <c r="AQ213" s="94"/>
      <c r="AR213" s="94"/>
      <c r="AS213" s="94"/>
      <c r="AT213" s="94"/>
      <c r="AU213" s="92"/>
      <c r="AV213" s="94"/>
      <c r="AW213" s="94"/>
      <c r="AX213" s="94"/>
      <c r="AY213" s="94"/>
      <c r="AZ213" s="94"/>
      <c r="BA213" s="94"/>
      <c r="BB213" s="94"/>
      <c r="BC213" s="94"/>
      <c r="BD213" s="94"/>
      <c r="BE213" s="94"/>
      <c r="BF213" s="94"/>
      <c r="BG213" s="94"/>
      <c r="BH213" s="94"/>
      <c r="BI213" s="94"/>
      <c r="BJ213" s="94"/>
      <c r="BK213" s="94"/>
      <c r="BL213" s="92"/>
      <c r="BM213" s="94"/>
      <c r="BN213" s="94"/>
      <c r="BO213" s="94"/>
      <c r="BP213" s="94"/>
      <c r="BQ213" s="92"/>
      <c r="BR213" s="92"/>
      <c r="BS213" s="92"/>
      <c r="BT213" s="92"/>
      <c r="BU213" s="92"/>
      <c r="BV213" s="92"/>
      <c r="BW213" s="92"/>
      <c r="BX213" s="92"/>
      <c r="BY213" s="92"/>
      <c r="BZ213" s="92"/>
    </row>
    <row r="214" spans="1:78" ht="12.9">
      <c r="A214" s="89"/>
      <c r="B214" s="89"/>
      <c r="C214" s="89"/>
      <c r="D214" s="89"/>
      <c r="E214" s="89"/>
      <c r="F214" s="89"/>
      <c r="G214" s="89"/>
      <c r="H214" s="105"/>
      <c r="I214" s="106"/>
      <c r="J214" s="106"/>
      <c r="K214" s="89"/>
      <c r="L214" s="89"/>
      <c r="M214" s="89"/>
      <c r="N214" s="107"/>
      <c r="O214" s="107"/>
      <c r="P214" s="89"/>
      <c r="Q214" s="89"/>
      <c r="R214" s="89"/>
      <c r="S214" s="89"/>
      <c r="T214" s="89"/>
      <c r="U214" s="89"/>
      <c r="V214" s="89"/>
      <c r="W214" s="89"/>
      <c r="X214" s="89"/>
      <c r="Y214" s="89"/>
      <c r="Z214" s="77"/>
      <c r="AA214" s="77"/>
      <c r="AB214" s="94"/>
      <c r="AC214" s="94"/>
      <c r="AD214" s="94"/>
      <c r="AE214" s="94"/>
      <c r="AF214" s="91"/>
      <c r="AG214" s="92"/>
      <c r="AH214" s="92"/>
      <c r="AI214" s="93"/>
      <c r="AJ214" s="94"/>
      <c r="AK214" s="92"/>
      <c r="AL214" s="94"/>
      <c r="AM214" s="94"/>
      <c r="AN214" s="94"/>
      <c r="AO214" s="94"/>
      <c r="AP214" s="94"/>
      <c r="AQ214" s="94"/>
      <c r="AR214" s="94"/>
      <c r="AS214" s="94"/>
      <c r="AT214" s="94"/>
      <c r="AU214" s="92"/>
      <c r="AV214" s="94"/>
      <c r="AW214" s="94"/>
      <c r="AX214" s="94"/>
      <c r="AY214" s="94"/>
      <c r="AZ214" s="94"/>
      <c r="BA214" s="94"/>
      <c r="BB214" s="94"/>
      <c r="BC214" s="94"/>
      <c r="BD214" s="94"/>
      <c r="BE214" s="94"/>
      <c r="BF214" s="94"/>
      <c r="BG214" s="94"/>
      <c r="BH214" s="94"/>
      <c r="BI214" s="94"/>
      <c r="BJ214" s="94"/>
      <c r="BK214" s="94"/>
      <c r="BL214" s="92"/>
      <c r="BM214" s="94"/>
      <c r="BN214" s="94"/>
      <c r="BO214" s="94"/>
      <c r="BP214" s="94"/>
      <c r="BQ214" s="92"/>
      <c r="BR214" s="92"/>
      <c r="BS214" s="92"/>
      <c r="BT214" s="92"/>
      <c r="BU214" s="92"/>
      <c r="BV214" s="92"/>
      <c r="BW214" s="92"/>
      <c r="BX214" s="92"/>
      <c r="BY214" s="92"/>
      <c r="BZ214" s="92"/>
    </row>
    <row r="215" spans="1:78" ht="12.9">
      <c r="A215" s="89"/>
      <c r="B215" s="89"/>
      <c r="C215" s="89"/>
      <c r="D215" s="89"/>
      <c r="E215" s="89"/>
      <c r="F215" s="89"/>
      <c r="G215" s="89"/>
      <c r="H215" s="105"/>
      <c r="I215" s="106"/>
      <c r="J215" s="106"/>
      <c r="K215" s="89"/>
      <c r="L215" s="89"/>
      <c r="M215" s="89"/>
      <c r="N215" s="107"/>
      <c r="O215" s="107"/>
      <c r="P215" s="89"/>
      <c r="Q215" s="89"/>
      <c r="R215" s="89"/>
      <c r="S215" s="89"/>
      <c r="T215" s="89"/>
      <c r="U215" s="89"/>
      <c r="V215" s="89"/>
      <c r="W215" s="89"/>
      <c r="X215" s="89"/>
      <c r="Y215" s="89"/>
      <c r="Z215" s="77"/>
      <c r="AA215" s="77"/>
      <c r="AB215" s="94"/>
      <c r="AC215" s="94"/>
      <c r="AD215" s="94"/>
      <c r="AE215" s="94"/>
      <c r="AF215" s="91"/>
      <c r="AG215" s="92"/>
      <c r="AH215" s="92"/>
      <c r="AI215" s="93"/>
      <c r="AJ215" s="94"/>
      <c r="AK215" s="92"/>
      <c r="AL215" s="94"/>
      <c r="AM215" s="94"/>
      <c r="AN215" s="94"/>
      <c r="AO215" s="94"/>
      <c r="AP215" s="94"/>
      <c r="AQ215" s="94"/>
      <c r="AR215" s="94"/>
      <c r="AS215" s="94"/>
      <c r="AT215" s="94"/>
      <c r="AU215" s="92"/>
      <c r="AV215" s="94"/>
      <c r="AW215" s="94"/>
      <c r="AX215" s="94"/>
      <c r="AY215" s="94"/>
      <c r="AZ215" s="94"/>
      <c r="BA215" s="94"/>
      <c r="BB215" s="94"/>
      <c r="BC215" s="94"/>
      <c r="BD215" s="94"/>
      <c r="BE215" s="94"/>
      <c r="BF215" s="94"/>
      <c r="BG215" s="94"/>
      <c r="BH215" s="94"/>
      <c r="BI215" s="94"/>
      <c r="BJ215" s="94"/>
      <c r="BK215" s="94"/>
      <c r="BL215" s="92"/>
      <c r="BM215" s="94"/>
      <c r="BN215" s="94"/>
      <c r="BO215" s="94"/>
      <c r="BP215" s="94"/>
      <c r="BQ215" s="92"/>
      <c r="BR215" s="92"/>
      <c r="BS215" s="92"/>
      <c r="BT215" s="92"/>
      <c r="BU215" s="92"/>
      <c r="BV215" s="92"/>
      <c r="BW215" s="92"/>
      <c r="BX215" s="92"/>
      <c r="BY215" s="92"/>
      <c r="BZ215" s="92"/>
    </row>
    <row r="216" spans="1:78" ht="12.9">
      <c r="A216" s="89"/>
      <c r="B216" s="89"/>
      <c r="C216" s="89"/>
      <c r="D216" s="89"/>
      <c r="E216" s="89"/>
      <c r="F216" s="89"/>
      <c r="G216" s="89"/>
      <c r="H216" s="105"/>
      <c r="I216" s="106"/>
      <c r="J216" s="106"/>
      <c r="K216" s="89"/>
      <c r="L216" s="89"/>
      <c r="M216" s="89"/>
      <c r="N216" s="107"/>
      <c r="O216" s="107"/>
      <c r="P216" s="89"/>
      <c r="Q216" s="89"/>
      <c r="R216" s="89"/>
      <c r="S216" s="89"/>
      <c r="T216" s="89"/>
      <c r="U216" s="89"/>
      <c r="V216" s="89"/>
      <c r="W216" s="89"/>
      <c r="X216" s="89"/>
      <c r="Y216" s="89"/>
      <c r="Z216" s="77"/>
      <c r="AA216" s="77"/>
      <c r="AB216" s="94"/>
      <c r="AC216" s="94"/>
      <c r="AD216" s="94"/>
      <c r="AE216" s="94"/>
      <c r="AF216" s="91"/>
      <c r="AG216" s="92"/>
      <c r="AH216" s="92"/>
      <c r="AI216" s="93"/>
      <c r="AJ216" s="94"/>
      <c r="AK216" s="92"/>
      <c r="AL216" s="94"/>
      <c r="AM216" s="94"/>
      <c r="AN216" s="94"/>
      <c r="AO216" s="94"/>
      <c r="AP216" s="94"/>
      <c r="AQ216" s="94"/>
      <c r="AR216" s="94"/>
      <c r="AS216" s="94"/>
      <c r="AT216" s="94"/>
      <c r="AU216" s="92"/>
      <c r="AV216" s="94"/>
      <c r="AW216" s="94"/>
      <c r="AX216" s="94"/>
      <c r="AY216" s="94"/>
      <c r="AZ216" s="94"/>
      <c r="BA216" s="94"/>
      <c r="BB216" s="94"/>
      <c r="BC216" s="94"/>
      <c r="BD216" s="94"/>
      <c r="BE216" s="94"/>
      <c r="BF216" s="94"/>
      <c r="BG216" s="94"/>
      <c r="BH216" s="94"/>
      <c r="BI216" s="94"/>
      <c r="BJ216" s="94"/>
      <c r="BK216" s="94"/>
      <c r="BL216" s="92"/>
      <c r="BM216" s="94"/>
      <c r="BN216" s="94"/>
      <c r="BO216" s="94"/>
      <c r="BP216" s="94"/>
      <c r="BQ216" s="92"/>
      <c r="BR216" s="92"/>
      <c r="BS216" s="92"/>
      <c r="BT216" s="92"/>
      <c r="BU216" s="92"/>
      <c r="BV216" s="92"/>
      <c r="BW216" s="92"/>
      <c r="BX216" s="92"/>
      <c r="BY216" s="92"/>
      <c r="BZ216" s="92"/>
    </row>
    <row r="217" spans="1:78" ht="12.9">
      <c r="A217" s="89"/>
      <c r="B217" s="89"/>
      <c r="C217" s="89"/>
      <c r="D217" s="89"/>
      <c r="E217" s="89"/>
      <c r="F217" s="89"/>
      <c r="G217" s="89"/>
      <c r="H217" s="105"/>
      <c r="I217" s="106"/>
      <c r="J217" s="106"/>
      <c r="K217" s="89"/>
      <c r="L217" s="89"/>
      <c r="M217" s="89"/>
      <c r="N217" s="107"/>
      <c r="O217" s="107"/>
      <c r="P217" s="89"/>
      <c r="Q217" s="89"/>
      <c r="R217" s="89"/>
      <c r="S217" s="89"/>
      <c r="T217" s="89"/>
      <c r="U217" s="89"/>
      <c r="V217" s="89"/>
      <c r="W217" s="89"/>
      <c r="X217" s="89"/>
      <c r="Y217" s="89"/>
      <c r="Z217" s="77"/>
      <c r="AA217" s="77"/>
      <c r="AB217" s="94"/>
      <c r="AC217" s="94"/>
      <c r="AD217" s="94"/>
      <c r="AE217" s="94"/>
      <c r="AF217" s="91"/>
      <c r="AG217" s="92"/>
      <c r="AH217" s="92"/>
      <c r="AI217" s="93"/>
      <c r="AJ217" s="94"/>
      <c r="AK217" s="92"/>
      <c r="AL217" s="94"/>
      <c r="AM217" s="94"/>
      <c r="AN217" s="94"/>
      <c r="AO217" s="94"/>
      <c r="AP217" s="94"/>
      <c r="AQ217" s="94"/>
      <c r="AR217" s="94"/>
      <c r="AS217" s="94"/>
      <c r="AT217" s="94"/>
      <c r="AU217" s="92"/>
      <c r="AV217" s="94"/>
      <c r="AW217" s="94"/>
      <c r="AX217" s="94"/>
      <c r="AY217" s="94"/>
      <c r="AZ217" s="94"/>
      <c r="BA217" s="94"/>
      <c r="BB217" s="94"/>
      <c r="BC217" s="94"/>
      <c r="BD217" s="94"/>
      <c r="BE217" s="94"/>
      <c r="BF217" s="94"/>
      <c r="BG217" s="94"/>
      <c r="BH217" s="94"/>
      <c r="BI217" s="94"/>
      <c r="BJ217" s="94"/>
      <c r="BK217" s="94"/>
      <c r="BL217" s="92"/>
      <c r="BM217" s="94"/>
      <c r="BN217" s="94"/>
      <c r="BO217" s="94"/>
      <c r="BP217" s="94"/>
      <c r="BQ217" s="92"/>
      <c r="BR217" s="92"/>
      <c r="BS217" s="92"/>
      <c r="BT217" s="92"/>
      <c r="BU217" s="92"/>
      <c r="BV217" s="92"/>
      <c r="BW217" s="92"/>
      <c r="BX217" s="92"/>
      <c r="BY217" s="92"/>
      <c r="BZ217" s="92"/>
    </row>
    <row r="218" spans="1:78" ht="12.9">
      <c r="A218" s="89"/>
      <c r="B218" s="89"/>
      <c r="C218" s="89"/>
      <c r="D218" s="89"/>
      <c r="E218" s="89"/>
      <c r="F218" s="89"/>
      <c r="G218" s="89"/>
      <c r="H218" s="105"/>
      <c r="I218" s="106"/>
      <c r="J218" s="106"/>
      <c r="K218" s="89"/>
      <c r="L218" s="89"/>
      <c r="M218" s="89"/>
      <c r="N218" s="107"/>
      <c r="O218" s="107"/>
      <c r="P218" s="89"/>
      <c r="Q218" s="89"/>
      <c r="R218" s="89"/>
      <c r="S218" s="89"/>
      <c r="T218" s="89"/>
      <c r="U218" s="89"/>
      <c r="V218" s="89"/>
      <c r="W218" s="89"/>
      <c r="X218" s="89"/>
      <c r="Y218" s="89"/>
      <c r="Z218" s="77"/>
      <c r="AA218" s="77"/>
      <c r="AB218" s="94"/>
      <c r="AC218" s="94"/>
      <c r="AD218" s="94"/>
      <c r="AE218" s="94"/>
      <c r="AF218" s="91"/>
      <c r="AG218" s="92"/>
      <c r="AH218" s="92"/>
      <c r="AI218" s="93"/>
      <c r="AJ218" s="94"/>
      <c r="AK218" s="92"/>
      <c r="AL218" s="94"/>
      <c r="AM218" s="94"/>
      <c r="AN218" s="94"/>
      <c r="AO218" s="94"/>
      <c r="AP218" s="94"/>
      <c r="AQ218" s="94"/>
      <c r="AR218" s="94"/>
      <c r="AS218" s="94"/>
      <c r="AT218" s="94"/>
      <c r="AU218" s="92"/>
      <c r="AV218" s="94"/>
      <c r="AW218" s="94"/>
      <c r="AX218" s="94"/>
      <c r="AY218" s="94"/>
      <c r="AZ218" s="94"/>
      <c r="BA218" s="94"/>
      <c r="BB218" s="94"/>
      <c r="BC218" s="94"/>
      <c r="BD218" s="94"/>
      <c r="BE218" s="94"/>
      <c r="BF218" s="94"/>
      <c r="BG218" s="94"/>
      <c r="BH218" s="94"/>
      <c r="BI218" s="94"/>
      <c r="BJ218" s="94"/>
      <c r="BK218" s="94"/>
      <c r="BL218" s="92"/>
      <c r="BM218" s="94"/>
      <c r="BN218" s="94"/>
      <c r="BO218" s="94"/>
      <c r="BP218" s="94"/>
      <c r="BQ218" s="92"/>
      <c r="BR218" s="92"/>
      <c r="BS218" s="92"/>
      <c r="BT218" s="92"/>
      <c r="BU218" s="92"/>
      <c r="BV218" s="92"/>
      <c r="BW218" s="92"/>
      <c r="BX218" s="92"/>
      <c r="BY218" s="92"/>
      <c r="BZ218" s="92"/>
    </row>
    <row r="219" spans="1:78" ht="12.9">
      <c r="A219" s="89"/>
      <c r="B219" s="89"/>
      <c r="C219" s="89"/>
      <c r="D219" s="89"/>
      <c r="E219" s="89"/>
      <c r="F219" s="89"/>
      <c r="G219" s="89"/>
      <c r="H219" s="105"/>
      <c r="I219" s="106"/>
      <c r="J219" s="106"/>
      <c r="K219" s="89"/>
      <c r="L219" s="89"/>
      <c r="M219" s="89"/>
      <c r="N219" s="107"/>
      <c r="O219" s="107"/>
      <c r="P219" s="89"/>
      <c r="Q219" s="89"/>
      <c r="R219" s="89"/>
      <c r="S219" s="89"/>
      <c r="T219" s="89"/>
      <c r="U219" s="89"/>
      <c r="V219" s="89"/>
      <c r="W219" s="89"/>
      <c r="X219" s="89"/>
      <c r="Y219" s="89"/>
      <c r="Z219" s="77"/>
      <c r="AA219" s="77"/>
      <c r="AB219" s="94"/>
      <c r="AC219" s="94"/>
      <c r="AD219" s="94"/>
      <c r="AE219" s="94"/>
      <c r="AF219" s="91"/>
      <c r="AG219" s="92"/>
      <c r="AH219" s="92"/>
      <c r="AI219" s="93"/>
      <c r="AJ219" s="94"/>
      <c r="AK219" s="92"/>
      <c r="AL219" s="94"/>
      <c r="AM219" s="94"/>
      <c r="AN219" s="94"/>
      <c r="AO219" s="94"/>
      <c r="AP219" s="94"/>
      <c r="AQ219" s="94"/>
      <c r="AR219" s="94"/>
      <c r="AS219" s="94"/>
      <c r="AT219" s="94"/>
      <c r="AU219" s="92"/>
      <c r="AV219" s="94"/>
      <c r="AW219" s="94"/>
      <c r="AX219" s="94"/>
      <c r="AY219" s="94"/>
      <c r="AZ219" s="94"/>
      <c r="BA219" s="94"/>
      <c r="BB219" s="94"/>
      <c r="BC219" s="94"/>
      <c r="BD219" s="94"/>
      <c r="BE219" s="94"/>
      <c r="BF219" s="94"/>
      <c r="BG219" s="94"/>
      <c r="BH219" s="94"/>
      <c r="BI219" s="94"/>
      <c r="BJ219" s="94"/>
      <c r="BK219" s="94"/>
      <c r="BL219" s="92"/>
      <c r="BM219" s="94"/>
      <c r="BN219" s="94"/>
      <c r="BO219" s="94"/>
      <c r="BP219" s="94"/>
      <c r="BQ219" s="92"/>
      <c r="BR219" s="92"/>
      <c r="BS219" s="92"/>
      <c r="BT219" s="92"/>
      <c r="BU219" s="92"/>
      <c r="BV219" s="92"/>
      <c r="BW219" s="92"/>
      <c r="BX219" s="92"/>
      <c r="BY219" s="92"/>
      <c r="BZ219" s="92"/>
    </row>
    <row r="220" spans="1:78" ht="12.9">
      <c r="A220" s="89"/>
      <c r="B220" s="89"/>
      <c r="C220" s="89"/>
      <c r="D220" s="89"/>
      <c r="E220" s="89"/>
      <c r="F220" s="89"/>
      <c r="G220" s="89"/>
      <c r="H220" s="105"/>
      <c r="I220" s="106"/>
      <c r="J220" s="106"/>
      <c r="K220" s="89"/>
      <c r="L220" s="89"/>
      <c r="M220" s="89"/>
      <c r="N220" s="107"/>
      <c r="O220" s="107"/>
      <c r="P220" s="89"/>
      <c r="Q220" s="89"/>
      <c r="R220" s="89"/>
      <c r="S220" s="89"/>
      <c r="T220" s="89"/>
      <c r="U220" s="89"/>
      <c r="V220" s="89"/>
      <c r="W220" s="89"/>
      <c r="X220" s="89"/>
      <c r="Y220" s="89"/>
      <c r="Z220" s="77"/>
      <c r="AA220" s="77"/>
      <c r="AB220" s="94"/>
      <c r="AC220" s="94"/>
      <c r="AD220" s="94"/>
      <c r="AE220" s="94"/>
      <c r="AF220" s="91"/>
      <c r="AG220" s="92"/>
      <c r="AH220" s="92"/>
      <c r="AI220" s="93"/>
      <c r="AJ220" s="94"/>
      <c r="AK220" s="92"/>
      <c r="AL220" s="94"/>
      <c r="AM220" s="94"/>
      <c r="AN220" s="94"/>
      <c r="AO220" s="94"/>
      <c r="AP220" s="94"/>
      <c r="AQ220" s="94"/>
      <c r="AR220" s="94"/>
      <c r="AS220" s="94"/>
      <c r="AT220" s="94"/>
      <c r="AU220" s="92"/>
      <c r="AV220" s="94"/>
      <c r="AW220" s="94"/>
      <c r="AX220" s="94"/>
      <c r="AY220" s="94"/>
      <c r="AZ220" s="94"/>
      <c r="BA220" s="94"/>
      <c r="BB220" s="94"/>
      <c r="BC220" s="94"/>
      <c r="BD220" s="94"/>
      <c r="BE220" s="94"/>
      <c r="BF220" s="94"/>
      <c r="BG220" s="94"/>
      <c r="BH220" s="94"/>
      <c r="BI220" s="94"/>
      <c r="BJ220" s="94"/>
      <c r="BK220" s="94"/>
      <c r="BL220" s="92"/>
      <c r="BM220" s="94"/>
      <c r="BN220" s="94"/>
      <c r="BO220" s="94"/>
      <c r="BP220" s="94"/>
      <c r="BQ220" s="92"/>
      <c r="BR220" s="92"/>
      <c r="BS220" s="92"/>
      <c r="BT220" s="92"/>
      <c r="BU220" s="92"/>
      <c r="BV220" s="92"/>
      <c r="BW220" s="92"/>
      <c r="BX220" s="92"/>
      <c r="BY220" s="92"/>
      <c r="BZ220" s="92"/>
    </row>
    <row r="221" spans="1:78" ht="12.9">
      <c r="A221" s="89"/>
      <c r="B221" s="89"/>
      <c r="C221" s="89"/>
      <c r="D221" s="89"/>
      <c r="E221" s="89"/>
      <c r="F221" s="89"/>
      <c r="G221" s="89"/>
      <c r="H221" s="105"/>
      <c r="I221" s="106"/>
      <c r="J221" s="106"/>
      <c r="K221" s="89"/>
      <c r="L221" s="89"/>
      <c r="M221" s="89"/>
      <c r="N221" s="107"/>
      <c r="O221" s="107"/>
      <c r="P221" s="89"/>
      <c r="Q221" s="89"/>
      <c r="R221" s="89"/>
      <c r="S221" s="89"/>
      <c r="T221" s="89"/>
      <c r="U221" s="89"/>
      <c r="V221" s="89"/>
      <c r="W221" s="89"/>
      <c r="X221" s="89"/>
      <c r="Y221" s="89"/>
      <c r="Z221" s="77"/>
      <c r="AA221" s="77"/>
      <c r="AB221" s="94"/>
      <c r="AC221" s="94"/>
      <c r="AD221" s="94"/>
      <c r="AE221" s="94"/>
      <c r="AF221" s="91"/>
      <c r="AG221" s="92"/>
      <c r="AH221" s="92"/>
      <c r="AI221" s="93"/>
      <c r="AJ221" s="94"/>
      <c r="AK221" s="92"/>
      <c r="AL221" s="94"/>
      <c r="AM221" s="94"/>
      <c r="AN221" s="94"/>
      <c r="AO221" s="94"/>
      <c r="AP221" s="94"/>
      <c r="AQ221" s="94"/>
      <c r="AR221" s="94"/>
      <c r="AS221" s="94"/>
      <c r="AT221" s="94"/>
      <c r="AU221" s="92"/>
      <c r="AV221" s="94"/>
      <c r="AW221" s="94"/>
      <c r="AX221" s="94"/>
      <c r="AY221" s="94"/>
      <c r="AZ221" s="94"/>
      <c r="BA221" s="94"/>
      <c r="BB221" s="94"/>
      <c r="BC221" s="94"/>
      <c r="BD221" s="94"/>
      <c r="BE221" s="94"/>
      <c r="BF221" s="94"/>
      <c r="BG221" s="94"/>
      <c r="BH221" s="94"/>
      <c r="BI221" s="94"/>
      <c r="BJ221" s="94"/>
      <c r="BK221" s="94"/>
      <c r="BL221" s="92"/>
      <c r="BM221" s="94"/>
      <c r="BN221" s="94"/>
      <c r="BO221" s="94"/>
      <c r="BP221" s="94"/>
      <c r="BQ221" s="92"/>
      <c r="BR221" s="92"/>
      <c r="BS221" s="92"/>
      <c r="BT221" s="92"/>
      <c r="BU221" s="92"/>
      <c r="BV221" s="92"/>
      <c r="BW221" s="92"/>
      <c r="BX221" s="92"/>
      <c r="BY221" s="92"/>
      <c r="BZ221" s="92"/>
    </row>
    <row r="222" spans="1:78" ht="12.9">
      <c r="A222" s="89"/>
      <c r="B222" s="89"/>
      <c r="C222" s="89"/>
      <c r="D222" s="89"/>
      <c r="E222" s="89"/>
      <c r="F222" s="89"/>
      <c r="G222" s="89"/>
      <c r="H222" s="105"/>
      <c r="I222" s="106"/>
      <c r="J222" s="106"/>
      <c r="K222" s="89"/>
      <c r="L222" s="89"/>
      <c r="M222" s="89"/>
      <c r="N222" s="107"/>
      <c r="O222" s="107"/>
      <c r="P222" s="89"/>
      <c r="Q222" s="89"/>
      <c r="R222" s="89"/>
      <c r="S222" s="89"/>
      <c r="T222" s="89"/>
      <c r="U222" s="89"/>
      <c r="V222" s="89"/>
      <c r="W222" s="89"/>
      <c r="X222" s="89"/>
      <c r="Y222" s="89"/>
      <c r="Z222" s="77"/>
      <c r="AA222" s="77"/>
      <c r="AB222" s="94"/>
      <c r="AC222" s="94"/>
      <c r="AD222" s="94"/>
      <c r="AE222" s="94"/>
      <c r="AF222" s="91"/>
      <c r="AG222" s="92"/>
      <c r="AH222" s="92"/>
      <c r="AI222" s="93"/>
      <c r="AJ222" s="94"/>
      <c r="AK222" s="92"/>
      <c r="AL222" s="94"/>
      <c r="AM222" s="94"/>
      <c r="AN222" s="94"/>
      <c r="AO222" s="94"/>
      <c r="AP222" s="94"/>
      <c r="AQ222" s="94"/>
      <c r="AR222" s="94"/>
      <c r="AS222" s="94"/>
      <c r="AT222" s="94"/>
      <c r="AU222" s="92"/>
      <c r="AV222" s="94"/>
      <c r="AW222" s="94"/>
      <c r="AX222" s="94"/>
      <c r="AY222" s="94"/>
      <c r="AZ222" s="94"/>
      <c r="BA222" s="94"/>
      <c r="BB222" s="94"/>
      <c r="BC222" s="94"/>
      <c r="BD222" s="94"/>
      <c r="BE222" s="94"/>
      <c r="BF222" s="94"/>
      <c r="BG222" s="94"/>
      <c r="BH222" s="94"/>
      <c r="BI222" s="94"/>
      <c r="BJ222" s="94"/>
      <c r="BK222" s="94"/>
      <c r="BL222" s="92"/>
      <c r="BM222" s="94"/>
      <c r="BN222" s="94"/>
      <c r="BO222" s="94"/>
      <c r="BP222" s="94"/>
      <c r="BQ222" s="92"/>
      <c r="BR222" s="92"/>
      <c r="BS222" s="92"/>
      <c r="BT222" s="92"/>
      <c r="BU222" s="92"/>
      <c r="BV222" s="92"/>
      <c r="BW222" s="92"/>
      <c r="BX222" s="92"/>
      <c r="BY222" s="92"/>
      <c r="BZ222" s="92"/>
    </row>
    <row r="223" spans="1:78" ht="12.9">
      <c r="A223" s="89"/>
      <c r="B223" s="89"/>
      <c r="C223" s="89"/>
      <c r="D223" s="89"/>
      <c r="E223" s="89"/>
      <c r="F223" s="89"/>
      <c r="G223" s="89"/>
      <c r="H223" s="105"/>
      <c r="I223" s="106"/>
      <c r="J223" s="106"/>
      <c r="K223" s="89"/>
      <c r="L223" s="89"/>
      <c r="M223" s="89"/>
      <c r="N223" s="107"/>
      <c r="O223" s="107"/>
      <c r="P223" s="89"/>
      <c r="Q223" s="89"/>
      <c r="R223" s="89"/>
      <c r="S223" s="89"/>
      <c r="T223" s="89"/>
      <c r="U223" s="89"/>
      <c r="V223" s="89"/>
      <c r="W223" s="89"/>
      <c r="X223" s="89"/>
      <c r="Y223" s="89"/>
      <c r="Z223" s="77"/>
      <c r="AA223" s="77"/>
      <c r="AB223" s="94"/>
      <c r="AC223" s="94"/>
      <c r="AD223" s="94"/>
      <c r="AE223" s="94"/>
      <c r="AF223" s="91"/>
      <c r="AG223" s="92"/>
      <c r="AH223" s="92"/>
      <c r="AI223" s="93"/>
      <c r="AJ223" s="94"/>
      <c r="AK223" s="92"/>
      <c r="AL223" s="94"/>
      <c r="AM223" s="94"/>
      <c r="AN223" s="94"/>
      <c r="AO223" s="94"/>
      <c r="AP223" s="94"/>
      <c r="AQ223" s="94"/>
      <c r="AR223" s="94"/>
      <c r="AS223" s="94"/>
      <c r="AT223" s="94"/>
      <c r="AU223" s="92"/>
      <c r="AV223" s="94"/>
      <c r="AW223" s="94"/>
      <c r="AX223" s="94"/>
      <c r="AY223" s="94"/>
      <c r="AZ223" s="94"/>
      <c r="BA223" s="94"/>
      <c r="BB223" s="94"/>
      <c r="BC223" s="94"/>
      <c r="BD223" s="94"/>
      <c r="BE223" s="94"/>
      <c r="BF223" s="94"/>
      <c r="BG223" s="94"/>
      <c r="BH223" s="94"/>
      <c r="BI223" s="94"/>
      <c r="BJ223" s="94"/>
      <c r="BK223" s="94"/>
      <c r="BL223" s="92"/>
      <c r="BM223" s="94"/>
      <c r="BN223" s="94"/>
      <c r="BO223" s="94"/>
      <c r="BP223" s="94"/>
      <c r="BQ223" s="92"/>
      <c r="BR223" s="92"/>
      <c r="BS223" s="92"/>
      <c r="BT223" s="92"/>
      <c r="BU223" s="92"/>
      <c r="BV223" s="92"/>
      <c r="BW223" s="92"/>
      <c r="BX223" s="92"/>
      <c r="BY223" s="92"/>
      <c r="BZ223" s="92"/>
    </row>
    <row r="224" spans="1:78" ht="12.9">
      <c r="A224" s="89"/>
      <c r="B224" s="89"/>
      <c r="C224" s="89"/>
      <c r="D224" s="89"/>
      <c r="E224" s="89"/>
      <c r="F224" s="89"/>
      <c r="G224" s="89"/>
      <c r="H224" s="105"/>
      <c r="I224" s="106"/>
      <c r="J224" s="106"/>
      <c r="K224" s="89"/>
      <c r="L224" s="89"/>
      <c r="M224" s="89"/>
      <c r="N224" s="107"/>
      <c r="O224" s="107"/>
      <c r="P224" s="89"/>
      <c r="Q224" s="89"/>
      <c r="R224" s="89"/>
      <c r="S224" s="89"/>
      <c r="T224" s="89"/>
      <c r="U224" s="89"/>
      <c r="V224" s="89"/>
      <c r="W224" s="89"/>
      <c r="X224" s="89"/>
      <c r="Y224" s="89"/>
      <c r="Z224" s="77"/>
      <c r="AA224" s="77"/>
      <c r="AB224" s="94"/>
      <c r="AC224" s="94"/>
      <c r="AD224" s="94"/>
      <c r="AE224" s="94"/>
      <c r="AF224" s="91"/>
      <c r="AG224" s="92"/>
      <c r="AH224" s="92"/>
      <c r="AI224" s="93"/>
      <c r="AJ224" s="94"/>
      <c r="AK224" s="92"/>
      <c r="AL224" s="94"/>
      <c r="AM224" s="94"/>
      <c r="AN224" s="94"/>
      <c r="AO224" s="94"/>
      <c r="AP224" s="94"/>
      <c r="AQ224" s="94"/>
      <c r="AR224" s="94"/>
      <c r="AS224" s="94"/>
      <c r="AT224" s="94"/>
      <c r="AU224" s="92"/>
      <c r="AV224" s="94"/>
      <c r="AW224" s="94"/>
      <c r="AX224" s="94"/>
      <c r="AY224" s="94"/>
      <c r="AZ224" s="94"/>
      <c r="BA224" s="94"/>
      <c r="BB224" s="94"/>
      <c r="BC224" s="94"/>
      <c r="BD224" s="94"/>
      <c r="BE224" s="94"/>
      <c r="BF224" s="94"/>
      <c r="BG224" s="94"/>
      <c r="BH224" s="94"/>
      <c r="BI224" s="94"/>
      <c r="BJ224" s="94"/>
      <c r="BK224" s="94"/>
      <c r="BL224" s="92"/>
      <c r="BM224" s="94"/>
      <c r="BN224" s="94"/>
      <c r="BO224" s="94"/>
      <c r="BP224" s="94"/>
      <c r="BQ224" s="92"/>
      <c r="BR224" s="92"/>
      <c r="BS224" s="92"/>
      <c r="BT224" s="92"/>
      <c r="BU224" s="92"/>
      <c r="BV224" s="92"/>
      <c r="BW224" s="92"/>
      <c r="BX224" s="92"/>
      <c r="BY224" s="92"/>
      <c r="BZ224" s="92"/>
    </row>
    <row r="225" spans="1:78" ht="12.9">
      <c r="A225" s="89"/>
      <c r="B225" s="89"/>
      <c r="C225" s="89"/>
      <c r="D225" s="89"/>
      <c r="E225" s="89"/>
      <c r="F225" s="89"/>
      <c r="G225" s="89"/>
      <c r="H225" s="105"/>
      <c r="I225" s="106"/>
      <c r="J225" s="106"/>
      <c r="K225" s="89"/>
      <c r="L225" s="89"/>
      <c r="M225" s="89"/>
      <c r="N225" s="107"/>
      <c r="O225" s="107"/>
      <c r="P225" s="89"/>
      <c r="Q225" s="89"/>
      <c r="R225" s="89"/>
      <c r="S225" s="89"/>
      <c r="T225" s="89"/>
      <c r="U225" s="89"/>
      <c r="V225" s="89"/>
      <c r="W225" s="89"/>
      <c r="X225" s="89"/>
      <c r="Y225" s="89"/>
      <c r="Z225" s="77"/>
      <c r="AA225" s="77"/>
      <c r="AB225" s="94"/>
      <c r="AC225" s="94"/>
      <c r="AD225" s="94"/>
      <c r="AE225" s="94"/>
      <c r="AF225" s="91"/>
      <c r="AG225" s="92"/>
      <c r="AH225" s="92"/>
      <c r="AI225" s="93"/>
      <c r="AJ225" s="94"/>
      <c r="AK225" s="92"/>
      <c r="AL225" s="94"/>
      <c r="AM225" s="94"/>
      <c r="AN225" s="94"/>
      <c r="AO225" s="94"/>
      <c r="AP225" s="94"/>
      <c r="AQ225" s="94"/>
      <c r="AR225" s="94"/>
      <c r="AS225" s="94"/>
      <c r="AT225" s="94"/>
      <c r="AU225" s="92"/>
      <c r="AV225" s="94"/>
      <c r="AW225" s="94"/>
      <c r="AX225" s="94"/>
      <c r="AY225" s="94"/>
      <c r="AZ225" s="94"/>
      <c r="BA225" s="94"/>
      <c r="BB225" s="94"/>
      <c r="BC225" s="94"/>
      <c r="BD225" s="94"/>
      <c r="BE225" s="94"/>
      <c r="BF225" s="94"/>
      <c r="BG225" s="94"/>
      <c r="BH225" s="94"/>
      <c r="BI225" s="94"/>
      <c r="BJ225" s="94"/>
      <c r="BK225" s="94"/>
      <c r="BL225" s="92"/>
      <c r="BM225" s="94"/>
      <c r="BN225" s="94"/>
      <c r="BO225" s="94"/>
      <c r="BP225" s="94"/>
      <c r="BQ225" s="92"/>
      <c r="BR225" s="92"/>
      <c r="BS225" s="92"/>
      <c r="BT225" s="92"/>
      <c r="BU225" s="92"/>
      <c r="BV225" s="92"/>
      <c r="BW225" s="92"/>
      <c r="BX225" s="92"/>
      <c r="BY225" s="92"/>
      <c r="BZ225" s="92"/>
    </row>
    <row r="226" spans="1:78" ht="12.9">
      <c r="A226" s="89"/>
      <c r="B226" s="89"/>
      <c r="C226" s="89"/>
      <c r="D226" s="89"/>
      <c r="E226" s="89"/>
      <c r="F226" s="89"/>
      <c r="G226" s="89"/>
      <c r="H226" s="105"/>
      <c r="I226" s="106"/>
      <c r="J226" s="106"/>
      <c r="K226" s="89"/>
      <c r="L226" s="89"/>
      <c r="M226" s="89"/>
      <c r="N226" s="107"/>
      <c r="O226" s="107"/>
      <c r="P226" s="89"/>
      <c r="Q226" s="89"/>
      <c r="R226" s="89"/>
      <c r="S226" s="89"/>
      <c r="T226" s="89"/>
      <c r="U226" s="89"/>
      <c r="V226" s="89"/>
      <c r="W226" s="89"/>
      <c r="X226" s="89"/>
      <c r="Y226" s="89"/>
      <c r="Z226" s="77"/>
      <c r="AA226" s="77"/>
      <c r="AB226" s="94"/>
      <c r="AC226" s="94"/>
      <c r="AD226" s="94"/>
      <c r="AE226" s="94"/>
      <c r="AF226" s="91"/>
      <c r="AG226" s="92"/>
      <c r="AH226" s="92"/>
      <c r="AI226" s="93"/>
      <c r="AJ226" s="94"/>
      <c r="AK226" s="92"/>
      <c r="AL226" s="94"/>
      <c r="AM226" s="94"/>
      <c r="AN226" s="94"/>
      <c r="AO226" s="94"/>
      <c r="AP226" s="94"/>
      <c r="AQ226" s="94"/>
      <c r="AR226" s="94"/>
      <c r="AS226" s="94"/>
      <c r="AT226" s="94"/>
      <c r="AU226" s="92"/>
      <c r="AV226" s="94"/>
      <c r="AW226" s="94"/>
      <c r="AX226" s="94"/>
      <c r="AY226" s="94"/>
      <c r="AZ226" s="94"/>
      <c r="BA226" s="94"/>
      <c r="BB226" s="94"/>
      <c r="BC226" s="94"/>
      <c r="BD226" s="94"/>
      <c r="BE226" s="94"/>
      <c r="BF226" s="94"/>
      <c r="BG226" s="94"/>
      <c r="BH226" s="94"/>
      <c r="BI226" s="94"/>
      <c r="BJ226" s="94"/>
      <c r="BK226" s="94"/>
      <c r="BL226" s="92"/>
      <c r="BM226" s="94"/>
      <c r="BN226" s="94"/>
      <c r="BO226" s="94"/>
      <c r="BP226" s="94"/>
      <c r="BQ226" s="92"/>
      <c r="BR226" s="92"/>
      <c r="BS226" s="92"/>
      <c r="BT226" s="92"/>
      <c r="BU226" s="92"/>
      <c r="BV226" s="92"/>
      <c r="BW226" s="92"/>
      <c r="BX226" s="92"/>
      <c r="BY226" s="92"/>
      <c r="BZ226" s="92"/>
    </row>
    <row r="227" spans="1:78" ht="12.9">
      <c r="A227" s="89"/>
      <c r="B227" s="89"/>
      <c r="C227" s="89"/>
      <c r="D227" s="89"/>
      <c r="E227" s="89"/>
      <c r="F227" s="89"/>
      <c r="G227" s="89"/>
      <c r="H227" s="105"/>
      <c r="I227" s="106"/>
      <c r="J227" s="106"/>
      <c r="K227" s="89"/>
      <c r="L227" s="89"/>
      <c r="M227" s="89"/>
      <c r="N227" s="107"/>
      <c r="O227" s="107"/>
      <c r="P227" s="89"/>
      <c r="Q227" s="89"/>
      <c r="R227" s="89"/>
      <c r="S227" s="89"/>
      <c r="T227" s="89"/>
      <c r="U227" s="89"/>
      <c r="V227" s="89"/>
      <c r="W227" s="89"/>
      <c r="X227" s="89"/>
      <c r="Y227" s="89"/>
      <c r="Z227" s="77"/>
      <c r="AA227" s="77"/>
      <c r="AB227" s="94"/>
      <c r="AC227" s="94"/>
      <c r="AD227" s="94"/>
      <c r="AE227" s="94"/>
      <c r="AF227" s="91"/>
      <c r="AG227" s="92"/>
      <c r="AH227" s="92"/>
      <c r="AI227" s="93"/>
      <c r="AJ227" s="94"/>
      <c r="AK227" s="92"/>
      <c r="AL227" s="94"/>
      <c r="AM227" s="94"/>
      <c r="AN227" s="94"/>
      <c r="AO227" s="94"/>
      <c r="AP227" s="94"/>
      <c r="AQ227" s="94"/>
      <c r="AR227" s="94"/>
      <c r="AS227" s="94"/>
      <c r="AT227" s="94"/>
      <c r="AU227" s="92"/>
      <c r="AV227" s="94"/>
      <c r="AW227" s="94"/>
      <c r="AX227" s="94"/>
      <c r="AY227" s="94"/>
      <c r="AZ227" s="94"/>
      <c r="BA227" s="94"/>
      <c r="BB227" s="94"/>
      <c r="BC227" s="94"/>
      <c r="BD227" s="94"/>
      <c r="BE227" s="94"/>
      <c r="BF227" s="94"/>
      <c r="BG227" s="94"/>
      <c r="BH227" s="94"/>
      <c r="BI227" s="94"/>
      <c r="BJ227" s="94"/>
      <c r="BK227" s="94"/>
      <c r="BL227" s="92"/>
      <c r="BM227" s="94"/>
      <c r="BN227" s="94"/>
      <c r="BO227" s="94"/>
      <c r="BP227" s="94"/>
      <c r="BQ227" s="92"/>
      <c r="BR227" s="92"/>
      <c r="BS227" s="92"/>
      <c r="BT227" s="92"/>
      <c r="BU227" s="92"/>
      <c r="BV227" s="92"/>
      <c r="BW227" s="92"/>
      <c r="BX227" s="92"/>
      <c r="BY227" s="92"/>
      <c r="BZ227" s="92"/>
    </row>
    <row r="228" spans="1:78" ht="12.9">
      <c r="A228" s="89"/>
      <c r="B228" s="89"/>
      <c r="C228" s="89"/>
      <c r="D228" s="89"/>
      <c r="E228" s="89"/>
      <c r="F228" s="89"/>
      <c r="G228" s="89"/>
      <c r="H228" s="105"/>
      <c r="I228" s="106"/>
      <c r="J228" s="106"/>
      <c r="K228" s="89"/>
      <c r="L228" s="89"/>
      <c r="M228" s="89"/>
      <c r="N228" s="107"/>
      <c r="O228" s="107"/>
      <c r="P228" s="89"/>
      <c r="Q228" s="89"/>
      <c r="R228" s="89"/>
      <c r="S228" s="89"/>
      <c r="T228" s="89"/>
      <c r="U228" s="89"/>
      <c r="V228" s="89"/>
      <c r="W228" s="89"/>
      <c r="X228" s="89"/>
      <c r="Y228" s="89"/>
      <c r="Z228" s="77"/>
      <c r="AA228" s="77"/>
      <c r="AB228" s="94"/>
      <c r="AC228" s="94"/>
      <c r="AD228" s="94"/>
      <c r="AE228" s="94"/>
      <c r="AF228" s="91"/>
      <c r="AG228" s="92"/>
      <c r="AH228" s="92"/>
      <c r="AI228" s="93"/>
      <c r="AJ228" s="94"/>
      <c r="AK228" s="92"/>
      <c r="AL228" s="94"/>
      <c r="AM228" s="94"/>
      <c r="AN228" s="94"/>
      <c r="AO228" s="94"/>
      <c r="AP228" s="94"/>
      <c r="AQ228" s="94"/>
      <c r="AR228" s="94"/>
      <c r="AS228" s="94"/>
      <c r="AT228" s="94"/>
      <c r="AU228" s="92"/>
      <c r="AV228" s="94"/>
      <c r="AW228" s="94"/>
      <c r="AX228" s="94"/>
      <c r="AY228" s="94"/>
      <c r="AZ228" s="94"/>
      <c r="BA228" s="94"/>
      <c r="BB228" s="94"/>
      <c r="BC228" s="94"/>
      <c r="BD228" s="94"/>
      <c r="BE228" s="94"/>
      <c r="BF228" s="94"/>
      <c r="BG228" s="94"/>
      <c r="BH228" s="94"/>
      <c r="BI228" s="94"/>
      <c r="BJ228" s="94"/>
      <c r="BK228" s="94"/>
      <c r="BL228" s="92"/>
      <c r="BM228" s="94"/>
      <c r="BN228" s="94"/>
      <c r="BO228" s="94"/>
      <c r="BP228" s="94"/>
      <c r="BQ228" s="92"/>
      <c r="BR228" s="92"/>
      <c r="BS228" s="92"/>
      <c r="BT228" s="92"/>
      <c r="BU228" s="92"/>
      <c r="BV228" s="92"/>
      <c r="BW228" s="92"/>
      <c r="BX228" s="92"/>
      <c r="BY228" s="92"/>
      <c r="BZ228" s="92"/>
    </row>
    <row r="229" spans="1:78" ht="12.9">
      <c r="A229" s="89"/>
      <c r="B229" s="89"/>
      <c r="C229" s="89"/>
      <c r="D229" s="89"/>
      <c r="E229" s="89"/>
      <c r="F229" s="89"/>
      <c r="G229" s="89"/>
      <c r="H229" s="105"/>
      <c r="I229" s="106"/>
      <c r="J229" s="106"/>
      <c r="K229" s="89"/>
      <c r="L229" s="89"/>
      <c r="M229" s="89"/>
      <c r="N229" s="107"/>
      <c r="O229" s="107"/>
      <c r="P229" s="89"/>
      <c r="Q229" s="89"/>
      <c r="R229" s="89"/>
      <c r="S229" s="89"/>
      <c r="T229" s="89"/>
      <c r="U229" s="89"/>
      <c r="V229" s="89"/>
      <c r="W229" s="89"/>
      <c r="X229" s="89"/>
      <c r="Y229" s="89"/>
      <c r="Z229" s="77"/>
      <c r="AA229" s="77"/>
      <c r="AB229" s="94"/>
      <c r="AC229" s="94"/>
      <c r="AD229" s="94"/>
      <c r="AE229" s="94"/>
      <c r="AF229" s="91"/>
      <c r="AG229" s="92"/>
      <c r="AH229" s="92"/>
      <c r="AI229" s="93"/>
      <c r="AJ229" s="94"/>
      <c r="AK229" s="92"/>
      <c r="AL229" s="94"/>
      <c r="AM229" s="94"/>
      <c r="AN229" s="94"/>
      <c r="AO229" s="94"/>
      <c r="AP229" s="94"/>
      <c r="AQ229" s="94"/>
      <c r="AR229" s="94"/>
      <c r="AS229" s="94"/>
      <c r="AT229" s="94"/>
      <c r="AU229" s="92"/>
      <c r="AV229" s="94"/>
      <c r="AW229" s="94"/>
      <c r="AX229" s="94"/>
      <c r="AY229" s="94"/>
      <c r="AZ229" s="94"/>
      <c r="BA229" s="94"/>
      <c r="BB229" s="94"/>
      <c r="BC229" s="94"/>
      <c r="BD229" s="94"/>
      <c r="BE229" s="94"/>
      <c r="BF229" s="94"/>
      <c r="BG229" s="94"/>
      <c r="BH229" s="94"/>
      <c r="BI229" s="94"/>
      <c r="BJ229" s="94"/>
      <c r="BK229" s="94"/>
      <c r="BL229" s="92"/>
      <c r="BM229" s="94"/>
      <c r="BN229" s="94"/>
      <c r="BO229" s="94"/>
      <c r="BP229" s="94"/>
      <c r="BQ229" s="92"/>
      <c r="BR229" s="92"/>
      <c r="BS229" s="92"/>
      <c r="BT229" s="92"/>
      <c r="BU229" s="92"/>
      <c r="BV229" s="92"/>
      <c r="BW229" s="92"/>
      <c r="BX229" s="92"/>
      <c r="BY229" s="92"/>
      <c r="BZ229" s="92"/>
    </row>
    <row r="230" spans="1:78" ht="12.9">
      <c r="A230" s="89"/>
      <c r="B230" s="89"/>
      <c r="C230" s="89"/>
      <c r="D230" s="89"/>
      <c r="E230" s="89"/>
      <c r="F230" s="89"/>
      <c r="G230" s="89"/>
      <c r="H230" s="105"/>
      <c r="I230" s="106"/>
      <c r="J230" s="106"/>
      <c r="K230" s="89"/>
      <c r="L230" s="89"/>
      <c r="M230" s="89"/>
      <c r="N230" s="107"/>
      <c r="O230" s="107"/>
      <c r="P230" s="89"/>
      <c r="Q230" s="89"/>
      <c r="R230" s="89"/>
      <c r="S230" s="89"/>
      <c r="T230" s="89"/>
      <c r="U230" s="89"/>
      <c r="V230" s="89"/>
      <c r="W230" s="89"/>
      <c r="X230" s="89"/>
      <c r="Y230" s="89"/>
      <c r="Z230" s="77"/>
      <c r="AA230" s="77"/>
      <c r="AB230" s="94"/>
      <c r="AC230" s="94"/>
      <c r="AD230" s="94"/>
      <c r="AE230" s="94"/>
      <c r="AF230" s="91"/>
      <c r="AG230" s="92"/>
      <c r="AH230" s="92"/>
      <c r="AI230" s="93"/>
      <c r="AJ230" s="94"/>
      <c r="AK230" s="92"/>
      <c r="AL230" s="94"/>
      <c r="AM230" s="94"/>
      <c r="AN230" s="94"/>
      <c r="AO230" s="94"/>
      <c r="AP230" s="94"/>
      <c r="AQ230" s="94"/>
      <c r="AR230" s="94"/>
      <c r="AS230" s="94"/>
      <c r="AT230" s="94"/>
      <c r="AU230" s="92"/>
      <c r="AV230" s="94"/>
      <c r="AW230" s="94"/>
      <c r="AX230" s="94"/>
      <c r="AY230" s="94"/>
      <c r="AZ230" s="94"/>
      <c r="BA230" s="94"/>
      <c r="BB230" s="94"/>
      <c r="BC230" s="94"/>
      <c r="BD230" s="94"/>
      <c r="BE230" s="94"/>
      <c r="BF230" s="94"/>
      <c r="BG230" s="94"/>
      <c r="BH230" s="94"/>
      <c r="BI230" s="94"/>
      <c r="BJ230" s="94"/>
      <c r="BK230" s="94"/>
      <c r="BL230" s="92"/>
      <c r="BM230" s="94"/>
      <c r="BN230" s="94"/>
      <c r="BO230" s="94"/>
      <c r="BP230" s="94"/>
      <c r="BQ230" s="92"/>
      <c r="BR230" s="92"/>
      <c r="BS230" s="92"/>
      <c r="BT230" s="92"/>
      <c r="BU230" s="92"/>
      <c r="BV230" s="92"/>
      <c r="BW230" s="92"/>
      <c r="BX230" s="92"/>
      <c r="BY230" s="92"/>
      <c r="BZ230" s="92"/>
    </row>
    <row r="231" spans="1:78" ht="12.9">
      <c r="A231" s="89"/>
      <c r="B231" s="89"/>
      <c r="C231" s="89"/>
      <c r="D231" s="89"/>
      <c r="E231" s="89"/>
      <c r="F231" s="89"/>
      <c r="G231" s="89"/>
      <c r="H231" s="105"/>
      <c r="I231" s="106"/>
      <c r="J231" s="106"/>
      <c r="K231" s="89"/>
      <c r="L231" s="89"/>
      <c r="M231" s="89"/>
      <c r="N231" s="107"/>
      <c r="O231" s="107"/>
      <c r="P231" s="89"/>
      <c r="Q231" s="89"/>
      <c r="R231" s="89"/>
      <c r="S231" s="89"/>
      <c r="T231" s="89"/>
      <c r="U231" s="89"/>
      <c r="V231" s="89"/>
      <c r="W231" s="89"/>
      <c r="X231" s="89"/>
      <c r="Y231" s="89"/>
      <c r="Z231" s="77"/>
      <c r="AA231" s="77"/>
      <c r="AB231" s="94"/>
      <c r="AC231" s="94"/>
      <c r="AD231" s="94"/>
      <c r="AE231" s="94"/>
      <c r="AF231" s="91"/>
      <c r="AG231" s="92"/>
      <c r="AH231" s="92"/>
      <c r="AI231" s="93"/>
      <c r="AJ231" s="94"/>
      <c r="AK231" s="92"/>
      <c r="AL231" s="94"/>
      <c r="AM231" s="94"/>
      <c r="AN231" s="94"/>
      <c r="AO231" s="94"/>
      <c r="AP231" s="94"/>
      <c r="AQ231" s="94"/>
      <c r="AR231" s="94"/>
      <c r="AS231" s="94"/>
      <c r="AT231" s="94"/>
      <c r="AU231" s="92"/>
      <c r="AV231" s="94"/>
      <c r="AW231" s="94"/>
      <c r="AX231" s="94"/>
      <c r="AY231" s="94"/>
      <c r="AZ231" s="94"/>
      <c r="BA231" s="94"/>
      <c r="BB231" s="94"/>
      <c r="BC231" s="94"/>
      <c r="BD231" s="94"/>
      <c r="BE231" s="94"/>
      <c r="BF231" s="94"/>
      <c r="BG231" s="94"/>
      <c r="BH231" s="94"/>
      <c r="BI231" s="94"/>
      <c r="BJ231" s="94"/>
      <c r="BK231" s="94"/>
      <c r="BL231" s="92"/>
      <c r="BM231" s="94"/>
      <c r="BN231" s="94"/>
      <c r="BO231" s="94"/>
      <c r="BP231" s="94"/>
      <c r="BQ231" s="92"/>
      <c r="BR231" s="92"/>
      <c r="BS231" s="92"/>
      <c r="BT231" s="92"/>
      <c r="BU231" s="92"/>
      <c r="BV231" s="92"/>
      <c r="BW231" s="92"/>
      <c r="BX231" s="92"/>
      <c r="BY231" s="92"/>
      <c r="BZ231" s="92"/>
    </row>
    <row r="232" spans="1:78" ht="12.9">
      <c r="A232" s="89"/>
      <c r="B232" s="89"/>
      <c r="C232" s="89"/>
      <c r="D232" s="89"/>
      <c r="E232" s="89"/>
      <c r="F232" s="89"/>
      <c r="G232" s="89"/>
      <c r="H232" s="105"/>
      <c r="I232" s="106"/>
      <c r="J232" s="106"/>
      <c r="K232" s="89"/>
      <c r="L232" s="89"/>
      <c r="M232" s="89"/>
      <c r="N232" s="107"/>
      <c r="O232" s="107"/>
      <c r="P232" s="89"/>
      <c r="Q232" s="89"/>
      <c r="R232" s="89"/>
      <c r="S232" s="89"/>
      <c r="T232" s="89"/>
      <c r="U232" s="89"/>
      <c r="V232" s="89"/>
      <c r="W232" s="89"/>
      <c r="X232" s="89"/>
      <c r="Y232" s="89"/>
      <c r="Z232" s="77"/>
      <c r="AA232" s="77"/>
      <c r="AB232" s="94"/>
      <c r="AC232" s="94"/>
      <c r="AD232" s="94"/>
      <c r="AE232" s="94"/>
      <c r="AF232" s="91"/>
      <c r="AG232" s="92"/>
      <c r="AH232" s="92"/>
      <c r="AI232" s="93"/>
      <c r="AJ232" s="94"/>
      <c r="AK232" s="92"/>
      <c r="AL232" s="94"/>
      <c r="AM232" s="94"/>
      <c r="AN232" s="94"/>
      <c r="AO232" s="94"/>
      <c r="AP232" s="94"/>
      <c r="AQ232" s="94"/>
      <c r="AR232" s="94"/>
      <c r="AS232" s="94"/>
      <c r="AT232" s="94"/>
      <c r="AU232" s="92"/>
      <c r="AV232" s="94"/>
      <c r="AW232" s="94"/>
      <c r="AX232" s="94"/>
      <c r="AY232" s="94"/>
      <c r="AZ232" s="94"/>
      <c r="BA232" s="94"/>
      <c r="BB232" s="94"/>
      <c r="BC232" s="94"/>
      <c r="BD232" s="94"/>
      <c r="BE232" s="94"/>
      <c r="BF232" s="94"/>
      <c r="BG232" s="94"/>
      <c r="BH232" s="94"/>
      <c r="BI232" s="94"/>
      <c r="BJ232" s="94"/>
      <c r="BK232" s="94"/>
      <c r="BL232" s="92"/>
      <c r="BM232" s="94"/>
      <c r="BN232" s="94"/>
      <c r="BO232" s="94"/>
      <c r="BP232" s="94"/>
      <c r="BQ232" s="92"/>
      <c r="BR232" s="92"/>
      <c r="BS232" s="92"/>
      <c r="BT232" s="92"/>
      <c r="BU232" s="92"/>
      <c r="BV232" s="92"/>
      <c r="BW232" s="92"/>
      <c r="BX232" s="92"/>
      <c r="BY232" s="92"/>
      <c r="BZ232" s="92"/>
    </row>
    <row r="233" spans="1:78" ht="12.9">
      <c r="A233" s="89"/>
      <c r="B233" s="89"/>
      <c r="C233" s="89"/>
      <c r="D233" s="89"/>
      <c r="E233" s="89"/>
      <c r="F233" s="89"/>
      <c r="G233" s="89"/>
      <c r="H233" s="105"/>
      <c r="I233" s="106"/>
      <c r="J233" s="106"/>
      <c r="K233" s="89"/>
      <c r="L233" s="89"/>
      <c r="M233" s="89"/>
      <c r="N233" s="107"/>
      <c r="O233" s="107"/>
      <c r="P233" s="89"/>
      <c r="Q233" s="89"/>
      <c r="R233" s="89"/>
      <c r="S233" s="89"/>
      <c r="T233" s="89"/>
      <c r="U233" s="89"/>
      <c r="V233" s="89"/>
      <c r="W233" s="89"/>
      <c r="X233" s="89"/>
      <c r="Y233" s="89"/>
      <c r="Z233" s="77"/>
      <c r="AA233" s="77"/>
      <c r="AB233" s="94"/>
      <c r="AC233" s="94"/>
      <c r="AD233" s="94"/>
      <c r="AE233" s="94"/>
      <c r="AF233" s="91"/>
      <c r="AG233" s="92"/>
      <c r="AH233" s="92"/>
      <c r="AI233" s="93"/>
      <c r="AJ233" s="94"/>
      <c r="AK233" s="92"/>
      <c r="AL233" s="94"/>
      <c r="AM233" s="94"/>
      <c r="AN233" s="94"/>
      <c r="AO233" s="94"/>
      <c r="AP233" s="94"/>
      <c r="AQ233" s="94"/>
      <c r="AR233" s="94"/>
      <c r="AS233" s="94"/>
      <c r="AT233" s="94"/>
      <c r="AU233" s="92"/>
      <c r="AV233" s="94"/>
      <c r="AW233" s="94"/>
      <c r="AX233" s="94"/>
      <c r="AY233" s="94"/>
      <c r="AZ233" s="94"/>
      <c r="BA233" s="94"/>
      <c r="BB233" s="94"/>
      <c r="BC233" s="94"/>
      <c r="BD233" s="94"/>
      <c r="BE233" s="94"/>
      <c r="BF233" s="94"/>
      <c r="BG233" s="94"/>
      <c r="BH233" s="94"/>
      <c r="BI233" s="94"/>
      <c r="BJ233" s="94"/>
      <c r="BK233" s="94"/>
      <c r="BL233" s="92"/>
      <c r="BM233" s="94"/>
      <c r="BN233" s="94"/>
      <c r="BO233" s="94"/>
      <c r="BP233" s="94"/>
      <c r="BQ233" s="92"/>
      <c r="BR233" s="92"/>
      <c r="BS233" s="92"/>
      <c r="BT233" s="92"/>
      <c r="BU233" s="92"/>
      <c r="BV233" s="92"/>
      <c r="BW233" s="92"/>
      <c r="BX233" s="92"/>
      <c r="BY233" s="92"/>
      <c r="BZ233" s="92"/>
    </row>
    <row r="234" spans="1:78" ht="12.9">
      <c r="A234" s="89"/>
      <c r="B234" s="89"/>
      <c r="C234" s="89"/>
      <c r="D234" s="89"/>
      <c r="E234" s="89"/>
      <c r="F234" s="89"/>
      <c r="G234" s="89"/>
      <c r="H234" s="105"/>
      <c r="I234" s="106"/>
      <c r="J234" s="106"/>
      <c r="K234" s="89"/>
      <c r="L234" s="89"/>
      <c r="M234" s="89"/>
      <c r="N234" s="107"/>
      <c r="O234" s="107"/>
      <c r="P234" s="89"/>
      <c r="Q234" s="89"/>
      <c r="R234" s="89"/>
      <c r="S234" s="89"/>
      <c r="T234" s="89"/>
      <c r="U234" s="89"/>
      <c r="V234" s="89"/>
      <c r="W234" s="89"/>
      <c r="X234" s="89"/>
      <c r="Y234" s="89"/>
      <c r="Z234" s="77"/>
      <c r="AA234" s="77"/>
      <c r="AB234" s="94"/>
      <c r="AC234" s="94"/>
      <c r="AD234" s="94"/>
      <c r="AE234" s="94"/>
      <c r="AF234" s="91"/>
      <c r="AG234" s="92"/>
      <c r="AH234" s="92"/>
      <c r="AI234" s="93"/>
      <c r="AJ234" s="94"/>
      <c r="AK234" s="92"/>
      <c r="AL234" s="94"/>
      <c r="AM234" s="94"/>
      <c r="AN234" s="94"/>
      <c r="AO234" s="94"/>
      <c r="AP234" s="94"/>
      <c r="AQ234" s="94"/>
      <c r="AR234" s="94"/>
      <c r="AS234" s="94"/>
      <c r="AT234" s="94"/>
      <c r="AU234" s="92"/>
      <c r="AV234" s="94"/>
      <c r="AW234" s="94"/>
      <c r="AX234" s="94"/>
      <c r="AY234" s="94"/>
      <c r="AZ234" s="94"/>
      <c r="BA234" s="94"/>
      <c r="BB234" s="94"/>
      <c r="BC234" s="94"/>
      <c r="BD234" s="94"/>
      <c r="BE234" s="94"/>
      <c r="BF234" s="94"/>
      <c r="BG234" s="94"/>
      <c r="BH234" s="94"/>
      <c r="BI234" s="94"/>
      <c r="BJ234" s="94"/>
      <c r="BK234" s="94"/>
      <c r="BL234" s="92"/>
      <c r="BM234" s="94"/>
      <c r="BN234" s="94"/>
      <c r="BO234" s="94"/>
      <c r="BP234" s="94"/>
      <c r="BQ234" s="92"/>
      <c r="BR234" s="92"/>
      <c r="BS234" s="92"/>
      <c r="BT234" s="92"/>
      <c r="BU234" s="92"/>
      <c r="BV234" s="92"/>
      <c r="BW234" s="92"/>
      <c r="BX234" s="92"/>
      <c r="BY234" s="92"/>
      <c r="BZ234" s="92"/>
    </row>
    <row r="235" spans="1:78" ht="12.9">
      <c r="A235" s="89"/>
      <c r="B235" s="89"/>
      <c r="C235" s="89"/>
      <c r="D235" s="89"/>
      <c r="E235" s="89"/>
      <c r="F235" s="89"/>
      <c r="G235" s="89"/>
      <c r="H235" s="105"/>
      <c r="I235" s="106"/>
      <c r="J235" s="106"/>
      <c r="K235" s="89"/>
      <c r="L235" s="89"/>
      <c r="M235" s="89"/>
      <c r="N235" s="107"/>
      <c r="O235" s="107"/>
      <c r="P235" s="89"/>
      <c r="Q235" s="89"/>
      <c r="R235" s="89"/>
      <c r="S235" s="89"/>
      <c r="T235" s="89"/>
      <c r="U235" s="89"/>
      <c r="V235" s="89"/>
      <c r="W235" s="89"/>
      <c r="X235" s="89"/>
      <c r="Y235" s="89"/>
      <c r="Z235" s="77"/>
      <c r="AA235" s="77"/>
      <c r="AB235" s="94"/>
      <c r="AC235" s="94"/>
      <c r="AD235" s="94"/>
      <c r="AE235" s="94"/>
      <c r="AF235" s="91"/>
      <c r="AG235" s="92"/>
      <c r="AH235" s="92"/>
      <c r="AI235" s="93"/>
      <c r="AJ235" s="94"/>
      <c r="AK235" s="92"/>
      <c r="AL235" s="94"/>
      <c r="AM235" s="94"/>
      <c r="AN235" s="94"/>
      <c r="AO235" s="94"/>
      <c r="AP235" s="94"/>
      <c r="AQ235" s="94"/>
      <c r="AR235" s="94"/>
      <c r="AS235" s="94"/>
      <c r="AT235" s="94"/>
      <c r="AU235" s="92"/>
      <c r="AV235" s="94"/>
      <c r="AW235" s="94"/>
      <c r="AX235" s="94"/>
      <c r="AY235" s="94"/>
      <c r="AZ235" s="94"/>
      <c r="BA235" s="94"/>
      <c r="BB235" s="94"/>
      <c r="BC235" s="94"/>
      <c r="BD235" s="94"/>
      <c r="BE235" s="94"/>
      <c r="BF235" s="94"/>
      <c r="BG235" s="94"/>
      <c r="BH235" s="94"/>
      <c r="BI235" s="94"/>
      <c r="BJ235" s="94"/>
      <c r="BK235" s="94"/>
      <c r="BL235" s="92"/>
      <c r="BM235" s="94"/>
      <c r="BN235" s="94"/>
      <c r="BO235" s="94"/>
      <c r="BP235" s="94"/>
      <c r="BQ235" s="92"/>
      <c r="BR235" s="92"/>
      <c r="BS235" s="92"/>
      <c r="BT235" s="92"/>
      <c r="BU235" s="92"/>
      <c r="BV235" s="92"/>
      <c r="BW235" s="92"/>
      <c r="BX235" s="92"/>
      <c r="BY235" s="92"/>
      <c r="BZ235" s="92"/>
    </row>
    <row r="236" spans="1:78" ht="12.9">
      <c r="A236" s="89"/>
      <c r="B236" s="89"/>
      <c r="C236" s="89"/>
      <c r="D236" s="89"/>
      <c r="E236" s="89"/>
      <c r="F236" s="89"/>
      <c r="G236" s="89"/>
      <c r="H236" s="105"/>
      <c r="I236" s="106"/>
      <c r="J236" s="106"/>
      <c r="K236" s="89"/>
      <c r="L236" s="89"/>
      <c r="M236" s="89"/>
      <c r="N236" s="107"/>
      <c r="O236" s="107"/>
      <c r="P236" s="89"/>
      <c r="Q236" s="89"/>
      <c r="R236" s="89"/>
      <c r="S236" s="89"/>
      <c r="T236" s="89"/>
      <c r="U236" s="89"/>
      <c r="V236" s="89"/>
      <c r="W236" s="89"/>
      <c r="X236" s="89"/>
      <c r="Y236" s="89"/>
      <c r="Z236" s="77"/>
      <c r="AA236" s="77"/>
      <c r="AB236" s="94"/>
      <c r="AC236" s="94"/>
      <c r="AD236" s="94"/>
      <c r="AE236" s="94"/>
      <c r="AF236" s="91"/>
      <c r="AG236" s="92"/>
      <c r="AH236" s="92"/>
      <c r="AI236" s="93"/>
      <c r="AJ236" s="94"/>
      <c r="AK236" s="92"/>
      <c r="AL236" s="94"/>
      <c r="AM236" s="94"/>
      <c r="AN236" s="94"/>
      <c r="AO236" s="94"/>
      <c r="AP236" s="94"/>
      <c r="AQ236" s="94"/>
      <c r="AR236" s="94"/>
      <c r="AS236" s="94"/>
      <c r="AT236" s="94"/>
      <c r="AU236" s="92"/>
      <c r="AV236" s="94"/>
      <c r="AW236" s="94"/>
      <c r="AX236" s="94"/>
      <c r="AY236" s="94"/>
      <c r="AZ236" s="94"/>
      <c r="BA236" s="94"/>
      <c r="BB236" s="94"/>
      <c r="BC236" s="94"/>
      <c r="BD236" s="94"/>
      <c r="BE236" s="94"/>
      <c r="BF236" s="94"/>
      <c r="BG236" s="94"/>
      <c r="BH236" s="94"/>
      <c r="BI236" s="94"/>
      <c r="BJ236" s="94"/>
      <c r="BK236" s="94"/>
      <c r="BL236" s="92"/>
      <c r="BM236" s="94"/>
      <c r="BN236" s="94"/>
      <c r="BO236" s="94"/>
      <c r="BP236" s="94"/>
      <c r="BQ236" s="92"/>
      <c r="BR236" s="92"/>
      <c r="BS236" s="92"/>
      <c r="BT236" s="92"/>
      <c r="BU236" s="92"/>
      <c r="BV236" s="92"/>
      <c r="BW236" s="92"/>
      <c r="BX236" s="92"/>
      <c r="BY236" s="92"/>
      <c r="BZ236" s="92"/>
    </row>
    <row r="237" spans="1:78" ht="12.9">
      <c r="A237" s="89"/>
      <c r="B237" s="89"/>
      <c r="C237" s="89"/>
      <c r="D237" s="89"/>
      <c r="E237" s="89"/>
      <c r="F237" s="89"/>
      <c r="G237" s="89"/>
      <c r="H237" s="105"/>
      <c r="I237" s="106"/>
      <c r="J237" s="106"/>
      <c r="K237" s="89"/>
      <c r="L237" s="89"/>
      <c r="M237" s="89"/>
      <c r="N237" s="107"/>
      <c r="O237" s="107"/>
      <c r="P237" s="89"/>
      <c r="Q237" s="89"/>
      <c r="R237" s="89"/>
      <c r="S237" s="89"/>
      <c r="T237" s="89"/>
      <c r="U237" s="89"/>
      <c r="V237" s="89"/>
      <c r="W237" s="89"/>
      <c r="X237" s="89"/>
      <c r="Y237" s="89"/>
      <c r="Z237" s="77"/>
      <c r="AA237" s="77"/>
      <c r="AB237" s="94"/>
      <c r="AC237" s="94"/>
      <c r="AD237" s="94"/>
      <c r="AE237" s="94"/>
      <c r="AF237" s="91"/>
      <c r="AG237" s="92"/>
      <c r="AH237" s="92"/>
      <c r="AI237" s="93"/>
      <c r="AJ237" s="94"/>
      <c r="AK237" s="92"/>
      <c r="AL237" s="94"/>
      <c r="AM237" s="94"/>
      <c r="AN237" s="94"/>
      <c r="AO237" s="94"/>
      <c r="AP237" s="94"/>
      <c r="AQ237" s="94"/>
      <c r="AR237" s="94"/>
      <c r="AS237" s="94"/>
      <c r="AT237" s="94"/>
      <c r="AU237" s="92"/>
      <c r="AV237" s="94"/>
      <c r="AW237" s="94"/>
      <c r="AX237" s="94"/>
      <c r="AY237" s="94"/>
      <c r="AZ237" s="94"/>
      <c r="BA237" s="94"/>
      <c r="BB237" s="94"/>
      <c r="BC237" s="94"/>
      <c r="BD237" s="94"/>
      <c r="BE237" s="94"/>
      <c r="BF237" s="94"/>
      <c r="BG237" s="94"/>
      <c r="BH237" s="94"/>
      <c r="BI237" s="94"/>
      <c r="BJ237" s="94"/>
      <c r="BK237" s="94"/>
      <c r="BL237" s="92"/>
      <c r="BM237" s="94"/>
      <c r="BN237" s="94"/>
      <c r="BO237" s="94"/>
      <c r="BP237" s="94"/>
      <c r="BQ237" s="92"/>
      <c r="BR237" s="92"/>
      <c r="BS237" s="92"/>
      <c r="BT237" s="92"/>
      <c r="BU237" s="92"/>
      <c r="BV237" s="92"/>
      <c r="BW237" s="92"/>
      <c r="BX237" s="92"/>
      <c r="BY237" s="92"/>
      <c r="BZ237" s="92"/>
    </row>
    <row r="238" spans="1:78" ht="12.9">
      <c r="A238" s="89"/>
      <c r="B238" s="89"/>
      <c r="C238" s="89"/>
      <c r="D238" s="89"/>
      <c r="E238" s="89"/>
      <c r="F238" s="89"/>
      <c r="G238" s="89"/>
      <c r="H238" s="105"/>
      <c r="I238" s="106"/>
      <c r="J238" s="106"/>
      <c r="K238" s="89"/>
      <c r="L238" s="89"/>
      <c r="M238" s="89"/>
      <c r="N238" s="107"/>
      <c r="O238" s="107"/>
      <c r="P238" s="89"/>
      <c r="Q238" s="89"/>
      <c r="R238" s="89"/>
      <c r="S238" s="89"/>
      <c r="T238" s="89"/>
      <c r="U238" s="89"/>
      <c r="V238" s="89"/>
      <c r="W238" s="89"/>
      <c r="X238" s="89"/>
      <c r="Y238" s="89"/>
      <c r="Z238" s="77"/>
      <c r="AA238" s="77"/>
      <c r="AB238" s="94"/>
      <c r="AC238" s="94"/>
      <c r="AD238" s="94"/>
      <c r="AE238" s="94"/>
      <c r="AF238" s="91"/>
      <c r="AG238" s="92"/>
      <c r="AH238" s="92"/>
      <c r="AI238" s="93"/>
      <c r="AJ238" s="94"/>
      <c r="AK238" s="92"/>
      <c r="AL238" s="94"/>
      <c r="AM238" s="94"/>
      <c r="AN238" s="94"/>
      <c r="AO238" s="94"/>
      <c r="AP238" s="94"/>
      <c r="AQ238" s="94"/>
      <c r="AR238" s="94"/>
      <c r="AS238" s="94"/>
      <c r="AT238" s="94"/>
      <c r="AU238" s="92"/>
      <c r="AV238" s="94"/>
      <c r="AW238" s="94"/>
      <c r="AX238" s="94"/>
      <c r="AY238" s="94"/>
      <c r="AZ238" s="94"/>
      <c r="BA238" s="94"/>
      <c r="BB238" s="94"/>
      <c r="BC238" s="94"/>
      <c r="BD238" s="94"/>
      <c r="BE238" s="94"/>
      <c r="BF238" s="94"/>
      <c r="BG238" s="94"/>
      <c r="BH238" s="94"/>
      <c r="BI238" s="94"/>
      <c r="BJ238" s="94"/>
      <c r="BK238" s="94"/>
      <c r="BL238" s="92"/>
      <c r="BM238" s="94"/>
      <c r="BN238" s="94"/>
      <c r="BO238" s="94"/>
      <c r="BP238" s="94"/>
      <c r="BQ238" s="92"/>
      <c r="BR238" s="92"/>
      <c r="BS238" s="92"/>
      <c r="BT238" s="92"/>
      <c r="BU238" s="92"/>
      <c r="BV238" s="92"/>
      <c r="BW238" s="92"/>
      <c r="BX238" s="92"/>
      <c r="BY238" s="92"/>
      <c r="BZ238" s="92"/>
    </row>
    <row r="239" spans="1:78" ht="12.9">
      <c r="A239" s="89"/>
      <c r="B239" s="89"/>
      <c r="C239" s="89"/>
      <c r="D239" s="89"/>
      <c r="E239" s="89"/>
      <c r="F239" s="89"/>
      <c r="G239" s="89"/>
      <c r="H239" s="105"/>
      <c r="I239" s="106"/>
      <c r="J239" s="106"/>
      <c r="K239" s="89"/>
      <c r="L239" s="89"/>
      <c r="M239" s="89"/>
      <c r="N239" s="107"/>
      <c r="O239" s="107"/>
      <c r="P239" s="89"/>
      <c r="Q239" s="89"/>
      <c r="R239" s="89"/>
      <c r="S239" s="89"/>
      <c r="T239" s="89"/>
      <c r="U239" s="89"/>
      <c r="V239" s="89"/>
      <c r="W239" s="89"/>
      <c r="X239" s="89"/>
      <c r="Y239" s="89"/>
      <c r="Z239" s="77"/>
      <c r="AA239" s="77"/>
      <c r="AB239" s="94"/>
      <c r="AC239" s="94"/>
      <c r="AD239" s="94"/>
      <c r="AE239" s="94"/>
      <c r="AF239" s="91"/>
      <c r="AG239" s="92"/>
      <c r="AH239" s="92"/>
      <c r="AI239" s="93"/>
      <c r="AJ239" s="94"/>
      <c r="AK239" s="92"/>
      <c r="AL239" s="94"/>
      <c r="AM239" s="94"/>
      <c r="AN239" s="94"/>
      <c r="AO239" s="94"/>
      <c r="AP239" s="94"/>
      <c r="AQ239" s="94"/>
      <c r="AR239" s="94"/>
      <c r="AS239" s="94"/>
      <c r="AT239" s="94"/>
      <c r="AU239" s="92"/>
      <c r="AV239" s="94"/>
      <c r="AW239" s="94"/>
      <c r="AX239" s="94"/>
      <c r="AY239" s="94"/>
      <c r="AZ239" s="94"/>
      <c r="BA239" s="94"/>
      <c r="BB239" s="94"/>
      <c r="BC239" s="94"/>
      <c r="BD239" s="94"/>
      <c r="BE239" s="94"/>
      <c r="BF239" s="94"/>
      <c r="BG239" s="94"/>
      <c r="BH239" s="94"/>
      <c r="BI239" s="94"/>
      <c r="BJ239" s="94"/>
      <c r="BK239" s="94"/>
      <c r="BL239" s="92"/>
      <c r="BM239" s="94"/>
      <c r="BN239" s="94"/>
      <c r="BO239" s="94"/>
      <c r="BP239" s="94"/>
      <c r="BQ239" s="92"/>
      <c r="BR239" s="92"/>
      <c r="BS239" s="92"/>
      <c r="BT239" s="92"/>
      <c r="BU239" s="92"/>
      <c r="BV239" s="92"/>
      <c r="BW239" s="92"/>
      <c r="BX239" s="92"/>
      <c r="BY239" s="92"/>
      <c r="BZ239" s="92"/>
    </row>
    <row r="240" spans="1:78" ht="12.9">
      <c r="A240" s="89"/>
      <c r="B240" s="89"/>
      <c r="C240" s="89"/>
      <c r="D240" s="89"/>
      <c r="E240" s="89"/>
      <c r="F240" s="89"/>
      <c r="G240" s="89"/>
      <c r="H240" s="105"/>
      <c r="I240" s="106"/>
      <c r="J240" s="106"/>
      <c r="K240" s="89"/>
      <c r="L240" s="89"/>
      <c r="M240" s="89"/>
      <c r="N240" s="107"/>
      <c r="O240" s="107"/>
      <c r="P240" s="89"/>
      <c r="Q240" s="89"/>
      <c r="R240" s="89"/>
      <c r="S240" s="89"/>
      <c r="T240" s="89"/>
      <c r="U240" s="89"/>
      <c r="V240" s="89"/>
      <c r="W240" s="89"/>
      <c r="X240" s="89"/>
      <c r="Y240" s="89"/>
      <c r="Z240" s="77"/>
      <c r="AA240" s="77"/>
      <c r="AB240" s="94"/>
      <c r="AC240" s="94"/>
      <c r="AD240" s="94"/>
      <c r="AE240" s="94"/>
      <c r="AF240" s="91"/>
      <c r="AG240" s="92"/>
      <c r="AH240" s="92"/>
      <c r="AI240" s="93"/>
      <c r="AJ240" s="94"/>
      <c r="AK240" s="92"/>
      <c r="AL240" s="94"/>
      <c r="AM240" s="94"/>
      <c r="AN240" s="94"/>
      <c r="AO240" s="94"/>
      <c r="AP240" s="94"/>
      <c r="AQ240" s="94"/>
      <c r="AR240" s="94"/>
      <c r="AS240" s="94"/>
      <c r="AT240" s="94"/>
      <c r="AU240" s="92"/>
      <c r="AV240" s="94"/>
      <c r="AW240" s="94"/>
      <c r="AX240" s="94"/>
      <c r="AY240" s="94"/>
      <c r="AZ240" s="94"/>
      <c r="BA240" s="94"/>
      <c r="BB240" s="94"/>
      <c r="BC240" s="94"/>
      <c r="BD240" s="94"/>
      <c r="BE240" s="94"/>
      <c r="BF240" s="94"/>
      <c r="BG240" s="94"/>
      <c r="BH240" s="94"/>
      <c r="BI240" s="94"/>
      <c r="BJ240" s="94"/>
      <c r="BK240" s="94"/>
      <c r="BL240" s="92"/>
      <c r="BM240" s="94"/>
      <c r="BN240" s="94"/>
      <c r="BO240" s="94"/>
      <c r="BP240" s="94"/>
      <c r="BQ240" s="92"/>
      <c r="BR240" s="92"/>
      <c r="BS240" s="92"/>
      <c r="BT240" s="92"/>
      <c r="BU240" s="92"/>
      <c r="BV240" s="92"/>
      <c r="BW240" s="92"/>
      <c r="BX240" s="92"/>
      <c r="BY240" s="92"/>
      <c r="BZ240" s="92"/>
    </row>
    <row r="241" spans="1:78" ht="12.9">
      <c r="A241" s="89"/>
      <c r="B241" s="89"/>
      <c r="C241" s="89"/>
      <c r="D241" s="89"/>
      <c r="E241" s="89"/>
      <c r="F241" s="89"/>
      <c r="G241" s="89"/>
      <c r="H241" s="105"/>
      <c r="I241" s="106"/>
      <c r="J241" s="106"/>
      <c r="K241" s="89"/>
      <c r="L241" s="89"/>
      <c r="M241" s="89"/>
      <c r="N241" s="107"/>
      <c r="O241" s="107"/>
      <c r="P241" s="89"/>
      <c r="Q241" s="89"/>
      <c r="R241" s="89"/>
      <c r="S241" s="89"/>
      <c r="T241" s="89"/>
      <c r="U241" s="89"/>
      <c r="V241" s="89"/>
      <c r="W241" s="89"/>
      <c r="X241" s="89"/>
      <c r="Y241" s="89"/>
      <c r="Z241" s="77"/>
      <c r="AA241" s="77"/>
      <c r="AB241" s="94"/>
      <c r="AC241" s="94"/>
      <c r="AD241" s="94"/>
      <c r="AE241" s="94"/>
      <c r="AF241" s="91"/>
      <c r="AG241" s="92"/>
      <c r="AH241" s="92"/>
      <c r="AI241" s="93"/>
      <c r="AJ241" s="94"/>
      <c r="AK241" s="92"/>
      <c r="AL241" s="94"/>
      <c r="AM241" s="94"/>
      <c r="AN241" s="94"/>
      <c r="AO241" s="94"/>
      <c r="AP241" s="94"/>
      <c r="AQ241" s="94"/>
      <c r="AR241" s="94"/>
      <c r="AS241" s="94"/>
      <c r="AT241" s="94"/>
      <c r="AU241" s="92"/>
      <c r="AV241" s="94"/>
      <c r="AW241" s="94"/>
      <c r="AX241" s="94"/>
      <c r="AY241" s="94"/>
      <c r="AZ241" s="94"/>
      <c r="BA241" s="94"/>
      <c r="BB241" s="94"/>
      <c r="BC241" s="94"/>
      <c r="BD241" s="94"/>
      <c r="BE241" s="94"/>
      <c r="BF241" s="94"/>
      <c r="BG241" s="94"/>
      <c r="BH241" s="94"/>
      <c r="BI241" s="94"/>
      <c r="BJ241" s="94"/>
      <c r="BK241" s="94"/>
      <c r="BL241" s="92"/>
      <c r="BM241" s="94"/>
      <c r="BN241" s="94"/>
      <c r="BO241" s="94"/>
      <c r="BP241" s="94"/>
      <c r="BQ241" s="92"/>
      <c r="BR241" s="92"/>
      <c r="BS241" s="92"/>
      <c r="BT241" s="92"/>
      <c r="BU241" s="92"/>
      <c r="BV241" s="92"/>
      <c r="BW241" s="92"/>
      <c r="BX241" s="92"/>
      <c r="BY241" s="92"/>
      <c r="BZ241" s="92"/>
    </row>
    <row r="242" spans="1:78" ht="12.9">
      <c r="A242" s="89"/>
      <c r="B242" s="89"/>
      <c r="C242" s="89"/>
      <c r="D242" s="89"/>
      <c r="E242" s="89"/>
      <c r="F242" s="89"/>
      <c r="G242" s="89"/>
      <c r="H242" s="105"/>
      <c r="I242" s="106"/>
      <c r="J242" s="106"/>
      <c r="K242" s="89"/>
      <c r="L242" s="89"/>
      <c r="M242" s="89"/>
      <c r="N242" s="107"/>
      <c r="O242" s="107"/>
      <c r="P242" s="89"/>
      <c r="Q242" s="89"/>
      <c r="R242" s="89"/>
      <c r="S242" s="89"/>
      <c r="T242" s="89"/>
      <c r="U242" s="89"/>
      <c r="V242" s="89"/>
      <c r="W242" s="89"/>
      <c r="X242" s="89"/>
      <c r="Y242" s="89"/>
      <c r="Z242" s="77"/>
      <c r="AA242" s="77"/>
      <c r="AB242" s="94"/>
      <c r="AC242" s="94"/>
      <c r="AD242" s="94"/>
      <c r="AE242" s="94"/>
      <c r="AF242" s="91"/>
      <c r="AG242" s="92"/>
      <c r="AH242" s="92"/>
      <c r="AI242" s="93"/>
      <c r="AJ242" s="94"/>
      <c r="AK242" s="92"/>
      <c r="AL242" s="94"/>
      <c r="AM242" s="94"/>
      <c r="AN242" s="94"/>
      <c r="AO242" s="94"/>
      <c r="AP242" s="94"/>
      <c r="AQ242" s="94"/>
      <c r="AR242" s="94"/>
      <c r="AS242" s="94"/>
      <c r="AT242" s="94"/>
      <c r="AU242" s="92"/>
      <c r="AV242" s="94"/>
      <c r="AW242" s="94"/>
      <c r="AX242" s="94"/>
      <c r="AY242" s="94"/>
      <c r="AZ242" s="94"/>
      <c r="BA242" s="94"/>
      <c r="BB242" s="94"/>
      <c r="BC242" s="94"/>
      <c r="BD242" s="94"/>
      <c r="BE242" s="94"/>
      <c r="BF242" s="94"/>
      <c r="BG242" s="94"/>
      <c r="BH242" s="94"/>
      <c r="BI242" s="94"/>
      <c r="BJ242" s="94"/>
      <c r="BK242" s="94"/>
      <c r="BL242" s="92"/>
      <c r="BM242" s="94"/>
      <c r="BN242" s="94"/>
      <c r="BO242" s="94"/>
      <c r="BP242" s="94"/>
      <c r="BQ242" s="92"/>
      <c r="BR242" s="92"/>
      <c r="BS242" s="92"/>
      <c r="BT242" s="92"/>
      <c r="BU242" s="92"/>
      <c r="BV242" s="92"/>
      <c r="BW242" s="92"/>
      <c r="BX242" s="92"/>
      <c r="BY242" s="92"/>
      <c r="BZ242" s="92"/>
    </row>
    <row r="243" spans="1:78" ht="12.9">
      <c r="A243" s="89"/>
      <c r="B243" s="89"/>
      <c r="C243" s="89"/>
      <c r="D243" s="89"/>
      <c r="E243" s="89"/>
      <c r="F243" s="89"/>
      <c r="G243" s="89"/>
      <c r="H243" s="105"/>
      <c r="I243" s="106"/>
      <c r="J243" s="106"/>
      <c r="K243" s="89"/>
      <c r="L243" s="89"/>
      <c r="M243" s="89"/>
      <c r="N243" s="107"/>
      <c r="O243" s="107"/>
      <c r="P243" s="89"/>
      <c r="Q243" s="89"/>
      <c r="R243" s="89"/>
      <c r="S243" s="89"/>
      <c r="T243" s="89"/>
      <c r="U243" s="89"/>
      <c r="V243" s="89"/>
      <c r="W243" s="89"/>
      <c r="X243" s="89"/>
      <c r="Y243" s="89"/>
      <c r="Z243" s="77"/>
      <c r="AA243" s="77"/>
      <c r="AB243" s="94"/>
      <c r="AC243" s="94"/>
      <c r="AD243" s="94"/>
      <c r="AE243" s="94"/>
      <c r="AF243" s="91"/>
      <c r="AG243" s="92"/>
      <c r="AH243" s="92"/>
      <c r="AI243" s="93"/>
      <c r="AJ243" s="94"/>
      <c r="AK243" s="92"/>
      <c r="AL243" s="94"/>
      <c r="AM243" s="94"/>
      <c r="AN243" s="94"/>
      <c r="AO243" s="94"/>
      <c r="AP243" s="94"/>
      <c r="AQ243" s="94"/>
      <c r="AR243" s="94"/>
      <c r="AS243" s="94"/>
      <c r="AT243" s="94"/>
      <c r="AU243" s="92"/>
      <c r="AV243" s="94"/>
      <c r="AW243" s="94"/>
      <c r="AX243" s="94"/>
      <c r="AY243" s="94"/>
      <c r="AZ243" s="94"/>
      <c r="BA243" s="94"/>
      <c r="BB243" s="94"/>
      <c r="BC243" s="94"/>
      <c r="BD243" s="94"/>
      <c r="BE243" s="94"/>
      <c r="BF243" s="94"/>
      <c r="BG243" s="94"/>
      <c r="BH243" s="94"/>
      <c r="BI243" s="94"/>
      <c r="BJ243" s="94"/>
      <c r="BK243" s="94"/>
      <c r="BL243" s="92"/>
      <c r="BM243" s="94"/>
      <c r="BN243" s="94"/>
      <c r="BO243" s="94"/>
      <c r="BP243" s="94"/>
      <c r="BQ243" s="92"/>
      <c r="BR243" s="92"/>
      <c r="BS243" s="92"/>
      <c r="BT243" s="92"/>
      <c r="BU243" s="92"/>
      <c r="BV243" s="92"/>
      <c r="BW243" s="92"/>
      <c r="BX243" s="92"/>
      <c r="BY243" s="92"/>
      <c r="BZ243" s="92"/>
    </row>
    <row r="244" spans="1:78" ht="12.9">
      <c r="A244" s="89"/>
      <c r="B244" s="89"/>
      <c r="C244" s="89"/>
      <c r="D244" s="89"/>
      <c r="E244" s="89"/>
      <c r="F244" s="89"/>
      <c r="G244" s="89"/>
      <c r="H244" s="105"/>
      <c r="I244" s="106"/>
      <c r="J244" s="106"/>
      <c r="K244" s="89"/>
      <c r="L244" s="89"/>
      <c r="M244" s="89"/>
      <c r="N244" s="107"/>
      <c r="O244" s="107"/>
      <c r="P244" s="89"/>
      <c r="Q244" s="89"/>
      <c r="R244" s="89"/>
      <c r="S244" s="89"/>
      <c r="T244" s="89"/>
      <c r="U244" s="89"/>
      <c r="V244" s="89"/>
      <c r="W244" s="89"/>
      <c r="X244" s="89"/>
      <c r="Y244" s="89"/>
      <c r="Z244" s="77"/>
      <c r="AA244" s="77"/>
      <c r="AB244" s="94"/>
      <c r="AC244" s="94"/>
      <c r="AD244" s="94"/>
      <c r="AE244" s="94"/>
      <c r="AF244" s="91"/>
      <c r="AG244" s="92"/>
      <c r="AH244" s="92"/>
      <c r="AI244" s="93"/>
      <c r="AJ244" s="94"/>
      <c r="AK244" s="92"/>
      <c r="AL244" s="94"/>
      <c r="AM244" s="94"/>
      <c r="AN244" s="94"/>
      <c r="AO244" s="94"/>
      <c r="AP244" s="94"/>
      <c r="AQ244" s="94"/>
      <c r="AR244" s="94"/>
      <c r="AS244" s="94"/>
      <c r="AT244" s="94"/>
      <c r="AU244" s="92"/>
      <c r="AV244" s="94"/>
      <c r="AW244" s="94"/>
      <c r="AX244" s="94"/>
      <c r="AY244" s="94"/>
      <c r="AZ244" s="94"/>
      <c r="BA244" s="94"/>
      <c r="BB244" s="94"/>
      <c r="BC244" s="94"/>
      <c r="BD244" s="94"/>
      <c r="BE244" s="94"/>
      <c r="BF244" s="94"/>
      <c r="BG244" s="94"/>
      <c r="BH244" s="94"/>
      <c r="BI244" s="94"/>
      <c r="BJ244" s="94"/>
      <c r="BK244" s="94"/>
      <c r="BL244" s="92"/>
      <c r="BM244" s="94"/>
      <c r="BN244" s="94"/>
      <c r="BO244" s="94"/>
      <c r="BP244" s="94"/>
      <c r="BQ244" s="92"/>
      <c r="BR244" s="92"/>
      <c r="BS244" s="92"/>
      <c r="BT244" s="92"/>
      <c r="BU244" s="92"/>
      <c r="BV244" s="92"/>
      <c r="BW244" s="92"/>
      <c r="BX244" s="92"/>
      <c r="BY244" s="92"/>
      <c r="BZ244" s="92"/>
    </row>
    <row r="245" spans="1:78" ht="12.9">
      <c r="A245" s="89"/>
      <c r="B245" s="89"/>
      <c r="C245" s="89"/>
      <c r="D245" s="89"/>
      <c r="E245" s="89"/>
      <c r="F245" s="89"/>
      <c r="G245" s="89"/>
      <c r="H245" s="105"/>
      <c r="I245" s="106"/>
      <c r="J245" s="106"/>
      <c r="K245" s="89"/>
      <c r="L245" s="89"/>
      <c r="M245" s="89"/>
      <c r="N245" s="107"/>
      <c r="O245" s="107"/>
      <c r="P245" s="89"/>
      <c r="Q245" s="89"/>
      <c r="R245" s="89"/>
      <c r="S245" s="89"/>
      <c r="T245" s="89"/>
      <c r="U245" s="89"/>
      <c r="V245" s="89"/>
      <c r="W245" s="89"/>
      <c r="X245" s="89"/>
      <c r="Y245" s="89"/>
      <c r="Z245" s="77"/>
      <c r="AA245" s="77"/>
      <c r="AB245" s="94"/>
      <c r="AC245" s="94"/>
      <c r="AD245" s="94"/>
      <c r="AE245" s="94"/>
      <c r="AF245" s="91"/>
      <c r="AG245" s="92"/>
      <c r="AH245" s="92"/>
      <c r="AI245" s="93"/>
      <c r="AJ245" s="94"/>
      <c r="AK245" s="92"/>
      <c r="AL245" s="94"/>
      <c r="AM245" s="94"/>
      <c r="AN245" s="94"/>
      <c r="AO245" s="94"/>
      <c r="AP245" s="94"/>
      <c r="AQ245" s="94"/>
      <c r="AR245" s="94"/>
      <c r="AS245" s="94"/>
      <c r="AT245" s="94"/>
      <c r="AU245" s="92"/>
      <c r="AV245" s="94"/>
      <c r="AW245" s="94"/>
      <c r="AX245" s="94"/>
      <c r="AY245" s="94"/>
      <c r="AZ245" s="94"/>
      <c r="BA245" s="94"/>
      <c r="BB245" s="94"/>
      <c r="BC245" s="94"/>
      <c r="BD245" s="94"/>
      <c r="BE245" s="94"/>
      <c r="BF245" s="94"/>
      <c r="BG245" s="94"/>
      <c r="BH245" s="94"/>
      <c r="BI245" s="94"/>
      <c r="BJ245" s="94"/>
      <c r="BK245" s="94"/>
      <c r="BL245" s="92"/>
      <c r="BM245" s="94"/>
      <c r="BN245" s="94"/>
      <c r="BO245" s="94"/>
      <c r="BP245" s="94"/>
      <c r="BQ245" s="92"/>
      <c r="BR245" s="92"/>
      <c r="BS245" s="92"/>
      <c r="BT245" s="92"/>
      <c r="BU245" s="92"/>
      <c r="BV245" s="92"/>
      <c r="BW245" s="92"/>
      <c r="BX245" s="92"/>
      <c r="BY245" s="92"/>
      <c r="BZ245" s="92"/>
    </row>
    <row r="246" spans="1:78" ht="12.9">
      <c r="A246" s="89"/>
      <c r="B246" s="89"/>
      <c r="C246" s="89"/>
      <c r="D246" s="89"/>
      <c r="E246" s="89"/>
      <c r="F246" s="89"/>
      <c r="G246" s="89"/>
      <c r="H246" s="105"/>
      <c r="I246" s="106"/>
      <c r="J246" s="106"/>
      <c r="K246" s="89"/>
      <c r="L246" s="89"/>
      <c r="M246" s="89"/>
      <c r="N246" s="107"/>
      <c r="O246" s="107"/>
      <c r="P246" s="89"/>
      <c r="Q246" s="89"/>
      <c r="R246" s="89"/>
      <c r="S246" s="89"/>
      <c r="T246" s="89"/>
      <c r="U246" s="89"/>
      <c r="V246" s="89"/>
      <c r="W246" s="89"/>
      <c r="X246" s="89"/>
      <c r="Y246" s="89"/>
      <c r="Z246" s="77"/>
      <c r="AA246" s="77"/>
      <c r="AB246" s="94"/>
      <c r="AC246" s="94"/>
      <c r="AD246" s="94"/>
      <c r="AE246" s="94"/>
      <c r="AF246" s="91"/>
      <c r="AG246" s="92"/>
      <c r="AH246" s="92"/>
      <c r="AI246" s="93"/>
      <c r="AJ246" s="94"/>
      <c r="AK246" s="92"/>
      <c r="AL246" s="94"/>
      <c r="AM246" s="94"/>
      <c r="AN246" s="94"/>
      <c r="AO246" s="94"/>
      <c r="AP246" s="94"/>
      <c r="AQ246" s="94"/>
      <c r="AR246" s="94"/>
      <c r="AS246" s="94"/>
      <c r="AT246" s="94"/>
      <c r="AU246" s="92"/>
      <c r="AV246" s="94"/>
      <c r="AW246" s="94"/>
      <c r="AX246" s="94"/>
      <c r="AY246" s="94"/>
      <c r="AZ246" s="94"/>
      <c r="BA246" s="94"/>
      <c r="BB246" s="94"/>
      <c r="BC246" s="94"/>
      <c r="BD246" s="94"/>
      <c r="BE246" s="94"/>
      <c r="BF246" s="94"/>
      <c r="BG246" s="94"/>
      <c r="BH246" s="94"/>
      <c r="BI246" s="94"/>
      <c r="BJ246" s="94"/>
      <c r="BK246" s="94"/>
      <c r="BL246" s="92"/>
      <c r="BM246" s="94"/>
      <c r="BN246" s="94"/>
      <c r="BO246" s="94"/>
      <c r="BP246" s="94"/>
      <c r="BQ246" s="92"/>
      <c r="BR246" s="92"/>
      <c r="BS246" s="92"/>
      <c r="BT246" s="92"/>
      <c r="BU246" s="92"/>
      <c r="BV246" s="92"/>
      <c r="BW246" s="92"/>
      <c r="BX246" s="92"/>
      <c r="BY246" s="92"/>
      <c r="BZ246" s="92"/>
    </row>
    <row r="247" spans="1:78" ht="12.9">
      <c r="A247" s="89"/>
      <c r="B247" s="89"/>
      <c r="C247" s="89"/>
      <c r="D247" s="89"/>
      <c r="E247" s="89"/>
      <c r="F247" s="89"/>
      <c r="G247" s="89"/>
      <c r="H247" s="105"/>
      <c r="I247" s="106"/>
      <c r="J247" s="106"/>
      <c r="K247" s="89"/>
      <c r="L247" s="89"/>
      <c r="M247" s="89"/>
      <c r="N247" s="107"/>
      <c r="O247" s="107"/>
      <c r="P247" s="89"/>
      <c r="Q247" s="89"/>
      <c r="R247" s="89"/>
      <c r="S247" s="89"/>
      <c r="T247" s="89"/>
      <c r="U247" s="89"/>
      <c r="V247" s="89"/>
      <c r="W247" s="89"/>
      <c r="X247" s="89"/>
      <c r="Y247" s="89"/>
      <c r="Z247" s="77"/>
      <c r="AA247" s="77"/>
      <c r="AB247" s="94"/>
      <c r="AC247" s="94"/>
      <c r="AD247" s="94"/>
      <c r="AE247" s="94"/>
      <c r="AF247" s="91"/>
      <c r="AG247" s="92"/>
      <c r="AH247" s="92"/>
      <c r="AI247" s="93"/>
      <c r="AJ247" s="94"/>
      <c r="AK247" s="92"/>
      <c r="AL247" s="94"/>
      <c r="AM247" s="94"/>
      <c r="AN247" s="94"/>
      <c r="AO247" s="94"/>
      <c r="AP247" s="94"/>
      <c r="AQ247" s="94"/>
      <c r="AR247" s="94"/>
      <c r="AS247" s="94"/>
      <c r="AT247" s="94"/>
      <c r="AU247" s="92"/>
      <c r="AV247" s="94"/>
      <c r="AW247" s="94"/>
      <c r="AX247" s="94"/>
      <c r="AY247" s="94"/>
      <c r="AZ247" s="94"/>
      <c r="BA247" s="94"/>
      <c r="BB247" s="94"/>
      <c r="BC247" s="94"/>
      <c r="BD247" s="94"/>
      <c r="BE247" s="94"/>
      <c r="BF247" s="94"/>
      <c r="BG247" s="94"/>
      <c r="BH247" s="94"/>
      <c r="BI247" s="94"/>
      <c r="BJ247" s="94"/>
      <c r="BK247" s="94"/>
      <c r="BL247" s="92"/>
      <c r="BM247" s="94"/>
      <c r="BN247" s="94"/>
      <c r="BO247" s="94"/>
      <c r="BP247" s="94"/>
      <c r="BQ247" s="92"/>
      <c r="BR247" s="92"/>
      <c r="BS247" s="92"/>
      <c r="BT247" s="92"/>
      <c r="BU247" s="92"/>
      <c r="BV247" s="92"/>
      <c r="BW247" s="92"/>
      <c r="BX247" s="92"/>
      <c r="BY247" s="92"/>
      <c r="BZ247" s="92"/>
    </row>
    <row r="248" spans="1:78" ht="12.9">
      <c r="A248" s="89"/>
      <c r="B248" s="89"/>
      <c r="C248" s="89"/>
      <c r="D248" s="89"/>
      <c r="E248" s="89"/>
      <c r="F248" s="89"/>
      <c r="G248" s="89"/>
      <c r="H248" s="105"/>
      <c r="I248" s="106"/>
      <c r="J248" s="106"/>
      <c r="K248" s="89"/>
      <c r="L248" s="89"/>
      <c r="M248" s="89"/>
      <c r="N248" s="107"/>
      <c r="O248" s="107"/>
      <c r="P248" s="89"/>
      <c r="Q248" s="89"/>
      <c r="R248" s="89"/>
      <c r="S248" s="89"/>
      <c r="T248" s="89"/>
      <c r="U248" s="89"/>
      <c r="V248" s="89"/>
      <c r="W248" s="89"/>
      <c r="X248" s="89"/>
      <c r="Y248" s="89"/>
      <c r="Z248" s="77"/>
      <c r="AA248" s="77"/>
      <c r="AB248" s="94"/>
      <c r="AC248" s="94"/>
      <c r="AD248" s="94"/>
      <c r="AE248" s="94"/>
      <c r="AF248" s="91"/>
      <c r="AG248" s="92"/>
      <c r="AH248" s="92"/>
      <c r="AI248" s="93"/>
      <c r="AJ248" s="94"/>
      <c r="AK248" s="92"/>
      <c r="AL248" s="94"/>
      <c r="AM248" s="94"/>
      <c r="AN248" s="94"/>
      <c r="AO248" s="94"/>
      <c r="AP248" s="94"/>
      <c r="AQ248" s="94"/>
      <c r="AR248" s="94"/>
      <c r="AS248" s="94"/>
      <c r="AT248" s="94"/>
      <c r="AU248" s="92"/>
      <c r="AV248" s="94"/>
      <c r="AW248" s="94"/>
      <c r="AX248" s="94"/>
      <c r="AY248" s="94"/>
      <c r="AZ248" s="94"/>
      <c r="BA248" s="94"/>
      <c r="BB248" s="94"/>
      <c r="BC248" s="94"/>
      <c r="BD248" s="94"/>
      <c r="BE248" s="94"/>
      <c r="BF248" s="94"/>
      <c r="BG248" s="94"/>
      <c r="BH248" s="94"/>
      <c r="BI248" s="94"/>
      <c r="BJ248" s="94"/>
      <c r="BK248" s="94"/>
      <c r="BL248" s="92"/>
      <c r="BM248" s="94"/>
      <c r="BN248" s="94"/>
      <c r="BO248" s="94"/>
      <c r="BP248" s="94"/>
      <c r="BQ248" s="92"/>
      <c r="BR248" s="92"/>
      <c r="BS248" s="92"/>
      <c r="BT248" s="92"/>
      <c r="BU248" s="92"/>
      <c r="BV248" s="92"/>
      <c r="BW248" s="92"/>
      <c r="BX248" s="92"/>
      <c r="BY248" s="92"/>
      <c r="BZ248" s="92"/>
    </row>
    <row r="249" spans="1:78" ht="12.9">
      <c r="A249" s="89"/>
      <c r="B249" s="89"/>
      <c r="C249" s="89"/>
      <c r="D249" s="89"/>
      <c r="E249" s="89"/>
      <c r="F249" s="89"/>
      <c r="G249" s="89"/>
      <c r="H249" s="105"/>
      <c r="I249" s="106"/>
      <c r="J249" s="106"/>
      <c r="K249" s="89"/>
      <c r="L249" s="89"/>
      <c r="M249" s="89"/>
      <c r="N249" s="107"/>
      <c r="O249" s="107"/>
      <c r="P249" s="89"/>
      <c r="Q249" s="89"/>
      <c r="R249" s="89"/>
      <c r="S249" s="89"/>
      <c r="T249" s="89"/>
      <c r="U249" s="89"/>
      <c r="V249" s="89"/>
      <c r="W249" s="89"/>
      <c r="X249" s="89"/>
      <c r="Y249" s="89"/>
      <c r="Z249" s="77"/>
      <c r="AA249" s="77"/>
      <c r="AB249" s="94"/>
      <c r="AC249" s="94"/>
      <c r="AD249" s="94"/>
      <c r="AE249" s="94"/>
      <c r="AF249" s="91"/>
      <c r="AG249" s="92"/>
      <c r="AH249" s="92"/>
      <c r="AI249" s="93"/>
      <c r="AJ249" s="94"/>
      <c r="AK249" s="92"/>
      <c r="AL249" s="94"/>
      <c r="AM249" s="94"/>
      <c r="AN249" s="94"/>
      <c r="AO249" s="94"/>
      <c r="AP249" s="94"/>
      <c r="AQ249" s="94"/>
      <c r="AR249" s="94"/>
      <c r="AS249" s="94"/>
      <c r="AT249" s="94"/>
      <c r="AU249" s="92"/>
      <c r="AV249" s="94"/>
      <c r="AW249" s="94"/>
      <c r="AX249" s="94"/>
      <c r="AY249" s="94"/>
      <c r="AZ249" s="94"/>
      <c r="BA249" s="94"/>
      <c r="BB249" s="94"/>
      <c r="BC249" s="94"/>
      <c r="BD249" s="94"/>
      <c r="BE249" s="94"/>
      <c r="BF249" s="94"/>
      <c r="BG249" s="94"/>
      <c r="BH249" s="94"/>
      <c r="BI249" s="94"/>
      <c r="BJ249" s="94"/>
      <c r="BK249" s="94"/>
      <c r="BL249" s="92"/>
      <c r="BM249" s="94"/>
      <c r="BN249" s="94"/>
      <c r="BO249" s="94"/>
      <c r="BP249" s="94"/>
      <c r="BQ249" s="92"/>
      <c r="BR249" s="92"/>
      <c r="BS249" s="92"/>
      <c r="BT249" s="92"/>
      <c r="BU249" s="92"/>
      <c r="BV249" s="92"/>
      <c r="BW249" s="92"/>
      <c r="BX249" s="92"/>
      <c r="BY249" s="92"/>
      <c r="BZ249" s="92"/>
    </row>
    <row r="250" spans="1:78" ht="12.9">
      <c r="A250" s="89"/>
      <c r="B250" s="89"/>
      <c r="C250" s="89"/>
      <c r="D250" s="89"/>
      <c r="E250" s="89"/>
      <c r="F250" s="89"/>
      <c r="G250" s="89"/>
      <c r="H250" s="105"/>
      <c r="I250" s="106"/>
      <c r="J250" s="106"/>
      <c r="K250" s="89"/>
      <c r="L250" s="89"/>
      <c r="M250" s="89"/>
      <c r="N250" s="107"/>
      <c r="O250" s="107"/>
      <c r="P250" s="89"/>
      <c r="Q250" s="89"/>
      <c r="R250" s="89"/>
      <c r="S250" s="89"/>
      <c r="T250" s="89"/>
      <c r="U250" s="89"/>
      <c r="V250" s="89"/>
      <c r="W250" s="89"/>
      <c r="X250" s="89"/>
      <c r="Y250" s="89"/>
      <c r="Z250" s="77"/>
      <c r="AA250" s="77"/>
      <c r="AB250" s="94"/>
      <c r="AC250" s="94"/>
      <c r="AD250" s="94"/>
      <c r="AE250" s="94"/>
      <c r="AF250" s="91"/>
      <c r="AG250" s="92"/>
      <c r="AH250" s="92"/>
      <c r="AI250" s="93"/>
      <c r="AJ250" s="94"/>
      <c r="AK250" s="92"/>
      <c r="AL250" s="94"/>
      <c r="AM250" s="94"/>
      <c r="AN250" s="94"/>
      <c r="AO250" s="94"/>
      <c r="AP250" s="94"/>
      <c r="AQ250" s="94"/>
      <c r="AR250" s="94"/>
      <c r="AS250" s="94"/>
      <c r="AT250" s="94"/>
      <c r="AU250" s="92"/>
      <c r="AV250" s="94"/>
      <c r="AW250" s="94"/>
      <c r="AX250" s="94"/>
      <c r="AY250" s="94"/>
      <c r="AZ250" s="94"/>
      <c r="BA250" s="94"/>
      <c r="BB250" s="94"/>
      <c r="BC250" s="94"/>
      <c r="BD250" s="94"/>
      <c r="BE250" s="94"/>
      <c r="BF250" s="94"/>
      <c r="BG250" s="94"/>
      <c r="BH250" s="94"/>
      <c r="BI250" s="94"/>
      <c r="BJ250" s="94"/>
      <c r="BK250" s="94"/>
      <c r="BL250" s="92"/>
      <c r="BM250" s="94"/>
      <c r="BN250" s="94"/>
      <c r="BO250" s="94"/>
      <c r="BP250" s="94"/>
      <c r="BQ250" s="92"/>
      <c r="BR250" s="92"/>
      <c r="BS250" s="92"/>
      <c r="BT250" s="92"/>
      <c r="BU250" s="92"/>
      <c r="BV250" s="92"/>
      <c r="BW250" s="92"/>
      <c r="BX250" s="92"/>
      <c r="BY250" s="92"/>
      <c r="BZ250" s="92"/>
    </row>
    <row r="251" spans="1:78" ht="12.9">
      <c r="A251" s="89"/>
      <c r="B251" s="89"/>
      <c r="C251" s="89"/>
      <c r="D251" s="89"/>
      <c r="E251" s="89"/>
      <c r="F251" s="89"/>
      <c r="G251" s="89"/>
      <c r="H251" s="105"/>
      <c r="I251" s="106"/>
      <c r="J251" s="106"/>
      <c r="K251" s="89"/>
      <c r="L251" s="89"/>
      <c r="M251" s="89"/>
      <c r="N251" s="107"/>
      <c r="O251" s="107"/>
      <c r="P251" s="89"/>
      <c r="Q251" s="89"/>
      <c r="R251" s="89"/>
      <c r="S251" s="89"/>
      <c r="T251" s="89"/>
      <c r="U251" s="89"/>
      <c r="V251" s="89"/>
      <c r="W251" s="89"/>
      <c r="X251" s="89"/>
      <c r="Y251" s="89"/>
      <c r="Z251" s="77"/>
      <c r="AA251" s="77"/>
      <c r="AB251" s="94"/>
      <c r="AC251" s="94"/>
      <c r="AD251" s="94"/>
      <c r="AE251" s="94"/>
      <c r="AF251" s="91"/>
      <c r="AG251" s="92"/>
      <c r="AH251" s="92"/>
      <c r="AI251" s="93"/>
      <c r="AJ251" s="94"/>
      <c r="AK251" s="92"/>
      <c r="AL251" s="94"/>
      <c r="AM251" s="94"/>
      <c r="AN251" s="94"/>
      <c r="AO251" s="94"/>
      <c r="AP251" s="94"/>
      <c r="AQ251" s="94"/>
      <c r="AR251" s="94"/>
      <c r="AS251" s="94"/>
      <c r="AT251" s="94"/>
      <c r="AU251" s="92"/>
      <c r="AV251" s="94"/>
      <c r="AW251" s="94"/>
      <c r="AX251" s="94"/>
      <c r="AY251" s="94"/>
      <c r="AZ251" s="94"/>
      <c r="BA251" s="94"/>
      <c r="BB251" s="94"/>
      <c r="BC251" s="94"/>
      <c r="BD251" s="94"/>
      <c r="BE251" s="94"/>
      <c r="BF251" s="94"/>
      <c r="BG251" s="94"/>
      <c r="BH251" s="94"/>
      <c r="BI251" s="94"/>
      <c r="BJ251" s="94"/>
      <c r="BK251" s="94"/>
      <c r="BL251" s="92"/>
      <c r="BM251" s="94"/>
      <c r="BN251" s="94"/>
      <c r="BO251" s="94"/>
      <c r="BP251" s="94"/>
      <c r="BQ251" s="92"/>
      <c r="BR251" s="92"/>
      <c r="BS251" s="92"/>
      <c r="BT251" s="92"/>
      <c r="BU251" s="92"/>
      <c r="BV251" s="92"/>
      <c r="BW251" s="92"/>
      <c r="BX251" s="92"/>
      <c r="BY251" s="92"/>
      <c r="BZ251" s="92"/>
    </row>
    <row r="252" spans="1:78" ht="12.9">
      <c r="A252" s="89"/>
      <c r="B252" s="89"/>
      <c r="C252" s="89"/>
      <c r="D252" s="89"/>
      <c r="E252" s="89"/>
      <c r="F252" s="89"/>
      <c r="G252" s="89"/>
      <c r="H252" s="105"/>
      <c r="I252" s="106"/>
      <c r="J252" s="106"/>
      <c r="K252" s="89"/>
      <c r="L252" s="89"/>
      <c r="M252" s="89"/>
      <c r="N252" s="107"/>
      <c r="O252" s="107"/>
      <c r="P252" s="89"/>
      <c r="Q252" s="89"/>
      <c r="R252" s="89"/>
      <c r="S252" s="89"/>
      <c r="T252" s="89"/>
      <c r="U252" s="89"/>
      <c r="V252" s="89"/>
      <c r="W252" s="89"/>
      <c r="X252" s="89"/>
      <c r="Y252" s="89"/>
      <c r="Z252" s="77"/>
      <c r="AA252" s="77"/>
      <c r="AB252" s="94"/>
      <c r="AC252" s="94"/>
      <c r="AD252" s="94"/>
      <c r="AE252" s="94"/>
      <c r="AF252" s="91"/>
      <c r="AG252" s="92"/>
      <c r="AH252" s="92"/>
      <c r="AI252" s="93"/>
      <c r="AJ252" s="94"/>
      <c r="AK252" s="92"/>
      <c r="AL252" s="94"/>
      <c r="AM252" s="94"/>
      <c r="AN252" s="94"/>
      <c r="AO252" s="94"/>
      <c r="AP252" s="94"/>
      <c r="AQ252" s="94"/>
      <c r="AR252" s="94"/>
      <c r="AS252" s="94"/>
      <c r="AT252" s="94"/>
      <c r="AU252" s="92"/>
      <c r="AV252" s="94"/>
      <c r="AW252" s="94"/>
      <c r="AX252" s="94"/>
      <c r="AY252" s="94"/>
      <c r="AZ252" s="94"/>
      <c r="BA252" s="94"/>
      <c r="BB252" s="94"/>
      <c r="BC252" s="94"/>
      <c r="BD252" s="94"/>
      <c r="BE252" s="94"/>
      <c r="BF252" s="94"/>
      <c r="BG252" s="94"/>
      <c r="BH252" s="94"/>
      <c r="BI252" s="94"/>
      <c r="BJ252" s="94"/>
      <c r="BK252" s="94"/>
      <c r="BL252" s="92"/>
      <c r="BM252" s="94"/>
      <c r="BN252" s="94"/>
      <c r="BO252" s="94"/>
      <c r="BP252" s="94"/>
      <c r="BQ252" s="92"/>
      <c r="BR252" s="92"/>
      <c r="BS252" s="92"/>
      <c r="BT252" s="92"/>
      <c r="BU252" s="92"/>
      <c r="BV252" s="92"/>
      <c r="BW252" s="92"/>
      <c r="BX252" s="92"/>
      <c r="BY252" s="92"/>
      <c r="BZ252" s="92"/>
    </row>
    <row r="253" spans="1:78" ht="12.9">
      <c r="A253" s="89"/>
      <c r="B253" s="89"/>
      <c r="C253" s="89"/>
      <c r="D253" s="89"/>
      <c r="E253" s="89"/>
      <c r="F253" s="89"/>
      <c r="G253" s="89"/>
      <c r="H253" s="105"/>
      <c r="I253" s="106"/>
      <c r="J253" s="106"/>
      <c r="K253" s="89"/>
      <c r="L253" s="89"/>
      <c r="M253" s="89"/>
      <c r="N253" s="107"/>
      <c r="O253" s="107"/>
      <c r="P253" s="89"/>
      <c r="Q253" s="89"/>
      <c r="R253" s="89"/>
      <c r="S253" s="89"/>
      <c r="T253" s="89"/>
      <c r="U253" s="89"/>
      <c r="V253" s="89"/>
      <c r="W253" s="89"/>
      <c r="X253" s="89"/>
      <c r="Y253" s="89"/>
      <c r="Z253" s="77"/>
      <c r="AA253" s="77"/>
      <c r="AB253" s="94"/>
      <c r="AC253" s="94"/>
      <c r="AD253" s="94"/>
      <c r="AE253" s="94"/>
      <c r="AF253" s="91"/>
      <c r="AG253" s="92"/>
      <c r="AH253" s="92"/>
      <c r="AI253" s="93"/>
      <c r="AJ253" s="94"/>
      <c r="AK253" s="92"/>
      <c r="AL253" s="94"/>
      <c r="AM253" s="94"/>
      <c r="AN253" s="94"/>
      <c r="AO253" s="94"/>
      <c r="AP253" s="94"/>
      <c r="AQ253" s="94"/>
      <c r="AR253" s="94"/>
      <c r="AS253" s="94"/>
      <c r="AT253" s="94"/>
      <c r="AU253" s="92"/>
      <c r="AV253" s="94"/>
      <c r="AW253" s="94"/>
      <c r="AX253" s="94"/>
      <c r="AY253" s="94"/>
      <c r="AZ253" s="94"/>
      <c r="BA253" s="94"/>
      <c r="BB253" s="94"/>
      <c r="BC253" s="94"/>
      <c r="BD253" s="94"/>
      <c r="BE253" s="94"/>
      <c r="BF253" s="94"/>
      <c r="BG253" s="94"/>
      <c r="BH253" s="94"/>
      <c r="BI253" s="94"/>
      <c r="BJ253" s="94"/>
      <c r="BK253" s="94"/>
      <c r="BL253" s="92"/>
      <c r="BM253" s="94"/>
      <c r="BN253" s="94"/>
      <c r="BO253" s="94"/>
      <c r="BP253" s="94"/>
      <c r="BQ253" s="92"/>
      <c r="BR253" s="92"/>
      <c r="BS253" s="92"/>
      <c r="BT253" s="92"/>
      <c r="BU253" s="92"/>
      <c r="BV253" s="92"/>
      <c r="BW253" s="92"/>
      <c r="BX253" s="92"/>
      <c r="BY253" s="92"/>
      <c r="BZ253" s="92"/>
    </row>
    <row r="254" spans="1:78" ht="12.9">
      <c r="A254" s="89"/>
      <c r="B254" s="89"/>
      <c r="C254" s="89"/>
      <c r="D254" s="89"/>
      <c r="E254" s="89"/>
      <c r="F254" s="89"/>
      <c r="G254" s="89"/>
      <c r="H254" s="105"/>
      <c r="I254" s="106"/>
      <c r="J254" s="106"/>
      <c r="K254" s="89"/>
      <c r="L254" s="89"/>
      <c r="M254" s="89"/>
      <c r="N254" s="107"/>
      <c r="O254" s="107"/>
      <c r="P254" s="89"/>
      <c r="Q254" s="89"/>
      <c r="R254" s="89"/>
      <c r="S254" s="89"/>
      <c r="T254" s="89"/>
      <c r="U254" s="89"/>
      <c r="V254" s="89"/>
      <c r="W254" s="89"/>
      <c r="X254" s="89"/>
      <c r="Y254" s="89"/>
      <c r="Z254" s="77"/>
      <c r="AA254" s="77"/>
      <c r="AB254" s="94"/>
      <c r="AC254" s="94"/>
      <c r="AD254" s="94"/>
      <c r="AE254" s="94"/>
      <c r="AF254" s="91"/>
      <c r="AG254" s="92"/>
      <c r="AH254" s="92"/>
      <c r="AI254" s="93"/>
      <c r="AJ254" s="94"/>
      <c r="AK254" s="92"/>
      <c r="AL254" s="94"/>
      <c r="AM254" s="94"/>
      <c r="AN254" s="94"/>
      <c r="AO254" s="94"/>
      <c r="AP254" s="94"/>
      <c r="AQ254" s="94"/>
      <c r="AR254" s="94"/>
      <c r="AS254" s="94"/>
      <c r="AT254" s="94"/>
      <c r="AU254" s="92"/>
      <c r="AV254" s="94"/>
      <c r="AW254" s="94"/>
      <c r="AX254" s="94"/>
      <c r="AY254" s="94"/>
      <c r="AZ254" s="94"/>
      <c r="BA254" s="94"/>
      <c r="BB254" s="94"/>
      <c r="BC254" s="94"/>
      <c r="BD254" s="94"/>
      <c r="BE254" s="94"/>
      <c r="BF254" s="94"/>
      <c r="BG254" s="94"/>
      <c r="BH254" s="94"/>
      <c r="BI254" s="94"/>
      <c r="BJ254" s="94"/>
      <c r="BK254" s="94"/>
      <c r="BL254" s="92"/>
      <c r="BM254" s="94"/>
      <c r="BN254" s="94"/>
      <c r="BO254" s="94"/>
      <c r="BP254" s="94"/>
      <c r="BQ254" s="92"/>
      <c r="BR254" s="92"/>
      <c r="BS254" s="92"/>
      <c r="BT254" s="92"/>
      <c r="BU254" s="92"/>
      <c r="BV254" s="92"/>
      <c r="BW254" s="92"/>
      <c r="BX254" s="92"/>
      <c r="BY254" s="92"/>
      <c r="BZ254" s="92"/>
    </row>
    <row r="255" spans="1:78" ht="12.9">
      <c r="A255" s="89"/>
      <c r="B255" s="89"/>
      <c r="C255" s="89"/>
      <c r="D255" s="89"/>
      <c r="E255" s="89"/>
      <c r="F255" s="89"/>
      <c r="G255" s="89"/>
      <c r="H255" s="105"/>
      <c r="I255" s="106"/>
      <c r="J255" s="106"/>
      <c r="K255" s="89"/>
      <c r="L255" s="89"/>
      <c r="M255" s="89"/>
      <c r="N255" s="107"/>
      <c r="O255" s="107"/>
      <c r="P255" s="89"/>
      <c r="Q255" s="89"/>
      <c r="R255" s="89"/>
      <c r="S255" s="89"/>
      <c r="T255" s="89"/>
      <c r="U255" s="89"/>
      <c r="V255" s="89"/>
      <c r="W255" s="89"/>
      <c r="X255" s="89"/>
      <c r="Y255" s="89"/>
      <c r="Z255" s="77"/>
      <c r="AA255" s="77"/>
      <c r="AB255" s="94"/>
      <c r="AC255" s="94"/>
      <c r="AD255" s="94"/>
      <c r="AE255" s="94"/>
      <c r="AF255" s="91"/>
      <c r="AG255" s="92"/>
      <c r="AH255" s="92"/>
      <c r="AI255" s="93"/>
      <c r="AJ255" s="94"/>
      <c r="AK255" s="92"/>
      <c r="AL255" s="94"/>
      <c r="AM255" s="94"/>
      <c r="AN255" s="94"/>
      <c r="AO255" s="94"/>
      <c r="AP255" s="94"/>
      <c r="AQ255" s="94"/>
      <c r="AR255" s="94"/>
      <c r="AS255" s="94"/>
      <c r="AT255" s="94"/>
      <c r="AU255" s="92"/>
      <c r="AV255" s="94"/>
      <c r="AW255" s="94"/>
      <c r="AX255" s="94"/>
      <c r="AY255" s="94"/>
      <c r="AZ255" s="94"/>
      <c r="BA255" s="94"/>
      <c r="BB255" s="94"/>
      <c r="BC255" s="94"/>
      <c r="BD255" s="94"/>
      <c r="BE255" s="94"/>
      <c r="BF255" s="94"/>
      <c r="BG255" s="94"/>
      <c r="BH255" s="94"/>
      <c r="BI255" s="94"/>
      <c r="BJ255" s="94"/>
      <c r="BK255" s="94"/>
      <c r="BL255" s="92"/>
      <c r="BM255" s="94"/>
      <c r="BN255" s="94"/>
      <c r="BO255" s="94"/>
      <c r="BP255" s="94"/>
      <c r="BQ255" s="92"/>
      <c r="BR255" s="92"/>
      <c r="BS255" s="92"/>
      <c r="BT255" s="92"/>
      <c r="BU255" s="92"/>
      <c r="BV255" s="92"/>
      <c r="BW255" s="92"/>
      <c r="BX255" s="92"/>
      <c r="BY255" s="92"/>
      <c r="BZ255" s="92"/>
    </row>
    <row r="256" spans="1:78" ht="12.9">
      <c r="A256" s="89"/>
      <c r="B256" s="89"/>
      <c r="C256" s="89"/>
      <c r="D256" s="89"/>
      <c r="E256" s="89"/>
      <c r="F256" s="89"/>
      <c r="G256" s="89"/>
      <c r="H256" s="105"/>
      <c r="I256" s="106"/>
      <c r="J256" s="106"/>
      <c r="K256" s="89"/>
      <c r="L256" s="89"/>
      <c r="M256" s="89"/>
      <c r="N256" s="107"/>
      <c r="O256" s="107"/>
      <c r="P256" s="89"/>
      <c r="Q256" s="89"/>
      <c r="R256" s="89"/>
      <c r="S256" s="89"/>
      <c r="T256" s="89"/>
      <c r="U256" s="89"/>
      <c r="V256" s="89"/>
      <c r="W256" s="89"/>
      <c r="X256" s="89"/>
      <c r="Y256" s="89"/>
      <c r="Z256" s="77"/>
      <c r="AA256" s="77"/>
      <c r="AB256" s="94"/>
      <c r="AC256" s="94"/>
      <c r="AD256" s="94"/>
      <c r="AE256" s="94"/>
      <c r="AF256" s="91"/>
      <c r="AG256" s="92"/>
      <c r="AH256" s="92"/>
      <c r="AI256" s="93"/>
      <c r="AJ256" s="94"/>
      <c r="AK256" s="92"/>
      <c r="AL256" s="94"/>
      <c r="AM256" s="94"/>
      <c r="AN256" s="94"/>
      <c r="AO256" s="94"/>
      <c r="AP256" s="94"/>
      <c r="AQ256" s="94"/>
      <c r="AR256" s="94"/>
      <c r="AS256" s="94"/>
      <c r="AT256" s="94"/>
      <c r="AU256" s="92"/>
      <c r="AV256" s="94"/>
      <c r="AW256" s="94"/>
      <c r="AX256" s="94"/>
      <c r="AY256" s="94"/>
      <c r="AZ256" s="94"/>
      <c r="BA256" s="94"/>
      <c r="BB256" s="94"/>
      <c r="BC256" s="94"/>
      <c r="BD256" s="94"/>
      <c r="BE256" s="94"/>
      <c r="BF256" s="94"/>
      <c r="BG256" s="94"/>
      <c r="BH256" s="94"/>
      <c r="BI256" s="94"/>
      <c r="BJ256" s="94"/>
      <c r="BK256" s="94"/>
      <c r="BL256" s="92"/>
      <c r="BM256" s="94"/>
      <c r="BN256" s="94"/>
      <c r="BO256" s="94"/>
      <c r="BP256" s="94"/>
      <c r="BQ256" s="92"/>
      <c r="BR256" s="92"/>
      <c r="BS256" s="92"/>
      <c r="BT256" s="92"/>
      <c r="BU256" s="92"/>
      <c r="BV256" s="92"/>
      <c r="BW256" s="92"/>
      <c r="BX256" s="92"/>
      <c r="BY256" s="92"/>
      <c r="BZ256" s="92"/>
    </row>
    <row r="257" spans="1:78" ht="12.9">
      <c r="A257" s="89"/>
      <c r="B257" s="89"/>
      <c r="C257" s="89"/>
      <c r="D257" s="89"/>
      <c r="E257" s="89"/>
      <c r="F257" s="89"/>
      <c r="G257" s="89"/>
      <c r="H257" s="105"/>
      <c r="I257" s="106"/>
      <c r="J257" s="106"/>
      <c r="K257" s="89"/>
      <c r="L257" s="89"/>
      <c r="M257" s="89"/>
      <c r="N257" s="107"/>
      <c r="O257" s="107"/>
      <c r="P257" s="89"/>
      <c r="Q257" s="89"/>
      <c r="R257" s="89"/>
      <c r="S257" s="89"/>
      <c r="T257" s="89"/>
      <c r="U257" s="89"/>
      <c r="V257" s="89"/>
      <c r="W257" s="89"/>
      <c r="X257" s="89"/>
      <c r="Y257" s="89"/>
      <c r="Z257" s="77"/>
      <c r="AA257" s="77"/>
      <c r="AB257" s="94"/>
      <c r="AC257" s="94"/>
      <c r="AD257" s="94"/>
      <c r="AE257" s="94"/>
      <c r="AF257" s="91"/>
      <c r="AG257" s="92"/>
      <c r="AH257" s="92"/>
      <c r="AI257" s="93"/>
      <c r="AJ257" s="94"/>
      <c r="AK257" s="92"/>
      <c r="AL257" s="94"/>
      <c r="AM257" s="94"/>
      <c r="AN257" s="94"/>
      <c r="AO257" s="94"/>
      <c r="AP257" s="94"/>
      <c r="AQ257" s="94"/>
      <c r="AR257" s="94"/>
      <c r="AS257" s="94"/>
      <c r="AT257" s="94"/>
      <c r="AU257" s="92"/>
      <c r="AV257" s="94"/>
      <c r="AW257" s="94"/>
      <c r="AX257" s="94"/>
      <c r="AY257" s="94"/>
      <c r="AZ257" s="94"/>
      <c r="BA257" s="94"/>
      <c r="BB257" s="94"/>
      <c r="BC257" s="94"/>
      <c r="BD257" s="94"/>
      <c r="BE257" s="94"/>
      <c r="BF257" s="94"/>
      <c r="BG257" s="94"/>
      <c r="BH257" s="94"/>
      <c r="BI257" s="94"/>
      <c r="BJ257" s="94"/>
      <c r="BK257" s="94"/>
      <c r="BL257" s="92"/>
      <c r="BM257" s="94"/>
      <c r="BN257" s="94"/>
      <c r="BO257" s="94"/>
      <c r="BP257" s="94"/>
      <c r="BQ257" s="92"/>
      <c r="BR257" s="92"/>
      <c r="BS257" s="92"/>
      <c r="BT257" s="92"/>
      <c r="BU257" s="92"/>
      <c r="BV257" s="92"/>
      <c r="BW257" s="92"/>
      <c r="BX257" s="92"/>
      <c r="BY257" s="92"/>
      <c r="BZ257" s="92"/>
    </row>
    <row r="258" spans="1:78" ht="12.9">
      <c r="A258" s="89"/>
      <c r="B258" s="89"/>
      <c r="C258" s="89"/>
      <c r="D258" s="89"/>
      <c r="E258" s="89"/>
      <c r="F258" s="89"/>
      <c r="G258" s="89"/>
      <c r="H258" s="105"/>
      <c r="I258" s="106"/>
      <c r="J258" s="106"/>
      <c r="K258" s="89"/>
      <c r="L258" s="89"/>
      <c r="M258" s="89"/>
      <c r="N258" s="107"/>
      <c r="O258" s="107"/>
      <c r="P258" s="89"/>
      <c r="Q258" s="89"/>
      <c r="R258" s="89"/>
      <c r="S258" s="89"/>
      <c r="T258" s="89"/>
      <c r="U258" s="89"/>
      <c r="V258" s="89"/>
      <c r="W258" s="89"/>
      <c r="X258" s="89"/>
      <c r="Y258" s="89"/>
      <c r="Z258" s="77"/>
      <c r="AA258" s="77"/>
      <c r="AB258" s="94"/>
      <c r="AC258" s="94"/>
      <c r="AD258" s="94"/>
      <c r="AE258" s="94"/>
      <c r="AF258" s="91"/>
      <c r="AG258" s="92"/>
      <c r="AH258" s="92"/>
      <c r="AI258" s="93"/>
      <c r="AJ258" s="94"/>
      <c r="AK258" s="92"/>
      <c r="AL258" s="94"/>
      <c r="AM258" s="94"/>
      <c r="AN258" s="94"/>
      <c r="AO258" s="94"/>
      <c r="AP258" s="94"/>
      <c r="AQ258" s="94"/>
      <c r="AR258" s="94"/>
      <c r="AS258" s="94"/>
      <c r="AT258" s="94"/>
      <c r="AU258" s="92"/>
      <c r="AV258" s="94"/>
      <c r="AW258" s="94"/>
      <c r="AX258" s="94"/>
      <c r="AY258" s="94"/>
      <c r="AZ258" s="94"/>
      <c r="BA258" s="94"/>
      <c r="BB258" s="94"/>
      <c r="BC258" s="94"/>
      <c r="BD258" s="94"/>
      <c r="BE258" s="94"/>
      <c r="BF258" s="94"/>
      <c r="BG258" s="94"/>
      <c r="BH258" s="94"/>
      <c r="BI258" s="94"/>
      <c r="BJ258" s="94"/>
      <c r="BK258" s="94"/>
      <c r="BL258" s="92"/>
      <c r="BM258" s="94"/>
      <c r="BN258" s="94"/>
      <c r="BO258" s="94"/>
      <c r="BP258" s="94"/>
      <c r="BQ258" s="92"/>
      <c r="BR258" s="92"/>
      <c r="BS258" s="92"/>
      <c r="BT258" s="92"/>
      <c r="BU258" s="92"/>
      <c r="BV258" s="92"/>
      <c r="BW258" s="92"/>
      <c r="BX258" s="92"/>
      <c r="BY258" s="92"/>
      <c r="BZ258" s="92"/>
    </row>
    <row r="259" spans="1:78" ht="12.9">
      <c r="A259" s="89"/>
      <c r="B259" s="89"/>
      <c r="C259" s="89"/>
      <c r="D259" s="89"/>
      <c r="E259" s="89"/>
      <c r="F259" s="89"/>
      <c r="G259" s="89"/>
      <c r="H259" s="105"/>
      <c r="I259" s="106"/>
      <c r="J259" s="106"/>
      <c r="K259" s="89"/>
      <c r="L259" s="89"/>
      <c r="M259" s="89"/>
      <c r="N259" s="107"/>
      <c r="O259" s="107"/>
      <c r="P259" s="89"/>
      <c r="Q259" s="89"/>
      <c r="R259" s="89"/>
      <c r="S259" s="89"/>
      <c r="T259" s="89"/>
      <c r="U259" s="89"/>
      <c r="V259" s="89"/>
      <c r="W259" s="89"/>
      <c r="X259" s="89"/>
      <c r="Y259" s="89"/>
      <c r="Z259" s="77"/>
      <c r="AA259" s="77"/>
      <c r="AB259" s="94"/>
      <c r="AC259" s="94"/>
      <c r="AD259" s="94"/>
      <c r="AE259" s="94"/>
      <c r="AF259" s="91"/>
      <c r="AG259" s="92"/>
      <c r="AH259" s="92"/>
      <c r="AI259" s="93"/>
      <c r="AJ259" s="94"/>
      <c r="AK259" s="92"/>
      <c r="AL259" s="94"/>
      <c r="AM259" s="94"/>
      <c r="AN259" s="94"/>
      <c r="AO259" s="94"/>
      <c r="AP259" s="94"/>
      <c r="AQ259" s="94"/>
      <c r="AR259" s="94"/>
      <c r="AS259" s="94"/>
      <c r="AT259" s="94"/>
      <c r="AU259" s="92"/>
      <c r="AV259" s="94"/>
      <c r="AW259" s="94"/>
      <c r="AX259" s="94"/>
      <c r="AY259" s="94"/>
      <c r="AZ259" s="94"/>
      <c r="BA259" s="94"/>
      <c r="BB259" s="94"/>
      <c r="BC259" s="94"/>
      <c r="BD259" s="94"/>
      <c r="BE259" s="94"/>
      <c r="BF259" s="94"/>
      <c r="BG259" s="94"/>
      <c r="BH259" s="94"/>
      <c r="BI259" s="94"/>
      <c r="BJ259" s="94"/>
      <c r="BK259" s="94"/>
      <c r="BL259" s="92"/>
      <c r="BM259" s="94"/>
      <c r="BN259" s="94"/>
      <c r="BO259" s="94"/>
      <c r="BP259" s="94"/>
      <c r="BQ259" s="92"/>
      <c r="BR259" s="92"/>
      <c r="BS259" s="92"/>
      <c r="BT259" s="92"/>
      <c r="BU259" s="92"/>
      <c r="BV259" s="92"/>
      <c r="BW259" s="92"/>
      <c r="BX259" s="92"/>
      <c r="BY259" s="92"/>
      <c r="BZ259" s="92"/>
    </row>
    <row r="260" spans="1:78" ht="12.9">
      <c r="A260" s="89"/>
      <c r="B260" s="89"/>
      <c r="C260" s="89"/>
      <c r="D260" s="89"/>
      <c r="E260" s="89"/>
      <c r="F260" s="89"/>
      <c r="G260" s="89"/>
      <c r="H260" s="105"/>
      <c r="I260" s="106"/>
      <c r="J260" s="106"/>
      <c r="K260" s="89"/>
      <c r="L260" s="89"/>
      <c r="M260" s="89"/>
      <c r="N260" s="107"/>
      <c r="O260" s="107"/>
      <c r="P260" s="89"/>
      <c r="Q260" s="89"/>
      <c r="R260" s="89"/>
      <c r="S260" s="89"/>
      <c r="T260" s="89"/>
      <c r="U260" s="89"/>
      <c r="V260" s="89"/>
      <c r="W260" s="89"/>
      <c r="X260" s="89"/>
      <c r="Y260" s="89"/>
      <c r="Z260" s="77"/>
      <c r="AA260" s="77"/>
      <c r="AB260" s="94"/>
      <c r="AC260" s="94"/>
      <c r="AD260" s="94"/>
      <c r="AE260" s="94"/>
      <c r="AF260" s="91"/>
      <c r="AG260" s="92"/>
      <c r="AH260" s="92"/>
      <c r="AI260" s="93"/>
      <c r="AJ260" s="94"/>
      <c r="AK260" s="92"/>
      <c r="AL260" s="94"/>
      <c r="AM260" s="94"/>
      <c r="AN260" s="94"/>
      <c r="AO260" s="94"/>
      <c r="AP260" s="94"/>
      <c r="AQ260" s="94"/>
      <c r="AR260" s="94"/>
      <c r="AS260" s="94"/>
      <c r="AT260" s="94"/>
      <c r="AU260" s="92"/>
      <c r="AV260" s="94"/>
      <c r="AW260" s="94"/>
      <c r="AX260" s="94"/>
      <c r="AY260" s="94"/>
      <c r="AZ260" s="94"/>
      <c r="BA260" s="94"/>
      <c r="BB260" s="94"/>
      <c r="BC260" s="94"/>
      <c r="BD260" s="94"/>
      <c r="BE260" s="94"/>
      <c r="BF260" s="94"/>
      <c r="BG260" s="94"/>
      <c r="BH260" s="94"/>
      <c r="BI260" s="94"/>
      <c r="BJ260" s="94"/>
      <c r="BK260" s="94"/>
      <c r="BL260" s="92"/>
      <c r="BM260" s="94"/>
      <c r="BN260" s="94"/>
      <c r="BO260" s="94"/>
      <c r="BP260" s="94"/>
      <c r="BQ260" s="92"/>
      <c r="BR260" s="92"/>
      <c r="BS260" s="92"/>
      <c r="BT260" s="92"/>
      <c r="BU260" s="92"/>
      <c r="BV260" s="92"/>
      <c r="BW260" s="92"/>
      <c r="BX260" s="92"/>
      <c r="BY260" s="92"/>
      <c r="BZ260" s="92"/>
    </row>
    <row r="261" spans="1:78" ht="12.9">
      <c r="A261" s="89"/>
      <c r="B261" s="89"/>
      <c r="C261" s="89"/>
      <c r="D261" s="89"/>
      <c r="E261" s="89"/>
      <c r="F261" s="89"/>
      <c r="G261" s="89"/>
      <c r="H261" s="105"/>
      <c r="I261" s="106"/>
      <c r="J261" s="106"/>
      <c r="K261" s="89"/>
      <c r="L261" s="89"/>
      <c r="M261" s="89"/>
      <c r="N261" s="107"/>
      <c r="O261" s="107"/>
      <c r="P261" s="89"/>
      <c r="Q261" s="89"/>
      <c r="R261" s="89"/>
      <c r="S261" s="89"/>
      <c r="T261" s="89"/>
      <c r="U261" s="89"/>
      <c r="V261" s="89"/>
      <c r="W261" s="89"/>
      <c r="X261" s="89"/>
      <c r="Y261" s="89"/>
      <c r="Z261" s="77"/>
      <c r="AA261" s="77"/>
      <c r="AB261" s="94"/>
      <c r="AC261" s="94"/>
      <c r="AD261" s="94"/>
      <c r="AE261" s="94"/>
      <c r="AF261" s="91"/>
      <c r="AG261" s="92"/>
      <c r="AH261" s="92"/>
      <c r="AI261" s="93"/>
      <c r="AJ261" s="94"/>
      <c r="AK261" s="92"/>
      <c r="AL261" s="94"/>
      <c r="AM261" s="94"/>
      <c r="AN261" s="94"/>
      <c r="AO261" s="94"/>
      <c r="AP261" s="94"/>
      <c r="AQ261" s="94"/>
      <c r="AR261" s="94"/>
      <c r="AS261" s="94"/>
      <c r="AT261" s="94"/>
      <c r="AU261" s="92"/>
      <c r="AV261" s="94"/>
      <c r="AW261" s="94"/>
      <c r="AX261" s="94"/>
      <c r="AY261" s="94"/>
      <c r="AZ261" s="94"/>
      <c r="BA261" s="94"/>
      <c r="BB261" s="94"/>
      <c r="BC261" s="94"/>
      <c r="BD261" s="94"/>
      <c r="BE261" s="94"/>
      <c r="BF261" s="94"/>
      <c r="BG261" s="94"/>
      <c r="BH261" s="94"/>
      <c r="BI261" s="94"/>
      <c r="BJ261" s="94"/>
      <c r="BK261" s="94"/>
      <c r="BL261" s="92"/>
      <c r="BM261" s="94"/>
      <c r="BN261" s="94"/>
      <c r="BO261" s="94"/>
      <c r="BP261" s="94"/>
      <c r="BQ261" s="92"/>
      <c r="BR261" s="92"/>
      <c r="BS261" s="92"/>
      <c r="BT261" s="92"/>
      <c r="BU261" s="92"/>
      <c r="BV261" s="92"/>
      <c r="BW261" s="92"/>
      <c r="BX261" s="92"/>
      <c r="BY261" s="92"/>
      <c r="BZ261" s="92"/>
    </row>
    <row r="262" spans="1:78" ht="12.9">
      <c r="A262" s="89"/>
      <c r="B262" s="89"/>
      <c r="C262" s="89"/>
      <c r="D262" s="89"/>
      <c r="E262" s="89"/>
      <c r="F262" s="89"/>
      <c r="G262" s="89"/>
      <c r="H262" s="105"/>
      <c r="I262" s="106"/>
      <c r="J262" s="106"/>
      <c r="K262" s="89"/>
      <c r="L262" s="89"/>
      <c r="M262" s="89"/>
      <c r="N262" s="107"/>
      <c r="O262" s="107"/>
      <c r="P262" s="89"/>
      <c r="Q262" s="89"/>
      <c r="R262" s="89"/>
      <c r="S262" s="89"/>
      <c r="T262" s="89"/>
      <c r="U262" s="89"/>
      <c r="V262" s="89"/>
      <c r="W262" s="89"/>
      <c r="X262" s="89"/>
      <c r="Y262" s="89"/>
      <c r="Z262" s="77"/>
      <c r="AA262" s="77"/>
      <c r="AB262" s="94"/>
      <c r="AC262" s="94"/>
      <c r="AD262" s="94"/>
      <c r="AE262" s="94"/>
      <c r="AF262" s="91"/>
      <c r="AG262" s="92"/>
      <c r="AH262" s="92"/>
      <c r="AI262" s="93"/>
      <c r="AJ262" s="94"/>
      <c r="AK262" s="92"/>
      <c r="AL262" s="94"/>
      <c r="AM262" s="94"/>
      <c r="AN262" s="94"/>
      <c r="AO262" s="94"/>
      <c r="AP262" s="94"/>
      <c r="AQ262" s="94"/>
      <c r="AR262" s="94"/>
      <c r="AS262" s="94"/>
      <c r="AT262" s="94"/>
      <c r="AU262" s="92"/>
      <c r="AV262" s="94"/>
      <c r="AW262" s="94"/>
      <c r="AX262" s="94"/>
      <c r="AY262" s="94"/>
      <c r="AZ262" s="94"/>
      <c r="BA262" s="94"/>
      <c r="BB262" s="94"/>
      <c r="BC262" s="94"/>
      <c r="BD262" s="94"/>
      <c r="BE262" s="94"/>
      <c r="BF262" s="94"/>
      <c r="BG262" s="94"/>
      <c r="BH262" s="94"/>
      <c r="BI262" s="94"/>
      <c r="BJ262" s="94"/>
      <c r="BK262" s="94"/>
      <c r="BL262" s="92"/>
      <c r="BM262" s="94"/>
      <c r="BN262" s="94"/>
      <c r="BO262" s="94"/>
      <c r="BP262" s="94"/>
      <c r="BQ262" s="92"/>
      <c r="BR262" s="92"/>
      <c r="BS262" s="92"/>
      <c r="BT262" s="92"/>
      <c r="BU262" s="92"/>
      <c r="BV262" s="92"/>
      <c r="BW262" s="92"/>
      <c r="BX262" s="92"/>
      <c r="BY262" s="92"/>
      <c r="BZ262" s="92"/>
    </row>
    <row r="263" spans="1:78" ht="12.9">
      <c r="A263" s="89"/>
      <c r="B263" s="89"/>
      <c r="C263" s="89"/>
      <c r="D263" s="89"/>
      <c r="E263" s="89"/>
      <c r="F263" s="89"/>
      <c r="G263" s="89"/>
      <c r="H263" s="105"/>
      <c r="I263" s="106"/>
      <c r="J263" s="106"/>
      <c r="K263" s="89"/>
      <c r="L263" s="89"/>
      <c r="M263" s="89"/>
      <c r="N263" s="107"/>
      <c r="O263" s="107"/>
      <c r="P263" s="89"/>
      <c r="Q263" s="89"/>
      <c r="R263" s="89"/>
      <c r="S263" s="89"/>
      <c r="T263" s="89"/>
      <c r="U263" s="89"/>
      <c r="V263" s="89"/>
      <c r="W263" s="89"/>
      <c r="X263" s="89"/>
      <c r="Y263" s="89"/>
      <c r="Z263" s="77"/>
      <c r="AA263" s="77"/>
      <c r="AB263" s="94"/>
      <c r="AC263" s="94"/>
      <c r="AD263" s="94"/>
      <c r="AE263" s="94"/>
      <c r="AF263" s="91"/>
      <c r="AG263" s="92"/>
      <c r="AH263" s="92"/>
      <c r="AI263" s="93"/>
      <c r="AJ263" s="94"/>
      <c r="AK263" s="92"/>
      <c r="AL263" s="94"/>
      <c r="AM263" s="94"/>
      <c r="AN263" s="94"/>
      <c r="AO263" s="94"/>
      <c r="AP263" s="94"/>
      <c r="AQ263" s="94"/>
      <c r="AR263" s="94"/>
      <c r="AS263" s="94"/>
      <c r="AT263" s="94"/>
      <c r="AU263" s="92"/>
      <c r="AV263" s="94"/>
      <c r="AW263" s="94"/>
      <c r="AX263" s="94"/>
      <c r="AY263" s="94"/>
      <c r="AZ263" s="94"/>
      <c r="BA263" s="94"/>
      <c r="BB263" s="94"/>
      <c r="BC263" s="94"/>
      <c r="BD263" s="94"/>
      <c r="BE263" s="94"/>
      <c r="BF263" s="94"/>
      <c r="BG263" s="94"/>
      <c r="BH263" s="94"/>
      <c r="BI263" s="94"/>
      <c r="BJ263" s="94"/>
      <c r="BK263" s="94"/>
      <c r="BL263" s="92"/>
      <c r="BM263" s="94"/>
      <c r="BN263" s="94"/>
      <c r="BO263" s="94"/>
      <c r="BP263" s="94"/>
      <c r="BQ263" s="92"/>
      <c r="BR263" s="92"/>
      <c r="BS263" s="92"/>
      <c r="BT263" s="92"/>
      <c r="BU263" s="92"/>
      <c r="BV263" s="92"/>
      <c r="BW263" s="92"/>
      <c r="BX263" s="92"/>
      <c r="BY263" s="92"/>
      <c r="BZ263" s="92"/>
    </row>
    <row r="264" spans="1:78" ht="12.9">
      <c r="A264" s="89"/>
      <c r="B264" s="89"/>
      <c r="C264" s="89"/>
      <c r="D264" s="89"/>
      <c r="E264" s="89"/>
      <c r="F264" s="89"/>
      <c r="G264" s="89"/>
      <c r="H264" s="105"/>
      <c r="I264" s="106"/>
      <c r="J264" s="106"/>
      <c r="K264" s="89"/>
      <c r="L264" s="89"/>
      <c r="M264" s="89"/>
      <c r="N264" s="107"/>
      <c r="O264" s="107"/>
      <c r="P264" s="89"/>
      <c r="Q264" s="89"/>
      <c r="R264" s="89"/>
      <c r="S264" s="89"/>
      <c r="T264" s="89"/>
      <c r="U264" s="89"/>
      <c r="V264" s="89"/>
      <c r="W264" s="89"/>
      <c r="X264" s="89"/>
      <c r="Y264" s="89"/>
      <c r="Z264" s="77"/>
      <c r="AA264" s="77"/>
      <c r="AB264" s="94"/>
      <c r="AC264" s="94"/>
      <c r="AD264" s="94"/>
      <c r="AE264" s="94"/>
      <c r="AF264" s="91"/>
      <c r="AG264" s="92"/>
      <c r="AH264" s="92"/>
      <c r="AI264" s="93"/>
      <c r="AJ264" s="94"/>
      <c r="AK264" s="92"/>
      <c r="AL264" s="94"/>
      <c r="AM264" s="94"/>
      <c r="AN264" s="94"/>
      <c r="AO264" s="94"/>
      <c r="AP264" s="94"/>
      <c r="AQ264" s="94"/>
      <c r="AR264" s="94"/>
      <c r="AS264" s="94"/>
      <c r="AT264" s="94"/>
      <c r="AU264" s="92"/>
      <c r="AV264" s="94"/>
      <c r="AW264" s="94"/>
      <c r="AX264" s="94"/>
      <c r="AY264" s="94"/>
      <c r="AZ264" s="94"/>
      <c r="BA264" s="94"/>
      <c r="BB264" s="94"/>
      <c r="BC264" s="94"/>
      <c r="BD264" s="94"/>
      <c r="BE264" s="94"/>
      <c r="BF264" s="94"/>
      <c r="BG264" s="94"/>
      <c r="BH264" s="94"/>
      <c r="BI264" s="94"/>
      <c r="BJ264" s="94"/>
      <c r="BK264" s="94"/>
      <c r="BL264" s="92"/>
      <c r="BM264" s="94"/>
      <c r="BN264" s="94"/>
      <c r="BO264" s="94"/>
      <c r="BP264" s="94"/>
      <c r="BQ264" s="92"/>
      <c r="BR264" s="92"/>
      <c r="BS264" s="92"/>
      <c r="BT264" s="92"/>
      <c r="BU264" s="92"/>
      <c r="BV264" s="92"/>
      <c r="BW264" s="92"/>
      <c r="BX264" s="92"/>
      <c r="BY264" s="92"/>
      <c r="BZ264" s="92"/>
    </row>
    <row r="265" spans="1:78" ht="12.9">
      <c r="A265" s="89"/>
      <c r="B265" s="89"/>
      <c r="C265" s="89"/>
      <c r="D265" s="89"/>
      <c r="E265" s="89"/>
      <c r="F265" s="89"/>
      <c r="G265" s="89"/>
      <c r="H265" s="105"/>
      <c r="I265" s="106"/>
      <c r="J265" s="106"/>
      <c r="K265" s="89"/>
      <c r="L265" s="89"/>
      <c r="M265" s="89"/>
      <c r="N265" s="107"/>
      <c r="O265" s="107"/>
      <c r="P265" s="89"/>
      <c r="Q265" s="89"/>
      <c r="R265" s="89"/>
      <c r="S265" s="89"/>
      <c r="T265" s="89"/>
      <c r="U265" s="89"/>
      <c r="V265" s="89"/>
      <c r="W265" s="89"/>
      <c r="X265" s="89"/>
      <c r="Y265" s="89"/>
      <c r="Z265" s="77"/>
      <c r="AA265" s="77"/>
      <c r="AB265" s="94"/>
      <c r="AC265" s="94"/>
      <c r="AD265" s="94"/>
      <c r="AE265" s="94"/>
      <c r="AF265" s="91"/>
      <c r="AG265" s="92"/>
      <c r="AH265" s="92"/>
      <c r="AI265" s="93"/>
      <c r="AJ265" s="94"/>
      <c r="AK265" s="92"/>
      <c r="AL265" s="94"/>
      <c r="AM265" s="94"/>
      <c r="AN265" s="94"/>
      <c r="AO265" s="94"/>
      <c r="AP265" s="94"/>
      <c r="AQ265" s="94"/>
      <c r="AR265" s="94"/>
      <c r="AS265" s="94"/>
      <c r="AT265" s="94"/>
      <c r="AU265" s="92"/>
      <c r="AV265" s="94"/>
      <c r="AW265" s="94"/>
      <c r="AX265" s="94"/>
      <c r="AY265" s="94"/>
      <c r="AZ265" s="94"/>
      <c r="BA265" s="94"/>
      <c r="BB265" s="94"/>
      <c r="BC265" s="94"/>
      <c r="BD265" s="94"/>
      <c r="BE265" s="94"/>
      <c r="BF265" s="94"/>
      <c r="BG265" s="94"/>
      <c r="BH265" s="94"/>
      <c r="BI265" s="94"/>
      <c r="BJ265" s="94"/>
      <c r="BK265" s="94"/>
      <c r="BL265" s="92"/>
      <c r="BM265" s="94"/>
      <c r="BN265" s="94"/>
      <c r="BO265" s="94"/>
      <c r="BP265" s="94"/>
      <c r="BQ265" s="92"/>
      <c r="BR265" s="92"/>
      <c r="BS265" s="92"/>
      <c r="BT265" s="92"/>
      <c r="BU265" s="92"/>
      <c r="BV265" s="92"/>
      <c r="BW265" s="92"/>
      <c r="BX265" s="92"/>
      <c r="BY265" s="92"/>
      <c r="BZ265" s="92"/>
    </row>
    <row r="266" spans="1:78" ht="12.9">
      <c r="A266" s="89"/>
      <c r="B266" s="89"/>
      <c r="C266" s="89"/>
      <c r="D266" s="89"/>
      <c r="E266" s="89"/>
      <c r="F266" s="89"/>
      <c r="G266" s="89"/>
      <c r="H266" s="105"/>
      <c r="I266" s="106"/>
      <c r="J266" s="106"/>
      <c r="K266" s="89"/>
      <c r="L266" s="89"/>
      <c r="M266" s="89"/>
      <c r="N266" s="107"/>
      <c r="O266" s="107"/>
      <c r="P266" s="89"/>
      <c r="Q266" s="89"/>
      <c r="R266" s="89"/>
      <c r="S266" s="89"/>
      <c r="T266" s="89"/>
      <c r="U266" s="89"/>
      <c r="V266" s="89"/>
      <c r="W266" s="89"/>
      <c r="X266" s="89"/>
      <c r="Y266" s="89"/>
      <c r="Z266" s="77"/>
      <c r="AA266" s="77"/>
      <c r="AB266" s="94"/>
      <c r="AC266" s="94"/>
      <c r="AD266" s="94"/>
      <c r="AE266" s="94"/>
      <c r="AF266" s="91"/>
      <c r="AG266" s="92"/>
      <c r="AH266" s="92"/>
      <c r="AI266" s="93"/>
      <c r="AJ266" s="94"/>
      <c r="AK266" s="92"/>
      <c r="AL266" s="94"/>
      <c r="AM266" s="94"/>
      <c r="AN266" s="94"/>
      <c r="AO266" s="94"/>
      <c r="AP266" s="94"/>
      <c r="AQ266" s="94"/>
      <c r="AR266" s="94"/>
      <c r="AS266" s="94"/>
      <c r="AT266" s="94"/>
      <c r="AU266" s="92"/>
      <c r="AV266" s="94"/>
      <c r="AW266" s="94"/>
      <c r="AX266" s="94"/>
      <c r="AY266" s="94"/>
      <c r="AZ266" s="94"/>
      <c r="BA266" s="94"/>
      <c r="BB266" s="94"/>
      <c r="BC266" s="94"/>
      <c r="BD266" s="94"/>
      <c r="BE266" s="94"/>
      <c r="BF266" s="94"/>
      <c r="BG266" s="94"/>
      <c r="BH266" s="94"/>
      <c r="BI266" s="94"/>
      <c r="BJ266" s="94"/>
      <c r="BK266" s="94"/>
      <c r="BL266" s="92"/>
      <c r="BM266" s="94"/>
      <c r="BN266" s="94"/>
      <c r="BO266" s="94"/>
      <c r="BP266" s="94"/>
      <c r="BQ266" s="92"/>
      <c r="BR266" s="92"/>
      <c r="BS266" s="92"/>
      <c r="BT266" s="92"/>
      <c r="BU266" s="92"/>
      <c r="BV266" s="92"/>
      <c r="BW266" s="92"/>
      <c r="BX266" s="92"/>
      <c r="BY266" s="92"/>
      <c r="BZ266" s="92"/>
    </row>
    <row r="267" spans="1:78" ht="12.9">
      <c r="A267" s="89"/>
      <c r="B267" s="89"/>
      <c r="C267" s="89"/>
      <c r="D267" s="89"/>
      <c r="E267" s="89"/>
      <c r="F267" s="89"/>
      <c r="G267" s="89"/>
      <c r="H267" s="105"/>
      <c r="I267" s="106"/>
      <c r="J267" s="106"/>
      <c r="K267" s="89"/>
      <c r="L267" s="89"/>
      <c r="M267" s="89"/>
      <c r="N267" s="107"/>
      <c r="O267" s="107"/>
      <c r="P267" s="89"/>
      <c r="Q267" s="89"/>
      <c r="R267" s="89"/>
      <c r="S267" s="89"/>
      <c r="T267" s="89"/>
      <c r="U267" s="89"/>
      <c r="V267" s="89"/>
      <c r="W267" s="89"/>
      <c r="X267" s="89"/>
      <c r="Y267" s="89"/>
      <c r="Z267" s="77"/>
      <c r="AA267" s="77"/>
      <c r="AB267" s="94"/>
      <c r="AC267" s="94"/>
      <c r="AD267" s="94"/>
      <c r="AE267" s="94"/>
      <c r="AF267" s="91"/>
      <c r="AG267" s="92"/>
      <c r="AH267" s="92"/>
      <c r="AI267" s="93"/>
      <c r="AJ267" s="94"/>
      <c r="AK267" s="92"/>
      <c r="AL267" s="94"/>
      <c r="AM267" s="94"/>
      <c r="AN267" s="94"/>
      <c r="AO267" s="94"/>
      <c r="AP267" s="94"/>
      <c r="AQ267" s="94"/>
      <c r="AR267" s="94"/>
      <c r="AS267" s="94"/>
      <c r="AT267" s="94"/>
      <c r="AU267" s="92"/>
      <c r="AV267" s="94"/>
      <c r="AW267" s="94"/>
      <c r="AX267" s="94"/>
      <c r="AY267" s="94"/>
      <c r="AZ267" s="94"/>
      <c r="BA267" s="94"/>
      <c r="BB267" s="94"/>
      <c r="BC267" s="94"/>
      <c r="BD267" s="94"/>
      <c r="BE267" s="94"/>
      <c r="BF267" s="94"/>
      <c r="BG267" s="94"/>
      <c r="BH267" s="94"/>
      <c r="BI267" s="94"/>
      <c r="BJ267" s="94"/>
      <c r="BK267" s="94"/>
      <c r="BL267" s="92"/>
      <c r="BM267" s="94"/>
      <c r="BN267" s="94"/>
      <c r="BO267" s="94"/>
      <c r="BP267" s="94"/>
      <c r="BQ267" s="92"/>
      <c r="BR267" s="92"/>
      <c r="BS267" s="92"/>
      <c r="BT267" s="92"/>
      <c r="BU267" s="92"/>
      <c r="BV267" s="92"/>
      <c r="BW267" s="92"/>
      <c r="BX267" s="92"/>
      <c r="BY267" s="92"/>
      <c r="BZ267" s="92"/>
    </row>
    <row r="268" spans="1:78" ht="12.9">
      <c r="A268" s="89"/>
      <c r="B268" s="89"/>
      <c r="C268" s="89"/>
      <c r="D268" s="89"/>
      <c r="E268" s="89"/>
      <c r="F268" s="89"/>
      <c r="G268" s="89"/>
      <c r="H268" s="105"/>
      <c r="I268" s="106"/>
      <c r="J268" s="106"/>
      <c r="K268" s="89"/>
      <c r="L268" s="89"/>
      <c r="M268" s="89"/>
      <c r="N268" s="107"/>
      <c r="O268" s="107"/>
      <c r="P268" s="89"/>
      <c r="Q268" s="89"/>
      <c r="R268" s="89"/>
      <c r="S268" s="89"/>
      <c r="T268" s="89"/>
      <c r="U268" s="89"/>
      <c r="V268" s="89"/>
      <c r="W268" s="89"/>
      <c r="X268" s="89"/>
      <c r="Y268" s="89"/>
      <c r="Z268" s="77"/>
      <c r="AA268" s="77"/>
      <c r="AB268" s="94"/>
      <c r="AC268" s="94"/>
      <c r="AD268" s="94"/>
      <c r="AE268" s="94"/>
      <c r="AF268" s="91"/>
      <c r="AG268" s="92"/>
      <c r="AH268" s="92"/>
      <c r="AI268" s="93"/>
      <c r="AJ268" s="94"/>
      <c r="AK268" s="92"/>
      <c r="AL268" s="94"/>
      <c r="AM268" s="94"/>
      <c r="AN268" s="94"/>
      <c r="AO268" s="94"/>
      <c r="AP268" s="94"/>
      <c r="AQ268" s="94"/>
      <c r="AR268" s="94"/>
      <c r="AS268" s="94"/>
      <c r="AT268" s="94"/>
      <c r="AU268" s="92"/>
      <c r="AV268" s="94"/>
      <c r="AW268" s="94"/>
      <c r="AX268" s="94"/>
      <c r="AY268" s="94"/>
      <c r="AZ268" s="94"/>
      <c r="BA268" s="94"/>
      <c r="BB268" s="94"/>
      <c r="BC268" s="94"/>
      <c r="BD268" s="94"/>
      <c r="BE268" s="94"/>
      <c r="BF268" s="94"/>
      <c r="BG268" s="94"/>
      <c r="BH268" s="94"/>
      <c r="BI268" s="94"/>
      <c r="BJ268" s="94"/>
      <c r="BK268" s="94"/>
      <c r="BL268" s="92"/>
      <c r="BM268" s="94"/>
      <c r="BN268" s="94"/>
      <c r="BO268" s="94"/>
      <c r="BP268" s="94"/>
      <c r="BQ268" s="92"/>
      <c r="BR268" s="92"/>
      <c r="BS268" s="92"/>
      <c r="BT268" s="92"/>
      <c r="BU268" s="92"/>
      <c r="BV268" s="92"/>
      <c r="BW268" s="92"/>
      <c r="BX268" s="92"/>
      <c r="BY268" s="92"/>
      <c r="BZ268" s="92"/>
    </row>
    <row r="269" spans="1:78" ht="12.9">
      <c r="A269" s="89"/>
      <c r="B269" s="89"/>
      <c r="C269" s="89"/>
      <c r="D269" s="89"/>
      <c r="E269" s="89"/>
      <c r="F269" s="89"/>
      <c r="G269" s="89"/>
      <c r="H269" s="105"/>
      <c r="I269" s="106"/>
      <c r="J269" s="106"/>
      <c r="K269" s="89"/>
      <c r="L269" s="89"/>
      <c r="M269" s="89"/>
      <c r="N269" s="107"/>
      <c r="O269" s="107"/>
      <c r="P269" s="89"/>
      <c r="Q269" s="89"/>
      <c r="R269" s="89"/>
      <c r="S269" s="89"/>
      <c r="T269" s="89"/>
      <c r="U269" s="89"/>
      <c r="V269" s="89"/>
      <c r="W269" s="89"/>
      <c r="X269" s="89"/>
      <c r="Y269" s="89"/>
      <c r="Z269" s="77"/>
      <c r="AA269" s="77"/>
      <c r="AB269" s="94"/>
      <c r="AC269" s="94"/>
      <c r="AD269" s="94"/>
      <c r="AE269" s="94"/>
      <c r="AF269" s="91"/>
      <c r="AG269" s="92"/>
      <c r="AH269" s="92"/>
      <c r="AI269" s="93"/>
      <c r="AJ269" s="94"/>
      <c r="AK269" s="92"/>
      <c r="AL269" s="94"/>
      <c r="AM269" s="94"/>
      <c r="AN269" s="94"/>
      <c r="AO269" s="94"/>
      <c r="AP269" s="94"/>
      <c r="AQ269" s="94"/>
      <c r="AR269" s="94"/>
      <c r="AS269" s="94"/>
      <c r="AT269" s="94"/>
      <c r="AU269" s="92"/>
      <c r="AV269" s="94"/>
      <c r="AW269" s="94"/>
      <c r="AX269" s="94"/>
      <c r="AY269" s="94"/>
      <c r="AZ269" s="94"/>
      <c r="BA269" s="94"/>
      <c r="BB269" s="94"/>
      <c r="BC269" s="94"/>
      <c r="BD269" s="94"/>
      <c r="BE269" s="94"/>
      <c r="BF269" s="94"/>
      <c r="BG269" s="94"/>
      <c r="BH269" s="94"/>
      <c r="BI269" s="94"/>
      <c r="BJ269" s="94"/>
      <c r="BK269" s="94"/>
      <c r="BL269" s="92"/>
      <c r="BM269" s="94"/>
      <c r="BN269" s="94"/>
      <c r="BO269" s="94"/>
      <c r="BP269" s="94"/>
      <c r="BQ269" s="92"/>
      <c r="BR269" s="92"/>
      <c r="BS269" s="92"/>
      <c r="BT269" s="92"/>
      <c r="BU269" s="92"/>
      <c r="BV269" s="92"/>
      <c r="BW269" s="92"/>
      <c r="BX269" s="92"/>
      <c r="BY269" s="92"/>
      <c r="BZ269" s="92"/>
    </row>
    <row r="270" spans="1:78" ht="12.9">
      <c r="A270" s="89"/>
      <c r="B270" s="89"/>
      <c r="C270" s="89"/>
      <c r="D270" s="89"/>
      <c r="E270" s="89"/>
      <c r="F270" s="89"/>
      <c r="G270" s="89"/>
      <c r="H270" s="105"/>
      <c r="I270" s="106"/>
      <c r="J270" s="106"/>
      <c r="K270" s="89"/>
      <c r="L270" s="89"/>
      <c r="M270" s="89"/>
      <c r="N270" s="107"/>
      <c r="O270" s="107"/>
      <c r="P270" s="89"/>
      <c r="Q270" s="89"/>
      <c r="R270" s="89"/>
      <c r="S270" s="89"/>
      <c r="T270" s="89"/>
      <c r="U270" s="89"/>
      <c r="V270" s="89"/>
      <c r="W270" s="89"/>
      <c r="X270" s="89"/>
      <c r="Y270" s="89"/>
      <c r="Z270" s="77"/>
      <c r="AA270" s="77"/>
      <c r="AB270" s="94"/>
      <c r="AC270" s="94"/>
      <c r="AD270" s="94"/>
      <c r="AE270" s="94"/>
      <c r="AF270" s="91"/>
      <c r="AG270" s="92"/>
      <c r="AH270" s="92"/>
      <c r="AI270" s="93"/>
      <c r="AJ270" s="94"/>
      <c r="AK270" s="92"/>
      <c r="AL270" s="94"/>
      <c r="AM270" s="94"/>
      <c r="AN270" s="94"/>
      <c r="AO270" s="94"/>
      <c r="AP270" s="94"/>
      <c r="AQ270" s="94"/>
      <c r="AR270" s="94"/>
      <c r="AS270" s="94"/>
      <c r="AT270" s="94"/>
      <c r="AU270" s="92"/>
      <c r="AV270" s="94"/>
      <c r="AW270" s="94"/>
      <c r="AX270" s="94"/>
      <c r="AY270" s="94"/>
      <c r="AZ270" s="94"/>
      <c r="BA270" s="94"/>
      <c r="BB270" s="94"/>
      <c r="BC270" s="94"/>
      <c r="BD270" s="94"/>
      <c r="BE270" s="94"/>
      <c r="BF270" s="94"/>
      <c r="BG270" s="94"/>
      <c r="BH270" s="94"/>
      <c r="BI270" s="94"/>
      <c r="BJ270" s="94"/>
      <c r="BK270" s="94"/>
      <c r="BL270" s="92"/>
      <c r="BM270" s="94"/>
      <c r="BN270" s="94"/>
      <c r="BO270" s="94"/>
      <c r="BP270" s="94"/>
      <c r="BQ270" s="92"/>
      <c r="BR270" s="92"/>
      <c r="BS270" s="92"/>
      <c r="BT270" s="92"/>
      <c r="BU270" s="92"/>
      <c r="BV270" s="92"/>
      <c r="BW270" s="92"/>
      <c r="BX270" s="92"/>
      <c r="BY270" s="92"/>
      <c r="BZ270" s="92"/>
    </row>
    <row r="271" spans="1:78" ht="12.9">
      <c r="A271" s="89"/>
      <c r="B271" s="89"/>
      <c r="C271" s="89"/>
      <c r="D271" s="89"/>
      <c r="E271" s="89"/>
      <c r="F271" s="89"/>
      <c r="G271" s="89"/>
      <c r="H271" s="105"/>
      <c r="I271" s="106"/>
      <c r="J271" s="106"/>
      <c r="K271" s="89"/>
      <c r="L271" s="89"/>
      <c r="M271" s="89"/>
      <c r="N271" s="107"/>
      <c r="O271" s="107"/>
      <c r="P271" s="89"/>
      <c r="Q271" s="89"/>
      <c r="R271" s="89"/>
      <c r="S271" s="89"/>
      <c r="T271" s="89"/>
      <c r="U271" s="89"/>
      <c r="V271" s="89"/>
      <c r="W271" s="89"/>
      <c r="X271" s="89"/>
      <c r="Y271" s="89"/>
      <c r="Z271" s="77"/>
      <c r="AA271" s="77"/>
      <c r="AB271" s="94"/>
      <c r="AC271" s="94"/>
      <c r="AD271" s="94"/>
      <c r="AE271" s="94"/>
      <c r="AF271" s="91"/>
      <c r="AG271" s="92"/>
      <c r="AH271" s="92"/>
      <c r="AI271" s="93"/>
      <c r="AJ271" s="94"/>
      <c r="AK271" s="92"/>
      <c r="AL271" s="94"/>
      <c r="AM271" s="94"/>
      <c r="AN271" s="94"/>
      <c r="AO271" s="94"/>
      <c r="AP271" s="94"/>
      <c r="AQ271" s="94"/>
      <c r="AR271" s="94"/>
      <c r="AS271" s="94"/>
      <c r="AT271" s="94"/>
      <c r="AU271" s="92"/>
      <c r="AV271" s="94"/>
      <c r="AW271" s="94"/>
      <c r="AX271" s="94"/>
      <c r="AY271" s="94"/>
      <c r="AZ271" s="94"/>
      <c r="BA271" s="94"/>
      <c r="BB271" s="94"/>
      <c r="BC271" s="94"/>
      <c r="BD271" s="94"/>
      <c r="BE271" s="94"/>
      <c r="BF271" s="94"/>
      <c r="BG271" s="94"/>
      <c r="BH271" s="94"/>
      <c r="BI271" s="94"/>
      <c r="BJ271" s="94"/>
      <c r="BK271" s="94"/>
      <c r="BL271" s="92"/>
      <c r="BM271" s="94"/>
      <c r="BN271" s="94"/>
      <c r="BO271" s="94"/>
      <c r="BP271" s="94"/>
      <c r="BQ271" s="92"/>
      <c r="BR271" s="92"/>
      <c r="BS271" s="92"/>
      <c r="BT271" s="92"/>
      <c r="BU271" s="92"/>
      <c r="BV271" s="92"/>
      <c r="BW271" s="92"/>
      <c r="BX271" s="92"/>
      <c r="BY271" s="92"/>
      <c r="BZ271" s="92"/>
    </row>
    <row r="272" spans="1:78" ht="12.9">
      <c r="A272" s="89"/>
      <c r="B272" s="89"/>
      <c r="C272" s="89"/>
      <c r="D272" s="89"/>
      <c r="E272" s="89"/>
      <c r="F272" s="89"/>
      <c r="G272" s="89"/>
      <c r="H272" s="105"/>
      <c r="I272" s="106"/>
      <c r="J272" s="106"/>
      <c r="K272" s="89"/>
      <c r="L272" s="89"/>
      <c r="M272" s="89"/>
      <c r="N272" s="107"/>
      <c r="O272" s="107"/>
      <c r="P272" s="89"/>
      <c r="Q272" s="89"/>
      <c r="R272" s="89"/>
      <c r="S272" s="89"/>
      <c r="T272" s="89"/>
      <c r="U272" s="89"/>
      <c r="V272" s="89"/>
      <c r="W272" s="89"/>
      <c r="X272" s="89"/>
      <c r="Y272" s="89"/>
      <c r="Z272" s="77"/>
      <c r="AA272" s="77"/>
      <c r="AB272" s="94"/>
      <c r="AC272" s="94"/>
      <c r="AD272" s="94"/>
      <c r="AE272" s="94"/>
      <c r="AF272" s="91"/>
      <c r="AG272" s="92"/>
      <c r="AH272" s="92"/>
      <c r="AI272" s="93"/>
      <c r="AJ272" s="94"/>
      <c r="AK272" s="92"/>
      <c r="AL272" s="94"/>
      <c r="AM272" s="94"/>
      <c r="AN272" s="94"/>
      <c r="AO272" s="94"/>
      <c r="AP272" s="94"/>
      <c r="AQ272" s="94"/>
      <c r="AR272" s="94"/>
      <c r="AS272" s="94"/>
      <c r="AT272" s="94"/>
      <c r="AU272" s="92"/>
      <c r="AV272" s="94"/>
      <c r="AW272" s="94"/>
      <c r="AX272" s="94"/>
      <c r="AY272" s="94"/>
      <c r="AZ272" s="94"/>
      <c r="BA272" s="94"/>
      <c r="BB272" s="94"/>
      <c r="BC272" s="94"/>
      <c r="BD272" s="94"/>
      <c r="BE272" s="94"/>
      <c r="BF272" s="94"/>
      <c r="BG272" s="94"/>
      <c r="BH272" s="94"/>
      <c r="BI272" s="94"/>
      <c r="BJ272" s="94"/>
      <c r="BK272" s="94"/>
      <c r="BL272" s="92"/>
      <c r="BM272" s="94"/>
      <c r="BN272" s="94"/>
      <c r="BO272" s="94"/>
      <c r="BP272" s="94"/>
      <c r="BQ272" s="92"/>
      <c r="BR272" s="92"/>
      <c r="BS272" s="92"/>
      <c r="BT272" s="92"/>
      <c r="BU272" s="92"/>
      <c r="BV272" s="92"/>
      <c r="BW272" s="92"/>
      <c r="BX272" s="92"/>
      <c r="BY272" s="92"/>
      <c r="BZ272" s="92"/>
    </row>
    <row r="273" spans="1:78" ht="12.9">
      <c r="A273" s="89"/>
      <c r="B273" s="89"/>
      <c r="C273" s="89"/>
      <c r="D273" s="89"/>
      <c r="E273" s="89"/>
      <c r="F273" s="89"/>
      <c r="G273" s="89"/>
      <c r="H273" s="105"/>
      <c r="I273" s="106"/>
      <c r="J273" s="106"/>
      <c r="K273" s="89"/>
      <c r="L273" s="89"/>
      <c r="M273" s="89"/>
      <c r="N273" s="107"/>
      <c r="O273" s="107"/>
      <c r="P273" s="89"/>
      <c r="Q273" s="89"/>
      <c r="R273" s="89"/>
      <c r="S273" s="89"/>
      <c r="T273" s="89"/>
      <c r="U273" s="89"/>
      <c r="V273" s="89"/>
      <c r="W273" s="89"/>
      <c r="X273" s="89"/>
      <c r="Y273" s="89"/>
      <c r="Z273" s="77"/>
      <c r="AA273" s="77"/>
      <c r="AB273" s="94"/>
      <c r="AC273" s="94"/>
      <c r="AD273" s="94"/>
      <c r="AE273" s="94"/>
      <c r="AF273" s="91"/>
      <c r="AG273" s="92"/>
      <c r="AH273" s="92"/>
      <c r="AI273" s="93"/>
      <c r="AJ273" s="94"/>
      <c r="AK273" s="92"/>
      <c r="AL273" s="94"/>
      <c r="AM273" s="94"/>
      <c r="AN273" s="94"/>
      <c r="AO273" s="94"/>
      <c r="AP273" s="94"/>
      <c r="AQ273" s="94"/>
      <c r="AR273" s="94"/>
      <c r="AS273" s="94"/>
      <c r="AT273" s="94"/>
      <c r="AU273" s="92"/>
      <c r="AV273" s="94"/>
      <c r="AW273" s="94"/>
      <c r="AX273" s="94"/>
      <c r="AY273" s="94"/>
      <c r="AZ273" s="94"/>
      <c r="BA273" s="94"/>
      <c r="BB273" s="94"/>
      <c r="BC273" s="94"/>
      <c r="BD273" s="94"/>
      <c r="BE273" s="94"/>
      <c r="BF273" s="94"/>
      <c r="BG273" s="94"/>
      <c r="BH273" s="94"/>
      <c r="BI273" s="94"/>
      <c r="BJ273" s="94"/>
      <c r="BK273" s="94"/>
      <c r="BL273" s="92"/>
      <c r="BM273" s="94"/>
      <c r="BN273" s="94"/>
      <c r="BO273" s="94"/>
      <c r="BP273" s="94"/>
      <c r="BQ273" s="92"/>
      <c r="BR273" s="92"/>
      <c r="BS273" s="92"/>
      <c r="BT273" s="92"/>
      <c r="BU273" s="92"/>
      <c r="BV273" s="92"/>
      <c r="BW273" s="92"/>
      <c r="BX273" s="92"/>
      <c r="BY273" s="92"/>
      <c r="BZ273" s="92"/>
    </row>
    <row r="274" spans="1:78" ht="12.9">
      <c r="A274" s="89"/>
      <c r="B274" s="89"/>
      <c r="C274" s="89"/>
      <c r="D274" s="89"/>
      <c r="E274" s="89"/>
      <c r="F274" s="89"/>
      <c r="G274" s="89"/>
      <c r="H274" s="105"/>
      <c r="I274" s="106"/>
      <c r="J274" s="106"/>
      <c r="K274" s="89"/>
      <c r="L274" s="89"/>
      <c r="M274" s="89"/>
      <c r="N274" s="107"/>
      <c r="O274" s="107"/>
      <c r="P274" s="89"/>
      <c r="Q274" s="89"/>
      <c r="R274" s="89"/>
      <c r="S274" s="89"/>
      <c r="T274" s="89"/>
      <c r="U274" s="89"/>
      <c r="V274" s="89"/>
      <c r="W274" s="89"/>
      <c r="X274" s="89"/>
      <c r="Y274" s="89"/>
      <c r="Z274" s="77"/>
      <c r="AA274" s="77"/>
      <c r="AB274" s="94"/>
      <c r="AC274" s="94"/>
      <c r="AD274" s="94"/>
      <c r="AE274" s="94"/>
      <c r="AF274" s="91"/>
      <c r="AG274" s="92"/>
      <c r="AH274" s="92"/>
      <c r="AI274" s="93"/>
      <c r="AJ274" s="94"/>
      <c r="AK274" s="92"/>
      <c r="AL274" s="94"/>
      <c r="AM274" s="94"/>
      <c r="AN274" s="94"/>
      <c r="AO274" s="94"/>
      <c r="AP274" s="94"/>
      <c r="AQ274" s="94"/>
      <c r="AR274" s="94"/>
      <c r="AS274" s="94"/>
      <c r="AT274" s="94"/>
      <c r="AU274" s="92"/>
      <c r="AV274" s="94"/>
      <c r="AW274" s="94"/>
      <c r="AX274" s="94"/>
      <c r="AY274" s="94"/>
      <c r="AZ274" s="94"/>
      <c r="BA274" s="94"/>
      <c r="BB274" s="94"/>
      <c r="BC274" s="94"/>
      <c r="BD274" s="94"/>
      <c r="BE274" s="94"/>
      <c r="BF274" s="94"/>
      <c r="BG274" s="94"/>
      <c r="BH274" s="94"/>
      <c r="BI274" s="94"/>
      <c r="BJ274" s="94"/>
      <c r="BK274" s="94"/>
      <c r="BL274" s="92"/>
      <c r="BM274" s="94"/>
      <c r="BN274" s="94"/>
      <c r="BO274" s="94"/>
      <c r="BP274" s="94"/>
      <c r="BQ274" s="92"/>
      <c r="BR274" s="92"/>
      <c r="BS274" s="92"/>
      <c r="BT274" s="92"/>
      <c r="BU274" s="92"/>
      <c r="BV274" s="92"/>
      <c r="BW274" s="92"/>
      <c r="BX274" s="92"/>
      <c r="BY274" s="92"/>
      <c r="BZ274" s="92"/>
    </row>
    <row r="275" spans="1:78" ht="12.9">
      <c r="A275" s="89"/>
      <c r="B275" s="89"/>
      <c r="C275" s="89"/>
      <c r="D275" s="89"/>
      <c r="E275" s="89"/>
      <c r="F275" s="89"/>
      <c r="G275" s="89"/>
      <c r="H275" s="105"/>
      <c r="I275" s="106"/>
      <c r="J275" s="106"/>
      <c r="K275" s="89"/>
      <c r="L275" s="89"/>
      <c r="M275" s="89"/>
      <c r="N275" s="107"/>
      <c r="O275" s="107"/>
      <c r="P275" s="89"/>
      <c r="Q275" s="89"/>
      <c r="R275" s="89"/>
      <c r="S275" s="89"/>
      <c r="T275" s="89"/>
      <c r="U275" s="89"/>
      <c r="V275" s="89"/>
      <c r="W275" s="89"/>
      <c r="X275" s="89"/>
      <c r="Y275" s="89"/>
      <c r="Z275" s="77"/>
      <c r="AA275" s="77"/>
      <c r="AB275" s="94"/>
      <c r="AC275" s="94"/>
      <c r="AD275" s="94"/>
      <c r="AE275" s="94"/>
      <c r="AF275" s="91"/>
      <c r="AG275" s="92"/>
      <c r="AH275" s="92"/>
      <c r="AI275" s="93"/>
      <c r="AJ275" s="94"/>
      <c r="AK275" s="92"/>
      <c r="AL275" s="94"/>
      <c r="AM275" s="94"/>
      <c r="AN275" s="94"/>
      <c r="AO275" s="94"/>
      <c r="AP275" s="94"/>
      <c r="AQ275" s="94"/>
      <c r="AR275" s="94"/>
      <c r="AS275" s="94"/>
      <c r="AT275" s="94"/>
      <c r="AU275" s="92"/>
      <c r="AV275" s="94"/>
      <c r="AW275" s="94"/>
      <c r="AX275" s="94"/>
      <c r="AY275" s="94"/>
      <c r="AZ275" s="94"/>
      <c r="BA275" s="94"/>
      <c r="BB275" s="94"/>
      <c r="BC275" s="94"/>
      <c r="BD275" s="94"/>
      <c r="BE275" s="94"/>
      <c r="BF275" s="94"/>
      <c r="BG275" s="94"/>
      <c r="BH275" s="94"/>
      <c r="BI275" s="94"/>
      <c r="BJ275" s="94"/>
      <c r="BK275" s="94"/>
      <c r="BL275" s="92"/>
      <c r="BM275" s="94"/>
      <c r="BN275" s="94"/>
      <c r="BO275" s="94"/>
      <c r="BP275" s="94"/>
      <c r="BQ275" s="92"/>
      <c r="BR275" s="92"/>
      <c r="BS275" s="92"/>
      <c r="BT275" s="92"/>
      <c r="BU275" s="92"/>
      <c r="BV275" s="92"/>
      <c r="BW275" s="92"/>
      <c r="BX275" s="92"/>
      <c r="BY275" s="92"/>
      <c r="BZ275" s="92"/>
    </row>
    <row r="276" spans="1:78" ht="12.9">
      <c r="A276" s="89"/>
      <c r="B276" s="89"/>
      <c r="C276" s="89"/>
      <c r="D276" s="89"/>
      <c r="E276" s="89"/>
      <c r="F276" s="89"/>
      <c r="G276" s="89"/>
      <c r="H276" s="105"/>
      <c r="I276" s="106"/>
      <c r="J276" s="106"/>
      <c r="K276" s="89"/>
      <c r="L276" s="89"/>
      <c r="M276" s="89"/>
      <c r="N276" s="107"/>
      <c r="O276" s="107"/>
      <c r="P276" s="89"/>
      <c r="Q276" s="89"/>
      <c r="R276" s="89"/>
      <c r="S276" s="89"/>
      <c r="T276" s="89"/>
      <c r="U276" s="89"/>
      <c r="V276" s="89"/>
      <c r="W276" s="89"/>
      <c r="X276" s="89"/>
      <c r="Y276" s="89"/>
      <c r="Z276" s="77"/>
      <c r="AA276" s="77"/>
      <c r="AB276" s="94"/>
      <c r="AC276" s="94"/>
      <c r="AD276" s="94"/>
      <c r="AE276" s="94"/>
      <c r="AF276" s="91"/>
      <c r="AG276" s="92"/>
      <c r="AH276" s="92"/>
      <c r="AI276" s="93"/>
      <c r="AJ276" s="94"/>
      <c r="AK276" s="92"/>
      <c r="AL276" s="94"/>
      <c r="AM276" s="94"/>
      <c r="AN276" s="94"/>
      <c r="AO276" s="94"/>
      <c r="AP276" s="94"/>
      <c r="AQ276" s="94"/>
      <c r="AR276" s="94"/>
      <c r="AS276" s="94"/>
      <c r="AT276" s="94"/>
      <c r="AU276" s="92"/>
      <c r="AV276" s="94"/>
      <c r="AW276" s="94"/>
      <c r="AX276" s="94"/>
      <c r="AY276" s="94"/>
      <c r="AZ276" s="94"/>
      <c r="BA276" s="94"/>
      <c r="BB276" s="94"/>
      <c r="BC276" s="94"/>
      <c r="BD276" s="94"/>
      <c r="BE276" s="94"/>
      <c r="BF276" s="94"/>
      <c r="BG276" s="94"/>
      <c r="BH276" s="94"/>
      <c r="BI276" s="94"/>
      <c r="BJ276" s="94"/>
      <c r="BK276" s="94"/>
      <c r="BL276" s="92"/>
      <c r="BM276" s="94"/>
      <c r="BN276" s="94"/>
      <c r="BO276" s="94"/>
      <c r="BP276" s="94"/>
      <c r="BQ276" s="92"/>
      <c r="BR276" s="92"/>
      <c r="BS276" s="92"/>
      <c r="BT276" s="92"/>
      <c r="BU276" s="92"/>
      <c r="BV276" s="92"/>
      <c r="BW276" s="92"/>
      <c r="BX276" s="92"/>
      <c r="BY276" s="92"/>
      <c r="BZ276" s="92"/>
    </row>
    <row r="277" spans="1:78" ht="12.9">
      <c r="A277" s="89"/>
      <c r="B277" s="89"/>
      <c r="C277" s="89"/>
      <c r="D277" s="89"/>
      <c r="E277" s="89"/>
      <c r="F277" s="89"/>
      <c r="G277" s="89"/>
      <c r="H277" s="105"/>
      <c r="I277" s="106"/>
      <c r="J277" s="106"/>
      <c r="K277" s="89"/>
      <c r="L277" s="89"/>
      <c r="M277" s="89"/>
      <c r="N277" s="107"/>
      <c r="O277" s="107"/>
      <c r="P277" s="89"/>
      <c r="Q277" s="89"/>
      <c r="R277" s="89"/>
      <c r="S277" s="89"/>
      <c r="T277" s="89"/>
      <c r="U277" s="89"/>
      <c r="V277" s="89"/>
      <c r="W277" s="89"/>
      <c r="X277" s="89"/>
      <c r="Y277" s="89"/>
      <c r="Z277" s="77"/>
      <c r="AA277" s="77"/>
      <c r="AB277" s="94"/>
      <c r="AC277" s="94"/>
      <c r="AD277" s="94"/>
      <c r="AE277" s="94"/>
      <c r="AF277" s="91"/>
      <c r="AG277" s="92"/>
      <c r="AH277" s="92"/>
      <c r="AI277" s="93"/>
      <c r="AJ277" s="94"/>
      <c r="AK277" s="92"/>
      <c r="AL277" s="94"/>
      <c r="AM277" s="94"/>
      <c r="AN277" s="94"/>
      <c r="AO277" s="94"/>
      <c r="AP277" s="94"/>
      <c r="AQ277" s="94"/>
      <c r="AR277" s="94"/>
      <c r="AS277" s="94"/>
      <c r="AT277" s="94"/>
      <c r="AU277" s="92"/>
      <c r="AV277" s="94"/>
      <c r="AW277" s="94"/>
      <c r="AX277" s="94"/>
      <c r="AY277" s="94"/>
      <c r="AZ277" s="94"/>
      <c r="BA277" s="94"/>
      <c r="BB277" s="94"/>
      <c r="BC277" s="94"/>
      <c r="BD277" s="94"/>
      <c r="BE277" s="94"/>
      <c r="BF277" s="94"/>
      <c r="BG277" s="94"/>
      <c r="BH277" s="94"/>
      <c r="BI277" s="94"/>
      <c r="BJ277" s="94"/>
      <c r="BK277" s="94"/>
      <c r="BL277" s="92"/>
      <c r="BM277" s="94"/>
      <c r="BN277" s="94"/>
      <c r="BO277" s="94"/>
      <c r="BP277" s="94"/>
      <c r="BQ277" s="92"/>
      <c r="BR277" s="92"/>
      <c r="BS277" s="92"/>
      <c r="BT277" s="92"/>
      <c r="BU277" s="92"/>
      <c r="BV277" s="92"/>
      <c r="BW277" s="92"/>
      <c r="BX277" s="92"/>
      <c r="BY277" s="92"/>
      <c r="BZ277" s="92"/>
    </row>
    <row r="278" spans="1:78" ht="12.9">
      <c r="A278" s="89"/>
      <c r="B278" s="89"/>
      <c r="C278" s="89"/>
      <c r="D278" s="89"/>
      <c r="E278" s="89"/>
      <c r="F278" s="89"/>
      <c r="G278" s="89"/>
      <c r="H278" s="105"/>
      <c r="I278" s="106"/>
      <c r="J278" s="106"/>
      <c r="K278" s="89"/>
      <c r="L278" s="89"/>
      <c r="M278" s="89"/>
      <c r="N278" s="107"/>
      <c r="O278" s="107"/>
      <c r="P278" s="89"/>
      <c r="Q278" s="89"/>
      <c r="R278" s="89"/>
      <c r="S278" s="89"/>
      <c r="T278" s="89"/>
      <c r="U278" s="89"/>
      <c r="V278" s="89"/>
      <c r="W278" s="89"/>
      <c r="X278" s="89"/>
      <c r="Y278" s="89"/>
      <c r="Z278" s="77"/>
      <c r="AA278" s="77"/>
      <c r="AB278" s="94"/>
      <c r="AC278" s="94"/>
      <c r="AD278" s="94"/>
      <c r="AE278" s="94"/>
      <c r="AF278" s="91"/>
      <c r="AG278" s="92"/>
      <c r="AH278" s="92"/>
      <c r="AI278" s="93"/>
      <c r="AJ278" s="94"/>
      <c r="AK278" s="92"/>
      <c r="AL278" s="94"/>
      <c r="AM278" s="94"/>
      <c r="AN278" s="94"/>
      <c r="AO278" s="94"/>
      <c r="AP278" s="94"/>
      <c r="AQ278" s="94"/>
      <c r="AR278" s="94"/>
      <c r="AS278" s="94"/>
      <c r="AT278" s="94"/>
      <c r="AU278" s="92"/>
      <c r="AV278" s="94"/>
      <c r="AW278" s="94"/>
      <c r="AX278" s="94"/>
      <c r="AY278" s="94"/>
      <c r="AZ278" s="94"/>
      <c r="BA278" s="94"/>
      <c r="BB278" s="94"/>
      <c r="BC278" s="94"/>
      <c r="BD278" s="94"/>
      <c r="BE278" s="94"/>
      <c r="BF278" s="94"/>
      <c r="BG278" s="94"/>
      <c r="BH278" s="94"/>
      <c r="BI278" s="94"/>
      <c r="BJ278" s="94"/>
      <c r="BK278" s="94"/>
      <c r="BL278" s="92"/>
      <c r="BM278" s="94"/>
      <c r="BN278" s="94"/>
      <c r="BO278" s="94"/>
      <c r="BP278" s="94"/>
      <c r="BQ278" s="92"/>
      <c r="BR278" s="92"/>
      <c r="BS278" s="92"/>
      <c r="BT278" s="92"/>
      <c r="BU278" s="92"/>
      <c r="BV278" s="92"/>
      <c r="BW278" s="92"/>
      <c r="BX278" s="92"/>
      <c r="BY278" s="92"/>
      <c r="BZ278" s="92"/>
    </row>
    <row r="279" spans="1:78" ht="12.9">
      <c r="A279" s="89"/>
      <c r="B279" s="89"/>
      <c r="C279" s="89"/>
      <c r="D279" s="89"/>
      <c r="E279" s="89"/>
      <c r="F279" s="89"/>
      <c r="G279" s="89"/>
      <c r="H279" s="105"/>
      <c r="I279" s="106"/>
      <c r="J279" s="106"/>
      <c r="K279" s="89"/>
      <c r="L279" s="89"/>
      <c r="M279" s="89"/>
      <c r="N279" s="107"/>
      <c r="O279" s="107"/>
      <c r="P279" s="89"/>
      <c r="Q279" s="89"/>
      <c r="R279" s="89"/>
      <c r="S279" s="89"/>
      <c r="T279" s="89"/>
      <c r="U279" s="89"/>
      <c r="V279" s="89"/>
      <c r="W279" s="89"/>
      <c r="X279" s="89"/>
      <c r="Y279" s="89"/>
      <c r="Z279" s="77"/>
      <c r="AA279" s="77"/>
      <c r="AB279" s="94"/>
      <c r="AC279" s="94"/>
      <c r="AD279" s="94"/>
      <c r="AE279" s="94"/>
      <c r="AF279" s="91"/>
      <c r="AG279" s="92"/>
      <c r="AH279" s="92"/>
      <c r="AI279" s="93"/>
      <c r="AJ279" s="94"/>
      <c r="AK279" s="92"/>
      <c r="AL279" s="94"/>
      <c r="AM279" s="94"/>
      <c r="AN279" s="94"/>
      <c r="AO279" s="94"/>
      <c r="AP279" s="94"/>
      <c r="AQ279" s="94"/>
      <c r="AR279" s="94"/>
      <c r="AS279" s="94"/>
      <c r="AT279" s="94"/>
      <c r="AU279" s="92"/>
      <c r="AV279" s="94"/>
      <c r="AW279" s="94"/>
      <c r="AX279" s="94"/>
      <c r="AY279" s="94"/>
      <c r="AZ279" s="94"/>
      <c r="BA279" s="94"/>
      <c r="BB279" s="94"/>
      <c r="BC279" s="94"/>
      <c r="BD279" s="94"/>
      <c r="BE279" s="94"/>
      <c r="BF279" s="94"/>
      <c r="BG279" s="94"/>
      <c r="BH279" s="94"/>
      <c r="BI279" s="94"/>
      <c r="BJ279" s="94"/>
      <c r="BK279" s="94"/>
      <c r="BL279" s="92"/>
      <c r="BM279" s="94"/>
      <c r="BN279" s="94"/>
      <c r="BO279" s="94"/>
      <c r="BP279" s="94"/>
      <c r="BQ279" s="92"/>
      <c r="BR279" s="92"/>
      <c r="BS279" s="92"/>
      <c r="BT279" s="92"/>
      <c r="BU279" s="92"/>
      <c r="BV279" s="92"/>
      <c r="BW279" s="92"/>
      <c r="BX279" s="92"/>
      <c r="BY279" s="92"/>
      <c r="BZ279" s="92"/>
    </row>
    <row r="280" spans="1:78" ht="12.9">
      <c r="A280" s="89"/>
      <c r="B280" s="89"/>
      <c r="C280" s="89"/>
      <c r="D280" s="89"/>
      <c r="E280" s="89"/>
      <c r="F280" s="89"/>
      <c r="G280" s="89"/>
      <c r="H280" s="105"/>
      <c r="I280" s="106"/>
      <c r="J280" s="106"/>
      <c r="K280" s="89"/>
      <c r="L280" s="89"/>
      <c r="M280" s="89"/>
      <c r="N280" s="107"/>
      <c r="O280" s="107"/>
      <c r="P280" s="89"/>
      <c r="Q280" s="89"/>
      <c r="R280" s="89"/>
      <c r="S280" s="89"/>
      <c r="T280" s="89"/>
      <c r="U280" s="89"/>
      <c r="V280" s="89"/>
      <c r="W280" s="89"/>
      <c r="X280" s="89"/>
      <c r="Y280" s="89"/>
      <c r="Z280" s="77"/>
      <c r="AA280" s="77"/>
      <c r="AB280" s="94"/>
      <c r="AC280" s="94"/>
      <c r="AD280" s="94"/>
      <c r="AE280" s="94"/>
      <c r="AF280" s="91"/>
      <c r="AG280" s="92"/>
      <c r="AH280" s="92"/>
      <c r="AI280" s="93"/>
      <c r="AJ280" s="94"/>
      <c r="AK280" s="92"/>
      <c r="AL280" s="94"/>
      <c r="AM280" s="94"/>
      <c r="AN280" s="94"/>
      <c r="AO280" s="94"/>
      <c r="AP280" s="94"/>
      <c r="AQ280" s="94"/>
      <c r="AR280" s="94"/>
      <c r="AS280" s="94"/>
      <c r="AT280" s="94"/>
      <c r="AU280" s="92"/>
      <c r="AV280" s="94"/>
      <c r="AW280" s="94"/>
      <c r="AX280" s="94"/>
      <c r="AY280" s="94"/>
      <c r="AZ280" s="94"/>
      <c r="BA280" s="94"/>
      <c r="BB280" s="94"/>
      <c r="BC280" s="94"/>
      <c r="BD280" s="94"/>
      <c r="BE280" s="94"/>
      <c r="BF280" s="94"/>
      <c r="BG280" s="94"/>
      <c r="BH280" s="94"/>
      <c r="BI280" s="94"/>
      <c r="BJ280" s="94"/>
      <c r="BK280" s="94"/>
      <c r="BL280" s="92"/>
      <c r="BM280" s="94"/>
      <c r="BN280" s="94"/>
      <c r="BO280" s="94"/>
      <c r="BP280" s="94"/>
      <c r="BQ280" s="92"/>
      <c r="BR280" s="92"/>
      <c r="BS280" s="92"/>
      <c r="BT280" s="92"/>
      <c r="BU280" s="92"/>
      <c r="BV280" s="92"/>
      <c r="BW280" s="92"/>
      <c r="BX280" s="92"/>
      <c r="BY280" s="92"/>
      <c r="BZ280" s="92"/>
    </row>
    <row r="281" spans="1:78" ht="12.9">
      <c r="A281" s="89"/>
      <c r="B281" s="89"/>
      <c r="C281" s="89"/>
      <c r="D281" s="89"/>
      <c r="E281" s="89"/>
      <c r="F281" s="89"/>
      <c r="G281" s="89"/>
      <c r="H281" s="105"/>
      <c r="I281" s="106"/>
      <c r="J281" s="106"/>
      <c r="K281" s="89"/>
      <c r="L281" s="89"/>
      <c r="M281" s="89"/>
      <c r="N281" s="107"/>
      <c r="O281" s="107"/>
      <c r="P281" s="89"/>
      <c r="Q281" s="89"/>
      <c r="R281" s="89"/>
      <c r="S281" s="89"/>
      <c r="T281" s="89"/>
      <c r="U281" s="89"/>
      <c r="V281" s="89"/>
      <c r="W281" s="89"/>
      <c r="X281" s="89"/>
      <c r="Y281" s="89"/>
      <c r="Z281" s="77"/>
      <c r="AA281" s="77"/>
      <c r="AB281" s="94"/>
      <c r="AC281" s="94"/>
      <c r="AD281" s="94"/>
      <c r="AE281" s="94"/>
      <c r="AF281" s="91"/>
      <c r="AG281" s="92"/>
      <c r="AH281" s="92"/>
      <c r="AI281" s="93"/>
      <c r="AJ281" s="94"/>
      <c r="AK281" s="92"/>
      <c r="AL281" s="94"/>
      <c r="AM281" s="94"/>
      <c r="AN281" s="94"/>
      <c r="AO281" s="94"/>
      <c r="AP281" s="94"/>
      <c r="AQ281" s="94"/>
      <c r="AR281" s="94"/>
      <c r="AS281" s="94"/>
      <c r="AT281" s="94"/>
      <c r="AU281" s="92"/>
      <c r="AV281" s="94"/>
      <c r="AW281" s="94"/>
      <c r="AX281" s="94"/>
      <c r="AY281" s="94"/>
      <c r="AZ281" s="94"/>
      <c r="BA281" s="94"/>
      <c r="BB281" s="94"/>
      <c r="BC281" s="94"/>
      <c r="BD281" s="94"/>
      <c r="BE281" s="94"/>
      <c r="BF281" s="94"/>
      <c r="BG281" s="94"/>
      <c r="BH281" s="94"/>
      <c r="BI281" s="94"/>
      <c r="BJ281" s="94"/>
      <c r="BK281" s="94"/>
      <c r="BL281" s="92"/>
      <c r="BM281" s="94"/>
      <c r="BN281" s="94"/>
      <c r="BO281" s="94"/>
      <c r="BP281" s="94"/>
      <c r="BQ281" s="92"/>
      <c r="BR281" s="92"/>
      <c r="BS281" s="92"/>
      <c r="BT281" s="92"/>
      <c r="BU281" s="92"/>
      <c r="BV281" s="92"/>
      <c r="BW281" s="92"/>
      <c r="BX281" s="92"/>
      <c r="BY281" s="92"/>
      <c r="BZ281" s="92"/>
    </row>
    <row r="282" spans="1:78" ht="12.9">
      <c r="A282" s="89"/>
      <c r="B282" s="89"/>
      <c r="C282" s="89"/>
      <c r="D282" s="89"/>
      <c r="E282" s="89"/>
      <c r="F282" s="89"/>
      <c r="G282" s="89"/>
      <c r="H282" s="105"/>
      <c r="I282" s="106"/>
      <c r="J282" s="106"/>
      <c r="K282" s="89"/>
      <c r="L282" s="89"/>
      <c r="M282" s="89"/>
      <c r="N282" s="107"/>
      <c r="O282" s="107"/>
      <c r="P282" s="89"/>
      <c r="Q282" s="89"/>
      <c r="R282" s="89"/>
      <c r="S282" s="89"/>
      <c r="T282" s="89"/>
      <c r="U282" s="89"/>
      <c r="V282" s="89"/>
      <c r="W282" s="89"/>
      <c r="X282" s="89"/>
      <c r="Y282" s="89"/>
      <c r="Z282" s="77"/>
      <c r="AA282" s="77"/>
      <c r="AB282" s="94"/>
      <c r="AC282" s="94"/>
      <c r="AD282" s="94"/>
      <c r="AE282" s="94"/>
      <c r="AF282" s="91"/>
      <c r="AG282" s="92"/>
      <c r="AH282" s="92"/>
      <c r="AI282" s="93"/>
      <c r="AJ282" s="94"/>
      <c r="AK282" s="92"/>
      <c r="AL282" s="94"/>
      <c r="AM282" s="94"/>
      <c r="AN282" s="94"/>
      <c r="AO282" s="94"/>
      <c r="AP282" s="94"/>
      <c r="AQ282" s="94"/>
      <c r="AR282" s="94"/>
      <c r="AS282" s="94"/>
      <c r="AT282" s="94"/>
      <c r="AU282" s="92"/>
      <c r="AV282" s="94"/>
      <c r="AW282" s="94"/>
      <c r="AX282" s="94"/>
      <c r="AY282" s="94"/>
      <c r="AZ282" s="94"/>
      <c r="BA282" s="94"/>
      <c r="BB282" s="94"/>
      <c r="BC282" s="94"/>
      <c r="BD282" s="94"/>
      <c r="BE282" s="94"/>
      <c r="BF282" s="94"/>
      <c r="BG282" s="94"/>
      <c r="BH282" s="94"/>
      <c r="BI282" s="94"/>
      <c r="BJ282" s="94"/>
      <c r="BK282" s="94"/>
      <c r="BL282" s="92"/>
      <c r="BM282" s="94"/>
      <c r="BN282" s="94"/>
      <c r="BO282" s="94"/>
      <c r="BP282" s="94"/>
      <c r="BQ282" s="92"/>
      <c r="BR282" s="92"/>
      <c r="BS282" s="92"/>
      <c r="BT282" s="92"/>
      <c r="BU282" s="92"/>
      <c r="BV282" s="92"/>
      <c r="BW282" s="92"/>
      <c r="BX282" s="92"/>
      <c r="BY282" s="92"/>
      <c r="BZ282" s="92"/>
    </row>
    <row r="283" spans="1:78" ht="12.9">
      <c r="A283" s="89"/>
      <c r="B283" s="89"/>
      <c r="C283" s="89"/>
      <c r="D283" s="89"/>
      <c r="E283" s="89"/>
      <c r="F283" s="89"/>
      <c r="G283" s="89"/>
      <c r="H283" s="105"/>
      <c r="I283" s="106"/>
      <c r="J283" s="106"/>
      <c r="K283" s="89"/>
      <c r="L283" s="89"/>
      <c r="M283" s="89"/>
      <c r="N283" s="107"/>
      <c r="O283" s="107"/>
      <c r="P283" s="89"/>
      <c r="Q283" s="89"/>
      <c r="R283" s="89"/>
      <c r="S283" s="89"/>
      <c r="T283" s="89"/>
      <c r="U283" s="89"/>
      <c r="V283" s="89"/>
      <c r="W283" s="89"/>
      <c r="X283" s="89"/>
      <c r="Y283" s="89"/>
      <c r="Z283" s="77"/>
      <c r="AA283" s="77"/>
      <c r="AB283" s="94"/>
      <c r="AC283" s="94"/>
      <c r="AD283" s="94"/>
      <c r="AE283" s="94"/>
      <c r="AF283" s="91"/>
      <c r="AG283" s="92"/>
      <c r="AH283" s="92"/>
      <c r="AI283" s="93"/>
      <c r="AJ283" s="94"/>
      <c r="AK283" s="92"/>
      <c r="AL283" s="94"/>
      <c r="AM283" s="94"/>
      <c r="AN283" s="94"/>
      <c r="AO283" s="94"/>
      <c r="AP283" s="94"/>
      <c r="AQ283" s="94"/>
      <c r="AR283" s="94"/>
      <c r="AS283" s="94"/>
      <c r="AT283" s="94"/>
      <c r="AU283" s="92"/>
      <c r="AV283" s="94"/>
      <c r="AW283" s="94"/>
      <c r="AX283" s="94"/>
      <c r="AY283" s="94"/>
      <c r="AZ283" s="94"/>
      <c r="BA283" s="94"/>
      <c r="BB283" s="94"/>
      <c r="BC283" s="94"/>
      <c r="BD283" s="94"/>
      <c r="BE283" s="94"/>
      <c r="BF283" s="94"/>
      <c r="BG283" s="94"/>
      <c r="BH283" s="94"/>
      <c r="BI283" s="94"/>
      <c r="BJ283" s="94"/>
      <c r="BK283" s="94"/>
      <c r="BL283" s="92"/>
      <c r="BM283" s="94"/>
      <c r="BN283" s="94"/>
      <c r="BO283" s="94"/>
      <c r="BP283" s="94"/>
      <c r="BQ283" s="92"/>
      <c r="BR283" s="92"/>
      <c r="BS283" s="92"/>
      <c r="BT283" s="92"/>
      <c r="BU283" s="92"/>
      <c r="BV283" s="92"/>
      <c r="BW283" s="92"/>
      <c r="BX283" s="92"/>
      <c r="BY283" s="92"/>
      <c r="BZ283" s="92"/>
    </row>
    <row r="284" spans="1:78" ht="12.9">
      <c r="A284" s="89"/>
      <c r="B284" s="89"/>
      <c r="C284" s="89"/>
      <c r="D284" s="89"/>
      <c r="E284" s="89"/>
      <c r="F284" s="89"/>
      <c r="G284" s="89"/>
      <c r="H284" s="105"/>
      <c r="I284" s="106"/>
      <c r="J284" s="106"/>
      <c r="K284" s="89"/>
      <c r="L284" s="89"/>
      <c r="M284" s="89"/>
      <c r="N284" s="107"/>
      <c r="O284" s="107"/>
      <c r="P284" s="89"/>
      <c r="Q284" s="89"/>
      <c r="R284" s="89"/>
      <c r="S284" s="89"/>
      <c r="T284" s="89"/>
      <c r="U284" s="89"/>
      <c r="V284" s="89"/>
      <c r="W284" s="89"/>
      <c r="X284" s="89"/>
      <c r="Y284" s="89"/>
      <c r="Z284" s="77"/>
      <c r="AA284" s="77"/>
      <c r="AB284" s="94"/>
      <c r="AC284" s="94"/>
      <c r="AD284" s="94"/>
      <c r="AE284" s="94"/>
      <c r="AF284" s="91"/>
      <c r="AG284" s="92"/>
      <c r="AH284" s="92"/>
      <c r="AI284" s="93"/>
      <c r="AJ284" s="94"/>
      <c r="AK284" s="92"/>
      <c r="AL284" s="94"/>
      <c r="AM284" s="94"/>
      <c r="AN284" s="94"/>
      <c r="AO284" s="94"/>
      <c r="AP284" s="94"/>
      <c r="AQ284" s="94"/>
      <c r="AR284" s="94"/>
      <c r="AS284" s="94"/>
      <c r="AT284" s="94"/>
      <c r="AU284" s="92"/>
      <c r="AV284" s="94"/>
      <c r="AW284" s="94"/>
      <c r="AX284" s="94"/>
      <c r="AY284" s="94"/>
      <c r="AZ284" s="94"/>
      <c r="BA284" s="94"/>
      <c r="BB284" s="94"/>
      <c r="BC284" s="94"/>
      <c r="BD284" s="94"/>
      <c r="BE284" s="94"/>
      <c r="BF284" s="94"/>
      <c r="BG284" s="94"/>
      <c r="BH284" s="94"/>
      <c r="BI284" s="94"/>
      <c r="BJ284" s="94"/>
      <c r="BK284" s="94"/>
      <c r="BL284" s="92"/>
      <c r="BM284" s="94"/>
      <c r="BN284" s="94"/>
      <c r="BO284" s="94"/>
      <c r="BP284" s="94"/>
      <c r="BQ284" s="92"/>
      <c r="BR284" s="92"/>
      <c r="BS284" s="92"/>
      <c r="BT284" s="92"/>
      <c r="BU284" s="92"/>
      <c r="BV284" s="92"/>
      <c r="BW284" s="92"/>
      <c r="BX284" s="92"/>
      <c r="BY284" s="92"/>
      <c r="BZ284" s="92"/>
    </row>
    <row r="285" spans="1:78" ht="12.9">
      <c r="A285" s="89"/>
      <c r="B285" s="89"/>
      <c r="C285" s="89"/>
      <c r="D285" s="89"/>
      <c r="E285" s="89"/>
      <c r="F285" s="89"/>
      <c r="G285" s="89"/>
      <c r="H285" s="105"/>
      <c r="I285" s="106"/>
      <c r="J285" s="106"/>
      <c r="K285" s="89"/>
      <c r="L285" s="89"/>
      <c r="M285" s="89"/>
      <c r="N285" s="107"/>
      <c r="O285" s="107"/>
      <c r="P285" s="89"/>
      <c r="Q285" s="89"/>
      <c r="R285" s="89"/>
      <c r="S285" s="89"/>
      <c r="T285" s="89"/>
      <c r="U285" s="89"/>
      <c r="V285" s="89"/>
      <c r="W285" s="89"/>
      <c r="X285" s="89"/>
      <c r="Y285" s="89"/>
      <c r="Z285" s="77"/>
      <c r="AA285" s="77"/>
      <c r="AB285" s="94"/>
      <c r="AC285" s="94"/>
      <c r="AD285" s="94"/>
      <c r="AE285" s="94"/>
      <c r="AF285" s="91"/>
      <c r="AG285" s="92"/>
      <c r="AH285" s="92"/>
      <c r="AI285" s="93"/>
      <c r="AJ285" s="94"/>
      <c r="AK285" s="92"/>
      <c r="AL285" s="94"/>
      <c r="AM285" s="94"/>
      <c r="AN285" s="94"/>
      <c r="AO285" s="94"/>
      <c r="AP285" s="94"/>
      <c r="AQ285" s="94"/>
      <c r="AR285" s="94"/>
      <c r="AS285" s="94"/>
      <c r="AT285" s="94"/>
      <c r="AU285" s="92"/>
      <c r="AV285" s="94"/>
      <c r="AW285" s="94"/>
      <c r="AX285" s="94"/>
      <c r="AY285" s="94"/>
      <c r="AZ285" s="94"/>
      <c r="BA285" s="94"/>
      <c r="BB285" s="94"/>
      <c r="BC285" s="94"/>
      <c r="BD285" s="94"/>
      <c r="BE285" s="94"/>
      <c r="BF285" s="94"/>
      <c r="BG285" s="94"/>
      <c r="BH285" s="94"/>
      <c r="BI285" s="94"/>
      <c r="BJ285" s="94"/>
      <c r="BK285" s="94"/>
      <c r="BL285" s="92"/>
      <c r="BM285" s="94"/>
      <c r="BN285" s="94"/>
      <c r="BO285" s="94"/>
      <c r="BP285" s="94"/>
      <c r="BQ285" s="92"/>
      <c r="BR285" s="92"/>
      <c r="BS285" s="92"/>
      <c r="BT285" s="92"/>
      <c r="BU285" s="92"/>
      <c r="BV285" s="92"/>
      <c r="BW285" s="92"/>
      <c r="BX285" s="92"/>
      <c r="BY285" s="92"/>
      <c r="BZ285" s="92"/>
    </row>
    <row r="286" spans="1:78" ht="12.9">
      <c r="A286" s="89"/>
      <c r="B286" s="89"/>
      <c r="C286" s="89"/>
      <c r="D286" s="89"/>
      <c r="E286" s="89"/>
      <c r="F286" s="89"/>
      <c r="G286" s="89"/>
      <c r="H286" s="105"/>
      <c r="I286" s="106"/>
      <c r="J286" s="106"/>
      <c r="K286" s="89"/>
      <c r="L286" s="89"/>
      <c r="M286" s="89"/>
      <c r="N286" s="107"/>
      <c r="O286" s="107"/>
      <c r="P286" s="89"/>
      <c r="Q286" s="89"/>
      <c r="R286" s="89"/>
      <c r="S286" s="89"/>
      <c r="T286" s="89"/>
      <c r="U286" s="89"/>
      <c r="V286" s="89"/>
      <c r="W286" s="89"/>
      <c r="X286" s="89"/>
      <c r="Y286" s="89"/>
      <c r="Z286" s="77"/>
      <c r="AA286" s="77"/>
      <c r="AB286" s="94"/>
      <c r="AC286" s="94"/>
      <c r="AD286" s="94"/>
      <c r="AE286" s="94"/>
      <c r="AF286" s="91"/>
      <c r="AG286" s="92"/>
      <c r="AH286" s="92"/>
      <c r="AI286" s="93"/>
      <c r="AJ286" s="94"/>
      <c r="AK286" s="92"/>
      <c r="AL286" s="94"/>
      <c r="AM286" s="94"/>
      <c r="AN286" s="94"/>
      <c r="AO286" s="94"/>
      <c r="AP286" s="94"/>
      <c r="AQ286" s="94"/>
      <c r="AR286" s="94"/>
      <c r="AS286" s="94"/>
      <c r="AT286" s="94"/>
      <c r="AU286" s="92"/>
      <c r="AV286" s="94"/>
      <c r="AW286" s="94"/>
      <c r="AX286" s="94"/>
      <c r="AY286" s="94"/>
      <c r="AZ286" s="94"/>
      <c r="BA286" s="94"/>
      <c r="BB286" s="94"/>
      <c r="BC286" s="94"/>
      <c r="BD286" s="94"/>
      <c r="BE286" s="94"/>
      <c r="BF286" s="94"/>
      <c r="BG286" s="94"/>
      <c r="BH286" s="94"/>
      <c r="BI286" s="94"/>
      <c r="BJ286" s="94"/>
      <c r="BK286" s="94"/>
      <c r="BL286" s="92"/>
      <c r="BM286" s="94"/>
      <c r="BN286" s="94"/>
      <c r="BO286" s="94"/>
      <c r="BP286" s="94"/>
      <c r="BQ286" s="92"/>
      <c r="BR286" s="92"/>
      <c r="BS286" s="92"/>
      <c r="BT286" s="92"/>
      <c r="BU286" s="92"/>
      <c r="BV286" s="92"/>
      <c r="BW286" s="92"/>
      <c r="BX286" s="92"/>
      <c r="BY286" s="92"/>
      <c r="BZ286" s="92"/>
    </row>
    <row r="287" spans="1:78" ht="12.9">
      <c r="A287" s="89"/>
      <c r="B287" s="89"/>
      <c r="C287" s="89"/>
      <c r="D287" s="89"/>
      <c r="E287" s="89"/>
      <c r="F287" s="89"/>
      <c r="G287" s="89"/>
      <c r="H287" s="105"/>
      <c r="I287" s="106"/>
      <c r="J287" s="106"/>
      <c r="K287" s="89"/>
      <c r="L287" s="89"/>
      <c r="M287" s="89"/>
      <c r="N287" s="107"/>
      <c r="O287" s="107"/>
      <c r="P287" s="89"/>
      <c r="Q287" s="89"/>
      <c r="R287" s="89"/>
      <c r="S287" s="89"/>
      <c r="T287" s="89"/>
      <c r="U287" s="89"/>
      <c r="V287" s="89"/>
      <c r="W287" s="89"/>
      <c r="X287" s="89"/>
      <c r="Y287" s="89"/>
      <c r="Z287" s="77"/>
      <c r="AA287" s="77"/>
      <c r="AB287" s="94"/>
      <c r="AC287" s="94"/>
      <c r="AD287" s="94"/>
      <c r="AE287" s="94"/>
      <c r="AF287" s="91"/>
      <c r="AG287" s="92"/>
      <c r="AH287" s="92"/>
      <c r="AI287" s="93"/>
      <c r="AJ287" s="94"/>
      <c r="AK287" s="92"/>
      <c r="AL287" s="94"/>
      <c r="AM287" s="94"/>
      <c r="AN287" s="94"/>
      <c r="AO287" s="94"/>
      <c r="AP287" s="94"/>
      <c r="AQ287" s="94"/>
      <c r="AR287" s="94"/>
      <c r="AS287" s="94"/>
      <c r="AT287" s="94"/>
      <c r="AU287" s="92"/>
      <c r="AV287" s="94"/>
      <c r="AW287" s="94"/>
      <c r="AX287" s="94"/>
      <c r="AY287" s="94"/>
      <c r="AZ287" s="94"/>
      <c r="BA287" s="94"/>
      <c r="BB287" s="94"/>
      <c r="BC287" s="94"/>
      <c r="BD287" s="94"/>
      <c r="BE287" s="94"/>
      <c r="BF287" s="94"/>
      <c r="BG287" s="94"/>
      <c r="BH287" s="94"/>
      <c r="BI287" s="94"/>
      <c r="BJ287" s="94"/>
      <c r="BK287" s="94"/>
      <c r="BL287" s="92"/>
      <c r="BM287" s="94"/>
      <c r="BN287" s="94"/>
      <c r="BO287" s="94"/>
      <c r="BP287" s="94"/>
      <c r="BQ287" s="92"/>
      <c r="BR287" s="92"/>
      <c r="BS287" s="92"/>
      <c r="BT287" s="92"/>
      <c r="BU287" s="92"/>
      <c r="BV287" s="92"/>
      <c r="BW287" s="92"/>
      <c r="BX287" s="92"/>
      <c r="BY287" s="92"/>
      <c r="BZ287" s="92"/>
    </row>
    <row r="288" spans="1:78" ht="12.9">
      <c r="A288" s="89"/>
      <c r="B288" s="89"/>
      <c r="C288" s="89"/>
      <c r="D288" s="89"/>
      <c r="E288" s="89"/>
      <c r="F288" s="89"/>
      <c r="G288" s="89"/>
      <c r="H288" s="105"/>
      <c r="I288" s="106"/>
      <c r="J288" s="106"/>
      <c r="K288" s="89"/>
      <c r="L288" s="89"/>
      <c r="M288" s="89"/>
      <c r="N288" s="107"/>
      <c r="O288" s="107"/>
      <c r="P288" s="89"/>
      <c r="Q288" s="89"/>
      <c r="R288" s="89"/>
      <c r="S288" s="89"/>
      <c r="T288" s="89"/>
      <c r="U288" s="89"/>
      <c r="V288" s="89"/>
      <c r="W288" s="89"/>
      <c r="X288" s="89"/>
      <c r="Y288" s="89"/>
      <c r="Z288" s="77"/>
      <c r="AA288" s="77"/>
      <c r="AB288" s="94"/>
      <c r="AC288" s="94"/>
      <c r="AD288" s="94"/>
      <c r="AE288" s="94"/>
      <c r="AF288" s="91"/>
      <c r="AG288" s="92"/>
      <c r="AH288" s="92"/>
      <c r="AI288" s="93"/>
      <c r="AJ288" s="94"/>
      <c r="AK288" s="92"/>
      <c r="AL288" s="94"/>
      <c r="AM288" s="94"/>
      <c r="AN288" s="94"/>
      <c r="AO288" s="94"/>
      <c r="AP288" s="94"/>
      <c r="AQ288" s="94"/>
      <c r="AR288" s="94"/>
      <c r="AS288" s="94"/>
      <c r="AT288" s="94"/>
      <c r="AU288" s="92"/>
      <c r="AV288" s="94"/>
      <c r="AW288" s="94"/>
      <c r="AX288" s="94"/>
      <c r="AY288" s="94"/>
      <c r="AZ288" s="94"/>
      <c r="BA288" s="94"/>
      <c r="BB288" s="94"/>
      <c r="BC288" s="94"/>
      <c r="BD288" s="94"/>
      <c r="BE288" s="94"/>
      <c r="BF288" s="94"/>
      <c r="BG288" s="94"/>
      <c r="BH288" s="94"/>
      <c r="BI288" s="94"/>
      <c r="BJ288" s="94"/>
      <c r="BK288" s="94"/>
      <c r="BL288" s="92"/>
      <c r="BM288" s="94"/>
      <c r="BN288" s="94"/>
      <c r="BO288" s="94"/>
      <c r="BP288" s="94"/>
      <c r="BQ288" s="92"/>
      <c r="BR288" s="92"/>
      <c r="BS288" s="92"/>
      <c r="BT288" s="92"/>
      <c r="BU288" s="92"/>
      <c r="BV288" s="92"/>
      <c r="BW288" s="92"/>
      <c r="BX288" s="92"/>
      <c r="BY288" s="92"/>
      <c r="BZ288" s="92"/>
    </row>
    <row r="289" spans="1:78" ht="12.9">
      <c r="A289" s="89"/>
      <c r="B289" s="89"/>
      <c r="C289" s="89"/>
      <c r="D289" s="89"/>
      <c r="E289" s="89"/>
      <c r="F289" s="89"/>
      <c r="G289" s="89"/>
      <c r="H289" s="105"/>
      <c r="I289" s="106"/>
      <c r="J289" s="106"/>
      <c r="K289" s="89"/>
      <c r="L289" s="89"/>
      <c r="M289" s="89"/>
      <c r="N289" s="107"/>
      <c r="O289" s="107"/>
      <c r="P289" s="89"/>
      <c r="Q289" s="89"/>
      <c r="R289" s="89"/>
      <c r="S289" s="89"/>
      <c r="T289" s="89"/>
      <c r="U289" s="89"/>
      <c r="V289" s="89"/>
      <c r="W289" s="89"/>
      <c r="X289" s="89"/>
      <c r="Y289" s="89"/>
      <c r="Z289" s="77"/>
      <c r="AA289" s="77"/>
      <c r="AB289" s="94"/>
      <c r="AC289" s="94"/>
      <c r="AD289" s="94"/>
      <c r="AE289" s="94"/>
      <c r="AF289" s="91"/>
      <c r="AG289" s="92"/>
      <c r="AH289" s="92"/>
      <c r="AI289" s="93"/>
      <c r="AJ289" s="94"/>
      <c r="AK289" s="92"/>
      <c r="AL289" s="94"/>
      <c r="AM289" s="94"/>
      <c r="AN289" s="94"/>
      <c r="AO289" s="94"/>
      <c r="AP289" s="94"/>
      <c r="AQ289" s="94"/>
      <c r="AR289" s="94"/>
      <c r="AS289" s="94"/>
      <c r="AT289" s="94"/>
      <c r="AU289" s="92"/>
      <c r="AV289" s="94"/>
      <c r="AW289" s="94"/>
      <c r="AX289" s="94"/>
      <c r="AY289" s="94"/>
      <c r="AZ289" s="94"/>
      <c r="BA289" s="94"/>
      <c r="BB289" s="94"/>
      <c r="BC289" s="94"/>
      <c r="BD289" s="94"/>
      <c r="BE289" s="94"/>
      <c r="BF289" s="94"/>
      <c r="BG289" s="94"/>
      <c r="BH289" s="94"/>
      <c r="BI289" s="94"/>
      <c r="BJ289" s="94"/>
      <c r="BK289" s="94"/>
      <c r="BL289" s="92"/>
      <c r="BM289" s="94"/>
      <c r="BN289" s="94"/>
      <c r="BO289" s="94"/>
      <c r="BP289" s="94"/>
      <c r="BQ289" s="92"/>
      <c r="BR289" s="92"/>
      <c r="BS289" s="92"/>
      <c r="BT289" s="92"/>
      <c r="BU289" s="92"/>
      <c r="BV289" s="92"/>
      <c r="BW289" s="92"/>
      <c r="BX289" s="92"/>
      <c r="BY289" s="92"/>
      <c r="BZ289" s="92"/>
    </row>
    <row r="290" spans="1:78" ht="12.9">
      <c r="A290" s="89"/>
      <c r="B290" s="89"/>
      <c r="C290" s="89"/>
      <c r="D290" s="89"/>
      <c r="E290" s="89"/>
      <c r="F290" s="89"/>
      <c r="G290" s="89"/>
      <c r="H290" s="105"/>
      <c r="I290" s="106"/>
      <c r="J290" s="106"/>
      <c r="K290" s="89"/>
      <c r="L290" s="89"/>
      <c r="M290" s="89"/>
      <c r="N290" s="107"/>
      <c r="O290" s="107"/>
      <c r="P290" s="89"/>
      <c r="Q290" s="89"/>
      <c r="R290" s="89"/>
      <c r="S290" s="89"/>
      <c r="T290" s="89"/>
      <c r="U290" s="89"/>
      <c r="V290" s="89"/>
      <c r="W290" s="89"/>
      <c r="X290" s="89"/>
      <c r="Y290" s="89"/>
      <c r="Z290" s="77"/>
      <c r="AA290" s="77"/>
      <c r="AB290" s="94"/>
      <c r="AC290" s="94"/>
      <c r="AD290" s="94"/>
      <c r="AE290" s="94"/>
      <c r="AF290" s="91"/>
      <c r="AG290" s="92"/>
      <c r="AH290" s="92"/>
      <c r="AI290" s="93"/>
      <c r="AJ290" s="94"/>
      <c r="AK290" s="92"/>
      <c r="AL290" s="94"/>
      <c r="AM290" s="94"/>
      <c r="AN290" s="94"/>
      <c r="AO290" s="94"/>
      <c r="AP290" s="94"/>
      <c r="AQ290" s="94"/>
      <c r="AR290" s="94"/>
      <c r="AS290" s="94"/>
      <c r="AT290" s="94"/>
      <c r="AU290" s="92"/>
      <c r="AV290" s="94"/>
      <c r="AW290" s="94"/>
      <c r="AX290" s="94"/>
      <c r="AY290" s="94"/>
      <c r="AZ290" s="94"/>
      <c r="BA290" s="94"/>
      <c r="BB290" s="94"/>
      <c r="BC290" s="94"/>
      <c r="BD290" s="94"/>
      <c r="BE290" s="94"/>
      <c r="BF290" s="94"/>
      <c r="BG290" s="94"/>
      <c r="BH290" s="94"/>
      <c r="BI290" s="94"/>
      <c r="BJ290" s="94"/>
      <c r="BK290" s="94"/>
      <c r="BL290" s="92"/>
      <c r="BM290" s="94"/>
      <c r="BN290" s="94"/>
      <c r="BO290" s="94"/>
      <c r="BP290" s="94"/>
      <c r="BQ290" s="92"/>
      <c r="BR290" s="92"/>
      <c r="BS290" s="92"/>
      <c r="BT290" s="92"/>
      <c r="BU290" s="92"/>
      <c r="BV290" s="92"/>
      <c r="BW290" s="92"/>
      <c r="BX290" s="92"/>
      <c r="BY290" s="92"/>
      <c r="BZ290" s="92"/>
    </row>
    <row r="291" spans="1:78" ht="12.9">
      <c r="A291" s="89"/>
      <c r="B291" s="89"/>
      <c r="C291" s="89"/>
      <c r="D291" s="89"/>
      <c r="E291" s="89"/>
      <c r="F291" s="89"/>
      <c r="G291" s="89"/>
      <c r="H291" s="105"/>
      <c r="I291" s="106"/>
      <c r="J291" s="106"/>
      <c r="K291" s="89"/>
      <c r="L291" s="89"/>
      <c r="M291" s="89"/>
      <c r="N291" s="107"/>
      <c r="O291" s="107"/>
      <c r="P291" s="89"/>
      <c r="Q291" s="89"/>
      <c r="R291" s="89"/>
      <c r="S291" s="89"/>
      <c r="T291" s="89"/>
      <c r="U291" s="89"/>
      <c r="V291" s="89"/>
      <c r="W291" s="89"/>
      <c r="X291" s="89"/>
      <c r="Y291" s="89"/>
      <c r="Z291" s="77"/>
      <c r="AA291" s="77"/>
      <c r="AB291" s="94"/>
      <c r="AC291" s="94"/>
      <c r="AD291" s="94"/>
      <c r="AE291" s="94"/>
      <c r="AF291" s="91"/>
      <c r="AG291" s="92"/>
      <c r="AH291" s="92"/>
      <c r="AI291" s="93"/>
      <c r="AJ291" s="94"/>
      <c r="AK291" s="92"/>
      <c r="AL291" s="94"/>
      <c r="AM291" s="94"/>
      <c r="AN291" s="94"/>
      <c r="AO291" s="94"/>
      <c r="AP291" s="94"/>
      <c r="AQ291" s="94"/>
      <c r="AR291" s="94"/>
      <c r="AS291" s="94"/>
      <c r="AT291" s="94"/>
      <c r="AU291" s="92"/>
      <c r="AV291" s="94"/>
      <c r="AW291" s="94"/>
      <c r="AX291" s="94"/>
      <c r="AY291" s="94"/>
      <c r="AZ291" s="94"/>
      <c r="BA291" s="94"/>
      <c r="BB291" s="94"/>
      <c r="BC291" s="94"/>
      <c r="BD291" s="94"/>
      <c r="BE291" s="94"/>
      <c r="BF291" s="94"/>
      <c r="BG291" s="94"/>
      <c r="BH291" s="94"/>
      <c r="BI291" s="94"/>
      <c r="BJ291" s="94"/>
      <c r="BK291" s="94"/>
      <c r="BL291" s="92"/>
      <c r="BM291" s="94"/>
      <c r="BN291" s="94"/>
      <c r="BO291" s="94"/>
      <c r="BP291" s="94"/>
      <c r="BQ291" s="92"/>
      <c r="BR291" s="92"/>
      <c r="BS291" s="92"/>
      <c r="BT291" s="92"/>
      <c r="BU291" s="92"/>
      <c r="BV291" s="92"/>
      <c r="BW291" s="92"/>
      <c r="BX291" s="92"/>
      <c r="BY291" s="92"/>
      <c r="BZ291" s="92"/>
    </row>
    <row r="292" spans="1:78" ht="12.9">
      <c r="A292" s="89"/>
      <c r="B292" s="89"/>
      <c r="C292" s="89"/>
      <c r="D292" s="89"/>
      <c r="E292" s="89"/>
      <c r="F292" s="89"/>
      <c r="G292" s="89"/>
      <c r="H292" s="105"/>
      <c r="I292" s="106"/>
      <c r="J292" s="106"/>
      <c r="K292" s="89"/>
      <c r="L292" s="89"/>
      <c r="M292" s="89"/>
      <c r="N292" s="107"/>
      <c r="O292" s="107"/>
      <c r="P292" s="89"/>
      <c r="Q292" s="89"/>
      <c r="R292" s="89"/>
      <c r="S292" s="89"/>
      <c r="T292" s="89"/>
      <c r="U292" s="89"/>
      <c r="V292" s="89"/>
      <c r="W292" s="89"/>
      <c r="X292" s="89"/>
      <c r="Y292" s="89"/>
      <c r="Z292" s="77"/>
      <c r="AA292" s="77"/>
      <c r="AB292" s="94"/>
      <c r="AC292" s="94"/>
      <c r="AD292" s="94"/>
      <c r="AE292" s="94"/>
      <c r="AF292" s="91"/>
      <c r="AG292" s="92"/>
      <c r="AH292" s="92"/>
      <c r="AI292" s="93"/>
      <c r="AJ292" s="94"/>
      <c r="AK292" s="92"/>
      <c r="AL292" s="94"/>
      <c r="AM292" s="94"/>
      <c r="AN292" s="94"/>
      <c r="AO292" s="94"/>
      <c r="AP292" s="94"/>
      <c r="AQ292" s="94"/>
      <c r="AR292" s="94"/>
      <c r="AS292" s="94"/>
      <c r="AT292" s="94"/>
      <c r="AU292" s="92"/>
      <c r="AV292" s="94"/>
      <c r="AW292" s="94"/>
      <c r="AX292" s="94"/>
      <c r="AY292" s="94"/>
      <c r="AZ292" s="94"/>
      <c r="BA292" s="94"/>
      <c r="BB292" s="94"/>
      <c r="BC292" s="94"/>
      <c r="BD292" s="94"/>
      <c r="BE292" s="94"/>
      <c r="BF292" s="94"/>
      <c r="BG292" s="94"/>
      <c r="BH292" s="94"/>
      <c r="BI292" s="94"/>
      <c r="BJ292" s="94"/>
      <c r="BK292" s="94"/>
      <c r="BL292" s="92"/>
      <c r="BM292" s="94"/>
      <c r="BN292" s="94"/>
      <c r="BO292" s="94"/>
      <c r="BP292" s="94"/>
      <c r="BQ292" s="92"/>
      <c r="BR292" s="92"/>
      <c r="BS292" s="92"/>
      <c r="BT292" s="92"/>
      <c r="BU292" s="92"/>
      <c r="BV292" s="92"/>
      <c r="BW292" s="92"/>
      <c r="BX292" s="92"/>
      <c r="BY292" s="92"/>
      <c r="BZ292" s="92"/>
    </row>
    <row r="293" spans="1:78" ht="12.9">
      <c r="A293" s="89"/>
      <c r="B293" s="89"/>
      <c r="C293" s="89"/>
      <c r="D293" s="89"/>
      <c r="E293" s="89"/>
      <c r="F293" s="89"/>
      <c r="G293" s="89"/>
      <c r="H293" s="105"/>
      <c r="I293" s="106"/>
      <c r="J293" s="106"/>
      <c r="K293" s="89"/>
      <c r="L293" s="89"/>
      <c r="M293" s="89"/>
      <c r="N293" s="107"/>
      <c r="O293" s="107"/>
      <c r="P293" s="89"/>
      <c r="Q293" s="89"/>
      <c r="R293" s="89"/>
      <c r="S293" s="89"/>
      <c r="T293" s="89"/>
      <c r="U293" s="89"/>
      <c r="V293" s="89"/>
      <c r="W293" s="89"/>
      <c r="X293" s="89"/>
      <c r="Y293" s="89"/>
      <c r="Z293" s="77"/>
      <c r="AA293" s="77"/>
      <c r="AB293" s="94"/>
      <c r="AC293" s="94"/>
      <c r="AD293" s="94"/>
      <c r="AE293" s="94"/>
      <c r="AF293" s="91"/>
      <c r="AG293" s="92"/>
      <c r="AH293" s="92"/>
      <c r="AI293" s="93"/>
      <c r="AJ293" s="94"/>
      <c r="AK293" s="92"/>
      <c r="AL293" s="94"/>
      <c r="AM293" s="94"/>
      <c r="AN293" s="94"/>
      <c r="AO293" s="94"/>
      <c r="AP293" s="94"/>
      <c r="AQ293" s="94"/>
      <c r="AR293" s="94"/>
      <c r="AS293" s="94"/>
      <c r="AT293" s="94"/>
      <c r="AU293" s="92"/>
      <c r="AV293" s="94"/>
      <c r="AW293" s="94"/>
      <c r="AX293" s="94"/>
      <c r="AY293" s="94"/>
      <c r="AZ293" s="94"/>
      <c r="BA293" s="94"/>
      <c r="BB293" s="94"/>
      <c r="BC293" s="94"/>
      <c r="BD293" s="94"/>
      <c r="BE293" s="94"/>
      <c r="BF293" s="94"/>
      <c r="BG293" s="94"/>
      <c r="BH293" s="94"/>
      <c r="BI293" s="94"/>
      <c r="BJ293" s="94"/>
      <c r="BK293" s="94"/>
      <c r="BL293" s="92"/>
      <c r="BM293" s="94"/>
      <c r="BN293" s="94"/>
      <c r="BO293" s="94"/>
      <c r="BP293" s="94"/>
      <c r="BQ293" s="92"/>
      <c r="BR293" s="92"/>
      <c r="BS293" s="92"/>
      <c r="BT293" s="92"/>
      <c r="BU293" s="92"/>
      <c r="BV293" s="92"/>
      <c r="BW293" s="92"/>
      <c r="BX293" s="92"/>
      <c r="BY293" s="92"/>
      <c r="BZ293" s="92"/>
    </row>
    <row r="294" spans="1:78" ht="12.9">
      <c r="A294" s="89"/>
      <c r="B294" s="89"/>
      <c r="C294" s="89"/>
      <c r="D294" s="89"/>
      <c r="E294" s="89"/>
      <c r="F294" s="89"/>
      <c r="G294" s="89"/>
      <c r="H294" s="105"/>
      <c r="I294" s="106"/>
      <c r="J294" s="106"/>
      <c r="K294" s="89"/>
      <c r="L294" s="89"/>
      <c r="M294" s="89"/>
      <c r="N294" s="107"/>
      <c r="O294" s="107"/>
      <c r="P294" s="89"/>
      <c r="Q294" s="89"/>
      <c r="R294" s="89"/>
      <c r="S294" s="89"/>
      <c r="T294" s="89"/>
      <c r="U294" s="89"/>
      <c r="V294" s="89"/>
      <c r="W294" s="89"/>
      <c r="X294" s="89"/>
      <c r="Y294" s="89"/>
      <c r="Z294" s="77"/>
      <c r="AA294" s="77"/>
      <c r="AB294" s="94"/>
      <c r="AC294" s="94"/>
      <c r="AD294" s="94"/>
      <c r="AE294" s="94"/>
      <c r="AF294" s="91"/>
      <c r="AG294" s="92"/>
      <c r="AH294" s="92"/>
      <c r="AI294" s="93"/>
      <c r="AJ294" s="94"/>
      <c r="AK294" s="92"/>
      <c r="AL294" s="94"/>
      <c r="AM294" s="94"/>
      <c r="AN294" s="94"/>
      <c r="AO294" s="94"/>
      <c r="AP294" s="94"/>
      <c r="AQ294" s="94"/>
      <c r="AR294" s="94"/>
      <c r="AS294" s="94"/>
      <c r="AT294" s="94"/>
      <c r="AU294" s="92"/>
      <c r="AV294" s="94"/>
      <c r="AW294" s="94"/>
      <c r="AX294" s="94"/>
      <c r="AY294" s="94"/>
      <c r="AZ294" s="94"/>
      <c r="BA294" s="94"/>
      <c r="BB294" s="94"/>
      <c r="BC294" s="94"/>
      <c r="BD294" s="94"/>
      <c r="BE294" s="94"/>
      <c r="BF294" s="94"/>
      <c r="BG294" s="94"/>
      <c r="BH294" s="94"/>
      <c r="BI294" s="94"/>
      <c r="BJ294" s="94"/>
      <c r="BK294" s="94"/>
      <c r="BL294" s="92"/>
      <c r="BM294" s="94"/>
      <c r="BN294" s="94"/>
      <c r="BO294" s="94"/>
      <c r="BP294" s="94"/>
      <c r="BQ294" s="92"/>
      <c r="BR294" s="92"/>
      <c r="BS294" s="92"/>
      <c r="BT294" s="92"/>
      <c r="BU294" s="92"/>
      <c r="BV294" s="92"/>
      <c r="BW294" s="92"/>
      <c r="BX294" s="92"/>
      <c r="BY294" s="92"/>
      <c r="BZ294" s="92"/>
    </row>
    <row r="295" spans="1:78" ht="12.9">
      <c r="A295" s="89"/>
      <c r="B295" s="89"/>
      <c r="C295" s="89"/>
      <c r="D295" s="89"/>
      <c r="E295" s="89"/>
      <c r="F295" s="89"/>
      <c r="G295" s="89"/>
      <c r="H295" s="105"/>
      <c r="I295" s="106"/>
      <c r="J295" s="106"/>
      <c r="K295" s="89"/>
      <c r="L295" s="89"/>
      <c r="M295" s="89"/>
      <c r="N295" s="107"/>
      <c r="O295" s="107"/>
      <c r="P295" s="89"/>
      <c r="Q295" s="89"/>
      <c r="R295" s="89"/>
      <c r="S295" s="89"/>
      <c r="T295" s="89"/>
      <c r="U295" s="89"/>
      <c r="V295" s="89"/>
      <c r="W295" s="89"/>
      <c r="X295" s="89"/>
      <c r="Y295" s="89"/>
      <c r="Z295" s="77"/>
      <c r="AA295" s="77"/>
      <c r="AB295" s="94"/>
      <c r="AC295" s="94"/>
      <c r="AD295" s="94"/>
      <c r="AE295" s="94"/>
      <c r="AF295" s="91"/>
      <c r="AG295" s="92"/>
      <c r="AH295" s="92"/>
      <c r="AI295" s="93"/>
      <c r="AJ295" s="94"/>
      <c r="AK295" s="92"/>
      <c r="AL295" s="94"/>
      <c r="AM295" s="94"/>
      <c r="AN295" s="94"/>
      <c r="AO295" s="94"/>
      <c r="AP295" s="94"/>
      <c r="AQ295" s="94"/>
      <c r="AR295" s="94"/>
      <c r="AS295" s="94"/>
      <c r="AT295" s="94"/>
      <c r="AU295" s="92"/>
      <c r="AV295" s="94"/>
      <c r="AW295" s="94"/>
      <c r="AX295" s="94"/>
      <c r="AY295" s="94"/>
      <c r="AZ295" s="94"/>
      <c r="BA295" s="94"/>
      <c r="BB295" s="94"/>
      <c r="BC295" s="94"/>
      <c r="BD295" s="94"/>
      <c r="BE295" s="94"/>
      <c r="BF295" s="94"/>
      <c r="BG295" s="94"/>
      <c r="BH295" s="94"/>
      <c r="BI295" s="94"/>
      <c r="BJ295" s="94"/>
      <c r="BK295" s="94"/>
      <c r="BL295" s="92"/>
      <c r="BM295" s="94"/>
      <c r="BN295" s="94"/>
      <c r="BO295" s="94"/>
      <c r="BP295" s="94"/>
      <c r="BQ295" s="92"/>
      <c r="BR295" s="92"/>
      <c r="BS295" s="92"/>
      <c r="BT295" s="92"/>
      <c r="BU295" s="92"/>
      <c r="BV295" s="92"/>
      <c r="BW295" s="92"/>
      <c r="BX295" s="92"/>
      <c r="BY295" s="92"/>
      <c r="BZ295" s="92"/>
    </row>
    <row r="296" spans="1:78" ht="12.9">
      <c r="A296" s="89"/>
      <c r="B296" s="89"/>
      <c r="C296" s="89"/>
      <c r="D296" s="89"/>
      <c r="E296" s="89"/>
      <c r="F296" s="89"/>
      <c r="G296" s="89"/>
      <c r="H296" s="105"/>
      <c r="I296" s="106"/>
      <c r="J296" s="106"/>
      <c r="K296" s="89"/>
      <c r="L296" s="89"/>
      <c r="M296" s="89"/>
      <c r="N296" s="107"/>
      <c r="O296" s="107"/>
      <c r="P296" s="89"/>
      <c r="Q296" s="89"/>
      <c r="R296" s="89"/>
      <c r="S296" s="89"/>
      <c r="T296" s="89"/>
      <c r="U296" s="89"/>
      <c r="V296" s="89"/>
      <c r="W296" s="89"/>
      <c r="X296" s="89"/>
      <c r="Y296" s="89"/>
      <c r="Z296" s="77"/>
      <c r="AA296" s="77"/>
      <c r="AB296" s="94"/>
      <c r="AC296" s="94"/>
      <c r="AD296" s="94"/>
      <c r="AE296" s="94"/>
      <c r="AF296" s="91"/>
      <c r="AG296" s="92"/>
      <c r="AH296" s="92"/>
      <c r="AI296" s="93"/>
      <c r="AJ296" s="94"/>
      <c r="AK296" s="92"/>
      <c r="AL296" s="94"/>
      <c r="AM296" s="94"/>
      <c r="AN296" s="94"/>
      <c r="AO296" s="94"/>
      <c r="AP296" s="94"/>
      <c r="AQ296" s="94"/>
      <c r="AR296" s="94"/>
      <c r="AS296" s="94"/>
      <c r="AT296" s="94"/>
      <c r="AU296" s="92"/>
      <c r="AV296" s="94"/>
      <c r="AW296" s="94"/>
      <c r="AX296" s="94"/>
      <c r="AY296" s="94"/>
      <c r="AZ296" s="94"/>
      <c r="BA296" s="94"/>
      <c r="BB296" s="94"/>
      <c r="BC296" s="94"/>
      <c r="BD296" s="94"/>
      <c r="BE296" s="94"/>
      <c r="BF296" s="94"/>
      <c r="BG296" s="94"/>
      <c r="BH296" s="94"/>
      <c r="BI296" s="94"/>
      <c r="BJ296" s="94"/>
      <c r="BK296" s="94"/>
      <c r="BL296" s="92"/>
      <c r="BM296" s="94"/>
      <c r="BN296" s="94"/>
      <c r="BO296" s="94"/>
      <c r="BP296" s="94"/>
      <c r="BQ296" s="92"/>
      <c r="BR296" s="92"/>
      <c r="BS296" s="92"/>
      <c r="BT296" s="92"/>
      <c r="BU296" s="92"/>
      <c r="BV296" s="92"/>
      <c r="BW296" s="92"/>
      <c r="BX296" s="92"/>
      <c r="BY296" s="92"/>
      <c r="BZ296" s="92"/>
    </row>
    <row r="297" spans="1:78" ht="12.9">
      <c r="A297" s="89"/>
      <c r="B297" s="89"/>
      <c r="C297" s="89"/>
      <c r="D297" s="89"/>
      <c r="E297" s="89"/>
      <c r="F297" s="89"/>
      <c r="G297" s="89"/>
      <c r="H297" s="105"/>
      <c r="I297" s="106"/>
      <c r="J297" s="106"/>
      <c r="K297" s="89"/>
      <c r="L297" s="89"/>
      <c r="M297" s="89"/>
      <c r="N297" s="107"/>
      <c r="O297" s="107"/>
      <c r="P297" s="89"/>
      <c r="Q297" s="89"/>
      <c r="R297" s="89"/>
      <c r="S297" s="89"/>
      <c r="T297" s="89"/>
      <c r="U297" s="89"/>
      <c r="V297" s="89"/>
      <c r="W297" s="89"/>
      <c r="X297" s="89"/>
      <c r="Y297" s="89"/>
      <c r="Z297" s="77"/>
      <c r="AA297" s="77"/>
      <c r="AB297" s="94"/>
      <c r="AC297" s="94"/>
      <c r="AD297" s="94"/>
      <c r="AE297" s="94"/>
      <c r="AF297" s="91"/>
      <c r="AG297" s="92"/>
      <c r="AH297" s="92"/>
      <c r="AI297" s="93"/>
      <c r="AJ297" s="94"/>
      <c r="AK297" s="92"/>
      <c r="AL297" s="94"/>
      <c r="AM297" s="94"/>
      <c r="AN297" s="94"/>
      <c r="AO297" s="94"/>
      <c r="AP297" s="94"/>
      <c r="AQ297" s="94"/>
      <c r="AR297" s="94"/>
      <c r="AS297" s="94"/>
      <c r="AT297" s="94"/>
      <c r="AU297" s="92"/>
      <c r="AV297" s="94"/>
      <c r="AW297" s="94"/>
      <c r="AX297" s="94"/>
      <c r="AY297" s="94"/>
      <c r="AZ297" s="94"/>
      <c r="BA297" s="94"/>
      <c r="BB297" s="94"/>
      <c r="BC297" s="94"/>
      <c r="BD297" s="94"/>
      <c r="BE297" s="94"/>
      <c r="BF297" s="94"/>
      <c r="BG297" s="94"/>
      <c r="BH297" s="94"/>
      <c r="BI297" s="94"/>
      <c r="BJ297" s="94"/>
      <c r="BK297" s="94"/>
      <c r="BL297" s="92"/>
      <c r="BM297" s="94"/>
      <c r="BN297" s="94"/>
      <c r="BO297" s="94"/>
      <c r="BP297" s="94"/>
      <c r="BQ297" s="92"/>
      <c r="BR297" s="92"/>
      <c r="BS297" s="92"/>
      <c r="BT297" s="92"/>
      <c r="BU297" s="92"/>
      <c r="BV297" s="92"/>
      <c r="BW297" s="92"/>
      <c r="BX297" s="92"/>
      <c r="BY297" s="92"/>
      <c r="BZ297" s="92"/>
    </row>
    <row r="298" spans="1:78" ht="12.9">
      <c r="A298" s="89"/>
      <c r="B298" s="89"/>
      <c r="C298" s="89"/>
      <c r="D298" s="89"/>
      <c r="E298" s="89"/>
      <c r="F298" s="89"/>
      <c r="G298" s="89"/>
      <c r="H298" s="105"/>
      <c r="I298" s="106"/>
      <c r="J298" s="106"/>
      <c r="K298" s="89"/>
      <c r="L298" s="89"/>
      <c r="M298" s="89"/>
      <c r="N298" s="107"/>
      <c r="O298" s="107"/>
      <c r="P298" s="89"/>
      <c r="Q298" s="89"/>
      <c r="R298" s="89"/>
      <c r="S298" s="89"/>
      <c r="T298" s="89"/>
      <c r="U298" s="89"/>
      <c r="V298" s="89"/>
      <c r="W298" s="89"/>
      <c r="X298" s="89"/>
      <c r="Y298" s="89"/>
      <c r="Z298" s="77"/>
      <c r="AA298" s="77"/>
      <c r="AB298" s="94"/>
      <c r="AC298" s="94"/>
      <c r="AD298" s="94"/>
      <c r="AE298" s="94"/>
      <c r="AF298" s="91"/>
      <c r="AG298" s="92"/>
      <c r="AH298" s="92"/>
      <c r="AI298" s="93"/>
      <c r="AJ298" s="94"/>
      <c r="AK298" s="92"/>
      <c r="AL298" s="94"/>
      <c r="AM298" s="94"/>
      <c r="AN298" s="94"/>
      <c r="AO298" s="94"/>
      <c r="AP298" s="94"/>
      <c r="AQ298" s="94"/>
      <c r="AR298" s="94"/>
      <c r="AS298" s="94"/>
      <c r="AT298" s="94"/>
      <c r="AU298" s="92"/>
      <c r="AV298" s="94"/>
      <c r="AW298" s="94"/>
      <c r="AX298" s="94"/>
      <c r="AY298" s="94"/>
      <c r="AZ298" s="94"/>
      <c r="BA298" s="94"/>
      <c r="BB298" s="94"/>
      <c r="BC298" s="94"/>
      <c r="BD298" s="94"/>
      <c r="BE298" s="94"/>
      <c r="BF298" s="94"/>
      <c r="BG298" s="94"/>
      <c r="BH298" s="94"/>
      <c r="BI298" s="94"/>
      <c r="BJ298" s="94"/>
      <c r="BK298" s="94"/>
      <c r="BL298" s="92"/>
      <c r="BM298" s="94"/>
      <c r="BN298" s="94"/>
      <c r="BO298" s="94"/>
      <c r="BP298" s="94"/>
      <c r="BQ298" s="92"/>
      <c r="BR298" s="92"/>
      <c r="BS298" s="92"/>
      <c r="BT298" s="92"/>
      <c r="BU298" s="92"/>
      <c r="BV298" s="92"/>
      <c r="BW298" s="92"/>
      <c r="BX298" s="92"/>
      <c r="BY298" s="92"/>
      <c r="BZ298" s="92"/>
    </row>
    <row r="299" spans="1:78" ht="12.9">
      <c r="A299" s="89"/>
      <c r="B299" s="89"/>
      <c r="C299" s="89"/>
      <c r="D299" s="89"/>
      <c r="E299" s="89"/>
      <c r="F299" s="89"/>
      <c r="G299" s="89"/>
      <c r="H299" s="105"/>
      <c r="I299" s="106"/>
      <c r="J299" s="106"/>
      <c r="K299" s="89"/>
      <c r="L299" s="89"/>
      <c r="M299" s="89"/>
      <c r="N299" s="107"/>
      <c r="O299" s="107"/>
      <c r="P299" s="89"/>
      <c r="Q299" s="89"/>
      <c r="R299" s="89"/>
      <c r="S299" s="89"/>
      <c r="T299" s="89"/>
      <c r="U299" s="89"/>
      <c r="V299" s="89"/>
      <c r="W299" s="89"/>
      <c r="X299" s="89"/>
      <c r="Y299" s="89"/>
      <c r="Z299" s="77"/>
      <c r="AA299" s="77"/>
      <c r="AB299" s="94"/>
      <c r="AC299" s="94"/>
      <c r="AD299" s="94"/>
      <c r="AE299" s="94"/>
      <c r="AF299" s="91"/>
      <c r="AG299" s="92"/>
      <c r="AH299" s="92"/>
      <c r="AI299" s="93"/>
      <c r="AJ299" s="94"/>
      <c r="AK299" s="92"/>
      <c r="AL299" s="94"/>
      <c r="AM299" s="94"/>
      <c r="AN299" s="94"/>
      <c r="AO299" s="94"/>
      <c r="AP299" s="94"/>
      <c r="AQ299" s="94"/>
      <c r="AR299" s="94"/>
      <c r="AS299" s="94"/>
      <c r="AT299" s="94"/>
      <c r="AU299" s="92"/>
      <c r="AV299" s="94"/>
      <c r="AW299" s="94"/>
      <c r="AX299" s="94"/>
      <c r="AY299" s="94"/>
      <c r="AZ299" s="94"/>
      <c r="BA299" s="94"/>
      <c r="BB299" s="94"/>
      <c r="BC299" s="94"/>
      <c r="BD299" s="94"/>
      <c r="BE299" s="94"/>
      <c r="BF299" s="94"/>
      <c r="BG299" s="94"/>
      <c r="BH299" s="94"/>
      <c r="BI299" s="94"/>
      <c r="BJ299" s="94"/>
      <c r="BK299" s="94"/>
      <c r="BL299" s="92"/>
      <c r="BM299" s="94"/>
      <c r="BN299" s="94"/>
      <c r="BO299" s="94"/>
      <c r="BP299" s="94"/>
      <c r="BQ299" s="92"/>
      <c r="BR299" s="92"/>
      <c r="BS299" s="92"/>
      <c r="BT299" s="92"/>
      <c r="BU299" s="92"/>
      <c r="BV299" s="92"/>
      <c r="BW299" s="92"/>
      <c r="BX299" s="92"/>
      <c r="BY299" s="92"/>
      <c r="BZ299" s="92"/>
    </row>
    <row r="300" spans="1:78" ht="12.9">
      <c r="A300" s="89"/>
      <c r="B300" s="89"/>
      <c r="C300" s="89"/>
      <c r="D300" s="89"/>
      <c r="E300" s="89"/>
      <c r="F300" s="89"/>
      <c r="G300" s="89"/>
      <c r="H300" s="105"/>
      <c r="I300" s="106"/>
      <c r="J300" s="106"/>
      <c r="K300" s="89"/>
      <c r="L300" s="89"/>
      <c r="M300" s="89"/>
      <c r="N300" s="107"/>
      <c r="O300" s="107"/>
      <c r="P300" s="89"/>
      <c r="Q300" s="89"/>
      <c r="R300" s="89"/>
      <c r="S300" s="89"/>
      <c r="T300" s="89"/>
      <c r="U300" s="89"/>
      <c r="V300" s="89"/>
      <c r="W300" s="89"/>
      <c r="X300" s="89"/>
      <c r="Y300" s="89"/>
      <c r="Z300" s="77"/>
      <c r="AA300" s="77"/>
      <c r="AB300" s="94"/>
      <c r="AC300" s="94"/>
      <c r="AD300" s="94"/>
      <c r="AE300" s="94"/>
      <c r="AF300" s="91"/>
      <c r="AG300" s="92"/>
      <c r="AH300" s="92"/>
      <c r="AI300" s="93"/>
      <c r="AJ300" s="94"/>
      <c r="AK300" s="92"/>
      <c r="AL300" s="94"/>
      <c r="AM300" s="94"/>
      <c r="AN300" s="94"/>
      <c r="AO300" s="94"/>
      <c r="AP300" s="94"/>
      <c r="AQ300" s="94"/>
      <c r="AR300" s="94"/>
      <c r="AS300" s="94"/>
      <c r="AT300" s="94"/>
      <c r="AU300" s="92"/>
      <c r="AV300" s="94"/>
      <c r="AW300" s="94"/>
      <c r="AX300" s="94"/>
      <c r="AY300" s="94"/>
      <c r="AZ300" s="94"/>
      <c r="BA300" s="94"/>
      <c r="BB300" s="94"/>
      <c r="BC300" s="94"/>
      <c r="BD300" s="94"/>
      <c r="BE300" s="94"/>
      <c r="BF300" s="94"/>
      <c r="BG300" s="94"/>
      <c r="BH300" s="94"/>
      <c r="BI300" s="94"/>
      <c r="BJ300" s="94"/>
      <c r="BK300" s="94"/>
      <c r="BL300" s="92"/>
      <c r="BM300" s="94"/>
      <c r="BN300" s="94"/>
      <c r="BO300" s="94"/>
      <c r="BP300" s="94"/>
      <c r="BQ300" s="92"/>
      <c r="BR300" s="92"/>
      <c r="BS300" s="92"/>
      <c r="BT300" s="92"/>
      <c r="BU300" s="92"/>
      <c r="BV300" s="92"/>
      <c r="BW300" s="92"/>
      <c r="BX300" s="92"/>
      <c r="BY300" s="92"/>
      <c r="BZ300" s="92"/>
    </row>
    <row r="301" spans="1:78" ht="12.9">
      <c r="A301" s="89"/>
      <c r="B301" s="89"/>
      <c r="C301" s="89"/>
      <c r="D301" s="89"/>
      <c r="E301" s="89"/>
      <c r="F301" s="89"/>
      <c r="G301" s="89"/>
      <c r="H301" s="105"/>
      <c r="I301" s="106"/>
      <c r="J301" s="106"/>
      <c r="K301" s="89"/>
      <c r="L301" s="89"/>
      <c r="M301" s="89"/>
      <c r="N301" s="107"/>
      <c r="O301" s="107"/>
      <c r="P301" s="89"/>
      <c r="Q301" s="89"/>
      <c r="R301" s="89"/>
      <c r="S301" s="89"/>
      <c r="T301" s="89"/>
      <c r="U301" s="89"/>
      <c r="V301" s="89"/>
      <c r="W301" s="89"/>
      <c r="X301" s="89"/>
      <c r="Y301" s="89"/>
      <c r="Z301" s="77"/>
      <c r="AA301" s="77"/>
      <c r="AB301" s="94"/>
      <c r="AC301" s="94"/>
      <c r="AD301" s="94"/>
      <c r="AE301" s="94"/>
      <c r="AF301" s="91"/>
      <c r="AG301" s="92"/>
      <c r="AH301" s="92"/>
      <c r="AI301" s="93"/>
      <c r="AJ301" s="94"/>
      <c r="AK301" s="92"/>
      <c r="AL301" s="94"/>
      <c r="AM301" s="94"/>
      <c r="AN301" s="94"/>
      <c r="AO301" s="94"/>
      <c r="AP301" s="94"/>
      <c r="AQ301" s="94"/>
      <c r="AR301" s="94"/>
      <c r="AS301" s="94"/>
      <c r="AT301" s="94"/>
      <c r="AU301" s="92"/>
      <c r="AV301" s="94"/>
      <c r="AW301" s="94"/>
      <c r="AX301" s="94"/>
      <c r="AY301" s="94"/>
      <c r="AZ301" s="94"/>
      <c r="BA301" s="94"/>
      <c r="BB301" s="94"/>
      <c r="BC301" s="94"/>
      <c r="BD301" s="94"/>
      <c r="BE301" s="94"/>
      <c r="BF301" s="94"/>
      <c r="BG301" s="94"/>
      <c r="BH301" s="94"/>
      <c r="BI301" s="94"/>
      <c r="BJ301" s="94"/>
      <c r="BK301" s="94"/>
      <c r="BL301" s="92"/>
      <c r="BM301" s="94"/>
      <c r="BN301" s="94"/>
      <c r="BO301" s="94"/>
      <c r="BP301" s="94"/>
      <c r="BQ301" s="92"/>
      <c r="BR301" s="92"/>
      <c r="BS301" s="92"/>
      <c r="BT301" s="92"/>
      <c r="BU301" s="92"/>
      <c r="BV301" s="92"/>
      <c r="BW301" s="92"/>
      <c r="BX301" s="92"/>
      <c r="BY301" s="92"/>
      <c r="BZ301" s="92"/>
    </row>
    <row r="302" spans="1:78" ht="12.9">
      <c r="A302" s="89"/>
      <c r="B302" s="89"/>
      <c r="C302" s="89"/>
      <c r="D302" s="89"/>
      <c r="E302" s="89"/>
      <c r="F302" s="89"/>
      <c r="G302" s="89"/>
      <c r="H302" s="105"/>
      <c r="I302" s="106"/>
      <c r="J302" s="106"/>
      <c r="K302" s="89"/>
      <c r="L302" s="89"/>
      <c r="M302" s="89"/>
      <c r="N302" s="107"/>
      <c r="O302" s="107"/>
      <c r="P302" s="89"/>
      <c r="Q302" s="89"/>
      <c r="R302" s="89"/>
      <c r="S302" s="89"/>
      <c r="T302" s="89"/>
      <c r="U302" s="89"/>
      <c r="V302" s="89"/>
      <c r="W302" s="89"/>
      <c r="X302" s="89"/>
      <c r="Y302" s="89"/>
      <c r="Z302" s="77"/>
      <c r="AA302" s="77"/>
      <c r="AB302" s="94"/>
      <c r="AC302" s="94"/>
      <c r="AD302" s="94"/>
      <c r="AE302" s="94"/>
      <c r="AF302" s="91"/>
      <c r="AG302" s="92"/>
      <c r="AH302" s="92"/>
      <c r="AI302" s="93"/>
      <c r="AJ302" s="94"/>
      <c r="AK302" s="92"/>
      <c r="AL302" s="94"/>
      <c r="AM302" s="94"/>
      <c r="AN302" s="94"/>
      <c r="AO302" s="94"/>
      <c r="AP302" s="94"/>
      <c r="AQ302" s="94"/>
      <c r="AR302" s="94"/>
      <c r="AS302" s="94"/>
      <c r="AT302" s="94"/>
      <c r="AU302" s="92"/>
      <c r="AV302" s="94"/>
      <c r="AW302" s="94"/>
      <c r="AX302" s="94"/>
      <c r="AY302" s="94"/>
      <c r="AZ302" s="94"/>
      <c r="BA302" s="94"/>
      <c r="BB302" s="94"/>
      <c r="BC302" s="94"/>
      <c r="BD302" s="94"/>
      <c r="BE302" s="94"/>
      <c r="BF302" s="94"/>
      <c r="BG302" s="94"/>
      <c r="BH302" s="94"/>
      <c r="BI302" s="94"/>
      <c r="BJ302" s="94"/>
      <c r="BK302" s="94"/>
      <c r="BL302" s="92"/>
      <c r="BM302" s="94"/>
      <c r="BN302" s="94"/>
      <c r="BO302" s="94"/>
      <c r="BP302" s="94"/>
      <c r="BQ302" s="92"/>
      <c r="BR302" s="92"/>
      <c r="BS302" s="92"/>
      <c r="BT302" s="92"/>
      <c r="BU302" s="92"/>
      <c r="BV302" s="92"/>
      <c r="BW302" s="92"/>
      <c r="BX302" s="92"/>
      <c r="BY302" s="92"/>
      <c r="BZ302" s="92"/>
    </row>
    <row r="303" spans="1:78" ht="12.9">
      <c r="A303" s="89"/>
      <c r="B303" s="89"/>
      <c r="C303" s="89"/>
      <c r="D303" s="89"/>
      <c r="E303" s="89"/>
      <c r="F303" s="89"/>
      <c r="G303" s="89"/>
      <c r="H303" s="105"/>
      <c r="I303" s="106"/>
      <c r="J303" s="106"/>
      <c r="K303" s="89"/>
      <c r="L303" s="89"/>
      <c r="M303" s="89"/>
      <c r="N303" s="107"/>
      <c r="O303" s="107"/>
      <c r="P303" s="89"/>
      <c r="Q303" s="89"/>
      <c r="R303" s="89"/>
      <c r="S303" s="89"/>
      <c r="T303" s="89"/>
      <c r="U303" s="89"/>
      <c r="V303" s="89"/>
      <c r="W303" s="89"/>
      <c r="X303" s="89"/>
      <c r="Y303" s="89"/>
      <c r="Z303" s="77"/>
      <c r="AA303" s="77"/>
      <c r="AB303" s="94"/>
      <c r="AC303" s="94"/>
      <c r="AD303" s="94"/>
      <c r="AE303" s="94"/>
      <c r="AF303" s="91"/>
      <c r="AG303" s="92"/>
      <c r="AH303" s="92"/>
      <c r="AI303" s="93"/>
      <c r="AJ303" s="94"/>
      <c r="AK303" s="92"/>
      <c r="AL303" s="94"/>
      <c r="AM303" s="94"/>
      <c r="AN303" s="94"/>
      <c r="AO303" s="94"/>
      <c r="AP303" s="94"/>
      <c r="AQ303" s="94"/>
      <c r="AR303" s="94"/>
      <c r="AS303" s="94"/>
      <c r="AT303" s="94"/>
      <c r="AU303" s="92"/>
      <c r="AV303" s="94"/>
      <c r="AW303" s="94"/>
      <c r="AX303" s="94"/>
      <c r="AY303" s="94"/>
      <c r="AZ303" s="94"/>
      <c r="BA303" s="94"/>
      <c r="BB303" s="94"/>
      <c r="BC303" s="94"/>
      <c r="BD303" s="94"/>
      <c r="BE303" s="94"/>
      <c r="BF303" s="94"/>
      <c r="BG303" s="94"/>
      <c r="BH303" s="94"/>
      <c r="BI303" s="94"/>
      <c r="BJ303" s="94"/>
      <c r="BK303" s="94"/>
      <c r="BL303" s="92"/>
      <c r="BM303" s="94"/>
      <c r="BN303" s="94"/>
      <c r="BO303" s="94"/>
      <c r="BP303" s="94"/>
      <c r="BQ303" s="92"/>
      <c r="BR303" s="92"/>
      <c r="BS303" s="92"/>
      <c r="BT303" s="92"/>
      <c r="BU303" s="92"/>
      <c r="BV303" s="92"/>
      <c r="BW303" s="92"/>
      <c r="BX303" s="92"/>
      <c r="BY303" s="92"/>
      <c r="BZ303" s="92"/>
    </row>
    <row r="304" spans="1:78" ht="12.9">
      <c r="A304" s="89"/>
      <c r="B304" s="89"/>
      <c r="C304" s="89"/>
      <c r="D304" s="89"/>
      <c r="E304" s="89"/>
      <c r="F304" s="89"/>
      <c r="G304" s="89"/>
      <c r="H304" s="105"/>
      <c r="I304" s="106"/>
      <c r="J304" s="106"/>
      <c r="K304" s="89"/>
      <c r="L304" s="89"/>
      <c r="M304" s="89"/>
      <c r="N304" s="107"/>
      <c r="O304" s="107"/>
      <c r="P304" s="89"/>
      <c r="Q304" s="89"/>
      <c r="R304" s="89"/>
      <c r="S304" s="89"/>
      <c r="T304" s="89"/>
      <c r="U304" s="89"/>
      <c r="V304" s="89"/>
      <c r="W304" s="89"/>
      <c r="X304" s="89"/>
      <c r="Y304" s="89"/>
      <c r="Z304" s="77"/>
      <c r="AA304" s="77"/>
      <c r="AB304" s="94"/>
      <c r="AC304" s="94"/>
      <c r="AD304" s="94"/>
      <c r="AE304" s="94"/>
      <c r="AF304" s="91"/>
      <c r="AG304" s="92"/>
      <c r="AH304" s="92"/>
      <c r="AI304" s="93"/>
      <c r="AJ304" s="94"/>
      <c r="AK304" s="92"/>
      <c r="AL304" s="94"/>
      <c r="AM304" s="94"/>
      <c r="AN304" s="94"/>
      <c r="AO304" s="94"/>
      <c r="AP304" s="94"/>
      <c r="AQ304" s="94"/>
      <c r="AR304" s="94"/>
      <c r="AS304" s="94"/>
      <c r="AT304" s="94"/>
      <c r="AU304" s="92"/>
      <c r="AV304" s="94"/>
      <c r="AW304" s="94"/>
      <c r="AX304" s="94"/>
      <c r="AY304" s="94"/>
      <c r="AZ304" s="94"/>
      <c r="BA304" s="94"/>
      <c r="BB304" s="94"/>
      <c r="BC304" s="94"/>
      <c r="BD304" s="94"/>
      <c r="BE304" s="94"/>
      <c r="BF304" s="94"/>
      <c r="BG304" s="94"/>
      <c r="BH304" s="94"/>
      <c r="BI304" s="94"/>
      <c r="BJ304" s="94"/>
      <c r="BK304" s="94"/>
      <c r="BL304" s="92"/>
      <c r="BM304" s="94"/>
      <c r="BN304" s="94"/>
      <c r="BO304" s="94"/>
      <c r="BP304" s="94"/>
      <c r="BQ304" s="92"/>
      <c r="BR304" s="92"/>
      <c r="BS304" s="92"/>
      <c r="BT304" s="92"/>
      <c r="BU304" s="92"/>
      <c r="BV304" s="92"/>
      <c r="BW304" s="92"/>
      <c r="BX304" s="92"/>
      <c r="BY304" s="92"/>
      <c r="BZ304" s="92"/>
    </row>
    <row r="305" spans="1:78" ht="12.9">
      <c r="A305" s="89"/>
      <c r="B305" s="89"/>
      <c r="C305" s="89"/>
      <c r="D305" s="89"/>
      <c r="E305" s="89"/>
      <c r="F305" s="89"/>
      <c r="G305" s="89"/>
      <c r="H305" s="105"/>
      <c r="I305" s="106"/>
      <c r="J305" s="106"/>
      <c r="K305" s="89"/>
      <c r="L305" s="89"/>
      <c r="M305" s="89"/>
      <c r="N305" s="107"/>
      <c r="O305" s="107"/>
      <c r="P305" s="89"/>
      <c r="Q305" s="89"/>
      <c r="R305" s="89"/>
      <c r="S305" s="89"/>
      <c r="T305" s="89"/>
      <c r="U305" s="89"/>
      <c r="V305" s="89"/>
      <c r="W305" s="89"/>
      <c r="X305" s="89"/>
      <c r="Y305" s="89"/>
      <c r="Z305" s="77"/>
      <c r="AA305" s="77"/>
      <c r="AB305" s="94"/>
      <c r="AC305" s="94"/>
      <c r="AD305" s="94"/>
      <c r="AE305" s="94"/>
      <c r="AF305" s="91"/>
      <c r="AG305" s="92"/>
      <c r="AH305" s="92"/>
      <c r="AI305" s="93"/>
      <c r="AJ305" s="94"/>
      <c r="AK305" s="92"/>
      <c r="AL305" s="94"/>
      <c r="AM305" s="94"/>
      <c r="AN305" s="94"/>
      <c r="AO305" s="94"/>
      <c r="AP305" s="94"/>
      <c r="AQ305" s="94"/>
      <c r="AR305" s="94"/>
      <c r="AS305" s="94"/>
      <c r="AT305" s="94"/>
      <c r="AU305" s="92"/>
      <c r="AV305" s="94"/>
      <c r="AW305" s="94"/>
      <c r="AX305" s="94"/>
      <c r="AY305" s="94"/>
      <c r="AZ305" s="94"/>
      <c r="BA305" s="94"/>
      <c r="BB305" s="94"/>
      <c r="BC305" s="94"/>
      <c r="BD305" s="94"/>
      <c r="BE305" s="94"/>
      <c r="BF305" s="94"/>
      <c r="BG305" s="94"/>
      <c r="BH305" s="94"/>
      <c r="BI305" s="94"/>
      <c r="BJ305" s="94"/>
      <c r="BK305" s="94"/>
      <c r="BL305" s="92"/>
      <c r="BM305" s="94"/>
      <c r="BN305" s="94"/>
      <c r="BO305" s="94"/>
      <c r="BP305" s="94"/>
      <c r="BQ305" s="92"/>
      <c r="BR305" s="92"/>
      <c r="BS305" s="92"/>
      <c r="BT305" s="92"/>
      <c r="BU305" s="92"/>
      <c r="BV305" s="92"/>
      <c r="BW305" s="92"/>
      <c r="BX305" s="92"/>
      <c r="BY305" s="92"/>
      <c r="BZ305" s="92"/>
    </row>
    <row r="306" spans="1:78" ht="12.9">
      <c r="A306" s="89"/>
      <c r="B306" s="89"/>
      <c r="C306" s="89"/>
      <c r="D306" s="89"/>
      <c r="E306" s="89"/>
      <c r="F306" s="89"/>
      <c r="G306" s="89"/>
      <c r="H306" s="105"/>
      <c r="I306" s="106"/>
      <c r="J306" s="106"/>
      <c r="K306" s="89"/>
      <c r="L306" s="89"/>
      <c r="M306" s="89"/>
      <c r="N306" s="107"/>
      <c r="O306" s="107"/>
      <c r="P306" s="89"/>
      <c r="Q306" s="89"/>
      <c r="R306" s="89"/>
      <c r="S306" s="89"/>
      <c r="T306" s="89"/>
      <c r="U306" s="89"/>
      <c r="V306" s="89"/>
      <c r="W306" s="89"/>
      <c r="X306" s="89"/>
      <c r="Y306" s="89"/>
      <c r="Z306" s="77"/>
      <c r="AA306" s="77"/>
      <c r="AB306" s="94"/>
      <c r="AC306" s="94"/>
      <c r="AD306" s="94"/>
      <c r="AE306" s="94"/>
      <c r="AF306" s="91"/>
      <c r="AG306" s="92"/>
      <c r="AH306" s="92"/>
      <c r="AI306" s="93"/>
      <c r="AJ306" s="94"/>
      <c r="AK306" s="92"/>
      <c r="AL306" s="94"/>
      <c r="AM306" s="94"/>
      <c r="AN306" s="94"/>
      <c r="AO306" s="94"/>
      <c r="AP306" s="94"/>
      <c r="AQ306" s="94"/>
      <c r="AR306" s="94"/>
      <c r="AS306" s="94"/>
      <c r="AT306" s="94"/>
      <c r="AU306" s="92"/>
      <c r="AV306" s="94"/>
      <c r="AW306" s="94"/>
      <c r="AX306" s="94"/>
      <c r="AY306" s="94"/>
      <c r="AZ306" s="94"/>
      <c r="BA306" s="94"/>
      <c r="BB306" s="94"/>
      <c r="BC306" s="94"/>
      <c r="BD306" s="94"/>
      <c r="BE306" s="94"/>
      <c r="BF306" s="94"/>
      <c r="BG306" s="94"/>
      <c r="BH306" s="94"/>
      <c r="BI306" s="94"/>
      <c r="BJ306" s="94"/>
      <c r="BK306" s="94"/>
      <c r="BL306" s="92"/>
      <c r="BM306" s="94"/>
      <c r="BN306" s="94"/>
      <c r="BO306" s="94"/>
      <c r="BP306" s="94"/>
      <c r="BQ306" s="92"/>
      <c r="BR306" s="92"/>
      <c r="BS306" s="92"/>
      <c r="BT306" s="92"/>
      <c r="BU306" s="92"/>
      <c r="BV306" s="92"/>
      <c r="BW306" s="92"/>
      <c r="BX306" s="92"/>
      <c r="BY306" s="92"/>
      <c r="BZ306" s="92"/>
    </row>
    <row r="307" spans="1:78" ht="12.9">
      <c r="A307" s="89"/>
      <c r="B307" s="89"/>
      <c r="C307" s="89"/>
      <c r="D307" s="89"/>
      <c r="E307" s="89"/>
      <c r="F307" s="89"/>
      <c r="G307" s="89"/>
      <c r="H307" s="105"/>
      <c r="I307" s="106"/>
      <c r="J307" s="106"/>
      <c r="K307" s="89"/>
      <c r="L307" s="89"/>
      <c r="M307" s="89"/>
      <c r="N307" s="107"/>
      <c r="O307" s="107"/>
      <c r="P307" s="89"/>
      <c r="Q307" s="89"/>
      <c r="R307" s="89"/>
      <c r="S307" s="89"/>
      <c r="T307" s="89"/>
      <c r="U307" s="89"/>
      <c r="V307" s="89"/>
      <c r="W307" s="89"/>
      <c r="X307" s="89"/>
      <c r="Y307" s="89"/>
      <c r="Z307" s="77"/>
      <c r="AA307" s="77"/>
      <c r="AB307" s="94"/>
      <c r="AC307" s="94"/>
      <c r="AD307" s="94"/>
      <c r="AE307" s="94"/>
      <c r="AF307" s="91"/>
      <c r="AG307" s="92"/>
      <c r="AH307" s="92"/>
      <c r="AI307" s="93"/>
      <c r="AJ307" s="94"/>
      <c r="AK307" s="92"/>
      <c r="AL307" s="94"/>
      <c r="AM307" s="94"/>
      <c r="AN307" s="94"/>
      <c r="AO307" s="94"/>
      <c r="AP307" s="94"/>
      <c r="AQ307" s="94"/>
      <c r="AR307" s="94"/>
      <c r="AS307" s="94"/>
      <c r="AT307" s="94"/>
      <c r="AU307" s="92"/>
      <c r="AV307" s="94"/>
      <c r="AW307" s="94"/>
      <c r="AX307" s="94"/>
      <c r="AY307" s="94"/>
      <c r="AZ307" s="94"/>
      <c r="BA307" s="94"/>
      <c r="BB307" s="94"/>
      <c r="BC307" s="94"/>
      <c r="BD307" s="94"/>
      <c r="BE307" s="94"/>
      <c r="BF307" s="94"/>
      <c r="BG307" s="94"/>
      <c r="BH307" s="94"/>
      <c r="BI307" s="94"/>
      <c r="BJ307" s="94"/>
      <c r="BK307" s="94"/>
      <c r="BL307" s="92"/>
      <c r="BM307" s="94"/>
      <c r="BN307" s="94"/>
      <c r="BO307" s="94"/>
      <c r="BP307" s="94"/>
      <c r="BQ307" s="92"/>
      <c r="BR307" s="92"/>
      <c r="BS307" s="92"/>
      <c r="BT307" s="92"/>
      <c r="BU307" s="92"/>
      <c r="BV307" s="92"/>
      <c r="BW307" s="92"/>
      <c r="BX307" s="92"/>
      <c r="BY307" s="92"/>
      <c r="BZ307" s="92"/>
    </row>
    <row r="308" spans="1:78" ht="12.9">
      <c r="A308" s="89"/>
      <c r="B308" s="89"/>
      <c r="C308" s="89"/>
      <c r="D308" s="89"/>
      <c r="E308" s="89"/>
      <c r="F308" s="89"/>
      <c r="G308" s="89"/>
      <c r="H308" s="105"/>
      <c r="I308" s="106"/>
      <c r="J308" s="106"/>
      <c r="K308" s="89"/>
      <c r="L308" s="89"/>
      <c r="M308" s="89"/>
      <c r="N308" s="107"/>
      <c r="O308" s="107"/>
      <c r="P308" s="89"/>
      <c r="Q308" s="89"/>
      <c r="R308" s="89"/>
      <c r="S308" s="89"/>
      <c r="T308" s="89"/>
      <c r="U308" s="89"/>
      <c r="V308" s="89"/>
      <c r="W308" s="89"/>
      <c r="X308" s="89"/>
      <c r="Y308" s="89"/>
      <c r="Z308" s="77"/>
      <c r="AA308" s="77"/>
      <c r="AB308" s="94"/>
      <c r="AC308" s="94"/>
      <c r="AD308" s="94"/>
      <c r="AE308" s="94"/>
      <c r="AF308" s="91"/>
      <c r="AG308" s="92"/>
      <c r="AH308" s="92"/>
      <c r="AI308" s="93"/>
      <c r="AJ308" s="94"/>
      <c r="AK308" s="92"/>
      <c r="AL308" s="94"/>
      <c r="AM308" s="94"/>
      <c r="AN308" s="94"/>
      <c r="AO308" s="94"/>
      <c r="AP308" s="94"/>
      <c r="AQ308" s="94"/>
      <c r="AR308" s="94"/>
      <c r="AS308" s="94"/>
      <c r="AT308" s="94"/>
      <c r="AU308" s="92"/>
      <c r="AV308" s="94"/>
      <c r="AW308" s="94"/>
      <c r="AX308" s="94"/>
      <c r="AY308" s="94"/>
      <c r="AZ308" s="94"/>
      <c r="BA308" s="94"/>
      <c r="BB308" s="94"/>
      <c r="BC308" s="94"/>
      <c r="BD308" s="94"/>
      <c r="BE308" s="94"/>
      <c r="BF308" s="94"/>
      <c r="BG308" s="94"/>
      <c r="BH308" s="94"/>
      <c r="BI308" s="94"/>
      <c r="BJ308" s="94"/>
      <c r="BK308" s="94"/>
      <c r="BL308" s="92"/>
      <c r="BM308" s="94"/>
      <c r="BN308" s="94"/>
      <c r="BO308" s="94"/>
      <c r="BP308" s="94"/>
      <c r="BQ308" s="92"/>
      <c r="BR308" s="92"/>
      <c r="BS308" s="92"/>
      <c r="BT308" s="92"/>
      <c r="BU308" s="92"/>
      <c r="BV308" s="92"/>
      <c r="BW308" s="92"/>
      <c r="BX308" s="92"/>
      <c r="BY308" s="92"/>
      <c r="BZ308" s="92"/>
    </row>
    <row r="309" spans="1:78" ht="12.9">
      <c r="A309" s="89"/>
      <c r="B309" s="89"/>
      <c r="C309" s="89"/>
      <c r="D309" s="89"/>
      <c r="E309" s="89"/>
      <c r="F309" s="89"/>
      <c r="G309" s="89"/>
      <c r="H309" s="105"/>
      <c r="I309" s="106"/>
      <c r="J309" s="106"/>
      <c r="K309" s="89"/>
      <c r="L309" s="89"/>
      <c r="M309" s="89"/>
      <c r="N309" s="107"/>
      <c r="O309" s="107"/>
      <c r="P309" s="89"/>
      <c r="Q309" s="89"/>
      <c r="R309" s="89"/>
      <c r="S309" s="89"/>
      <c r="T309" s="89"/>
      <c r="U309" s="89"/>
      <c r="V309" s="89"/>
      <c r="W309" s="89"/>
      <c r="X309" s="89"/>
      <c r="Y309" s="89"/>
      <c r="Z309" s="77"/>
      <c r="AA309" s="77"/>
      <c r="AB309" s="94"/>
      <c r="AC309" s="94"/>
      <c r="AD309" s="94"/>
      <c r="AE309" s="94"/>
      <c r="AF309" s="91"/>
      <c r="AG309" s="92"/>
      <c r="AH309" s="92"/>
      <c r="AI309" s="93"/>
      <c r="AJ309" s="94"/>
      <c r="AK309" s="92"/>
      <c r="AL309" s="94"/>
      <c r="AM309" s="94"/>
      <c r="AN309" s="94"/>
      <c r="AO309" s="94"/>
      <c r="AP309" s="94"/>
      <c r="AQ309" s="94"/>
      <c r="AR309" s="94"/>
      <c r="AS309" s="94"/>
      <c r="AT309" s="94"/>
      <c r="AU309" s="92"/>
      <c r="AV309" s="94"/>
      <c r="AW309" s="94"/>
      <c r="AX309" s="94"/>
      <c r="AY309" s="94"/>
      <c r="AZ309" s="94"/>
      <c r="BA309" s="94"/>
      <c r="BB309" s="94"/>
      <c r="BC309" s="94"/>
      <c r="BD309" s="94"/>
      <c r="BE309" s="94"/>
      <c r="BF309" s="94"/>
      <c r="BG309" s="94"/>
      <c r="BH309" s="94"/>
      <c r="BI309" s="94"/>
      <c r="BJ309" s="94"/>
      <c r="BK309" s="94"/>
      <c r="BL309" s="92"/>
      <c r="BM309" s="94"/>
      <c r="BN309" s="94"/>
      <c r="BO309" s="94"/>
      <c r="BP309" s="94"/>
      <c r="BQ309" s="92"/>
      <c r="BR309" s="92"/>
      <c r="BS309" s="92"/>
      <c r="BT309" s="92"/>
      <c r="BU309" s="92"/>
      <c r="BV309" s="92"/>
      <c r="BW309" s="92"/>
      <c r="BX309" s="92"/>
      <c r="BY309" s="92"/>
      <c r="BZ309" s="92"/>
    </row>
    <row r="310" spans="1:78" ht="12.9">
      <c r="A310" s="89"/>
      <c r="B310" s="89"/>
      <c r="C310" s="89"/>
      <c r="D310" s="89"/>
      <c r="E310" s="89"/>
      <c r="F310" s="89"/>
      <c r="G310" s="89"/>
      <c r="H310" s="105"/>
      <c r="I310" s="106"/>
      <c r="J310" s="106"/>
      <c r="K310" s="89"/>
      <c r="L310" s="89"/>
      <c r="M310" s="89"/>
      <c r="N310" s="107"/>
      <c r="O310" s="107"/>
      <c r="P310" s="89"/>
      <c r="Q310" s="89"/>
      <c r="R310" s="89"/>
      <c r="S310" s="89"/>
      <c r="T310" s="89"/>
      <c r="U310" s="89"/>
      <c r="V310" s="89"/>
      <c r="W310" s="89"/>
      <c r="X310" s="89"/>
      <c r="Y310" s="89"/>
      <c r="Z310" s="77"/>
      <c r="AA310" s="77"/>
      <c r="AB310" s="94"/>
      <c r="AC310" s="94"/>
      <c r="AD310" s="94"/>
      <c r="AE310" s="94"/>
      <c r="AF310" s="91"/>
      <c r="AG310" s="92"/>
      <c r="AH310" s="92"/>
      <c r="AI310" s="93"/>
      <c r="AJ310" s="94"/>
      <c r="AK310" s="92"/>
      <c r="AL310" s="94"/>
      <c r="AM310" s="94"/>
      <c r="AN310" s="94"/>
      <c r="AO310" s="94"/>
      <c r="AP310" s="94"/>
      <c r="AQ310" s="94"/>
      <c r="AR310" s="94"/>
      <c r="AS310" s="94"/>
      <c r="AT310" s="94"/>
      <c r="AU310" s="92"/>
      <c r="AV310" s="94"/>
      <c r="AW310" s="94"/>
      <c r="AX310" s="94"/>
      <c r="AY310" s="94"/>
      <c r="AZ310" s="94"/>
      <c r="BA310" s="94"/>
      <c r="BB310" s="94"/>
      <c r="BC310" s="94"/>
      <c r="BD310" s="94"/>
      <c r="BE310" s="94"/>
      <c r="BF310" s="94"/>
      <c r="BG310" s="94"/>
      <c r="BH310" s="94"/>
      <c r="BI310" s="94"/>
      <c r="BJ310" s="94"/>
      <c r="BK310" s="94"/>
      <c r="BL310" s="92"/>
      <c r="BM310" s="94"/>
      <c r="BN310" s="94"/>
      <c r="BO310" s="94"/>
      <c r="BP310" s="94"/>
      <c r="BQ310" s="92"/>
      <c r="BR310" s="92"/>
      <c r="BS310" s="92"/>
      <c r="BT310" s="92"/>
      <c r="BU310" s="92"/>
      <c r="BV310" s="92"/>
      <c r="BW310" s="92"/>
      <c r="BX310" s="92"/>
      <c r="BY310" s="92"/>
      <c r="BZ310" s="92"/>
    </row>
    <row r="311" spans="1:78" ht="12.9">
      <c r="A311" s="89"/>
      <c r="B311" s="89"/>
      <c r="C311" s="89"/>
      <c r="D311" s="89"/>
      <c r="E311" s="89"/>
      <c r="F311" s="89"/>
      <c r="G311" s="89"/>
      <c r="H311" s="105"/>
      <c r="I311" s="106"/>
      <c r="J311" s="106"/>
      <c r="K311" s="89"/>
      <c r="L311" s="89"/>
      <c r="M311" s="89"/>
      <c r="N311" s="107"/>
      <c r="O311" s="107"/>
      <c r="P311" s="89"/>
      <c r="Q311" s="89"/>
      <c r="R311" s="89"/>
      <c r="S311" s="89"/>
      <c r="T311" s="89"/>
      <c r="U311" s="89"/>
      <c r="V311" s="89"/>
      <c r="W311" s="89"/>
      <c r="X311" s="89"/>
      <c r="Y311" s="89"/>
      <c r="Z311" s="77"/>
      <c r="AA311" s="77"/>
      <c r="AB311" s="94"/>
      <c r="AC311" s="94"/>
      <c r="AD311" s="94"/>
      <c r="AE311" s="94"/>
      <c r="AF311" s="91"/>
      <c r="AG311" s="92"/>
      <c r="AH311" s="92"/>
      <c r="AI311" s="93"/>
      <c r="AJ311" s="94"/>
      <c r="AK311" s="92"/>
      <c r="AL311" s="94"/>
      <c r="AM311" s="94"/>
      <c r="AN311" s="94"/>
      <c r="AO311" s="94"/>
      <c r="AP311" s="94"/>
      <c r="AQ311" s="94"/>
      <c r="AR311" s="94"/>
      <c r="AS311" s="94"/>
      <c r="AT311" s="94"/>
      <c r="AU311" s="92"/>
      <c r="AV311" s="94"/>
      <c r="AW311" s="94"/>
      <c r="AX311" s="94"/>
      <c r="AY311" s="94"/>
      <c r="AZ311" s="94"/>
      <c r="BA311" s="94"/>
      <c r="BB311" s="94"/>
      <c r="BC311" s="94"/>
      <c r="BD311" s="94"/>
      <c r="BE311" s="94"/>
      <c r="BF311" s="94"/>
      <c r="BG311" s="94"/>
      <c r="BH311" s="94"/>
      <c r="BI311" s="94"/>
      <c r="BJ311" s="94"/>
      <c r="BK311" s="94"/>
      <c r="BL311" s="92"/>
      <c r="BM311" s="94"/>
      <c r="BN311" s="94"/>
      <c r="BO311" s="94"/>
      <c r="BP311" s="94"/>
      <c r="BQ311" s="92"/>
      <c r="BR311" s="92"/>
      <c r="BS311" s="92"/>
      <c r="BT311" s="92"/>
      <c r="BU311" s="92"/>
      <c r="BV311" s="92"/>
      <c r="BW311" s="92"/>
      <c r="BX311" s="92"/>
      <c r="BY311" s="92"/>
      <c r="BZ311" s="92"/>
    </row>
    <row r="312" spans="1:78" ht="12.9">
      <c r="A312" s="89"/>
      <c r="B312" s="89"/>
      <c r="C312" s="89"/>
      <c r="D312" s="89"/>
      <c r="E312" s="89"/>
      <c r="F312" s="89"/>
      <c r="G312" s="89"/>
      <c r="H312" s="105"/>
      <c r="I312" s="106"/>
      <c r="J312" s="106"/>
      <c r="K312" s="89"/>
      <c r="L312" s="89"/>
      <c r="M312" s="89"/>
      <c r="N312" s="107"/>
      <c r="O312" s="107"/>
      <c r="P312" s="89"/>
      <c r="Q312" s="89"/>
      <c r="R312" s="89"/>
      <c r="S312" s="89"/>
      <c r="T312" s="89"/>
      <c r="U312" s="89"/>
      <c r="V312" s="89"/>
      <c r="W312" s="89"/>
      <c r="X312" s="89"/>
      <c r="Y312" s="89"/>
      <c r="Z312" s="77"/>
      <c r="AA312" s="77"/>
      <c r="AB312" s="94"/>
      <c r="AC312" s="94"/>
      <c r="AD312" s="94"/>
      <c r="AE312" s="94"/>
      <c r="AF312" s="91"/>
      <c r="AG312" s="92"/>
      <c r="AH312" s="92"/>
      <c r="AI312" s="93"/>
      <c r="AJ312" s="94"/>
      <c r="AK312" s="92"/>
      <c r="AL312" s="94"/>
      <c r="AM312" s="94"/>
      <c r="AN312" s="94"/>
      <c r="AO312" s="94"/>
      <c r="AP312" s="94"/>
      <c r="AQ312" s="94"/>
      <c r="AR312" s="94"/>
      <c r="AS312" s="94"/>
      <c r="AT312" s="94"/>
      <c r="AU312" s="92"/>
      <c r="AV312" s="94"/>
      <c r="AW312" s="94"/>
      <c r="AX312" s="94"/>
      <c r="AY312" s="94"/>
      <c r="AZ312" s="94"/>
      <c r="BA312" s="94"/>
      <c r="BB312" s="94"/>
      <c r="BC312" s="94"/>
      <c r="BD312" s="94"/>
      <c r="BE312" s="94"/>
      <c r="BF312" s="94"/>
      <c r="BG312" s="94"/>
      <c r="BH312" s="94"/>
      <c r="BI312" s="94"/>
      <c r="BJ312" s="94"/>
      <c r="BK312" s="94"/>
      <c r="BL312" s="92"/>
      <c r="BM312" s="94"/>
      <c r="BN312" s="94"/>
      <c r="BO312" s="94"/>
      <c r="BP312" s="94"/>
      <c r="BQ312" s="92"/>
      <c r="BR312" s="92"/>
      <c r="BS312" s="92"/>
      <c r="BT312" s="92"/>
      <c r="BU312" s="92"/>
      <c r="BV312" s="92"/>
      <c r="BW312" s="92"/>
      <c r="BX312" s="92"/>
      <c r="BY312" s="92"/>
      <c r="BZ312" s="92"/>
    </row>
    <row r="313" spans="1:78" ht="12.9">
      <c r="A313" s="89"/>
      <c r="B313" s="89"/>
      <c r="C313" s="89"/>
      <c r="D313" s="89"/>
      <c r="E313" s="89"/>
      <c r="F313" s="89"/>
      <c r="G313" s="89"/>
      <c r="H313" s="105"/>
      <c r="I313" s="106"/>
      <c r="J313" s="106"/>
      <c r="K313" s="89"/>
      <c r="L313" s="89"/>
      <c r="M313" s="89"/>
      <c r="N313" s="107"/>
      <c r="O313" s="107"/>
      <c r="P313" s="89"/>
      <c r="Q313" s="89"/>
      <c r="R313" s="89"/>
      <c r="S313" s="89"/>
      <c r="T313" s="89"/>
      <c r="U313" s="89"/>
      <c r="V313" s="89"/>
      <c r="W313" s="89"/>
      <c r="X313" s="89"/>
      <c r="Y313" s="89"/>
      <c r="Z313" s="77"/>
      <c r="AA313" s="77"/>
      <c r="AB313" s="94"/>
      <c r="AC313" s="94"/>
      <c r="AD313" s="94"/>
      <c r="AE313" s="94"/>
      <c r="AF313" s="91"/>
      <c r="AG313" s="92"/>
      <c r="AH313" s="92"/>
      <c r="AI313" s="93"/>
      <c r="AJ313" s="94"/>
      <c r="AK313" s="92"/>
      <c r="AL313" s="94"/>
      <c r="AM313" s="94"/>
      <c r="AN313" s="94"/>
      <c r="AO313" s="94"/>
      <c r="AP313" s="94"/>
      <c r="AQ313" s="94"/>
      <c r="AR313" s="94"/>
      <c r="AS313" s="94"/>
      <c r="AT313" s="94"/>
      <c r="AU313" s="92"/>
      <c r="AV313" s="94"/>
      <c r="AW313" s="94"/>
      <c r="AX313" s="94"/>
      <c r="AY313" s="94"/>
      <c r="AZ313" s="94"/>
      <c r="BA313" s="94"/>
      <c r="BB313" s="94"/>
      <c r="BC313" s="94"/>
      <c r="BD313" s="94"/>
      <c r="BE313" s="94"/>
      <c r="BF313" s="94"/>
      <c r="BG313" s="94"/>
      <c r="BH313" s="94"/>
      <c r="BI313" s="94"/>
      <c r="BJ313" s="94"/>
      <c r="BK313" s="94"/>
      <c r="BL313" s="92"/>
      <c r="BM313" s="94"/>
      <c r="BN313" s="94"/>
      <c r="BO313" s="94"/>
      <c r="BP313" s="94"/>
      <c r="BQ313" s="92"/>
      <c r="BR313" s="92"/>
      <c r="BS313" s="92"/>
      <c r="BT313" s="92"/>
      <c r="BU313" s="92"/>
      <c r="BV313" s="92"/>
      <c r="BW313" s="92"/>
      <c r="BX313" s="92"/>
      <c r="BY313" s="92"/>
      <c r="BZ313" s="92"/>
    </row>
    <row r="314" spans="1:78" ht="12.9">
      <c r="A314" s="89"/>
      <c r="B314" s="89"/>
      <c r="C314" s="89"/>
      <c r="D314" s="89"/>
      <c r="E314" s="89"/>
      <c r="F314" s="89"/>
      <c r="G314" s="89"/>
      <c r="H314" s="105"/>
      <c r="I314" s="106"/>
      <c r="J314" s="106"/>
      <c r="K314" s="89"/>
      <c r="L314" s="89"/>
      <c r="M314" s="89"/>
      <c r="N314" s="107"/>
      <c r="O314" s="107"/>
      <c r="P314" s="89"/>
      <c r="Q314" s="89"/>
      <c r="R314" s="89"/>
      <c r="S314" s="89"/>
      <c r="T314" s="89"/>
      <c r="U314" s="89"/>
      <c r="V314" s="89"/>
      <c r="W314" s="89"/>
      <c r="X314" s="89"/>
      <c r="Y314" s="89"/>
      <c r="Z314" s="77"/>
      <c r="AA314" s="77"/>
      <c r="AB314" s="94"/>
      <c r="AC314" s="94"/>
      <c r="AD314" s="94"/>
      <c r="AE314" s="94"/>
      <c r="AF314" s="91"/>
      <c r="AG314" s="92"/>
      <c r="AH314" s="92"/>
      <c r="AI314" s="93"/>
      <c r="AJ314" s="94"/>
      <c r="AK314" s="92"/>
      <c r="AL314" s="94"/>
      <c r="AM314" s="94"/>
      <c r="AN314" s="94"/>
      <c r="AO314" s="94"/>
      <c r="AP314" s="94"/>
      <c r="AQ314" s="94"/>
      <c r="AR314" s="94"/>
      <c r="AS314" s="94"/>
      <c r="AT314" s="94"/>
      <c r="AU314" s="92"/>
      <c r="AV314" s="94"/>
      <c r="AW314" s="94"/>
      <c r="AX314" s="94"/>
      <c r="AY314" s="94"/>
      <c r="AZ314" s="94"/>
      <c r="BA314" s="94"/>
      <c r="BB314" s="94"/>
      <c r="BC314" s="94"/>
      <c r="BD314" s="94"/>
      <c r="BE314" s="94"/>
      <c r="BF314" s="94"/>
      <c r="BG314" s="94"/>
      <c r="BH314" s="94"/>
      <c r="BI314" s="94"/>
      <c r="BJ314" s="94"/>
      <c r="BK314" s="94"/>
      <c r="BL314" s="92"/>
      <c r="BM314" s="94"/>
      <c r="BN314" s="94"/>
      <c r="BO314" s="94"/>
      <c r="BP314" s="94"/>
      <c r="BQ314" s="92"/>
      <c r="BR314" s="92"/>
      <c r="BS314" s="92"/>
      <c r="BT314" s="92"/>
      <c r="BU314" s="92"/>
      <c r="BV314" s="92"/>
      <c r="BW314" s="92"/>
      <c r="BX314" s="92"/>
      <c r="BY314" s="92"/>
      <c r="BZ314" s="92"/>
    </row>
    <row r="315" spans="1:78" ht="12.9">
      <c r="A315" s="89"/>
      <c r="B315" s="89"/>
      <c r="C315" s="89"/>
      <c r="D315" s="89"/>
      <c r="E315" s="89"/>
      <c r="F315" s="89"/>
      <c r="G315" s="89"/>
      <c r="H315" s="105"/>
      <c r="I315" s="106"/>
      <c r="J315" s="106"/>
      <c r="K315" s="89"/>
      <c r="L315" s="89"/>
      <c r="M315" s="89"/>
      <c r="N315" s="107"/>
      <c r="O315" s="107"/>
      <c r="P315" s="89"/>
      <c r="Q315" s="89"/>
      <c r="R315" s="89"/>
      <c r="S315" s="89"/>
      <c r="T315" s="89"/>
      <c r="U315" s="89"/>
      <c r="V315" s="89"/>
      <c r="W315" s="89"/>
      <c r="X315" s="89"/>
      <c r="Y315" s="89"/>
      <c r="Z315" s="77"/>
      <c r="AA315" s="77"/>
      <c r="AB315" s="94"/>
      <c r="AC315" s="94"/>
      <c r="AD315" s="94"/>
      <c r="AE315" s="94"/>
      <c r="AF315" s="91"/>
      <c r="AG315" s="92"/>
      <c r="AH315" s="92"/>
      <c r="AI315" s="93"/>
      <c r="AJ315" s="94"/>
      <c r="AK315" s="92"/>
      <c r="AL315" s="94"/>
      <c r="AM315" s="94"/>
      <c r="AN315" s="94"/>
      <c r="AO315" s="94"/>
      <c r="AP315" s="94"/>
      <c r="AQ315" s="94"/>
      <c r="AR315" s="94"/>
      <c r="AS315" s="94"/>
      <c r="AT315" s="94"/>
      <c r="AU315" s="92"/>
      <c r="AV315" s="94"/>
      <c r="AW315" s="94"/>
      <c r="AX315" s="94"/>
      <c r="AY315" s="94"/>
      <c r="AZ315" s="94"/>
      <c r="BA315" s="94"/>
      <c r="BB315" s="94"/>
      <c r="BC315" s="94"/>
      <c r="BD315" s="94"/>
      <c r="BE315" s="94"/>
      <c r="BF315" s="94"/>
      <c r="BG315" s="94"/>
      <c r="BH315" s="94"/>
      <c r="BI315" s="94"/>
      <c r="BJ315" s="94"/>
      <c r="BK315" s="94"/>
      <c r="BL315" s="92"/>
      <c r="BM315" s="94"/>
      <c r="BN315" s="94"/>
      <c r="BO315" s="94"/>
      <c r="BP315" s="94"/>
      <c r="BQ315" s="92"/>
      <c r="BR315" s="92"/>
      <c r="BS315" s="92"/>
      <c r="BT315" s="92"/>
      <c r="BU315" s="92"/>
      <c r="BV315" s="92"/>
      <c r="BW315" s="92"/>
      <c r="BX315" s="92"/>
      <c r="BY315" s="92"/>
      <c r="BZ315" s="92"/>
    </row>
    <row r="316" spans="1:78" ht="12.9">
      <c r="A316" s="89"/>
      <c r="B316" s="89"/>
      <c r="C316" s="89"/>
      <c r="D316" s="89"/>
      <c r="E316" s="89"/>
      <c r="F316" s="89"/>
      <c r="G316" s="89"/>
      <c r="H316" s="105"/>
      <c r="I316" s="106"/>
      <c r="J316" s="106"/>
      <c r="K316" s="89"/>
      <c r="L316" s="89"/>
      <c r="M316" s="89"/>
      <c r="N316" s="107"/>
      <c r="O316" s="107"/>
      <c r="P316" s="89"/>
      <c r="Q316" s="89"/>
      <c r="R316" s="89"/>
      <c r="S316" s="89"/>
      <c r="T316" s="89"/>
      <c r="U316" s="89"/>
      <c r="V316" s="89"/>
      <c r="W316" s="89"/>
      <c r="X316" s="89"/>
      <c r="Y316" s="89"/>
      <c r="Z316" s="77"/>
      <c r="AA316" s="77"/>
      <c r="AB316" s="94"/>
      <c r="AC316" s="94"/>
      <c r="AD316" s="94"/>
      <c r="AE316" s="94"/>
      <c r="AF316" s="91"/>
      <c r="AG316" s="92"/>
      <c r="AH316" s="92"/>
      <c r="AI316" s="93"/>
      <c r="AJ316" s="94"/>
      <c r="AK316" s="92"/>
      <c r="AL316" s="94"/>
      <c r="AM316" s="94"/>
      <c r="AN316" s="94"/>
      <c r="AO316" s="94"/>
      <c r="AP316" s="94"/>
      <c r="AQ316" s="94"/>
      <c r="AR316" s="94"/>
      <c r="AS316" s="94"/>
      <c r="AT316" s="94"/>
      <c r="AU316" s="92"/>
      <c r="AV316" s="94"/>
      <c r="AW316" s="94"/>
      <c r="AX316" s="94"/>
      <c r="AY316" s="94"/>
      <c r="AZ316" s="94"/>
      <c r="BA316" s="94"/>
      <c r="BB316" s="94"/>
      <c r="BC316" s="94"/>
      <c r="BD316" s="94"/>
      <c r="BE316" s="94"/>
      <c r="BF316" s="94"/>
      <c r="BG316" s="94"/>
      <c r="BH316" s="94"/>
      <c r="BI316" s="94"/>
      <c r="BJ316" s="94"/>
      <c r="BK316" s="94"/>
      <c r="BL316" s="92"/>
      <c r="BM316" s="94"/>
      <c r="BN316" s="94"/>
      <c r="BO316" s="94"/>
      <c r="BP316" s="94"/>
      <c r="BQ316" s="92"/>
      <c r="BR316" s="92"/>
      <c r="BS316" s="92"/>
      <c r="BT316" s="92"/>
      <c r="BU316" s="92"/>
      <c r="BV316" s="92"/>
      <c r="BW316" s="92"/>
      <c r="BX316" s="92"/>
      <c r="BY316" s="92"/>
      <c r="BZ316" s="92"/>
    </row>
    <row r="317" spans="1:78" ht="12.9">
      <c r="A317" s="89"/>
      <c r="B317" s="89"/>
      <c r="C317" s="89"/>
      <c r="D317" s="89"/>
      <c r="E317" s="89"/>
      <c r="F317" s="89"/>
      <c r="G317" s="89"/>
      <c r="H317" s="105"/>
      <c r="I317" s="106"/>
      <c r="J317" s="106"/>
      <c r="K317" s="89"/>
      <c r="L317" s="89"/>
      <c r="M317" s="89"/>
      <c r="N317" s="107"/>
      <c r="O317" s="107"/>
      <c r="P317" s="89"/>
      <c r="Q317" s="89"/>
      <c r="R317" s="89"/>
      <c r="S317" s="89"/>
      <c r="T317" s="89"/>
      <c r="U317" s="89"/>
      <c r="V317" s="89"/>
      <c r="W317" s="89"/>
      <c r="X317" s="89"/>
      <c r="Y317" s="89"/>
      <c r="Z317" s="77"/>
      <c r="AA317" s="77"/>
      <c r="AB317" s="94"/>
      <c r="AC317" s="94"/>
      <c r="AD317" s="94"/>
      <c r="AE317" s="94"/>
      <c r="AF317" s="91"/>
      <c r="AG317" s="92"/>
      <c r="AH317" s="92"/>
      <c r="AI317" s="93"/>
      <c r="AJ317" s="94"/>
      <c r="AK317" s="92"/>
      <c r="AL317" s="94"/>
      <c r="AM317" s="94"/>
      <c r="AN317" s="94"/>
      <c r="AO317" s="94"/>
      <c r="AP317" s="94"/>
      <c r="AQ317" s="94"/>
      <c r="AR317" s="94"/>
      <c r="AS317" s="94"/>
      <c r="AT317" s="94"/>
      <c r="AU317" s="92"/>
      <c r="AV317" s="94"/>
      <c r="AW317" s="94"/>
      <c r="AX317" s="94"/>
      <c r="AY317" s="94"/>
      <c r="AZ317" s="94"/>
      <c r="BA317" s="94"/>
      <c r="BB317" s="94"/>
      <c r="BC317" s="94"/>
      <c r="BD317" s="94"/>
      <c r="BE317" s="94"/>
      <c r="BF317" s="94"/>
      <c r="BG317" s="94"/>
      <c r="BH317" s="94"/>
      <c r="BI317" s="94"/>
      <c r="BJ317" s="94"/>
      <c r="BK317" s="94"/>
      <c r="BL317" s="92"/>
      <c r="BM317" s="94"/>
      <c r="BN317" s="94"/>
      <c r="BO317" s="94"/>
      <c r="BP317" s="94"/>
      <c r="BQ317" s="92"/>
      <c r="BR317" s="92"/>
      <c r="BS317" s="92"/>
      <c r="BT317" s="92"/>
      <c r="BU317" s="92"/>
      <c r="BV317" s="92"/>
      <c r="BW317" s="92"/>
      <c r="BX317" s="92"/>
      <c r="BY317" s="92"/>
      <c r="BZ317" s="92"/>
    </row>
    <row r="318" spans="1:78" ht="12.9">
      <c r="A318" s="89"/>
      <c r="B318" s="89"/>
      <c r="C318" s="89"/>
      <c r="D318" s="89"/>
      <c r="E318" s="89"/>
      <c r="F318" s="89"/>
      <c r="G318" s="89"/>
      <c r="H318" s="105"/>
      <c r="I318" s="106"/>
      <c r="J318" s="106"/>
      <c r="K318" s="89"/>
      <c r="L318" s="89"/>
      <c r="M318" s="89"/>
      <c r="N318" s="107"/>
      <c r="O318" s="107"/>
      <c r="P318" s="89"/>
      <c r="Q318" s="89"/>
      <c r="R318" s="89"/>
      <c r="S318" s="89"/>
      <c r="T318" s="89"/>
      <c r="U318" s="89"/>
      <c r="V318" s="89"/>
      <c r="W318" s="89"/>
      <c r="X318" s="89"/>
      <c r="Y318" s="89"/>
      <c r="Z318" s="77"/>
      <c r="AA318" s="77"/>
      <c r="AB318" s="94"/>
      <c r="AC318" s="94"/>
      <c r="AD318" s="94"/>
      <c r="AE318" s="94"/>
      <c r="AF318" s="91"/>
      <c r="AG318" s="92"/>
      <c r="AH318" s="92"/>
      <c r="AI318" s="93"/>
      <c r="AJ318" s="94"/>
      <c r="AK318" s="92"/>
      <c r="AL318" s="94"/>
      <c r="AM318" s="94"/>
      <c r="AN318" s="94"/>
      <c r="AO318" s="94"/>
      <c r="AP318" s="94"/>
      <c r="AQ318" s="94"/>
      <c r="AR318" s="94"/>
      <c r="AS318" s="94"/>
      <c r="AT318" s="94"/>
      <c r="AU318" s="92"/>
      <c r="AV318" s="94"/>
      <c r="AW318" s="94"/>
      <c r="AX318" s="94"/>
      <c r="AY318" s="94"/>
      <c r="AZ318" s="94"/>
      <c r="BA318" s="94"/>
      <c r="BB318" s="94"/>
      <c r="BC318" s="94"/>
      <c r="BD318" s="94"/>
      <c r="BE318" s="94"/>
      <c r="BF318" s="94"/>
      <c r="BG318" s="94"/>
      <c r="BH318" s="94"/>
      <c r="BI318" s="94"/>
      <c r="BJ318" s="94"/>
      <c r="BK318" s="94"/>
      <c r="BL318" s="92"/>
      <c r="BM318" s="94"/>
      <c r="BN318" s="94"/>
      <c r="BO318" s="94"/>
      <c r="BP318" s="94"/>
      <c r="BQ318" s="92"/>
      <c r="BR318" s="92"/>
      <c r="BS318" s="92"/>
      <c r="BT318" s="92"/>
      <c r="BU318" s="92"/>
      <c r="BV318" s="92"/>
      <c r="BW318" s="92"/>
      <c r="BX318" s="92"/>
      <c r="BY318" s="92"/>
      <c r="BZ318" s="92"/>
    </row>
    <row r="319" spans="1:78" ht="12.9">
      <c r="A319" s="89"/>
      <c r="B319" s="89"/>
      <c r="C319" s="89"/>
      <c r="D319" s="89"/>
      <c r="E319" s="89"/>
      <c r="F319" s="89"/>
      <c r="G319" s="89"/>
      <c r="H319" s="105"/>
      <c r="I319" s="106"/>
      <c r="J319" s="106"/>
      <c r="K319" s="89"/>
      <c r="L319" s="89"/>
      <c r="M319" s="89"/>
      <c r="N319" s="107"/>
      <c r="O319" s="107"/>
      <c r="P319" s="89"/>
      <c r="Q319" s="89"/>
      <c r="R319" s="89"/>
      <c r="S319" s="89"/>
      <c r="T319" s="89"/>
      <c r="U319" s="89"/>
      <c r="V319" s="89"/>
      <c r="W319" s="89"/>
      <c r="X319" s="89"/>
      <c r="Y319" s="89"/>
      <c r="Z319" s="77"/>
      <c r="AA319" s="77"/>
      <c r="AB319" s="94"/>
      <c r="AC319" s="94"/>
      <c r="AD319" s="94"/>
      <c r="AE319" s="94"/>
      <c r="AF319" s="91"/>
      <c r="AG319" s="92"/>
      <c r="AH319" s="92"/>
      <c r="AI319" s="93"/>
      <c r="AJ319" s="94"/>
      <c r="AK319" s="92"/>
      <c r="AL319" s="94"/>
      <c r="AM319" s="94"/>
      <c r="AN319" s="94"/>
      <c r="AO319" s="94"/>
      <c r="AP319" s="94"/>
      <c r="AQ319" s="94"/>
      <c r="AR319" s="94"/>
      <c r="AS319" s="94"/>
      <c r="AT319" s="94"/>
      <c r="AU319" s="92"/>
      <c r="AV319" s="94"/>
      <c r="AW319" s="94"/>
      <c r="AX319" s="94"/>
      <c r="AY319" s="94"/>
      <c r="AZ319" s="94"/>
      <c r="BA319" s="94"/>
      <c r="BB319" s="94"/>
      <c r="BC319" s="94"/>
      <c r="BD319" s="94"/>
      <c r="BE319" s="94"/>
      <c r="BF319" s="94"/>
      <c r="BG319" s="94"/>
      <c r="BH319" s="94"/>
      <c r="BI319" s="94"/>
      <c r="BJ319" s="94"/>
      <c r="BK319" s="94"/>
      <c r="BL319" s="92"/>
      <c r="BM319" s="94"/>
      <c r="BN319" s="94"/>
      <c r="BO319" s="94"/>
      <c r="BP319" s="94"/>
      <c r="BQ319" s="92"/>
      <c r="BR319" s="92"/>
      <c r="BS319" s="92"/>
      <c r="BT319" s="92"/>
      <c r="BU319" s="92"/>
      <c r="BV319" s="92"/>
      <c r="BW319" s="92"/>
      <c r="BX319" s="92"/>
      <c r="BY319" s="92"/>
      <c r="BZ319" s="92"/>
    </row>
    <row r="320" spans="1:78" ht="12.9">
      <c r="A320" s="89"/>
      <c r="B320" s="89"/>
      <c r="C320" s="89"/>
      <c r="D320" s="89"/>
      <c r="E320" s="89"/>
      <c r="F320" s="89"/>
      <c r="G320" s="89"/>
      <c r="H320" s="105"/>
      <c r="I320" s="106"/>
      <c r="J320" s="106"/>
      <c r="K320" s="89"/>
      <c r="L320" s="89"/>
      <c r="M320" s="89"/>
      <c r="N320" s="107"/>
      <c r="O320" s="107"/>
      <c r="P320" s="89"/>
      <c r="Q320" s="89"/>
      <c r="R320" s="89"/>
      <c r="S320" s="89"/>
      <c r="T320" s="89"/>
      <c r="U320" s="89"/>
      <c r="V320" s="89"/>
      <c r="W320" s="89"/>
      <c r="X320" s="89"/>
      <c r="Y320" s="89"/>
      <c r="Z320" s="77"/>
      <c r="AA320" s="77"/>
      <c r="AB320" s="94"/>
      <c r="AC320" s="94"/>
      <c r="AD320" s="94"/>
      <c r="AE320" s="94"/>
      <c r="AF320" s="91"/>
      <c r="AG320" s="92"/>
      <c r="AH320" s="92"/>
      <c r="AI320" s="93"/>
      <c r="AJ320" s="94"/>
      <c r="AK320" s="92"/>
      <c r="AL320" s="94"/>
      <c r="AM320" s="94"/>
      <c r="AN320" s="94"/>
      <c r="AO320" s="94"/>
      <c r="AP320" s="94"/>
      <c r="AQ320" s="94"/>
      <c r="AR320" s="94"/>
      <c r="AS320" s="94"/>
      <c r="AT320" s="94"/>
      <c r="AU320" s="92"/>
      <c r="AV320" s="94"/>
      <c r="AW320" s="94"/>
      <c r="AX320" s="94"/>
      <c r="AY320" s="94"/>
      <c r="AZ320" s="94"/>
      <c r="BA320" s="94"/>
      <c r="BB320" s="94"/>
      <c r="BC320" s="94"/>
      <c r="BD320" s="94"/>
      <c r="BE320" s="94"/>
      <c r="BF320" s="94"/>
      <c r="BG320" s="94"/>
      <c r="BH320" s="94"/>
      <c r="BI320" s="94"/>
      <c r="BJ320" s="94"/>
      <c r="BK320" s="94"/>
      <c r="BL320" s="92"/>
      <c r="BM320" s="94"/>
      <c r="BN320" s="94"/>
      <c r="BO320" s="94"/>
      <c r="BP320" s="94"/>
      <c r="BQ320" s="92"/>
      <c r="BR320" s="92"/>
      <c r="BS320" s="92"/>
      <c r="BT320" s="92"/>
      <c r="BU320" s="92"/>
      <c r="BV320" s="92"/>
      <c r="BW320" s="92"/>
      <c r="BX320" s="92"/>
      <c r="BY320" s="92"/>
      <c r="BZ320" s="92"/>
    </row>
    <row r="321" spans="1:78" ht="12.9">
      <c r="A321" s="89"/>
      <c r="B321" s="89"/>
      <c r="C321" s="89"/>
      <c r="D321" s="89"/>
      <c r="E321" s="89"/>
      <c r="F321" s="89"/>
      <c r="G321" s="89"/>
      <c r="H321" s="105"/>
      <c r="I321" s="106"/>
      <c r="J321" s="106"/>
      <c r="K321" s="89"/>
      <c r="L321" s="89"/>
      <c r="M321" s="89"/>
      <c r="N321" s="107"/>
      <c r="O321" s="107"/>
      <c r="P321" s="89"/>
      <c r="Q321" s="89"/>
      <c r="R321" s="89"/>
      <c r="S321" s="89"/>
      <c r="T321" s="89"/>
      <c r="U321" s="89"/>
      <c r="V321" s="89"/>
      <c r="W321" s="89"/>
      <c r="X321" s="89"/>
      <c r="Y321" s="89"/>
      <c r="Z321" s="77"/>
      <c r="AA321" s="77"/>
      <c r="AB321" s="94"/>
      <c r="AC321" s="94"/>
      <c r="AD321" s="94"/>
      <c r="AE321" s="94"/>
      <c r="AF321" s="91"/>
      <c r="AG321" s="92"/>
      <c r="AH321" s="92"/>
      <c r="AI321" s="93"/>
      <c r="AJ321" s="94"/>
      <c r="AK321" s="92"/>
      <c r="AL321" s="94"/>
      <c r="AM321" s="94"/>
      <c r="AN321" s="94"/>
      <c r="AO321" s="94"/>
      <c r="AP321" s="94"/>
      <c r="AQ321" s="94"/>
      <c r="AR321" s="94"/>
      <c r="AS321" s="94"/>
      <c r="AT321" s="94"/>
      <c r="AU321" s="92"/>
      <c r="AV321" s="94"/>
      <c r="AW321" s="94"/>
      <c r="AX321" s="94"/>
      <c r="AY321" s="94"/>
      <c r="AZ321" s="94"/>
      <c r="BA321" s="94"/>
      <c r="BB321" s="94"/>
      <c r="BC321" s="94"/>
      <c r="BD321" s="94"/>
      <c r="BE321" s="94"/>
      <c r="BF321" s="94"/>
      <c r="BG321" s="94"/>
      <c r="BH321" s="94"/>
      <c r="BI321" s="94"/>
      <c r="BJ321" s="94"/>
      <c r="BK321" s="94"/>
      <c r="BL321" s="92"/>
      <c r="BM321" s="94"/>
      <c r="BN321" s="94"/>
      <c r="BO321" s="94"/>
      <c r="BP321" s="94"/>
      <c r="BQ321" s="92"/>
      <c r="BR321" s="92"/>
      <c r="BS321" s="92"/>
      <c r="BT321" s="92"/>
      <c r="BU321" s="92"/>
      <c r="BV321" s="92"/>
      <c r="BW321" s="92"/>
      <c r="BX321" s="92"/>
      <c r="BY321" s="92"/>
      <c r="BZ321" s="92"/>
    </row>
    <row r="322" spans="1:78" ht="12.9">
      <c r="A322" s="89"/>
      <c r="B322" s="89"/>
      <c r="C322" s="89"/>
      <c r="D322" s="89"/>
      <c r="E322" s="89"/>
      <c r="F322" s="89"/>
      <c r="G322" s="89"/>
      <c r="H322" s="105"/>
      <c r="I322" s="106"/>
      <c r="J322" s="106"/>
      <c r="K322" s="89"/>
      <c r="L322" s="89"/>
      <c r="M322" s="89"/>
      <c r="N322" s="107"/>
      <c r="O322" s="107"/>
      <c r="P322" s="89"/>
      <c r="Q322" s="89"/>
      <c r="R322" s="89"/>
      <c r="S322" s="89"/>
      <c r="T322" s="89"/>
      <c r="U322" s="89"/>
      <c r="V322" s="89"/>
      <c r="W322" s="89"/>
      <c r="X322" s="89"/>
      <c r="Y322" s="89"/>
      <c r="Z322" s="77"/>
      <c r="AA322" s="77"/>
      <c r="AB322" s="94"/>
      <c r="AC322" s="94"/>
      <c r="AD322" s="94"/>
      <c r="AE322" s="94"/>
      <c r="AF322" s="91"/>
      <c r="AG322" s="92"/>
      <c r="AH322" s="92"/>
      <c r="AI322" s="93"/>
      <c r="AJ322" s="94"/>
      <c r="AK322" s="92"/>
      <c r="AL322" s="94"/>
      <c r="AM322" s="94"/>
      <c r="AN322" s="94"/>
      <c r="AO322" s="94"/>
      <c r="AP322" s="94"/>
      <c r="AQ322" s="94"/>
      <c r="AR322" s="94"/>
      <c r="AS322" s="94"/>
      <c r="AT322" s="94"/>
      <c r="AU322" s="92"/>
      <c r="AV322" s="94"/>
      <c r="AW322" s="94"/>
      <c r="AX322" s="94"/>
      <c r="AY322" s="94"/>
      <c r="AZ322" s="94"/>
      <c r="BA322" s="94"/>
      <c r="BB322" s="94"/>
      <c r="BC322" s="94"/>
      <c r="BD322" s="94"/>
      <c r="BE322" s="94"/>
      <c r="BF322" s="94"/>
      <c r="BG322" s="94"/>
      <c r="BH322" s="94"/>
      <c r="BI322" s="94"/>
      <c r="BJ322" s="94"/>
      <c r="BK322" s="94"/>
      <c r="BL322" s="92"/>
      <c r="BM322" s="94"/>
      <c r="BN322" s="94"/>
      <c r="BO322" s="94"/>
      <c r="BP322" s="94"/>
      <c r="BQ322" s="92"/>
      <c r="BR322" s="92"/>
      <c r="BS322" s="92"/>
      <c r="BT322" s="92"/>
      <c r="BU322" s="92"/>
      <c r="BV322" s="92"/>
      <c r="BW322" s="92"/>
      <c r="BX322" s="92"/>
      <c r="BY322" s="92"/>
      <c r="BZ322" s="92"/>
    </row>
    <row r="323" spans="1:78" ht="12.9">
      <c r="A323" s="89"/>
      <c r="B323" s="89"/>
      <c r="C323" s="89"/>
      <c r="D323" s="89"/>
      <c r="E323" s="89"/>
      <c r="F323" s="89"/>
      <c r="G323" s="89"/>
      <c r="H323" s="105"/>
      <c r="I323" s="106"/>
      <c r="J323" s="106"/>
      <c r="K323" s="89"/>
      <c r="L323" s="89"/>
      <c r="M323" s="89"/>
      <c r="N323" s="107"/>
      <c r="O323" s="107"/>
      <c r="P323" s="89"/>
      <c r="Q323" s="89"/>
      <c r="R323" s="89"/>
      <c r="S323" s="89"/>
      <c r="T323" s="89"/>
      <c r="U323" s="89"/>
      <c r="V323" s="89"/>
      <c r="W323" s="89"/>
      <c r="X323" s="89"/>
      <c r="Y323" s="89"/>
      <c r="Z323" s="77"/>
      <c r="AA323" s="77"/>
      <c r="AB323" s="94"/>
      <c r="AC323" s="94"/>
      <c r="AD323" s="94"/>
      <c r="AE323" s="94"/>
      <c r="AF323" s="91"/>
      <c r="AG323" s="92"/>
      <c r="AH323" s="92"/>
      <c r="AI323" s="93"/>
      <c r="AJ323" s="94"/>
      <c r="AK323" s="92"/>
      <c r="AL323" s="94"/>
      <c r="AM323" s="94"/>
      <c r="AN323" s="94"/>
      <c r="AO323" s="94"/>
      <c r="AP323" s="94"/>
      <c r="AQ323" s="94"/>
      <c r="AR323" s="94"/>
      <c r="AS323" s="94"/>
      <c r="AT323" s="94"/>
      <c r="AU323" s="92"/>
      <c r="AV323" s="94"/>
      <c r="AW323" s="94"/>
      <c r="AX323" s="94"/>
      <c r="AY323" s="94"/>
      <c r="AZ323" s="94"/>
      <c r="BA323" s="94"/>
      <c r="BB323" s="94"/>
      <c r="BC323" s="94"/>
      <c r="BD323" s="94"/>
      <c r="BE323" s="94"/>
      <c r="BF323" s="94"/>
      <c r="BG323" s="94"/>
      <c r="BH323" s="94"/>
      <c r="BI323" s="94"/>
      <c r="BJ323" s="94"/>
      <c r="BK323" s="94"/>
      <c r="BL323" s="92"/>
      <c r="BM323" s="94"/>
      <c r="BN323" s="94"/>
      <c r="BO323" s="94"/>
      <c r="BP323" s="94"/>
      <c r="BQ323" s="92"/>
      <c r="BR323" s="92"/>
      <c r="BS323" s="92"/>
      <c r="BT323" s="92"/>
      <c r="BU323" s="92"/>
      <c r="BV323" s="92"/>
      <c r="BW323" s="92"/>
      <c r="BX323" s="92"/>
      <c r="BY323" s="92"/>
      <c r="BZ323" s="92"/>
    </row>
    <row r="324" spans="1:78" ht="12.9">
      <c r="A324" s="89"/>
      <c r="B324" s="89"/>
      <c r="C324" s="89"/>
      <c r="D324" s="89"/>
      <c r="E324" s="89"/>
      <c r="F324" s="89"/>
      <c r="G324" s="89"/>
      <c r="H324" s="105"/>
      <c r="I324" s="106"/>
      <c r="J324" s="106"/>
      <c r="K324" s="89"/>
      <c r="L324" s="89"/>
      <c r="M324" s="89"/>
      <c r="N324" s="107"/>
      <c r="O324" s="107"/>
      <c r="P324" s="89"/>
      <c r="Q324" s="89"/>
      <c r="R324" s="89"/>
      <c r="S324" s="89"/>
      <c r="T324" s="89"/>
      <c r="U324" s="89"/>
      <c r="V324" s="89"/>
      <c r="W324" s="89"/>
      <c r="X324" s="89"/>
      <c r="Y324" s="89"/>
      <c r="Z324" s="77"/>
      <c r="AA324" s="77"/>
      <c r="AB324" s="94"/>
      <c r="AC324" s="94"/>
      <c r="AD324" s="94"/>
      <c r="AE324" s="94"/>
      <c r="AF324" s="91"/>
      <c r="AG324" s="92"/>
      <c r="AH324" s="92"/>
      <c r="AI324" s="93"/>
      <c r="AJ324" s="94"/>
      <c r="AK324" s="92"/>
      <c r="AL324" s="94"/>
      <c r="AM324" s="94"/>
      <c r="AN324" s="94"/>
      <c r="AO324" s="94"/>
      <c r="AP324" s="94"/>
      <c r="AQ324" s="94"/>
      <c r="AR324" s="94"/>
      <c r="AS324" s="94"/>
      <c r="AT324" s="94"/>
      <c r="AU324" s="92"/>
      <c r="AV324" s="94"/>
      <c r="AW324" s="94"/>
      <c r="AX324" s="94"/>
      <c r="AY324" s="94"/>
      <c r="AZ324" s="94"/>
      <c r="BA324" s="94"/>
      <c r="BB324" s="94"/>
      <c r="BC324" s="94"/>
      <c r="BD324" s="94"/>
      <c r="BE324" s="94"/>
      <c r="BF324" s="94"/>
      <c r="BG324" s="94"/>
      <c r="BH324" s="94"/>
      <c r="BI324" s="94"/>
      <c r="BJ324" s="94"/>
      <c r="BK324" s="94"/>
      <c r="BL324" s="92"/>
      <c r="BM324" s="94"/>
      <c r="BN324" s="94"/>
      <c r="BO324" s="94"/>
      <c r="BP324" s="94"/>
      <c r="BQ324" s="92"/>
      <c r="BR324" s="92"/>
      <c r="BS324" s="92"/>
      <c r="BT324" s="92"/>
      <c r="BU324" s="92"/>
      <c r="BV324" s="92"/>
      <c r="BW324" s="92"/>
      <c r="BX324" s="92"/>
      <c r="BY324" s="92"/>
      <c r="BZ324" s="92"/>
    </row>
    <row r="325" spans="1:78" ht="12.9">
      <c r="A325" s="89"/>
      <c r="B325" s="89"/>
      <c r="C325" s="89"/>
      <c r="D325" s="89"/>
      <c r="E325" s="89"/>
      <c r="F325" s="89"/>
      <c r="G325" s="89"/>
      <c r="H325" s="105"/>
      <c r="I325" s="106"/>
      <c r="J325" s="106"/>
      <c r="K325" s="89"/>
      <c r="L325" s="89"/>
      <c r="M325" s="89"/>
      <c r="N325" s="107"/>
      <c r="O325" s="107"/>
      <c r="P325" s="89"/>
      <c r="Q325" s="89"/>
      <c r="R325" s="89"/>
      <c r="S325" s="89"/>
      <c r="T325" s="89"/>
      <c r="U325" s="89"/>
      <c r="V325" s="89"/>
      <c r="W325" s="89"/>
      <c r="X325" s="89"/>
      <c r="Y325" s="89"/>
      <c r="Z325" s="77"/>
      <c r="AA325" s="77"/>
      <c r="AB325" s="94"/>
      <c r="AC325" s="94"/>
      <c r="AD325" s="94"/>
      <c r="AE325" s="94"/>
      <c r="AF325" s="91"/>
      <c r="AG325" s="92"/>
      <c r="AH325" s="92"/>
      <c r="AI325" s="93"/>
      <c r="AJ325" s="94"/>
      <c r="AK325" s="92"/>
      <c r="AL325" s="94"/>
      <c r="AM325" s="94"/>
      <c r="AN325" s="94"/>
      <c r="AO325" s="94"/>
      <c r="AP325" s="94"/>
      <c r="AQ325" s="94"/>
      <c r="AR325" s="94"/>
      <c r="AS325" s="94"/>
      <c r="AT325" s="94"/>
      <c r="AU325" s="92"/>
      <c r="AV325" s="94"/>
      <c r="AW325" s="94"/>
      <c r="AX325" s="94"/>
      <c r="AY325" s="94"/>
      <c r="AZ325" s="94"/>
      <c r="BA325" s="94"/>
      <c r="BB325" s="94"/>
      <c r="BC325" s="94"/>
      <c r="BD325" s="94"/>
      <c r="BE325" s="94"/>
      <c r="BF325" s="94"/>
      <c r="BG325" s="94"/>
      <c r="BH325" s="94"/>
      <c r="BI325" s="94"/>
      <c r="BJ325" s="94"/>
      <c r="BK325" s="94"/>
      <c r="BL325" s="92"/>
      <c r="BM325" s="94"/>
      <c r="BN325" s="94"/>
      <c r="BO325" s="94"/>
      <c r="BP325" s="94"/>
      <c r="BQ325" s="92"/>
      <c r="BR325" s="92"/>
      <c r="BS325" s="92"/>
      <c r="BT325" s="92"/>
      <c r="BU325" s="92"/>
      <c r="BV325" s="92"/>
      <c r="BW325" s="92"/>
      <c r="BX325" s="92"/>
      <c r="BY325" s="92"/>
      <c r="BZ325" s="92"/>
    </row>
    <row r="326" spans="1:78" ht="12.9">
      <c r="A326" s="89"/>
      <c r="B326" s="89"/>
      <c r="C326" s="89"/>
      <c r="D326" s="89"/>
      <c r="E326" s="89"/>
      <c r="F326" s="89"/>
      <c r="G326" s="89"/>
      <c r="H326" s="105"/>
      <c r="I326" s="106"/>
      <c r="J326" s="106"/>
      <c r="K326" s="89"/>
      <c r="L326" s="89"/>
      <c r="M326" s="89"/>
      <c r="N326" s="107"/>
      <c r="O326" s="107"/>
      <c r="P326" s="89"/>
      <c r="Q326" s="89"/>
      <c r="R326" s="89"/>
      <c r="S326" s="89"/>
      <c r="T326" s="89"/>
      <c r="U326" s="89"/>
      <c r="V326" s="89"/>
      <c r="W326" s="89"/>
      <c r="X326" s="89"/>
      <c r="Y326" s="89"/>
      <c r="Z326" s="77"/>
      <c r="AA326" s="77"/>
      <c r="AB326" s="94"/>
      <c r="AC326" s="94"/>
      <c r="AD326" s="94"/>
      <c r="AE326" s="94"/>
      <c r="AF326" s="91"/>
      <c r="AG326" s="92"/>
      <c r="AH326" s="92"/>
      <c r="AI326" s="93"/>
      <c r="AJ326" s="94"/>
      <c r="AK326" s="92"/>
      <c r="AL326" s="94"/>
      <c r="AM326" s="94"/>
      <c r="AN326" s="94"/>
      <c r="AO326" s="94"/>
      <c r="AP326" s="94"/>
      <c r="AQ326" s="94"/>
      <c r="AR326" s="94"/>
      <c r="AS326" s="94"/>
      <c r="AT326" s="94"/>
      <c r="AU326" s="92"/>
      <c r="AV326" s="94"/>
      <c r="AW326" s="94"/>
      <c r="AX326" s="94"/>
      <c r="AY326" s="94"/>
      <c r="AZ326" s="94"/>
      <c r="BA326" s="94"/>
      <c r="BB326" s="94"/>
      <c r="BC326" s="94"/>
      <c r="BD326" s="94"/>
      <c r="BE326" s="94"/>
      <c r="BF326" s="94"/>
      <c r="BG326" s="94"/>
      <c r="BH326" s="94"/>
      <c r="BI326" s="94"/>
      <c r="BJ326" s="94"/>
      <c r="BK326" s="94"/>
      <c r="BL326" s="92"/>
      <c r="BM326" s="94"/>
      <c r="BN326" s="94"/>
      <c r="BO326" s="94"/>
      <c r="BP326" s="94"/>
      <c r="BQ326" s="92"/>
      <c r="BR326" s="92"/>
      <c r="BS326" s="92"/>
      <c r="BT326" s="92"/>
      <c r="BU326" s="92"/>
      <c r="BV326" s="92"/>
      <c r="BW326" s="92"/>
      <c r="BX326" s="92"/>
      <c r="BY326" s="92"/>
      <c r="BZ326" s="92"/>
    </row>
    <row r="327" spans="1:78" ht="12.9">
      <c r="A327" s="89"/>
      <c r="B327" s="89"/>
      <c r="C327" s="89"/>
      <c r="D327" s="89"/>
      <c r="E327" s="89"/>
      <c r="F327" s="89"/>
      <c r="G327" s="89"/>
      <c r="H327" s="105"/>
      <c r="I327" s="106"/>
      <c r="J327" s="106"/>
      <c r="K327" s="89"/>
      <c r="L327" s="89"/>
      <c r="M327" s="89"/>
      <c r="N327" s="107"/>
      <c r="O327" s="107"/>
      <c r="P327" s="89"/>
      <c r="Q327" s="89"/>
      <c r="R327" s="89"/>
      <c r="S327" s="89"/>
      <c r="T327" s="89"/>
      <c r="U327" s="89"/>
      <c r="V327" s="89"/>
      <c r="W327" s="89"/>
      <c r="X327" s="89"/>
      <c r="Y327" s="89"/>
      <c r="Z327" s="77"/>
      <c r="AA327" s="77"/>
      <c r="AB327" s="94"/>
      <c r="AC327" s="94"/>
      <c r="AD327" s="94"/>
      <c r="AE327" s="94"/>
      <c r="AF327" s="91"/>
      <c r="AG327" s="92"/>
      <c r="AH327" s="92"/>
      <c r="AI327" s="93"/>
      <c r="AJ327" s="94"/>
      <c r="AK327" s="92"/>
      <c r="AL327" s="94"/>
      <c r="AM327" s="94"/>
      <c r="AN327" s="94"/>
      <c r="AO327" s="94"/>
      <c r="AP327" s="94"/>
      <c r="AQ327" s="94"/>
      <c r="AR327" s="94"/>
      <c r="AS327" s="94"/>
      <c r="AT327" s="94"/>
      <c r="AU327" s="92"/>
      <c r="AV327" s="94"/>
      <c r="AW327" s="94"/>
      <c r="AX327" s="94"/>
      <c r="AY327" s="94"/>
      <c r="AZ327" s="94"/>
      <c r="BA327" s="94"/>
      <c r="BB327" s="94"/>
      <c r="BC327" s="94"/>
      <c r="BD327" s="94"/>
      <c r="BE327" s="94"/>
      <c r="BF327" s="94"/>
      <c r="BG327" s="94"/>
      <c r="BH327" s="94"/>
      <c r="BI327" s="94"/>
      <c r="BJ327" s="94"/>
      <c r="BK327" s="94"/>
      <c r="BL327" s="92"/>
      <c r="BM327" s="94"/>
      <c r="BN327" s="94"/>
      <c r="BO327" s="94"/>
      <c r="BP327" s="94"/>
      <c r="BQ327" s="92"/>
      <c r="BR327" s="92"/>
      <c r="BS327" s="92"/>
      <c r="BT327" s="92"/>
      <c r="BU327" s="92"/>
      <c r="BV327" s="92"/>
      <c r="BW327" s="92"/>
      <c r="BX327" s="92"/>
      <c r="BY327" s="92"/>
      <c r="BZ327" s="92"/>
    </row>
    <row r="328" spans="1:78" ht="12.9">
      <c r="A328" s="89"/>
      <c r="B328" s="89"/>
      <c r="C328" s="89"/>
      <c r="D328" s="89"/>
      <c r="E328" s="89"/>
      <c r="F328" s="89"/>
      <c r="G328" s="89"/>
      <c r="H328" s="105"/>
      <c r="I328" s="106"/>
      <c r="J328" s="106"/>
      <c r="K328" s="89"/>
      <c r="L328" s="89"/>
      <c r="M328" s="89"/>
      <c r="N328" s="107"/>
      <c r="O328" s="107"/>
      <c r="P328" s="89"/>
      <c r="Q328" s="89"/>
      <c r="R328" s="89"/>
      <c r="S328" s="89"/>
      <c r="T328" s="89"/>
      <c r="U328" s="89"/>
      <c r="V328" s="89"/>
      <c r="W328" s="89"/>
      <c r="X328" s="89"/>
      <c r="Y328" s="89"/>
      <c r="Z328" s="77"/>
      <c r="AA328" s="77"/>
      <c r="AB328" s="94"/>
      <c r="AC328" s="94"/>
      <c r="AD328" s="94"/>
      <c r="AE328" s="94"/>
      <c r="AF328" s="91"/>
      <c r="AG328" s="92"/>
      <c r="AH328" s="92"/>
      <c r="AI328" s="93"/>
      <c r="AJ328" s="94"/>
      <c r="AK328" s="92"/>
      <c r="AL328" s="94"/>
      <c r="AM328" s="94"/>
      <c r="AN328" s="94"/>
      <c r="AO328" s="94"/>
      <c r="AP328" s="94"/>
      <c r="AQ328" s="94"/>
      <c r="AR328" s="94"/>
      <c r="AS328" s="94"/>
      <c r="AT328" s="94"/>
      <c r="AU328" s="92"/>
      <c r="AV328" s="94"/>
      <c r="AW328" s="94"/>
      <c r="AX328" s="94"/>
      <c r="AY328" s="94"/>
      <c r="AZ328" s="94"/>
      <c r="BA328" s="94"/>
      <c r="BB328" s="94"/>
      <c r="BC328" s="94"/>
      <c r="BD328" s="94"/>
      <c r="BE328" s="94"/>
      <c r="BF328" s="94"/>
      <c r="BG328" s="94"/>
      <c r="BH328" s="94"/>
      <c r="BI328" s="94"/>
      <c r="BJ328" s="94"/>
      <c r="BK328" s="94"/>
      <c r="BL328" s="92"/>
      <c r="BM328" s="94"/>
      <c r="BN328" s="94"/>
      <c r="BO328" s="94"/>
      <c r="BP328" s="94"/>
      <c r="BQ328" s="92"/>
      <c r="BR328" s="92"/>
      <c r="BS328" s="92"/>
      <c r="BT328" s="92"/>
      <c r="BU328" s="92"/>
      <c r="BV328" s="92"/>
      <c r="BW328" s="92"/>
      <c r="BX328" s="92"/>
      <c r="BY328" s="92"/>
      <c r="BZ328" s="92"/>
    </row>
    <row r="329" spans="1:78" ht="12.9">
      <c r="A329" s="89"/>
      <c r="B329" s="89"/>
      <c r="C329" s="89"/>
      <c r="D329" s="89"/>
      <c r="E329" s="89"/>
      <c r="F329" s="89"/>
      <c r="G329" s="89"/>
      <c r="H329" s="105"/>
      <c r="I329" s="106"/>
      <c r="J329" s="106"/>
      <c r="K329" s="89"/>
      <c r="L329" s="89"/>
      <c r="M329" s="89"/>
      <c r="N329" s="107"/>
      <c r="O329" s="107"/>
      <c r="P329" s="89"/>
      <c r="Q329" s="89"/>
      <c r="R329" s="89"/>
      <c r="S329" s="89"/>
      <c r="T329" s="89"/>
      <c r="U329" s="89"/>
      <c r="V329" s="89"/>
      <c r="W329" s="89"/>
      <c r="X329" s="89"/>
      <c r="Y329" s="89"/>
      <c r="Z329" s="77"/>
      <c r="AA329" s="77"/>
      <c r="AB329" s="94"/>
      <c r="AC329" s="94"/>
      <c r="AD329" s="94"/>
      <c r="AE329" s="94"/>
      <c r="AF329" s="91"/>
      <c r="AG329" s="92"/>
      <c r="AH329" s="92"/>
      <c r="AI329" s="93"/>
      <c r="AJ329" s="94"/>
      <c r="AK329" s="92"/>
      <c r="AL329" s="94"/>
      <c r="AM329" s="94"/>
      <c r="AN329" s="94"/>
      <c r="AO329" s="94"/>
      <c r="AP329" s="94"/>
      <c r="AQ329" s="94"/>
      <c r="AR329" s="94"/>
      <c r="AS329" s="94"/>
      <c r="AT329" s="94"/>
      <c r="AU329" s="92"/>
      <c r="AV329" s="94"/>
      <c r="AW329" s="94"/>
      <c r="AX329" s="94"/>
      <c r="AY329" s="94"/>
      <c r="AZ329" s="94"/>
      <c r="BA329" s="94"/>
      <c r="BB329" s="94"/>
      <c r="BC329" s="94"/>
      <c r="BD329" s="94"/>
      <c r="BE329" s="94"/>
      <c r="BF329" s="94"/>
      <c r="BG329" s="94"/>
      <c r="BH329" s="94"/>
      <c r="BI329" s="94"/>
      <c r="BJ329" s="94"/>
      <c r="BK329" s="94"/>
      <c r="BL329" s="92"/>
      <c r="BM329" s="94"/>
      <c r="BN329" s="94"/>
      <c r="BO329" s="94"/>
      <c r="BP329" s="94"/>
      <c r="BQ329" s="92"/>
      <c r="BR329" s="92"/>
      <c r="BS329" s="92"/>
      <c r="BT329" s="92"/>
      <c r="BU329" s="92"/>
      <c r="BV329" s="92"/>
      <c r="BW329" s="92"/>
      <c r="BX329" s="92"/>
      <c r="BY329" s="92"/>
      <c r="BZ329" s="92"/>
    </row>
    <row r="330" spans="1:78" ht="12.9">
      <c r="A330" s="89"/>
      <c r="B330" s="89"/>
      <c r="C330" s="89"/>
      <c r="D330" s="89"/>
      <c r="E330" s="89"/>
      <c r="F330" s="89"/>
      <c r="G330" s="89"/>
      <c r="H330" s="105"/>
      <c r="I330" s="106"/>
      <c r="J330" s="106"/>
      <c r="K330" s="89"/>
      <c r="L330" s="89"/>
      <c r="M330" s="89"/>
      <c r="N330" s="107"/>
      <c r="O330" s="107"/>
      <c r="P330" s="89"/>
      <c r="Q330" s="89"/>
      <c r="R330" s="89"/>
      <c r="S330" s="89"/>
      <c r="T330" s="89"/>
      <c r="U330" s="89"/>
      <c r="V330" s="89"/>
      <c r="W330" s="89"/>
      <c r="X330" s="89"/>
      <c r="Y330" s="89"/>
      <c r="Z330" s="77"/>
      <c r="AA330" s="77"/>
      <c r="AB330" s="94"/>
      <c r="AC330" s="94"/>
      <c r="AD330" s="94"/>
      <c r="AE330" s="94"/>
      <c r="AF330" s="91"/>
      <c r="AG330" s="92"/>
      <c r="AH330" s="92"/>
      <c r="AI330" s="93"/>
      <c r="AJ330" s="94"/>
      <c r="AK330" s="92"/>
      <c r="AL330" s="94"/>
      <c r="AM330" s="94"/>
      <c r="AN330" s="94"/>
      <c r="AO330" s="94"/>
      <c r="AP330" s="94"/>
      <c r="AQ330" s="94"/>
      <c r="AR330" s="94"/>
      <c r="AS330" s="94"/>
      <c r="AT330" s="94"/>
      <c r="AU330" s="92"/>
      <c r="AV330" s="94"/>
      <c r="AW330" s="94"/>
      <c r="AX330" s="94"/>
      <c r="AY330" s="94"/>
      <c r="AZ330" s="94"/>
      <c r="BA330" s="94"/>
      <c r="BB330" s="94"/>
      <c r="BC330" s="94"/>
      <c r="BD330" s="94"/>
      <c r="BE330" s="94"/>
      <c r="BF330" s="94"/>
      <c r="BG330" s="94"/>
      <c r="BH330" s="94"/>
      <c r="BI330" s="94"/>
      <c r="BJ330" s="94"/>
      <c r="BK330" s="94"/>
      <c r="BL330" s="92"/>
      <c r="BM330" s="94"/>
      <c r="BN330" s="94"/>
      <c r="BO330" s="94"/>
      <c r="BP330" s="94"/>
      <c r="BQ330" s="92"/>
      <c r="BR330" s="92"/>
      <c r="BS330" s="92"/>
      <c r="BT330" s="92"/>
      <c r="BU330" s="92"/>
      <c r="BV330" s="92"/>
      <c r="BW330" s="92"/>
      <c r="BX330" s="92"/>
      <c r="BY330" s="92"/>
      <c r="BZ330" s="92"/>
    </row>
    <row r="331" spans="1:78" ht="12.9">
      <c r="A331" s="89"/>
      <c r="B331" s="89"/>
      <c r="C331" s="89"/>
      <c r="D331" s="89"/>
      <c r="E331" s="89"/>
      <c r="F331" s="89"/>
      <c r="G331" s="89"/>
      <c r="H331" s="105"/>
      <c r="I331" s="106"/>
      <c r="J331" s="106"/>
      <c r="K331" s="89"/>
      <c r="L331" s="89"/>
      <c r="M331" s="89"/>
      <c r="N331" s="107"/>
      <c r="O331" s="107"/>
      <c r="P331" s="89"/>
      <c r="Q331" s="89"/>
      <c r="R331" s="89"/>
      <c r="S331" s="89"/>
      <c r="T331" s="89"/>
      <c r="U331" s="89"/>
      <c r="V331" s="89"/>
      <c r="W331" s="89"/>
      <c r="X331" s="89"/>
      <c r="Y331" s="89"/>
      <c r="Z331" s="77"/>
      <c r="AA331" s="77"/>
      <c r="AB331" s="94"/>
      <c r="AC331" s="94"/>
      <c r="AD331" s="94"/>
      <c r="AE331" s="94"/>
      <c r="AF331" s="91"/>
      <c r="AG331" s="92"/>
      <c r="AH331" s="92"/>
      <c r="AI331" s="93"/>
      <c r="AJ331" s="94"/>
      <c r="AK331" s="92"/>
      <c r="AL331" s="94"/>
      <c r="AM331" s="94"/>
      <c r="AN331" s="94"/>
      <c r="AO331" s="94"/>
      <c r="AP331" s="94"/>
      <c r="AQ331" s="94"/>
      <c r="AR331" s="94"/>
      <c r="AS331" s="94"/>
      <c r="AT331" s="94"/>
      <c r="AU331" s="92"/>
      <c r="AV331" s="94"/>
      <c r="AW331" s="94"/>
      <c r="AX331" s="94"/>
      <c r="AY331" s="94"/>
      <c r="AZ331" s="94"/>
      <c r="BA331" s="94"/>
      <c r="BB331" s="94"/>
      <c r="BC331" s="94"/>
      <c r="BD331" s="94"/>
      <c r="BE331" s="94"/>
      <c r="BF331" s="94"/>
      <c r="BG331" s="94"/>
      <c r="BH331" s="94"/>
      <c r="BI331" s="94"/>
      <c r="BJ331" s="94"/>
      <c r="BK331" s="94"/>
      <c r="BL331" s="92"/>
      <c r="BM331" s="94"/>
      <c r="BN331" s="94"/>
      <c r="BO331" s="94"/>
      <c r="BP331" s="94"/>
      <c r="BQ331" s="92"/>
      <c r="BR331" s="92"/>
      <c r="BS331" s="92"/>
      <c r="BT331" s="92"/>
      <c r="BU331" s="92"/>
      <c r="BV331" s="92"/>
      <c r="BW331" s="92"/>
      <c r="BX331" s="92"/>
      <c r="BY331" s="92"/>
      <c r="BZ331" s="92"/>
    </row>
    <row r="332" spans="1:78" ht="12.9">
      <c r="A332" s="89"/>
      <c r="B332" s="89"/>
      <c r="C332" s="89"/>
      <c r="D332" s="89"/>
      <c r="E332" s="89"/>
      <c r="F332" s="89"/>
      <c r="G332" s="89"/>
      <c r="H332" s="105"/>
      <c r="I332" s="106"/>
      <c r="J332" s="106"/>
      <c r="K332" s="89"/>
      <c r="L332" s="89"/>
      <c r="M332" s="89"/>
      <c r="N332" s="107"/>
      <c r="O332" s="107"/>
      <c r="P332" s="89"/>
      <c r="Q332" s="89"/>
      <c r="R332" s="89"/>
      <c r="S332" s="89"/>
      <c r="T332" s="89"/>
      <c r="U332" s="89"/>
      <c r="V332" s="89"/>
      <c r="W332" s="89"/>
      <c r="X332" s="89"/>
      <c r="Y332" s="89"/>
      <c r="Z332" s="77"/>
      <c r="AA332" s="77"/>
      <c r="AB332" s="94"/>
      <c r="AC332" s="94"/>
      <c r="AD332" s="94"/>
      <c r="AE332" s="94"/>
      <c r="AF332" s="91"/>
      <c r="AG332" s="92"/>
      <c r="AH332" s="92"/>
      <c r="AI332" s="93"/>
      <c r="AJ332" s="94"/>
      <c r="AK332" s="92"/>
      <c r="AL332" s="94"/>
      <c r="AM332" s="94"/>
      <c r="AN332" s="94"/>
      <c r="AO332" s="94"/>
      <c r="AP332" s="94"/>
      <c r="AQ332" s="94"/>
      <c r="AR332" s="94"/>
      <c r="AS332" s="94"/>
      <c r="AT332" s="94"/>
      <c r="AU332" s="92"/>
      <c r="AV332" s="94"/>
      <c r="AW332" s="94"/>
      <c r="AX332" s="94"/>
      <c r="AY332" s="94"/>
      <c r="AZ332" s="94"/>
      <c r="BA332" s="94"/>
      <c r="BB332" s="94"/>
      <c r="BC332" s="94"/>
      <c r="BD332" s="94"/>
      <c r="BE332" s="94"/>
      <c r="BF332" s="94"/>
      <c r="BG332" s="94"/>
      <c r="BH332" s="94"/>
      <c r="BI332" s="94"/>
      <c r="BJ332" s="94"/>
      <c r="BK332" s="94"/>
      <c r="BL332" s="92"/>
      <c r="BM332" s="94"/>
      <c r="BN332" s="94"/>
      <c r="BO332" s="94"/>
      <c r="BP332" s="94"/>
      <c r="BQ332" s="92"/>
      <c r="BR332" s="92"/>
      <c r="BS332" s="92"/>
      <c r="BT332" s="92"/>
      <c r="BU332" s="92"/>
      <c r="BV332" s="92"/>
      <c r="BW332" s="92"/>
      <c r="BX332" s="92"/>
      <c r="BY332" s="92"/>
      <c r="BZ332" s="92"/>
    </row>
    <row r="333" spans="1:78" ht="12.9">
      <c r="A333" s="89"/>
      <c r="B333" s="89"/>
      <c r="C333" s="89"/>
      <c r="D333" s="89"/>
      <c r="E333" s="89"/>
      <c r="F333" s="89"/>
      <c r="G333" s="89"/>
      <c r="H333" s="105"/>
      <c r="I333" s="106"/>
      <c r="J333" s="106"/>
      <c r="K333" s="89"/>
      <c r="L333" s="89"/>
      <c r="M333" s="89"/>
      <c r="N333" s="107"/>
      <c r="O333" s="107"/>
      <c r="P333" s="89"/>
      <c r="Q333" s="89"/>
      <c r="R333" s="89"/>
      <c r="S333" s="89"/>
      <c r="T333" s="89"/>
      <c r="U333" s="89"/>
      <c r="V333" s="89"/>
      <c r="W333" s="89"/>
      <c r="X333" s="89"/>
      <c r="Y333" s="89"/>
      <c r="Z333" s="77"/>
      <c r="AA333" s="77"/>
      <c r="AB333" s="94"/>
      <c r="AC333" s="94"/>
      <c r="AD333" s="94"/>
      <c r="AE333" s="94"/>
      <c r="AF333" s="91"/>
      <c r="AG333" s="92"/>
      <c r="AH333" s="92"/>
      <c r="AI333" s="93"/>
      <c r="AJ333" s="94"/>
      <c r="AK333" s="92"/>
      <c r="AL333" s="94"/>
      <c r="AM333" s="94"/>
      <c r="AN333" s="94"/>
      <c r="AO333" s="94"/>
      <c r="AP333" s="94"/>
      <c r="AQ333" s="94"/>
      <c r="AR333" s="94"/>
      <c r="AS333" s="94"/>
      <c r="AT333" s="94"/>
      <c r="AU333" s="92"/>
      <c r="AV333" s="94"/>
      <c r="AW333" s="94"/>
      <c r="AX333" s="94"/>
      <c r="AY333" s="94"/>
      <c r="AZ333" s="94"/>
      <c r="BA333" s="94"/>
      <c r="BB333" s="94"/>
      <c r="BC333" s="94"/>
      <c r="BD333" s="94"/>
      <c r="BE333" s="94"/>
      <c r="BF333" s="94"/>
      <c r="BG333" s="94"/>
      <c r="BH333" s="94"/>
      <c r="BI333" s="94"/>
      <c r="BJ333" s="94"/>
      <c r="BK333" s="94"/>
      <c r="BL333" s="92"/>
      <c r="BM333" s="94"/>
      <c r="BN333" s="94"/>
      <c r="BO333" s="94"/>
      <c r="BP333" s="94"/>
      <c r="BQ333" s="92"/>
      <c r="BR333" s="92"/>
      <c r="BS333" s="92"/>
      <c r="BT333" s="92"/>
      <c r="BU333" s="92"/>
      <c r="BV333" s="92"/>
      <c r="BW333" s="92"/>
      <c r="BX333" s="92"/>
      <c r="BY333" s="92"/>
      <c r="BZ333" s="92"/>
    </row>
    <row r="334" spans="1:78" ht="12.9">
      <c r="A334" s="89"/>
      <c r="B334" s="89"/>
      <c r="C334" s="89"/>
      <c r="D334" s="89"/>
      <c r="E334" s="89"/>
      <c r="F334" s="89"/>
      <c r="G334" s="89"/>
      <c r="H334" s="105"/>
      <c r="I334" s="106"/>
      <c r="J334" s="106"/>
      <c r="K334" s="89"/>
      <c r="L334" s="89"/>
      <c r="M334" s="89"/>
      <c r="N334" s="107"/>
      <c r="O334" s="107"/>
      <c r="P334" s="89"/>
      <c r="Q334" s="89"/>
      <c r="R334" s="89"/>
      <c r="S334" s="89"/>
      <c r="T334" s="89"/>
      <c r="U334" s="89"/>
      <c r="V334" s="89"/>
      <c r="W334" s="89"/>
      <c r="X334" s="89"/>
      <c r="Y334" s="89"/>
      <c r="Z334" s="77"/>
      <c r="AA334" s="77"/>
      <c r="AB334" s="94"/>
      <c r="AC334" s="94"/>
      <c r="AD334" s="94"/>
      <c r="AE334" s="94"/>
      <c r="AF334" s="91"/>
      <c r="AG334" s="92"/>
      <c r="AH334" s="92"/>
      <c r="AI334" s="93"/>
      <c r="AJ334" s="94"/>
      <c r="AK334" s="92"/>
      <c r="AL334" s="94"/>
      <c r="AM334" s="94"/>
      <c r="AN334" s="94"/>
      <c r="AO334" s="94"/>
      <c r="AP334" s="94"/>
      <c r="AQ334" s="94"/>
      <c r="AR334" s="94"/>
      <c r="AS334" s="94"/>
      <c r="AT334" s="94"/>
      <c r="AU334" s="92"/>
      <c r="AV334" s="94"/>
      <c r="AW334" s="94"/>
      <c r="AX334" s="94"/>
      <c r="AY334" s="94"/>
      <c r="AZ334" s="94"/>
      <c r="BA334" s="94"/>
      <c r="BB334" s="94"/>
      <c r="BC334" s="94"/>
      <c r="BD334" s="94"/>
      <c r="BE334" s="94"/>
      <c r="BF334" s="94"/>
      <c r="BG334" s="94"/>
      <c r="BH334" s="94"/>
      <c r="BI334" s="94"/>
      <c r="BJ334" s="94"/>
      <c r="BK334" s="94"/>
      <c r="BL334" s="92"/>
      <c r="BM334" s="94"/>
      <c r="BN334" s="94"/>
      <c r="BO334" s="94"/>
      <c r="BP334" s="94"/>
      <c r="BQ334" s="92"/>
      <c r="BR334" s="92"/>
      <c r="BS334" s="92"/>
      <c r="BT334" s="92"/>
      <c r="BU334" s="92"/>
      <c r="BV334" s="92"/>
      <c r="BW334" s="92"/>
      <c r="BX334" s="92"/>
      <c r="BY334" s="92"/>
      <c r="BZ334" s="92"/>
    </row>
    <row r="335" spans="1:78" ht="12.9">
      <c r="A335" s="89"/>
      <c r="B335" s="89"/>
      <c r="C335" s="89"/>
      <c r="D335" s="89"/>
      <c r="E335" s="89"/>
      <c r="F335" s="89"/>
      <c r="G335" s="89"/>
      <c r="H335" s="105"/>
      <c r="I335" s="106"/>
      <c r="J335" s="106"/>
      <c r="K335" s="89"/>
      <c r="L335" s="89"/>
      <c r="M335" s="89"/>
      <c r="N335" s="107"/>
      <c r="O335" s="107"/>
      <c r="P335" s="89"/>
      <c r="Q335" s="89"/>
      <c r="R335" s="89"/>
      <c r="S335" s="89"/>
      <c r="T335" s="89"/>
      <c r="U335" s="89"/>
      <c r="V335" s="89"/>
      <c r="W335" s="89"/>
      <c r="X335" s="89"/>
      <c r="Y335" s="89"/>
      <c r="Z335" s="77"/>
      <c r="AA335" s="77"/>
      <c r="AB335" s="94"/>
      <c r="AC335" s="94"/>
      <c r="AD335" s="94"/>
      <c r="AE335" s="94"/>
      <c r="AF335" s="91"/>
      <c r="AG335" s="92"/>
      <c r="AH335" s="92"/>
      <c r="AI335" s="93"/>
      <c r="AJ335" s="94"/>
      <c r="AK335" s="92"/>
      <c r="AL335" s="94"/>
      <c r="AM335" s="94"/>
      <c r="AN335" s="94"/>
      <c r="AO335" s="94"/>
      <c r="AP335" s="94"/>
      <c r="AQ335" s="94"/>
      <c r="AR335" s="94"/>
      <c r="AS335" s="94"/>
      <c r="AT335" s="94"/>
      <c r="AU335" s="92"/>
      <c r="AV335" s="94"/>
      <c r="AW335" s="94"/>
      <c r="AX335" s="94"/>
      <c r="AY335" s="94"/>
      <c r="AZ335" s="94"/>
      <c r="BA335" s="94"/>
      <c r="BB335" s="94"/>
      <c r="BC335" s="94"/>
      <c r="BD335" s="94"/>
      <c r="BE335" s="94"/>
      <c r="BF335" s="94"/>
      <c r="BG335" s="94"/>
      <c r="BH335" s="94"/>
      <c r="BI335" s="94"/>
      <c r="BJ335" s="94"/>
      <c r="BK335" s="94"/>
      <c r="BL335" s="92"/>
      <c r="BM335" s="94"/>
      <c r="BN335" s="94"/>
      <c r="BO335" s="94"/>
      <c r="BP335" s="94"/>
      <c r="BQ335" s="92"/>
      <c r="BR335" s="92"/>
      <c r="BS335" s="92"/>
      <c r="BT335" s="92"/>
      <c r="BU335" s="92"/>
      <c r="BV335" s="92"/>
      <c r="BW335" s="92"/>
      <c r="BX335" s="92"/>
      <c r="BY335" s="92"/>
      <c r="BZ335" s="92"/>
    </row>
    <row r="336" spans="1:78" ht="12.9">
      <c r="A336" s="89"/>
      <c r="B336" s="89"/>
      <c r="C336" s="89"/>
      <c r="D336" s="89"/>
      <c r="E336" s="89"/>
      <c r="F336" s="89"/>
      <c r="G336" s="89"/>
      <c r="H336" s="105"/>
      <c r="I336" s="106"/>
      <c r="J336" s="106"/>
      <c r="K336" s="89"/>
      <c r="L336" s="89"/>
      <c r="M336" s="89"/>
      <c r="N336" s="107"/>
      <c r="O336" s="107"/>
      <c r="P336" s="89"/>
      <c r="Q336" s="89"/>
      <c r="R336" s="89"/>
      <c r="S336" s="89"/>
      <c r="T336" s="89"/>
      <c r="U336" s="89"/>
      <c r="V336" s="89"/>
      <c r="W336" s="89"/>
      <c r="X336" s="89"/>
      <c r="Y336" s="89"/>
      <c r="Z336" s="77"/>
      <c r="AA336" s="77"/>
      <c r="AB336" s="94"/>
      <c r="AC336" s="94"/>
      <c r="AD336" s="94"/>
      <c r="AE336" s="94"/>
      <c r="AF336" s="91"/>
      <c r="AG336" s="92"/>
      <c r="AH336" s="92"/>
      <c r="AI336" s="93"/>
      <c r="AJ336" s="94"/>
      <c r="AK336" s="92"/>
      <c r="AL336" s="94"/>
      <c r="AM336" s="94"/>
      <c r="AN336" s="94"/>
      <c r="AO336" s="94"/>
      <c r="AP336" s="94"/>
      <c r="AQ336" s="94"/>
      <c r="AR336" s="94"/>
      <c r="AS336" s="94"/>
      <c r="AT336" s="94"/>
      <c r="AU336" s="92"/>
      <c r="AV336" s="94"/>
      <c r="AW336" s="94"/>
      <c r="AX336" s="94"/>
      <c r="AY336" s="94"/>
      <c r="AZ336" s="94"/>
      <c r="BA336" s="94"/>
      <c r="BB336" s="94"/>
      <c r="BC336" s="94"/>
      <c r="BD336" s="94"/>
      <c r="BE336" s="94"/>
      <c r="BF336" s="94"/>
      <c r="BG336" s="94"/>
      <c r="BH336" s="94"/>
      <c r="BI336" s="94"/>
      <c r="BJ336" s="94"/>
      <c r="BK336" s="94"/>
      <c r="BL336" s="92"/>
      <c r="BM336" s="94"/>
      <c r="BN336" s="94"/>
      <c r="BO336" s="94"/>
      <c r="BP336" s="94"/>
      <c r="BQ336" s="92"/>
      <c r="BR336" s="92"/>
      <c r="BS336" s="92"/>
      <c r="BT336" s="92"/>
      <c r="BU336" s="92"/>
      <c r="BV336" s="92"/>
      <c r="BW336" s="92"/>
      <c r="BX336" s="92"/>
      <c r="BY336" s="92"/>
      <c r="BZ336" s="92"/>
    </row>
    <row r="337" spans="1:78" ht="12.9">
      <c r="A337" s="89"/>
      <c r="B337" s="89"/>
      <c r="C337" s="89"/>
      <c r="D337" s="89"/>
      <c r="E337" s="89"/>
      <c r="F337" s="89"/>
      <c r="G337" s="89"/>
      <c r="H337" s="105"/>
      <c r="I337" s="106"/>
      <c r="J337" s="106"/>
      <c r="K337" s="89"/>
      <c r="L337" s="89"/>
      <c r="M337" s="89"/>
      <c r="N337" s="107"/>
      <c r="O337" s="107"/>
      <c r="P337" s="89"/>
      <c r="Q337" s="89"/>
      <c r="R337" s="89"/>
      <c r="S337" s="89"/>
      <c r="T337" s="89"/>
      <c r="U337" s="89"/>
      <c r="V337" s="89"/>
      <c r="W337" s="89"/>
      <c r="X337" s="89"/>
      <c r="Y337" s="89"/>
      <c r="Z337" s="77"/>
      <c r="AA337" s="77"/>
      <c r="AB337" s="94"/>
      <c r="AC337" s="94"/>
      <c r="AD337" s="94"/>
      <c r="AE337" s="94"/>
      <c r="AF337" s="91"/>
      <c r="AG337" s="92"/>
      <c r="AH337" s="92"/>
      <c r="AI337" s="93"/>
      <c r="AJ337" s="94"/>
      <c r="AK337" s="92"/>
      <c r="AL337" s="94"/>
      <c r="AM337" s="94"/>
      <c r="AN337" s="94"/>
      <c r="AO337" s="94"/>
      <c r="AP337" s="94"/>
      <c r="AQ337" s="94"/>
      <c r="AR337" s="94"/>
      <c r="AS337" s="94"/>
      <c r="AT337" s="94"/>
      <c r="AU337" s="92"/>
      <c r="AV337" s="94"/>
      <c r="AW337" s="94"/>
      <c r="AX337" s="94"/>
      <c r="AY337" s="94"/>
      <c r="AZ337" s="94"/>
      <c r="BA337" s="94"/>
      <c r="BB337" s="94"/>
      <c r="BC337" s="94"/>
      <c r="BD337" s="94"/>
      <c r="BE337" s="94"/>
      <c r="BF337" s="94"/>
      <c r="BG337" s="94"/>
      <c r="BH337" s="94"/>
      <c r="BI337" s="94"/>
      <c r="BJ337" s="94"/>
      <c r="BK337" s="94"/>
      <c r="BL337" s="92"/>
      <c r="BM337" s="94"/>
      <c r="BN337" s="94"/>
      <c r="BO337" s="94"/>
      <c r="BP337" s="94"/>
      <c r="BQ337" s="92"/>
      <c r="BR337" s="92"/>
      <c r="BS337" s="92"/>
      <c r="BT337" s="92"/>
      <c r="BU337" s="92"/>
      <c r="BV337" s="92"/>
      <c r="BW337" s="92"/>
      <c r="BX337" s="92"/>
      <c r="BY337" s="92"/>
      <c r="BZ337" s="92"/>
    </row>
    <row r="338" spans="1:78" ht="12.9">
      <c r="A338" s="89"/>
      <c r="B338" s="89"/>
      <c r="C338" s="89"/>
      <c r="D338" s="89"/>
      <c r="E338" s="89"/>
      <c r="F338" s="89"/>
      <c r="G338" s="89"/>
      <c r="H338" s="105"/>
      <c r="I338" s="106"/>
      <c r="J338" s="106"/>
      <c r="K338" s="89"/>
      <c r="L338" s="89"/>
      <c r="M338" s="89"/>
      <c r="N338" s="107"/>
      <c r="O338" s="107"/>
      <c r="P338" s="89"/>
      <c r="Q338" s="89"/>
      <c r="R338" s="89"/>
      <c r="S338" s="89"/>
      <c r="T338" s="89"/>
      <c r="U338" s="89"/>
      <c r="V338" s="89"/>
      <c r="W338" s="89"/>
      <c r="X338" s="89"/>
      <c r="Y338" s="89"/>
      <c r="Z338" s="77"/>
      <c r="AA338" s="77"/>
      <c r="AB338" s="94"/>
      <c r="AC338" s="94"/>
      <c r="AD338" s="94"/>
      <c r="AE338" s="94"/>
      <c r="AF338" s="91"/>
      <c r="AG338" s="92"/>
      <c r="AH338" s="92"/>
      <c r="AI338" s="93"/>
      <c r="AJ338" s="94"/>
      <c r="AK338" s="92"/>
      <c r="AL338" s="94"/>
      <c r="AM338" s="94"/>
      <c r="AN338" s="94"/>
      <c r="AO338" s="94"/>
      <c r="AP338" s="94"/>
      <c r="AQ338" s="94"/>
      <c r="AR338" s="94"/>
      <c r="AS338" s="94"/>
      <c r="AT338" s="94"/>
      <c r="AU338" s="92"/>
      <c r="AV338" s="94"/>
      <c r="AW338" s="94"/>
      <c r="AX338" s="94"/>
      <c r="AY338" s="94"/>
      <c r="AZ338" s="94"/>
      <c r="BA338" s="94"/>
      <c r="BB338" s="94"/>
      <c r="BC338" s="94"/>
      <c r="BD338" s="94"/>
      <c r="BE338" s="94"/>
      <c r="BF338" s="94"/>
      <c r="BG338" s="94"/>
      <c r="BH338" s="94"/>
      <c r="BI338" s="94"/>
      <c r="BJ338" s="94"/>
      <c r="BK338" s="94"/>
      <c r="BL338" s="92"/>
      <c r="BM338" s="94"/>
      <c r="BN338" s="94"/>
      <c r="BO338" s="94"/>
      <c r="BP338" s="94"/>
      <c r="BQ338" s="92"/>
      <c r="BR338" s="92"/>
      <c r="BS338" s="92"/>
      <c r="BT338" s="92"/>
      <c r="BU338" s="92"/>
      <c r="BV338" s="92"/>
      <c r="BW338" s="92"/>
      <c r="BX338" s="92"/>
      <c r="BY338" s="92"/>
      <c r="BZ338" s="92"/>
    </row>
    <row r="339" spans="1:78" ht="12.9">
      <c r="A339" s="89"/>
      <c r="B339" s="89"/>
      <c r="C339" s="89"/>
      <c r="D339" s="89"/>
      <c r="E339" s="89"/>
      <c r="F339" s="89"/>
      <c r="G339" s="89"/>
      <c r="H339" s="105"/>
      <c r="I339" s="106"/>
      <c r="J339" s="106"/>
      <c r="K339" s="89"/>
      <c r="L339" s="89"/>
      <c r="M339" s="89"/>
      <c r="N339" s="107"/>
      <c r="O339" s="107"/>
      <c r="P339" s="89"/>
      <c r="Q339" s="89"/>
      <c r="R339" s="89"/>
      <c r="S339" s="89"/>
      <c r="T339" s="89"/>
      <c r="U339" s="89"/>
      <c r="V339" s="89"/>
      <c r="W339" s="89"/>
      <c r="X339" s="89"/>
      <c r="Y339" s="89"/>
      <c r="Z339" s="77"/>
      <c r="AA339" s="77"/>
      <c r="AB339" s="94"/>
      <c r="AC339" s="94"/>
      <c r="AD339" s="94"/>
      <c r="AE339" s="94"/>
      <c r="AF339" s="91"/>
      <c r="AG339" s="92"/>
      <c r="AH339" s="92"/>
      <c r="AI339" s="93"/>
      <c r="AJ339" s="94"/>
      <c r="AK339" s="92"/>
      <c r="AL339" s="94"/>
      <c r="AM339" s="94"/>
      <c r="AN339" s="94"/>
      <c r="AO339" s="94"/>
      <c r="AP339" s="94"/>
      <c r="AQ339" s="94"/>
      <c r="AR339" s="94"/>
      <c r="AS339" s="94"/>
      <c r="AT339" s="94"/>
      <c r="AU339" s="92"/>
      <c r="AV339" s="94"/>
      <c r="AW339" s="94"/>
      <c r="AX339" s="94"/>
      <c r="AY339" s="94"/>
      <c r="AZ339" s="94"/>
      <c r="BA339" s="94"/>
      <c r="BB339" s="94"/>
      <c r="BC339" s="94"/>
      <c r="BD339" s="94"/>
      <c r="BE339" s="94"/>
      <c r="BF339" s="94"/>
      <c r="BG339" s="94"/>
      <c r="BH339" s="94"/>
      <c r="BI339" s="94"/>
      <c r="BJ339" s="94"/>
      <c r="BK339" s="94"/>
      <c r="BL339" s="92"/>
      <c r="BM339" s="94"/>
      <c r="BN339" s="94"/>
      <c r="BO339" s="94"/>
      <c r="BP339" s="94"/>
      <c r="BQ339" s="92"/>
      <c r="BR339" s="92"/>
      <c r="BS339" s="92"/>
      <c r="BT339" s="92"/>
      <c r="BU339" s="92"/>
      <c r="BV339" s="92"/>
      <c r="BW339" s="92"/>
      <c r="BX339" s="92"/>
      <c r="BY339" s="92"/>
      <c r="BZ339" s="92"/>
    </row>
    <row r="340" spans="1:78" ht="12.9">
      <c r="A340" s="89"/>
      <c r="B340" s="89"/>
      <c r="C340" s="89"/>
      <c r="D340" s="89"/>
      <c r="E340" s="89"/>
      <c r="F340" s="89"/>
      <c r="G340" s="89"/>
      <c r="H340" s="105"/>
      <c r="I340" s="106"/>
      <c r="J340" s="106"/>
      <c r="K340" s="89"/>
      <c r="L340" s="89"/>
      <c r="M340" s="89"/>
      <c r="N340" s="107"/>
      <c r="O340" s="107"/>
      <c r="P340" s="89"/>
      <c r="Q340" s="89"/>
      <c r="R340" s="89"/>
      <c r="S340" s="89"/>
      <c r="T340" s="89"/>
      <c r="U340" s="89"/>
      <c r="V340" s="89"/>
      <c r="W340" s="89"/>
      <c r="X340" s="89"/>
      <c r="Y340" s="89"/>
      <c r="Z340" s="77"/>
      <c r="AA340" s="77"/>
      <c r="AB340" s="94"/>
      <c r="AC340" s="94"/>
      <c r="AD340" s="94"/>
      <c r="AE340" s="94"/>
      <c r="AF340" s="91"/>
      <c r="AG340" s="92"/>
      <c r="AH340" s="92"/>
      <c r="AI340" s="93"/>
      <c r="AJ340" s="94"/>
      <c r="AK340" s="92"/>
      <c r="AL340" s="94"/>
      <c r="AM340" s="94"/>
      <c r="AN340" s="94"/>
      <c r="AO340" s="94"/>
      <c r="AP340" s="94"/>
      <c r="AQ340" s="94"/>
      <c r="AR340" s="94"/>
      <c r="AS340" s="94"/>
      <c r="AT340" s="94"/>
      <c r="AU340" s="92"/>
      <c r="AV340" s="94"/>
      <c r="AW340" s="94"/>
      <c r="AX340" s="94"/>
      <c r="AY340" s="94"/>
      <c r="AZ340" s="94"/>
      <c r="BA340" s="94"/>
      <c r="BB340" s="94"/>
      <c r="BC340" s="94"/>
      <c r="BD340" s="94"/>
      <c r="BE340" s="94"/>
      <c r="BF340" s="94"/>
      <c r="BG340" s="94"/>
      <c r="BH340" s="94"/>
      <c r="BI340" s="94"/>
      <c r="BJ340" s="94"/>
      <c r="BK340" s="94"/>
      <c r="BL340" s="92"/>
      <c r="BM340" s="94"/>
      <c r="BN340" s="94"/>
      <c r="BO340" s="94"/>
      <c r="BP340" s="94"/>
      <c r="BQ340" s="92"/>
      <c r="BR340" s="92"/>
      <c r="BS340" s="92"/>
      <c r="BT340" s="92"/>
      <c r="BU340" s="92"/>
      <c r="BV340" s="92"/>
      <c r="BW340" s="92"/>
      <c r="BX340" s="92"/>
      <c r="BY340" s="92"/>
      <c r="BZ340" s="92"/>
    </row>
    <row r="341" spans="1:78" ht="12.9">
      <c r="A341" s="89"/>
      <c r="B341" s="89"/>
      <c r="C341" s="89"/>
      <c r="D341" s="89"/>
      <c r="E341" s="89"/>
      <c r="F341" s="89"/>
      <c r="G341" s="89"/>
      <c r="H341" s="105"/>
      <c r="I341" s="106"/>
      <c r="J341" s="106"/>
      <c r="K341" s="89"/>
      <c r="L341" s="89"/>
      <c r="M341" s="89"/>
      <c r="N341" s="107"/>
      <c r="O341" s="107"/>
      <c r="P341" s="89"/>
      <c r="Q341" s="89"/>
      <c r="R341" s="89"/>
      <c r="S341" s="89"/>
      <c r="T341" s="89"/>
      <c r="U341" s="89"/>
      <c r="V341" s="89"/>
      <c r="W341" s="89"/>
      <c r="X341" s="89"/>
      <c r="Y341" s="89"/>
      <c r="Z341" s="77"/>
      <c r="AA341" s="77"/>
      <c r="AB341" s="94"/>
      <c r="AC341" s="94"/>
      <c r="AD341" s="94"/>
      <c r="AE341" s="94"/>
      <c r="AF341" s="91"/>
      <c r="AG341" s="92"/>
      <c r="AH341" s="92"/>
      <c r="AI341" s="93"/>
      <c r="AJ341" s="94"/>
      <c r="AK341" s="92"/>
      <c r="AL341" s="94"/>
      <c r="AM341" s="94"/>
      <c r="AN341" s="94"/>
      <c r="AO341" s="94"/>
      <c r="AP341" s="94"/>
      <c r="AQ341" s="94"/>
      <c r="AR341" s="94"/>
      <c r="AS341" s="94"/>
      <c r="AT341" s="94"/>
      <c r="AU341" s="92"/>
      <c r="AV341" s="94"/>
      <c r="AW341" s="94"/>
      <c r="AX341" s="94"/>
      <c r="AY341" s="94"/>
      <c r="AZ341" s="94"/>
      <c r="BA341" s="94"/>
      <c r="BB341" s="94"/>
      <c r="BC341" s="94"/>
      <c r="BD341" s="94"/>
      <c r="BE341" s="94"/>
      <c r="BF341" s="94"/>
      <c r="BG341" s="94"/>
      <c r="BH341" s="94"/>
      <c r="BI341" s="94"/>
      <c r="BJ341" s="94"/>
      <c r="BK341" s="94"/>
      <c r="BL341" s="92"/>
      <c r="BM341" s="94"/>
      <c r="BN341" s="94"/>
      <c r="BO341" s="94"/>
      <c r="BP341" s="94"/>
      <c r="BQ341" s="92"/>
      <c r="BR341" s="92"/>
      <c r="BS341" s="92"/>
      <c r="BT341" s="92"/>
      <c r="BU341" s="92"/>
      <c r="BV341" s="92"/>
      <c r="BW341" s="92"/>
      <c r="BX341" s="92"/>
      <c r="BY341" s="92"/>
      <c r="BZ341" s="92"/>
    </row>
    <row r="342" spans="1:78" ht="12.9">
      <c r="A342" s="89"/>
      <c r="B342" s="89"/>
      <c r="C342" s="89"/>
      <c r="D342" s="89"/>
      <c r="E342" s="89"/>
      <c r="F342" s="89"/>
      <c r="G342" s="89"/>
      <c r="H342" s="105"/>
      <c r="I342" s="106"/>
      <c r="J342" s="106"/>
      <c r="K342" s="89"/>
      <c r="L342" s="89"/>
      <c r="M342" s="89"/>
      <c r="N342" s="107"/>
      <c r="O342" s="107"/>
      <c r="P342" s="89"/>
      <c r="Q342" s="89"/>
      <c r="R342" s="89"/>
      <c r="S342" s="89"/>
      <c r="T342" s="89"/>
      <c r="U342" s="89"/>
      <c r="V342" s="89"/>
      <c r="W342" s="89"/>
      <c r="X342" s="89"/>
      <c r="Y342" s="89"/>
      <c r="Z342" s="77"/>
      <c r="AA342" s="77"/>
      <c r="AB342" s="94"/>
      <c r="AC342" s="94"/>
      <c r="AD342" s="94"/>
      <c r="AE342" s="94"/>
      <c r="AF342" s="91"/>
      <c r="AG342" s="92"/>
      <c r="AH342" s="92"/>
      <c r="AI342" s="93"/>
      <c r="AJ342" s="94"/>
      <c r="AK342" s="92"/>
      <c r="AL342" s="94"/>
      <c r="AM342" s="94"/>
      <c r="AN342" s="94"/>
      <c r="AO342" s="94"/>
      <c r="AP342" s="94"/>
      <c r="AQ342" s="94"/>
      <c r="AR342" s="94"/>
      <c r="AS342" s="94"/>
      <c r="AT342" s="94"/>
      <c r="AU342" s="92"/>
      <c r="AV342" s="94"/>
      <c r="AW342" s="94"/>
      <c r="AX342" s="94"/>
      <c r="AY342" s="94"/>
      <c r="AZ342" s="94"/>
      <c r="BA342" s="94"/>
      <c r="BB342" s="94"/>
      <c r="BC342" s="94"/>
      <c r="BD342" s="94"/>
      <c r="BE342" s="94"/>
      <c r="BF342" s="94"/>
      <c r="BG342" s="94"/>
      <c r="BH342" s="94"/>
      <c r="BI342" s="94"/>
      <c r="BJ342" s="94"/>
      <c r="BK342" s="94"/>
      <c r="BL342" s="92"/>
      <c r="BM342" s="94"/>
      <c r="BN342" s="94"/>
      <c r="BO342" s="94"/>
      <c r="BP342" s="94"/>
      <c r="BQ342" s="92"/>
      <c r="BR342" s="92"/>
      <c r="BS342" s="92"/>
      <c r="BT342" s="92"/>
      <c r="BU342" s="92"/>
      <c r="BV342" s="92"/>
      <c r="BW342" s="92"/>
      <c r="BX342" s="92"/>
      <c r="BY342" s="92"/>
      <c r="BZ342" s="92"/>
    </row>
    <row r="343" spans="1:78" ht="12.9">
      <c r="A343" s="89"/>
      <c r="B343" s="89"/>
      <c r="C343" s="89"/>
      <c r="D343" s="89"/>
      <c r="E343" s="89"/>
      <c r="F343" s="89"/>
      <c r="G343" s="89"/>
      <c r="H343" s="105"/>
      <c r="I343" s="106"/>
      <c r="J343" s="106"/>
      <c r="K343" s="89"/>
      <c r="L343" s="89"/>
      <c r="M343" s="89"/>
      <c r="N343" s="107"/>
      <c r="O343" s="107"/>
      <c r="P343" s="89"/>
      <c r="Q343" s="89"/>
      <c r="R343" s="89"/>
      <c r="S343" s="89"/>
      <c r="T343" s="89"/>
      <c r="U343" s="89"/>
      <c r="V343" s="89"/>
      <c r="W343" s="89"/>
      <c r="X343" s="89"/>
      <c r="Y343" s="89"/>
      <c r="Z343" s="77"/>
      <c r="AA343" s="77"/>
      <c r="AB343" s="94"/>
      <c r="AC343" s="94"/>
      <c r="AD343" s="94"/>
      <c r="AE343" s="94"/>
      <c r="AF343" s="91"/>
      <c r="AG343" s="92"/>
      <c r="AH343" s="92"/>
      <c r="AI343" s="93"/>
      <c r="AJ343" s="94"/>
      <c r="AK343" s="92"/>
      <c r="AL343" s="94"/>
      <c r="AM343" s="94"/>
      <c r="AN343" s="94"/>
      <c r="AO343" s="94"/>
      <c r="AP343" s="94"/>
      <c r="AQ343" s="94"/>
      <c r="AR343" s="94"/>
      <c r="AS343" s="94"/>
      <c r="AT343" s="94"/>
      <c r="AU343" s="92"/>
      <c r="AV343" s="94"/>
      <c r="AW343" s="94"/>
      <c r="AX343" s="94"/>
      <c r="AY343" s="94"/>
      <c r="AZ343" s="94"/>
      <c r="BA343" s="94"/>
      <c r="BB343" s="94"/>
      <c r="BC343" s="94"/>
      <c r="BD343" s="94"/>
      <c r="BE343" s="94"/>
      <c r="BF343" s="94"/>
      <c r="BG343" s="94"/>
      <c r="BH343" s="94"/>
      <c r="BI343" s="94"/>
      <c r="BJ343" s="94"/>
      <c r="BK343" s="94"/>
      <c r="BL343" s="92"/>
      <c r="BM343" s="94"/>
      <c r="BN343" s="94"/>
      <c r="BO343" s="94"/>
      <c r="BP343" s="94"/>
      <c r="BQ343" s="92"/>
      <c r="BR343" s="92"/>
      <c r="BS343" s="92"/>
      <c r="BT343" s="92"/>
      <c r="BU343" s="92"/>
      <c r="BV343" s="92"/>
      <c r="BW343" s="92"/>
      <c r="BX343" s="92"/>
      <c r="BY343" s="92"/>
      <c r="BZ343" s="92"/>
    </row>
    <row r="344" spans="1:78" ht="12.9">
      <c r="A344" s="89"/>
      <c r="B344" s="89"/>
      <c r="C344" s="89"/>
      <c r="D344" s="89"/>
      <c r="E344" s="89"/>
      <c r="F344" s="89"/>
      <c r="G344" s="89"/>
      <c r="H344" s="105"/>
      <c r="I344" s="106"/>
      <c r="J344" s="106"/>
      <c r="K344" s="89"/>
      <c r="L344" s="89"/>
      <c r="M344" s="89"/>
      <c r="N344" s="107"/>
      <c r="O344" s="107"/>
      <c r="P344" s="89"/>
      <c r="Q344" s="89"/>
      <c r="R344" s="89"/>
      <c r="S344" s="89"/>
      <c r="T344" s="89"/>
      <c r="U344" s="89"/>
      <c r="V344" s="89"/>
      <c r="W344" s="89"/>
      <c r="X344" s="89"/>
      <c r="Y344" s="89"/>
      <c r="Z344" s="77"/>
      <c r="AA344" s="77"/>
      <c r="AB344" s="94"/>
      <c r="AC344" s="94"/>
      <c r="AD344" s="94"/>
      <c r="AE344" s="94"/>
      <c r="AF344" s="91"/>
      <c r="AG344" s="92"/>
      <c r="AH344" s="92"/>
      <c r="AI344" s="93"/>
      <c r="AJ344" s="94"/>
      <c r="AK344" s="92"/>
      <c r="AL344" s="94"/>
      <c r="AM344" s="94"/>
      <c r="AN344" s="94"/>
      <c r="AO344" s="94"/>
      <c r="AP344" s="94"/>
      <c r="AQ344" s="94"/>
      <c r="AR344" s="94"/>
      <c r="AS344" s="94"/>
      <c r="AT344" s="94"/>
      <c r="AU344" s="92"/>
      <c r="AV344" s="94"/>
      <c r="AW344" s="94"/>
      <c r="AX344" s="94"/>
      <c r="AY344" s="94"/>
      <c r="AZ344" s="94"/>
      <c r="BA344" s="94"/>
      <c r="BB344" s="94"/>
      <c r="BC344" s="94"/>
      <c r="BD344" s="94"/>
      <c r="BE344" s="94"/>
      <c r="BF344" s="94"/>
      <c r="BG344" s="94"/>
      <c r="BH344" s="94"/>
      <c r="BI344" s="94"/>
      <c r="BJ344" s="94"/>
      <c r="BK344" s="94"/>
      <c r="BL344" s="92"/>
      <c r="BM344" s="94"/>
      <c r="BN344" s="94"/>
      <c r="BO344" s="94"/>
      <c r="BP344" s="94"/>
      <c r="BQ344" s="92"/>
      <c r="BR344" s="92"/>
      <c r="BS344" s="92"/>
      <c r="BT344" s="92"/>
      <c r="BU344" s="92"/>
      <c r="BV344" s="92"/>
      <c r="BW344" s="92"/>
      <c r="BX344" s="92"/>
      <c r="BY344" s="92"/>
      <c r="BZ344" s="92"/>
    </row>
    <row r="345" spans="1:78" ht="12.9">
      <c r="A345" s="89"/>
      <c r="B345" s="89"/>
      <c r="C345" s="89"/>
      <c r="D345" s="89"/>
      <c r="E345" s="89"/>
      <c r="F345" s="89"/>
      <c r="G345" s="89"/>
      <c r="H345" s="105"/>
      <c r="I345" s="106"/>
      <c r="J345" s="106"/>
      <c r="K345" s="89"/>
      <c r="L345" s="89"/>
      <c r="M345" s="89"/>
      <c r="N345" s="107"/>
      <c r="O345" s="107"/>
      <c r="P345" s="89"/>
      <c r="Q345" s="89"/>
      <c r="R345" s="89"/>
      <c r="S345" s="89"/>
      <c r="T345" s="89"/>
      <c r="U345" s="89"/>
      <c r="V345" s="89"/>
      <c r="W345" s="89"/>
      <c r="X345" s="89"/>
      <c r="Y345" s="89"/>
      <c r="Z345" s="77"/>
      <c r="AA345" s="77"/>
      <c r="AB345" s="94"/>
      <c r="AC345" s="94"/>
      <c r="AD345" s="94"/>
      <c r="AE345" s="94"/>
      <c r="AF345" s="91"/>
      <c r="AG345" s="92"/>
      <c r="AH345" s="92"/>
      <c r="AI345" s="93"/>
      <c r="AJ345" s="94"/>
      <c r="AK345" s="92"/>
      <c r="AL345" s="94"/>
      <c r="AM345" s="94"/>
      <c r="AN345" s="94"/>
      <c r="AO345" s="94"/>
      <c r="AP345" s="94"/>
      <c r="AQ345" s="94"/>
      <c r="AR345" s="94"/>
      <c r="AS345" s="94"/>
      <c r="AT345" s="94"/>
      <c r="AU345" s="92"/>
      <c r="AV345" s="94"/>
      <c r="AW345" s="94"/>
      <c r="AX345" s="94"/>
      <c r="AY345" s="94"/>
      <c r="AZ345" s="94"/>
      <c r="BA345" s="94"/>
      <c r="BB345" s="94"/>
      <c r="BC345" s="94"/>
      <c r="BD345" s="94"/>
      <c r="BE345" s="94"/>
      <c r="BF345" s="94"/>
      <c r="BG345" s="94"/>
      <c r="BH345" s="94"/>
      <c r="BI345" s="94"/>
      <c r="BJ345" s="94"/>
      <c r="BK345" s="94"/>
      <c r="BL345" s="92"/>
      <c r="BM345" s="94"/>
      <c r="BN345" s="94"/>
      <c r="BO345" s="94"/>
      <c r="BP345" s="94"/>
      <c r="BQ345" s="92"/>
      <c r="BR345" s="92"/>
      <c r="BS345" s="92"/>
      <c r="BT345" s="92"/>
      <c r="BU345" s="92"/>
      <c r="BV345" s="92"/>
      <c r="BW345" s="92"/>
      <c r="BX345" s="92"/>
      <c r="BY345" s="92"/>
      <c r="BZ345" s="92"/>
    </row>
    <row r="346" spans="1:78" ht="12.9">
      <c r="A346" s="89"/>
      <c r="B346" s="89"/>
      <c r="C346" s="89"/>
      <c r="D346" s="89"/>
      <c r="E346" s="89"/>
      <c r="F346" s="89"/>
      <c r="G346" s="89"/>
      <c r="H346" s="105"/>
      <c r="I346" s="106"/>
      <c r="J346" s="106"/>
      <c r="K346" s="89"/>
      <c r="L346" s="89"/>
      <c r="M346" s="89"/>
      <c r="N346" s="107"/>
      <c r="O346" s="107"/>
      <c r="P346" s="89"/>
      <c r="Q346" s="89"/>
      <c r="R346" s="89"/>
      <c r="S346" s="89"/>
      <c r="T346" s="89"/>
      <c r="U346" s="89"/>
      <c r="V346" s="89"/>
      <c r="W346" s="89"/>
      <c r="X346" s="89"/>
      <c r="Y346" s="89"/>
      <c r="Z346" s="77"/>
      <c r="AA346" s="77"/>
      <c r="AB346" s="94"/>
      <c r="AC346" s="94"/>
      <c r="AD346" s="94"/>
      <c r="AE346" s="94"/>
      <c r="AF346" s="91"/>
      <c r="AG346" s="92"/>
      <c r="AH346" s="92"/>
      <c r="AI346" s="93"/>
      <c r="AJ346" s="94"/>
      <c r="AK346" s="92"/>
      <c r="AL346" s="94"/>
      <c r="AM346" s="94"/>
      <c r="AN346" s="94"/>
      <c r="AO346" s="94"/>
      <c r="AP346" s="94"/>
      <c r="AQ346" s="94"/>
      <c r="AR346" s="94"/>
      <c r="AS346" s="94"/>
      <c r="AT346" s="94"/>
      <c r="AU346" s="92"/>
      <c r="AV346" s="94"/>
      <c r="AW346" s="94"/>
      <c r="AX346" s="94"/>
      <c r="AY346" s="94"/>
      <c r="AZ346" s="94"/>
      <c r="BA346" s="94"/>
      <c r="BB346" s="94"/>
      <c r="BC346" s="94"/>
      <c r="BD346" s="94"/>
      <c r="BE346" s="94"/>
      <c r="BF346" s="94"/>
      <c r="BG346" s="94"/>
      <c r="BH346" s="94"/>
      <c r="BI346" s="94"/>
      <c r="BJ346" s="94"/>
      <c r="BK346" s="94"/>
      <c r="BL346" s="92"/>
      <c r="BM346" s="94"/>
      <c r="BN346" s="94"/>
      <c r="BO346" s="94"/>
      <c r="BP346" s="94"/>
      <c r="BQ346" s="92"/>
      <c r="BR346" s="92"/>
      <c r="BS346" s="92"/>
      <c r="BT346" s="92"/>
      <c r="BU346" s="92"/>
      <c r="BV346" s="92"/>
      <c r="BW346" s="92"/>
      <c r="BX346" s="92"/>
      <c r="BY346" s="92"/>
      <c r="BZ346" s="92"/>
    </row>
    <row r="347" spans="1:78" ht="12.9">
      <c r="A347" s="89"/>
      <c r="B347" s="89"/>
      <c r="C347" s="89"/>
      <c r="D347" s="89"/>
      <c r="E347" s="89"/>
      <c r="F347" s="89"/>
      <c r="G347" s="89"/>
      <c r="H347" s="105"/>
      <c r="I347" s="106"/>
      <c r="J347" s="106"/>
      <c r="K347" s="89"/>
      <c r="L347" s="89"/>
      <c r="M347" s="89"/>
      <c r="N347" s="107"/>
      <c r="O347" s="107"/>
      <c r="P347" s="89"/>
      <c r="Q347" s="89"/>
      <c r="R347" s="89"/>
      <c r="S347" s="89"/>
      <c r="T347" s="89"/>
      <c r="U347" s="89"/>
      <c r="V347" s="89"/>
      <c r="W347" s="89"/>
      <c r="X347" s="89"/>
      <c r="Y347" s="89"/>
      <c r="Z347" s="77"/>
      <c r="AA347" s="77"/>
      <c r="AB347" s="94"/>
      <c r="AC347" s="94"/>
      <c r="AD347" s="94"/>
      <c r="AE347" s="94"/>
      <c r="AF347" s="91"/>
      <c r="AG347" s="92"/>
      <c r="AH347" s="92"/>
      <c r="AI347" s="93"/>
      <c r="AJ347" s="94"/>
      <c r="AK347" s="92"/>
      <c r="AL347" s="94"/>
      <c r="AM347" s="94"/>
      <c r="AN347" s="94"/>
      <c r="AO347" s="94"/>
      <c r="AP347" s="94"/>
      <c r="AQ347" s="94"/>
      <c r="AR347" s="94"/>
      <c r="AS347" s="94"/>
      <c r="AT347" s="94"/>
      <c r="AU347" s="92"/>
      <c r="AV347" s="94"/>
      <c r="AW347" s="94"/>
      <c r="AX347" s="94"/>
      <c r="AY347" s="94"/>
      <c r="AZ347" s="94"/>
      <c r="BA347" s="94"/>
      <c r="BB347" s="94"/>
      <c r="BC347" s="94"/>
      <c r="BD347" s="94"/>
      <c r="BE347" s="94"/>
      <c r="BF347" s="94"/>
      <c r="BG347" s="94"/>
      <c r="BH347" s="94"/>
      <c r="BI347" s="94"/>
      <c r="BJ347" s="94"/>
      <c r="BK347" s="94"/>
      <c r="BL347" s="92"/>
      <c r="BM347" s="94"/>
      <c r="BN347" s="94"/>
      <c r="BO347" s="94"/>
      <c r="BP347" s="94"/>
      <c r="BQ347" s="92"/>
      <c r="BR347" s="92"/>
      <c r="BS347" s="92"/>
      <c r="BT347" s="92"/>
      <c r="BU347" s="92"/>
      <c r="BV347" s="92"/>
      <c r="BW347" s="92"/>
      <c r="BX347" s="92"/>
      <c r="BY347" s="92"/>
      <c r="BZ347" s="92"/>
    </row>
    <row r="348" spans="1:78" ht="12.9">
      <c r="A348" s="89"/>
      <c r="B348" s="89"/>
      <c r="C348" s="89"/>
      <c r="D348" s="89"/>
      <c r="E348" s="89"/>
      <c r="F348" s="89"/>
      <c r="G348" s="89"/>
      <c r="H348" s="105"/>
      <c r="I348" s="106"/>
      <c r="J348" s="106"/>
      <c r="K348" s="89"/>
      <c r="L348" s="89"/>
      <c r="M348" s="89"/>
      <c r="N348" s="107"/>
      <c r="O348" s="107"/>
      <c r="P348" s="89"/>
      <c r="Q348" s="89"/>
      <c r="R348" s="89"/>
      <c r="S348" s="89"/>
      <c r="T348" s="89"/>
      <c r="U348" s="89"/>
      <c r="V348" s="89"/>
      <c r="W348" s="89"/>
      <c r="X348" s="89"/>
      <c r="Y348" s="89"/>
      <c r="Z348" s="77"/>
      <c r="AA348" s="77"/>
      <c r="AB348" s="94"/>
      <c r="AC348" s="94"/>
      <c r="AD348" s="94"/>
      <c r="AE348" s="94"/>
      <c r="AF348" s="91"/>
      <c r="AG348" s="92"/>
      <c r="AH348" s="92"/>
      <c r="AI348" s="93"/>
      <c r="AJ348" s="94"/>
      <c r="AK348" s="92"/>
      <c r="AL348" s="94"/>
      <c r="AM348" s="94"/>
      <c r="AN348" s="94"/>
      <c r="AO348" s="94"/>
      <c r="AP348" s="94"/>
      <c r="AQ348" s="94"/>
      <c r="AR348" s="94"/>
      <c r="AS348" s="94"/>
      <c r="AT348" s="94"/>
      <c r="AU348" s="92"/>
      <c r="AV348" s="94"/>
      <c r="AW348" s="94"/>
      <c r="AX348" s="94"/>
      <c r="AY348" s="94"/>
      <c r="AZ348" s="94"/>
      <c r="BA348" s="94"/>
      <c r="BB348" s="94"/>
      <c r="BC348" s="94"/>
      <c r="BD348" s="94"/>
      <c r="BE348" s="94"/>
      <c r="BF348" s="94"/>
      <c r="BG348" s="94"/>
      <c r="BH348" s="94"/>
      <c r="BI348" s="94"/>
      <c r="BJ348" s="94"/>
      <c r="BK348" s="94"/>
      <c r="BL348" s="92"/>
      <c r="BM348" s="94"/>
      <c r="BN348" s="94"/>
      <c r="BO348" s="94"/>
      <c r="BP348" s="94"/>
      <c r="BQ348" s="92"/>
      <c r="BR348" s="92"/>
      <c r="BS348" s="92"/>
      <c r="BT348" s="92"/>
      <c r="BU348" s="92"/>
      <c r="BV348" s="92"/>
      <c r="BW348" s="92"/>
      <c r="BX348" s="92"/>
      <c r="BY348" s="92"/>
      <c r="BZ348" s="92"/>
    </row>
    <row r="349" spans="1:78" ht="12.9">
      <c r="A349" s="89"/>
      <c r="B349" s="89"/>
      <c r="C349" s="89"/>
      <c r="D349" s="89"/>
      <c r="E349" s="89"/>
      <c r="F349" s="89"/>
      <c r="G349" s="89"/>
      <c r="H349" s="105"/>
      <c r="I349" s="106"/>
      <c r="J349" s="106"/>
      <c r="K349" s="89"/>
      <c r="L349" s="89"/>
      <c r="M349" s="89"/>
      <c r="N349" s="107"/>
      <c r="O349" s="107"/>
      <c r="P349" s="89"/>
      <c r="Q349" s="89"/>
      <c r="R349" s="89"/>
      <c r="S349" s="89"/>
      <c r="T349" s="89"/>
      <c r="U349" s="89"/>
      <c r="V349" s="89"/>
      <c r="W349" s="89"/>
      <c r="X349" s="89"/>
      <c r="Y349" s="89"/>
      <c r="Z349" s="77"/>
      <c r="AA349" s="77"/>
      <c r="AB349" s="94"/>
      <c r="AC349" s="94"/>
      <c r="AD349" s="94"/>
      <c r="AE349" s="94"/>
      <c r="AF349" s="91"/>
      <c r="AG349" s="92"/>
      <c r="AH349" s="92"/>
      <c r="AI349" s="93"/>
      <c r="AJ349" s="94"/>
      <c r="AK349" s="92"/>
      <c r="AL349" s="94"/>
      <c r="AM349" s="94"/>
      <c r="AN349" s="94"/>
      <c r="AO349" s="94"/>
      <c r="AP349" s="94"/>
      <c r="AQ349" s="94"/>
      <c r="AR349" s="94"/>
      <c r="AS349" s="94"/>
      <c r="AT349" s="94"/>
      <c r="AU349" s="92"/>
      <c r="AV349" s="94"/>
      <c r="AW349" s="94"/>
      <c r="AX349" s="94"/>
      <c r="AY349" s="94"/>
      <c r="AZ349" s="94"/>
      <c r="BA349" s="94"/>
      <c r="BB349" s="94"/>
      <c r="BC349" s="94"/>
      <c r="BD349" s="94"/>
      <c r="BE349" s="94"/>
      <c r="BF349" s="94"/>
      <c r="BG349" s="94"/>
      <c r="BH349" s="94"/>
      <c r="BI349" s="94"/>
      <c r="BJ349" s="94"/>
      <c r="BK349" s="94"/>
      <c r="BL349" s="92"/>
      <c r="BM349" s="94"/>
      <c r="BN349" s="94"/>
      <c r="BO349" s="94"/>
      <c r="BP349" s="94"/>
      <c r="BQ349" s="92"/>
      <c r="BR349" s="92"/>
      <c r="BS349" s="92"/>
      <c r="BT349" s="92"/>
      <c r="BU349" s="92"/>
      <c r="BV349" s="92"/>
      <c r="BW349" s="92"/>
      <c r="BX349" s="92"/>
      <c r="BY349" s="92"/>
      <c r="BZ349" s="92"/>
    </row>
    <row r="350" spans="1:78" ht="12.9">
      <c r="A350" s="89"/>
      <c r="B350" s="89"/>
      <c r="C350" s="89"/>
      <c r="D350" s="89"/>
      <c r="E350" s="89"/>
      <c r="F350" s="89"/>
      <c r="G350" s="89"/>
      <c r="H350" s="105"/>
      <c r="I350" s="106"/>
      <c r="J350" s="106"/>
      <c r="K350" s="89"/>
      <c r="L350" s="89"/>
      <c r="M350" s="89"/>
      <c r="N350" s="107"/>
      <c r="O350" s="107"/>
      <c r="P350" s="89"/>
      <c r="Q350" s="89"/>
      <c r="R350" s="89"/>
      <c r="S350" s="89"/>
      <c r="T350" s="89"/>
      <c r="U350" s="89"/>
      <c r="V350" s="89"/>
      <c r="W350" s="89"/>
      <c r="X350" s="89"/>
      <c r="Y350" s="89"/>
      <c r="Z350" s="77"/>
      <c r="AA350" s="77"/>
      <c r="AB350" s="94"/>
      <c r="AC350" s="94"/>
      <c r="AD350" s="94"/>
      <c r="AE350" s="94"/>
      <c r="AF350" s="91"/>
      <c r="AG350" s="92"/>
      <c r="AH350" s="92"/>
      <c r="AI350" s="93"/>
      <c r="AJ350" s="94"/>
      <c r="AK350" s="92"/>
      <c r="AL350" s="94"/>
      <c r="AM350" s="94"/>
      <c r="AN350" s="94"/>
      <c r="AO350" s="94"/>
      <c r="AP350" s="94"/>
      <c r="AQ350" s="94"/>
      <c r="AR350" s="94"/>
      <c r="AS350" s="94"/>
      <c r="AT350" s="94"/>
      <c r="AU350" s="92"/>
      <c r="AV350" s="94"/>
      <c r="AW350" s="94"/>
      <c r="AX350" s="94"/>
      <c r="AY350" s="94"/>
      <c r="AZ350" s="94"/>
      <c r="BA350" s="94"/>
      <c r="BB350" s="94"/>
      <c r="BC350" s="94"/>
      <c r="BD350" s="94"/>
      <c r="BE350" s="94"/>
      <c r="BF350" s="94"/>
      <c r="BG350" s="94"/>
      <c r="BH350" s="94"/>
      <c r="BI350" s="94"/>
      <c r="BJ350" s="94"/>
      <c r="BK350" s="94"/>
      <c r="BL350" s="92"/>
      <c r="BM350" s="94"/>
      <c r="BN350" s="94"/>
      <c r="BO350" s="94"/>
      <c r="BP350" s="94"/>
      <c r="BQ350" s="92"/>
      <c r="BR350" s="92"/>
      <c r="BS350" s="92"/>
      <c r="BT350" s="92"/>
      <c r="BU350" s="92"/>
      <c r="BV350" s="92"/>
      <c r="BW350" s="92"/>
      <c r="BX350" s="92"/>
      <c r="BY350" s="92"/>
      <c r="BZ350" s="92"/>
    </row>
    <row r="351" spans="1:78" ht="12.9">
      <c r="A351" s="89"/>
      <c r="B351" s="89"/>
      <c r="C351" s="89"/>
      <c r="D351" s="89"/>
      <c r="E351" s="89"/>
      <c r="F351" s="89"/>
      <c r="G351" s="89"/>
      <c r="H351" s="105"/>
      <c r="I351" s="106"/>
      <c r="J351" s="106"/>
      <c r="K351" s="89"/>
      <c r="L351" s="89"/>
      <c r="M351" s="89"/>
      <c r="N351" s="107"/>
      <c r="O351" s="107"/>
      <c r="P351" s="89"/>
      <c r="Q351" s="89"/>
      <c r="R351" s="89"/>
      <c r="S351" s="89"/>
      <c r="T351" s="89"/>
      <c r="U351" s="89"/>
      <c r="V351" s="89"/>
      <c r="W351" s="89"/>
      <c r="X351" s="89"/>
      <c r="Y351" s="89"/>
      <c r="Z351" s="77"/>
      <c r="AA351" s="77"/>
      <c r="AB351" s="94"/>
      <c r="AC351" s="94"/>
      <c r="AD351" s="94"/>
      <c r="AE351" s="94"/>
      <c r="AF351" s="91"/>
      <c r="AG351" s="92"/>
      <c r="AH351" s="92"/>
      <c r="AI351" s="93"/>
      <c r="AJ351" s="94"/>
      <c r="AK351" s="92"/>
      <c r="AL351" s="94"/>
      <c r="AM351" s="94"/>
      <c r="AN351" s="94"/>
      <c r="AO351" s="94"/>
      <c r="AP351" s="94"/>
      <c r="AQ351" s="94"/>
      <c r="AR351" s="94"/>
      <c r="AS351" s="94"/>
      <c r="AT351" s="94"/>
      <c r="AU351" s="92"/>
      <c r="AV351" s="94"/>
      <c r="AW351" s="94"/>
      <c r="AX351" s="94"/>
      <c r="AY351" s="94"/>
      <c r="AZ351" s="94"/>
      <c r="BA351" s="94"/>
      <c r="BB351" s="94"/>
      <c r="BC351" s="94"/>
      <c r="BD351" s="94"/>
      <c r="BE351" s="94"/>
      <c r="BF351" s="94"/>
      <c r="BG351" s="94"/>
      <c r="BH351" s="94"/>
      <c r="BI351" s="94"/>
      <c r="BJ351" s="94"/>
      <c r="BK351" s="94"/>
      <c r="BL351" s="92"/>
      <c r="BM351" s="94"/>
      <c r="BN351" s="94"/>
      <c r="BO351" s="94"/>
      <c r="BP351" s="94"/>
      <c r="BQ351" s="92"/>
      <c r="BR351" s="92"/>
      <c r="BS351" s="92"/>
      <c r="BT351" s="92"/>
      <c r="BU351" s="92"/>
      <c r="BV351" s="92"/>
      <c r="BW351" s="92"/>
      <c r="BX351" s="92"/>
      <c r="BY351" s="92"/>
      <c r="BZ351" s="92"/>
    </row>
    <row r="352" spans="1:78" ht="12.9">
      <c r="A352" s="89"/>
      <c r="B352" s="89"/>
      <c r="C352" s="89"/>
      <c r="D352" s="89"/>
      <c r="E352" s="89"/>
      <c r="F352" s="89"/>
      <c r="G352" s="89"/>
      <c r="H352" s="105"/>
      <c r="I352" s="106"/>
      <c r="J352" s="106"/>
      <c r="K352" s="89"/>
      <c r="L352" s="89"/>
      <c r="M352" s="89"/>
      <c r="N352" s="107"/>
      <c r="O352" s="107"/>
      <c r="P352" s="89"/>
      <c r="Q352" s="89"/>
      <c r="R352" s="89"/>
      <c r="S352" s="89"/>
      <c r="T352" s="89"/>
      <c r="U352" s="89"/>
      <c r="V352" s="89"/>
      <c r="W352" s="89"/>
      <c r="X352" s="89"/>
      <c r="Y352" s="89"/>
      <c r="Z352" s="77"/>
      <c r="AA352" s="77"/>
      <c r="AB352" s="94"/>
      <c r="AC352" s="94"/>
      <c r="AD352" s="94"/>
      <c r="AE352" s="94"/>
      <c r="AF352" s="91"/>
      <c r="AG352" s="92"/>
      <c r="AH352" s="92"/>
      <c r="AI352" s="93"/>
      <c r="AJ352" s="94"/>
      <c r="AK352" s="92"/>
      <c r="AL352" s="94"/>
      <c r="AM352" s="94"/>
      <c r="AN352" s="94"/>
      <c r="AO352" s="94"/>
      <c r="AP352" s="94"/>
      <c r="AQ352" s="94"/>
      <c r="AR352" s="94"/>
      <c r="AS352" s="94"/>
      <c r="AT352" s="94"/>
      <c r="AU352" s="92"/>
      <c r="AV352" s="94"/>
      <c r="AW352" s="94"/>
      <c r="AX352" s="94"/>
      <c r="AY352" s="94"/>
      <c r="AZ352" s="94"/>
      <c r="BA352" s="94"/>
      <c r="BB352" s="94"/>
      <c r="BC352" s="94"/>
      <c r="BD352" s="94"/>
      <c r="BE352" s="94"/>
      <c r="BF352" s="94"/>
      <c r="BG352" s="94"/>
      <c r="BH352" s="94"/>
      <c r="BI352" s="94"/>
      <c r="BJ352" s="94"/>
      <c r="BK352" s="94"/>
      <c r="BL352" s="92"/>
      <c r="BM352" s="94"/>
      <c r="BN352" s="94"/>
      <c r="BO352" s="94"/>
      <c r="BP352" s="94"/>
      <c r="BQ352" s="92"/>
      <c r="BR352" s="92"/>
      <c r="BS352" s="92"/>
      <c r="BT352" s="92"/>
      <c r="BU352" s="92"/>
      <c r="BV352" s="92"/>
      <c r="BW352" s="92"/>
      <c r="BX352" s="92"/>
      <c r="BY352" s="92"/>
      <c r="BZ352" s="92"/>
    </row>
    <row r="353" spans="1:78" ht="12.9">
      <c r="A353" s="89"/>
      <c r="B353" s="89"/>
      <c r="C353" s="89"/>
      <c r="D353" s="89"/>
      <c r="E353" s="89"/>
      <c r="F353" s="89"/>
      <c r="G353" s="89"/>
      <c r="H353" s="105"/>
      <c r="I353" s="106"/>
      <c r="J353" s="106"/>
      <c r="K353" s="89"/>
      <c r="L353" s="89"/>
      <c r="M353" s="89"/>
      <c r="N353" s="107"/>
      <c r="O353" s="107"/>
      <c r="P353" s="89"/>
      <c r="Q353" s="89"/>
      <c r="R353" s="89"/>
      <c r="S353" s="89"/>
      <c r="T353" s="89"/>
      <c r="U353" s="89"/>
      <c r="V353" s="89"/>
      <c r="W353" s="89"/>
      <c r="X353" s="89"/>
      <c r="Y353" s="89"/>
      <c r="Z353" s="77"/>
      <c r="AA353" s="77"/>
      <c r="AB353" s="94"/>
      <c r="AC353" s="94"/>
      <c r="AD353" s="94"/>
      <c r="AE353" s="94"/>
      <c r="AF353" s="91"/>
      <c r="AG353" s="92"/>
      <c r="AH353" s="92"/>
      <c r="AI353" s="93"/>
      <c r="AJ353" s="94"/>
      <c r="AK353" s="92"/>
      <c r="AL353" s="94"/>
      <c r="AM353" s="94"/>
      <c r="AN353" s="94"/>
      <c r="AO353" s="94"/>
      <c r="AP353" s="94"/>
      <c r="AQ353" s="94"/>
      <c r="AR353" s="94"/>
      <c r="AS353" s="94"/>
      <c r="AT353" s="94"/>
      <c r="AU353" s="92"/>
      <c r="AV353" s="94"/>
      <c r="AW353" s="94"/>
      <c r="AX353" s="94"/>
      <c r="AY353" s="94"/>
      <c r="AZ353" s="94"/>
      <c r="BA353" s="94"/>
      <c r="BB353" s="94"/>
      <c r="BC353" s="94"/>
      <c r="BD353" s="94"/>
      <c r="BE353" s="94"/>
      <c r="BF353" s="94"/>
      <c r="BG353" s="94"/>
      <c r="BH353" s="94"/>
      <c r="BI353" s="94"/>
      <c r="BJ353" s="94"/>
      <c r="BK353" s="94"/>
      <c r="BL353" s="92"/>
      <c r="BM353" s="94"/>
      <c r="BN353" s="94"/>
      <c r="BO353" s="94"/>
      <c r="BP353" s="94"/>
      <c r="BQ353" s="92"/>
      <c r="BR353" s="92"/>
      <c r="BS353" s="92"/>
      <c r="BT353" s="92"/>
      <c r="BU353" s="92"/>
      <c r="BV353" s="92"/>
      <c r="BW353" s="92"/>
      <c r="BX353" s="92"/>
      <c r="BY353" s="92"/>
      <c r="BZ353" s="92"/>
    </row>
    <row r="354" spans="1:78" ht="12.9">
      <c r="A354" s="89"/>
      <c r="B354" s="89"/>
      <c r="C354" s="89"/>
      <c r="D354" s="89"/>
      <c r="E354" s="89"/>
      <c r="F354" s="89"/>
      <c r="G354" s="89"/>
      <c r="H354" s="105"/>
      <c r="I354" s="106"/>
      <c r="J354" s="106"/>
      <c r="K354" s="89"/>
      <c r="L354" s="89"/>
      <c r="M354" s="89"/>
      <c r="N354" s="107"/>
      <c r="O354" s="107"/>
      <c r="P354" s="89"/>
      <c r="Q354" s="89"/>
      <c r="R354" s="89"/>
      <c r="S354" s="89"/>
      <c r="T354" s="89"/>
      <c r="U354" s="89"/>
      <c r="V354" s="89"/>
      <c r="W354" s="89"/>
      <c r="X354" s="89"/>
      <c r="Y354" s="89"/>
      <c r="Z354" s="77"/>
      <c r="AA354" s="77"/>
      <c r="AB354" s="94"/>
      <c r="AC354" s="94"/>
      <c r="AD354" s="94"/>
      <c r="AE354" s="94"/>
      <c r="AF354" s="91"/>
      <c r="AG354" s="92"/>
      <c r="AH354" s="92"/>
      <c r="AI354" s="93"/>
      <c r="AJ354" s="94"/>
      <c r="AK354" s="92"/>
      <c r="AL354" s="94"/>
      <c r="AM354" s="94"/>
      <c r="AN354" s="94"/>
      <c r="AO354" s="94"/>
      <c r="AP354" s="94"/>
      <c r="AQ354" s="94"/>
      <c r="AR354" s="94"/>
      <c r="AS354" s="94"/>
      <c r="AT354" s="94"/>
      <c r="AU354" s="92"/>
      <c r="AV354" s="94"/>
      <c r="AW354" s="94"/>
      <c r="AX354" s="94"/>
      <c r="AY354" s="94"/>
      <c r="AZ354" s="94"/>
      <c r="BA354" s="94"/>
      <c r="BB354" s="94"/>
      <c r="BC354" s="94"/>
      <c r="BD354" s="94"/>
      <c r="BE354" s="94"/>
      <c r="BF354" s="94"/>
      <c r="BG354" s="94"/>
      <c r="BH354" s="94"/>
      <c r="BI354" s="94"/>
      <c r="BJ354" s="94"/>
      <c r="BK354" s="94"/>
      <c r="BL354" s="92"/>
      <c r="BM354" s="94"/>
      <c r="BN354" s="94"/>
      <c r="BO354" s="94"/>
      <c r="BP354" s="94"/>
      <c r="BQ354" s="92"/>
      <c r="BR354" s="92"/>
      <c r="BS354" s="92"/>
      <c r="BT354" s="92"/>
      <c r="BU354" s="92"/>
      <c r="BV354" s="92"/>
      <c r="BW354" s="92"/>
      <c r="BX354" s="92"/>
      <c r="BY354" s="92"/>
      <c r="BZ354" s="92"/>
    </row>
    <row r="355" spans="1:78" ht="12.9">
      <c r="A355" s="89"/>
      <c r="B355" s="89"/>
      <c r="C355" s="89"/>
      <c r="D355" s="89"/>
      <c r="E355" s="89"/>
      <c r="F355" s="89"/>
      <c r="G355" s="89"/>
      <c r="H355" s="105"/>
      <c r="I355" s="106"/>
      <c r="J355" s="106"/>
      <c r="K355" s="89"/>
      <c r="L355" s="89"/>
      <c r="M355" s="89"/>
      <c r="N355" s="107"/>
      <c r="O355" s="107"/>
      <c r="P355" s="89"/>
      <c r="Q355" s="89"/>
      <c r="R355" s="89"/>
      <c r="S355" s="89"/>
      <c r="T355" s="89"/>
      <c r="U355" s="89"/>
      <c r="V355" s="89"/>
      <c r="W355" s="89"/>
      <c r="X355" s="89"/>
      <c r="Y355" s="89"/>
      <c r="Z355" s="77"/>
      <c r="AA355" s="77"/>
      <c r="AB355" s="94"/>
      <c r="AC355" s="94"/>
      <c r="AD355" s="94"/>
      <c r="AE355" s="94"/>
      <c r="AF355" s="91"/>
      <c r="AG355" s="92"/>
      <c r="AH355" s="92"/>
      <c r="AI355" s="93"/>
      <c r="AJ355" s="94"/>
      <c r="AK355" s="92"/>
      <c r="AL355" s="94"/>
      <c r="AM355" s="94"/>
      <c r="AN355" s="94"/>
      <c r="AO355" s="94"/>
      <c r="AP355" s="94"/>
      <c r="AQ355" s="94"/>
      <c r="AR355" s="94"/>
      <c r="AS355" s="94"/>
      <c r="AT355" s="94"/>
      <c r="AU355" s="92"/>
      <c r="AV355" s="94"/>
      <c r="AW355" s="94"/>
      <c r="AX355" s="94"/>
      <c r="AY355" s="94"/>
      <c r="AZ355" s="94"/>
      <c r="BA355" s="94"/>
      <c r="BB355" s="94"/>
      <c r="BC355" s="94"/>
      <c r="BD355" s="94"/>
      <c r="BE355" s="94"/>
      <c r="BF355" s="94"/>
      <c r="BG355" s="94"/>
      <c r="BH355" s="94"/>
      <c r="BI355" s="94"/>
      <c r="BJ355" s="94"/>
      <c r="BK355" s="94"/>
      <c r="BL355" s="92"/>
      <c r="BM355" s="94"/>
      <c r="BN355" s="94"/>
      <c r="BO355" s="94"/>
      <c r="BP355" s="94"/>
      <c r="BQ355" s="92"/>
      <c r="BR355" s="92"/>
      <c r="BS355" s="92"/>
      <c r="BT355" s="92"/>
      <c r="BU355" s="92"/>
      <c r="BV355" s="92"/>
      <c r="BW355" s="92"/>
      <c r="BX355" s="92"/>
      <c r="BY355" s="92"/>
      <c r="BZ355" s="92"/>
    </row>
    <row r="356" spans="1:78" ht="12.9">
      <c r="A356" s="89"/>
      <c r="B356" s="89"/>
      <c r="C356" s="89"/>
      <c r="D356" s="89"/>
      <c r="E356" s="89"/>
      <c r="F356" s="89"/>
      <c r="G356" s="89"/>
      <c r="H356" s="105"/>
      <c r="I356" s="106"/>
      <c r="J356" s="106"/>
      <c r="K356" s="89"/>
      <c r="L356" s="89"/>
      <c r="M356" s="89"/>
      <c r="N356" s="107"/>
      <c r="O356" s="107"/>
      <c r="P356" s="89"/>
      <c r="Q356" s="89"/>
      <c r="R356" s="89"/>
      <c r="S356" s="89"/>
      <c r="T356" s="89"/>
      <c r="U356" s="89"/>
      <c r="V356" s="89"/>
      <c r="W356" s="89"/>
      <c r="X356" s="89"/>
      <c r="Y356" s="89"/>
      <c r="Z356" s="77"/>
      <c r="AA356" s="77"/>
      <c r="AB356" s="94"/>
      <c r="AC356" s="94"/>
      <c r="AD356" s="94"/>
      <c r="AE356" s="94"/>
      <c r="AF356" s="91"/>
      <c r="AG356" s="92"/>
      <c r="AH356" s="92"/>
      <c r="AI356" s="93"/>
      <c r="AJ356" s="94"/>
      <c r="AK356" s="92"/>
      <c r="AL356" s="94"/>
      <c r="AM356" s="94"/>
      <c r="AN356" s="94"/>
      <c r="AO356" s="94"/>
      <c r="AP356" s="94"/>
      <c r="AQ356" s="94"/>
      <c r="AR356" s="94"/>
      <c r="AS356" s="94"/>
      <c r="AT356" s="94"/>
      <c r="AU356" s="92"/>
      <c r="AV356" s="94"/>
      <c r="AW356" s="94"/>
      <c r="AX356" s="94"/>
      <c r="AY356" s="94"/>
      <c r="AZ356" s="94"/>
      <c r="BA356" s="94"/>
      <c r="BB356" s="94"/>
      <c r="BC356" s="94"/>
      <c r="BD356" s="94"/>
      <c r="BE356" s="94"/>
      <c r="BF356" s="94"/>
      <c r="BG356" s="94"/>
      <c r="BH356" s="94"/>
      <c r="BI356" s="94"/>
      <c r="BJ356" s="94"/>
      <c r="BK356" s="94"/>
      <c r="BL356" s="92"/>
      <c r="BM356" s="94"/>
      <c r="BN356" s="94"/>
      <c r="BO356" s="94"/>
      <c r="BP356" s="94"/>
      <c r="BQ356" s="92"/>
      <c r="BR356" s="92"/>
      <c r="BS356" s="92"/>
      <c r="BT356" s="92"/>
      <c r="BU356" s="92"/>
      <c r="BV356" s="92"/>
      <c r="BW356" s="92"/>
      <c r="BX356" s="92"/>
      <c r="BY356" s="92"/>
      <c r="BZ356" s="92"/>
    </row>
    <row r="357" spans="1:78" ht="12.9">
      <c r="A357" s="89"/>
      <c r="B357" s="89"/>
      <c r="C357" s="89"/>
      <c r="D357" s="89"/>
      <c r="E357" s="89"/>
      <c r="F357" s="89"/>
      <c r="G357" s="89"/>
      <c r="H357" s="105"/>
      <c r="I357" s="106"/>
      <c r="J357" s="106"/>
      <c r="K357" s="89"/>
      <c r="L357" s="89"/>
      <c r="M357" s="89"/>
      <c r="N357" s="107"/>
      <c r="O357" s="107"/>
      <c r="P357" s="89"/>
      <c r="Q357" s="89"/>
      <c r="R357" s="89"/>
      <c r="S357" s="89"/>
      <c r="T357" s="89"/>
      <c r="U357" s="89"/>
      <c r="V357" s="89"/>
      <c r="W357" s="89"/>
      <c r="X357" s="89"/>
      <c r="Y357" s="89"/>
      <c r="Z357" s="77"/>
      <c r="AA357" s="77"/>
      <c r="AB357" s="94"/>
      <c r="AC357" s="94"/>
      <c r="AD357" s="94"/>
      <c r="AE357" s="94"/>
      <c r="AF357" s="91"/>
      <c r="AG357" s="92"/>
      <c r="AH357" s="92"/>
      <c r="AI357" s="93"/>
      <c r="AJ357" s="94"/>
      <c r="AK357" s="92"/>
      <c r="AL357" s="94"/>
      <c r="AM357" s="94"/>
      <c r="AN357" s="94"/>
      <c r="AO357" s="94"/>
      <c r="AP357" s="94"/>
      <c r="AQ357" s="94"/>
      <c r="AR357" s="94"/>
      <c r="AS357" s="94"/>
      <c r="AT357" s="94"/>
      <c r="AU357" s="92"/>
      <c r="AV357" s="94"/>
      <c r="AW357" s="94"/>
      <c r="AX357" s="94"/>
      <c r="AY357" s="94"/>
      <c r="AZ357" s="94"/>
      <c r="BA357" s="94"/>
      <c r="BB357" s="94"/>
      <c r="BC357" s="94"/>
      <c r="BD357" s="94"/>
      <c r="BE357" s="94"/>
      <c r="BF357" s="94"/>
      <c r="BG357" s="94"/>
      <c r="BH357" s="94"/>
      <c r="BI357" s="94"/>
      <c r="BJ357" s="94"/>
      <c r="BK357" s="94"/>
      <c r="BL357" s="92"/>
      <c r="BM357" s="94"/>
      <c r="BN357" s="94"/>
      <c r="BO357" s="94"/>
      <c r="BP357" s="94"/>
      <c r="BQ357" s="92"/>
      <c r="BR357" s="92"/>
      <c r="BS357" s="92"/>
      <c r="BT357" s="92"/>
      <c r="BU357" s="92"/>
      <c r="BV357" s="92"/>
      <c r="BW357" s="92"/>
      <c r="BX357" s="92"/>
      <c r="BY357" s="92"/>
      <c r="BZ357" s="92"/>
    </row>
    <row r="358" spans="1:78" ht="12.9">
      <c r="A358" s="89"/>
      <c r="B358" s="89"/>
      <c r="C358" s="89"/>
      <c r="D358" s="89"/>
      <c r="E358" s="89"/>
      <c r="F358" s="89"/>
      <c r="G358" s="89"/>
      <c r="H358" s="105"/>
      <c r="I358" s="106"/>
      <c r="J358" s="106"/>
      <c r="K358" s="89"/>
      <c r="L358" s="89"/>
      <c r="M358" s="89"/>
      <c r="N358" s="107"/>
      <c r="O358" s="107"/>
      <c r="P358" s="89"/>
      <c r="Q358" s="89"/>
      <c r="R358" s="89"/>
      <c r="S358" s="89"/>
      <c r="T358" s="89"/>
      <c r="U358" s="89"/>
      <c r="V358" s="89"/>
      <c r="W358" s="89"/>
      <c r="X358" s="89"/>
      <c r="Y358" s="89"/>
      <c r="Z358" s="77"/>
      <c r="AA358" s="77"/>
      <c r="AB358" s="94"/>
      <c r="AC358" s="94"/>
      <c r="AD358" s="94"/>
      <c r="AE358" s="94"/>
      <c r="AF358" s="91"/>
      <c r="AG358" s="92"/>
      <c r="AH358" s="92"/>
      <c r="AI358" s="93"/>
      <c r="AJ358" s="94"/>
      <c r="AK358" s="92"/>
      <c r="AL358" s="94"/>
      <c r="AM358" s="94"/>
      <c r="AN358" s="94"/>
      <c r="AO358" s="94"/>
      <c r="AP358" s="94"/>
      <c r="AQ358" s="94"/>
      <c r="AR358" s="94"/>
      <c r="AS358" s="94"/>
      <c r="AT358" s="94"/>
      <c r="AU358" s="92"/>
      <c r="AV358" s="94"/>
      <c r="AW358" s="94"/>
      <c r="AX358" s="94"/>
      <c r="AY358" s="94"/>
      <c r="AZ358" s="94"/>
      <c r="BA358" s="94"/>
      <c r="BB358" s="94"/>
      <c r="BC358" s="94"/>
      <c r="BD358" s="94"/>
      <c r="BE358" s="94"/>
      <c r="BF358" s="94"/>
      <c r="BG358" s="94"/>
      <c r="BH358" s="94"/>
      <c r="BI358" s="94"/>
      <c r="BJ358" s="94"/>
      <c r="BK358" s="94"/>
      <c r="BL358" s="92"/>
      <c r="BM358" s="94"/>
      <c r="BN358" s="94"/>
      <c r="BO358" s="94"/>
      <c r="BP358" s="94"/>
      <c r="BQ358" s="92"/>
      <c r="BR358" s="92"/>
      <c r="BS358" s="92"/>
      <c r="BT358" s="92"/>
      <c r="BU358" s="92"/>
      <c r="BV358" s="92"/>
      <c r="BW358" s="92"/>
      <c r="BX358" s="92"/>
      <c r="BY358" s="92"/>
      <c r="BZ358" s="92"/>
    </row>
    <row r="359" spans="1:78" ht="12.9">
      <c r="A359" s="89"/>
      <c r="B359" s="89"/>
      <c r="C359" s="89"/>
      <c r="D359" s="89"/>
      <c r="E359" s="89"/>
      <c r="F359" s="89"/>
      <c r="G359" s="89"/>
      <c r="H359" s="105"/>
      <c r="I359" s="106"/>
      <c r="J359" s="106"/>
      <c r="K359" s="89"/>
      <c r="L359" s="89"/>
      <c r="M359" s="89"/>
      <c r="N359" s="107"/>
      <c r="O359" s="107"/>
      <c r="P359" s="89"/>
      <c r="Q359" s="89"/>
      <c r="R359" s="89"/>
      <c r="S359" s="89"/>
      <c r="T359" s="89"/>
      <c r="U359" s="89"/>
      <c r="V359" s="89"/>
      <c r="W359" s="89"/>
      <c r="X359" s="89"/>
      <c r="Y359" s="89"/>
      <c r="Z359" s="77"/>
      <c r="AA359" s="77"/>
      <c r="AB359" s="94"/>
      <c r="AC359" s="94"/>
      <c r="AD359" s="94"/>
      <c r="AE359" s="94"/>
      <c r="AF359" s="91"/>
      <c r="AG359" s="92"/>
      <c r="AH359" s="92"/>
      <c r="AI359" s="93"/>
      <c r="AJ359" s="94"/>
      <c r="AK359" s="92"/>
      <c r="AL359" s="94"/>
      <c r="AM359" s="94"/>
      <c r="AN359" s="94"/>
      <c r="AO359" s="94"/>
      <c r="AP359" s="94"/>
      <c r="AQ359" s="94"/>
      <c r="AR359" s="94"/>
      <c r="AS359" s="94"/>
      <c r="AT359" s="94"/>
      <c r="AU359" s="92"/>
      <c r="AV359" s="94"/>
      <c r="AW359" s="94"/>
      <c r="AX359" s="94"/>
      <c r="AY359" s="94"/>
      <c r="AZ359" s="94"/>
      <c r="BA359" s="94"/>
      <c r="BB359" s="94"/>
      <c r="BC359" s="94"/>
      <c r="BD359" s="94"/>
      <c r="BE359" s="94"/>
      <c r="BF359" s="94"/>
      <c r="BG359" s="94"/>
      <c r="BH359" s="94"/>
      <c r="BI359" s="94"/>
      <c r="BJ359" s="94"/>
      <c r="BK359" s="94"/>
      <c r="BL359" s="92"/>
      <c r="BM359" s="94"/>
      <c r="BN359" s="94"/>
      <c r="BO359" s="94"/>
      <c r="BP359" s="94"/>
      <c r="BQ359" s="92"/>
      <c r="BR359" s="92"/>
      <c r="BS359" s="92"/>
      <c r="BT359" s="92"/>
      <c r="BU359" s="92"/>
      <c r="BV359" s="92"/>
      <c r="BW359" s="92"/>
      <c r="BX359" s="92"/>
      <c r="BY359" s="92"/>
      <c r="BZ359" s="92"/>
    </row>
    <row r="360" spans="1:78" ht="12.9">
      <c r="A360" s="89"/>
      <c r="B360" s="89"/>
      <c r="C360" s="89"/>
      <c r="D360" s="89"/>
      <c r="E360" s="89"/>
      <c r="F360" s="89"/>
      <c r="G360" s="89"/>
      <c r="H360" s="105"/>
      <c r="I360" s="106"/>
      <c r="J360" s="106"/>
      <c r="K360" s="89"/>
      <c r="L360" s="89"/>
      <c r="M360" s="89"/>
      <c r="N360" s="107"/>
      <c r="O360" s="107"/>
      <c r="P360" s="89"/>
      <c r="Q360" s="89"/>
      <c r="R360" s="89"/>
      <c r="S360" s="89"/>
      <c r="T360" s="89"/>
      <c r="U360" s="89"/>
      <c r="V360" s="89"/>
      <c r="W360" s="89"/>
      <c r="X360" s="89"/>
      <c r="Y360" s="89"/>
      <c r="Z360" s="77"/>
      <c r="AA360" s="77"/>
      <c r="AB360" s="94"/>
      <c r="AC360" s="94"/>
      <c r="AD360" s="94"/>
      <c r="AE360" s="94"/>
      <c r="AF360" s="91"/>
      <c r="AG360" s="92"/>
      <c r="AH360" s="92"/>
      <c r="AI360" s="93"/>
      <c r="AJ360" s="94"/>
      <c r="AK360" s="92"/>
      <c r="AL360" s="94"/>
      <c r="AM360" s="94"/>
      <c r="AN360" s="94"/>
      <c r="AO360" s="94"/>
      <c r="AP360" s="94"/>
      <c r="AQ360" s="94"/>
      <c r="AR360" s="94"/>
      <c r="AS360" s="94"/>
      <c r="AT360" s="94"/>
      <c r="AU360" s="92"/>
      <c r="AV360" s="94"/>
      <c r="AW360" s="94"/>
      <c r="AX360" s="94"/>
      <c r="AY360" s="94"/>
      <c r="AZ360" s="94"/>
      <c r="BA360" s="94"/>
      <c r="BB360" s="94"/>
      <c r="BC360" s="94"/>
      <c r="BD360" s="94"/>
      <c r="BE360" s="94"/>
      <c r="BF360" s="94"/>
      <c r="BG360" s="94"/>
      <c r="BH360" s="94"/>
      <c r="BI360" s="94"/>
      <c r="BJ360" s="94"/>
      <c r="BK360" s="94"/>
      <c r="BL360" s="92"/>
      <c r="BM360" s="94"/>
      <c r="BN360" s="94"/>
      <c r="BO360" s="94"/>
      <c r="BP360" s="94"/>
      <c r="BQ360" s="92"/>
      <c r="BR360" s="92"/>
      <c r="BS360" s="92"/>
      <c r="BT360" s="92"/>
      <c r="BU360" s="92"/>
      <c r="BV360" s="92"/>
      <c r="BW360" s="92"/>
      <c r="BX360" s="92"/>
      <c r="BY360" s="92"/>
      <c r="BZ360" s="92"/>
    </row>
    <row r="361" spans="1:78" ht="12.9">
      <c r="A361" s="89"/>
      <c r="B361" s="89"/>
      <c r="C361" s="89"/>
      <c r="D361" s="89"/>
      <c r="E361" s="89"/>
      <c r="F361" s="89"/>
      <c r="G361" s="89"/>
      <c r="H361" s="105"/>
      <c r="I361" s="106"/>
      <c r="J361" s="106"/>
      <c r="K361" s="89"/>
      <c r="L361" s="89"/>
      <c r="M361" s="89"/>
      <c r="N361" s="107"/>
      <c r="O361" s="107"/>
      <c r="P361" s="89"/>
      <c r="Q361" s="89"/>
      <c r="R361" s="89"/>
      <c r="S361" s="89"/>
      <c r="T361" s="89"/>
      <c r="U361" s="89"/>
      <c r="V361" s="89"/>
      <c r="W361" s="89"/>
      <c r="X361" s="89"/>
      <c r="Y361" s="89"/>
      <c r="Z361" s="77"/>
      <c r="AA361" s="77"/>
      <c r="AB361" s="94"/>
      <c r="AC361" s="94"/>
      <c r="AD361" s="94"/>
      <c r="AE361" s="94"/>
      <c r="AF361" s="91"/>
      <c r="AG361" s="92"/>
      <c r="AH361" s="92"/>
      <c r="AI361" s="93"/>
      <c r="AJ361" s="94"/>
      <c r="AK361" s="92"/>
      <c r="AL361" s="94"/>
      <c r="AM361" s="94"/>
      <c r="AN361" s="94"/>
      <c r="AO361" s="94"/>
      <c r="AP361" s="94"/>
      <c r="AQ361" s="94"/>
      <c r="AR361" s="94"/>
      <c r="AS361" s="94"/>
      <c r="AT361" s="94"/>
      <c r="AU361" s="92"/>
      <c r="AV361" s="94"/>
      <c r="AW361" s="94"/>
      <c r="AX361" s="94"/>
      <c r="AY361" s="94"/>
      <c r="AZ361" s="94"/>
      <c r="BA361" s="94"/>
      <c r="BB361" s="94"/>
      <c r="BC361" s="94"/>
      <c r="BD361" s="94"/>
      <c r="BE361" s="94"/>
      <c r="BF361" s="94"/>
      <c r="BG361" s="94"/>
      <c r="BH361" s="94"/>
      <c r="BI361" s="94"/>
      <c r="BJ361" s="94"/>
      <c r="BK361" s="94"/>
      <c r="BL361" s="92"/>
      <c r="BM361" s="94"/>
      <c r="BN361" s="94"/>
      <c r="BO361" s="94"/>
      <c r="BP361" s="94"/>
      <c r="BQ361" s="92"/>
      <c r="BR361" s="92"/>
      <c r="BS361" s="92"/>
      <c r="BT361" s="92"/>
      <c r="BU361" s="92"/>
      <c r="BV361" s="92"/>
      <c r="BW361" s="92"/>
      <c r="BX361" s="92"/>
      <c r="BY361" s="92"/>
      <c r="BZ361" s="92"/>
    </row>
    <row r="362" spans="1:78" ht="12.9">
      <c r="A362" s="89"/>
      <c r="B362" s="89"/>
      <c r="C362" s="89"/>
      <c r="D362" s="89"/>
      <c r="E362" s="89"/>
      <c r="F362" s="89"/>
      <c r="G362" s="89"/>
      <c r="H362" s="105"/>
      <c r="I362" s="106"/>
      <c r="J362" s="106"/>
      <c r="K362" s="89"/>
      <c r="L362" s="89"/>
      <c r="M362" s="89"/>
      <c r="N362" s="107"/>
      <c r="O362" s="107"/>
      <c r="P362" s="89"/>
      <c r="Q362" s="89"/>
      <c r="R362" s="89"/>
      <c r="S362" s="89"/>
      <c r="T362" s="89"/>
      <c r="U362" s="89"/>
      <c r="V362" s="89"/>
      <c r="W362" s="89"/>
      <c r="X362" s="89"/>
      <c r="Y362" s="89"/>
      <c r="Z362" s="77"/>
      <c r="AA362" s="77"/>
      <c r="AB362" s="94"/>
      <c r="AC362" s="94"/>
      <c r="AD362" s="94"/>
      <c r="AE362" s="94"/>
      <c r="AF362" s="91"/>
      <c r="AG362" s="92"/>
      <c r="AH362" s="92"/>
      <c r="AI362" s="93"/>
      <c r="AJ362" s="94"/>
      <c r="AK362" s="92"/>
      <c r="AL362" s="94"/>
      <c r="AM362" s="94"/>
      <c r="AN362" s="94"/>
      <c r="AO362" s="94"/>
      <c r="AP362" s="94"/>
      <c r="AQ362" s="94"/>
      <c r="AR362" s="94"/>
      <c r="AS362" s="94"/>
      <c r="AT362" s="94"/>
      <c r="AU362" s="92"/>
      <c r="AV362" s="94"/>
      <c r="AW362" s="94"/>
      <c r="AX362" s="94"/>
      <c r="AY362" s="94"/>
      <c r="AZ362" s="94"/>
      <c r="BA362" s="94"/>
      <c r="BB362" s="94"/>
      <c r="BC362" s="94"/>
      <c r="BD362" s="94"/>
      <c r="BE362" s="94"/>
      <c r="BF362" s="94"/>
      <c r="BG362" s="94"/>
      <c r="BH362" s="94"/>
      <c r="BI362" s="94"/>
      <c r="BJ362" s="94"/>
      <c r="BK362" s="94"/>
      <c r="BL362" s="92"/>
      <c r="BM362" s="94"/>
      <c r="BN362" s="94"/>
      <c r="BO362" s="94"/>
      <c r="BP362" s="94"/>
      <c r="BQ362" s="92"/>
      <c r="BR362" s="92"/>
      <c r="BS362" s="92"/>
      <c r="BT362" s="92"/>
      <c r="BU362" s="92"/>
      <c r="BV362" s="92"/>
      <c r="BW362" s="92"/>
      <c r="BX362" s="92"/>
      <c r="BY362" s="92"/>
      <c r="BZ362" s="92"/>
    </row>
    <row r="363" spans="1:78" ht="12.9">
      <c r="A363" s="89"/>
      <c r="B363" s="89"/>
      <c r="C363" s="89"/>
      <c r="D363" s="89"/>
      <c r="E363" s="89"/>
      <c r="F363" s="89"/>
      <c r="G363" s="89"/>
      <c r="H363" s="105"/>
      <c r="I363" s="106"/>
      <c r="J363" s="106"/>
      <c r="K363" s="89"/>
      <c r="L363" s="89"/>
      <c r="M363" s="89"/>
      <c r="N363" s="107"/>
      <c r="O363" s="107"/>
      <c r="P363" s="89"/>
      <c r="Q363" s="89"/>
      <c r="R363" s="89"/>
      <c r="S363" s="89"/>
      <c r="T363" s="89"/>
      <c r="U363" s="89"/>
      <c r="V363" s="89"/>
      <c r="W363" s="89"/>
      <c r="X363" s="89"/>
      <c r="Y363" s="89"/>
      <c r="Z363" s="77"/>
      <c r="AA363" s="77"/>
      <c r="AB363" s="94"/>
      <c r="AC363" s="94"/>
      <c r="AD363" s="94"/>
      <c r="AE363" s="94"/>
      <c r="AF363" s="91"/>
      <c r="AG363" s="92"/>
      <c r="AH363" s="92"/>
      <c r="AI363" s="93"/>
      <c r="AJ363" s="94"/>
      <c r="AK363" s="92"/>
      <c r="AL363" s="94"/>
      <c r="AM363" s="94"/>
      <c r="AN363" s="94"/>
      <c r="AO363" s="94"/>
      <c r="AP363" s="94"/>
      <c r="AQ363" s="94"/>
      <c r="AR363" s="94"/>
      <c r="AS363" s="94"/>
      <c r="AT363" s="94"/>
      <c r="AU363" s="92"/>
      <c r="AV363" s="94"/>
      <c r="AW363" s="94"/>
      <c r="AX363" s="94"/>
      <c r="AY363" s="94"/>
      <c r="AZ363" s="94"/>
      <c r="BA363" s="94"/>
      <c r="BB363" s="94"/>
      <c r="BC363" s="94"/>
      <c r="BD363" s="94"/>
      <c r="BE363" s="94"/>
      <c r="BF363" s="94"/>
      <c r="BG363" s="94"/>
      <c r="BH363" s="94"/>
      <c r="BI363" s="94"/>
      <c r="BJ363" s="94"/>
      <c r="BK363" s="94"/>
      <c r="BL363" s="92"/>
      <c r="BM363" s="94"/>
      <c r="BN363" s="94"/>
      <c r="BO363" s="94"/>
      <c r="BP363" s="94"/>
      <c r="BQ363" s="92"/>
      <c r="BR363" s="92"/>
      <c r="BS363" s="92"/>
      <c r="BT363" s="92"/>
      <c r="BU363" s="92"/>
      <c r="BV363" s="92"/>
      <c r="BW363" s="92"/>
      <c r="BX363" s="92"/>
      <c r="BY363" s="92"/>
      <c r="BZ363" s="92"/>
    </row>
    <row r="364" spans="1:78" ht="12.9">
      <c r="A364" s="89"/>
      <c r="B364" s="89"/>
      <c r="C364" s="89"/>
      <c r="D364" s="89"/>
      <c r="E364" s="89"/>
      <c r="F364" s="89"/>
      <c r="G364" s="89"/>
      <c r="H364" s="105"/>
      <c r="I364" s="106"/>
      <c r="J364" s="106"/>
      <c r="K364" s="89"/>
      <c r="L364" s="89"/>
      <c r="M364" s="89"/>
      <c r="N364" s="107"/>
      <c r="O364" s="107"/>
      <c r="P364" s="89"/>
      <c r="Q364" s="89"/>
      <c r="R364" s="89"/>
      <c r="S364" s="89"/>
      <c r="T364" s="89"/>
      <c r="U364" s="89"/>
      <c r="V364" s="89"/>
      <c r="W364" s="89"/>
      <c r="X364" s="89"/>
      <c r="Y364" s="89"/>
      <c r="Z364" s="77"/>
      <c r="AA364" s="77"/>
      <c r="AB364" s="94"/>
      <c r="AC364" s="94"/>
      <c r="AD364" s="94"/>
      <c r="AE364" s="94"/>
      <c r="AF364" s="91"/>
      <c r="AG364" s="92"/>
      <c r="AH364" s="92"/>
      <c r="AI364" s="93"/>
      <c r="AJ364" s="94"/>
      <c r="AK364" s="92"/>
      <c r="AL364" s="94"/>
      <c r="AM364" s="94"/>
      <c r="AN364" s="94"/>
      <c r="AO364" s="94"/>
      <c r="AP364" s="94"/>
      <c r="AQ364" s="94"/>
      <c r="AR364" s="94"/>
      <c r="AS364" s="94"/>
      <c r="AT364" s="94"/>
      <c r="AU364" s="92"/>
      <c r="AV364" s="94"/>
      <c r="AW364" s="94"/>
      <c r="AX364" s="94"/>
      <c r="AY364" s="94"/>
      <c r="AZ364" s="94"/>
      <c r="BA364" s="94"/>
      <c r="BB364" s="94"/>
      <c r="BC364" s="94"/>
      <c r="BD364" s="94"/>
      <c r="BE364" s="94"/>
      <c r="BF364" s="94"/>
      <c r="BG364" s="94"/>
      <c r="BH364" s="94"/>
      <c r="BI364" s="94"/>
      <c r="BJ364" s="94"/>
      <c r="BK364" s="94"/>
      <c r="BL364" s="92"/>
      <c r="BM364" s="94"/>
      <c r="BN364" s="94"/>
      <c r="BO364" s="94"/>
      <c r="BP364" s="94"/>
      <c r="BQ364" s="92"/>
      <c r="BR364" s="92"/>
      <c r="BS364" s="92"/>
      <c r="BT364" s="92"/>
      <c r="BU364" s="92"/>
      <c r="BV364" s="92"/>
      <c r="BW364" s="92"/>
      <c r="BX364" s="92"/>
      <c r="BY364" s="92"/>
      <c r="BZ364" s="92"/>
    </row>
    <row r="365" spans="1:78" ht="12.9">
      <c r="A365" s="89"/>
      <c r="B365" s="89"/>
      <c r="C365" s="89"/>
      <c r="D365" s="89"/>
      <c r="E365" s="89"/>
      <c r="F365" s="89"/>
      <c r="G365" s="89"/>
      <c r="H365" s="105"/>
      <c r="I365" s="106"/>
      <c r="J365" s="106"/>
      <c r="K365" s="89"/>
      <c r="L365" s="89"/>
      <c r="M365" s="89"/>
      <c r="N365" s="107"/>
      <c r="O365" s="107"/>
      <c r="P365" s="89"/>
      <c r="Q365" s="89"/>
      <c r="R365" s="89"/>
      <c r="S365" s="89"/>
      <c r="T365" s="89"/>
      <c r="U365" s="89"/>
      <c r="V365" s="89"/>
      <c r="W365" s="89"/>
      <c r="X365" s="89"/>
      <c r="Y365" s="89"/>
      <c r="Z365" s="77"/>
      <c r="AA365" s="77"/>
      <c r="AB365" s="94"/>
      <c r="AC365" s="94"/>
      <c r="AD365" s="94"/>
      <c r="AE365" s="94"/>
      <c r="AF365" s="91"/>
      <c r="AG365" s="92"/>
      <c r="AH365" s="92"/>
      <c r="AI365" s="93"/>
      <c r="AJ365" s="94"/>
      <c r="AK365" s="92"/>
      <c r="AL365" s="94"/>
      <c r="AM365" s="94"/>
      <c r="AN365" s="94"/>
      <c r="AO365" s="94"/>
      <c r="AP365" s="94"/>
      <c r="AQ365" s="94"/>
      <c r="AR365" s="94"/>
      <c r="AS365" s="94"/>
      <c r="AT365" s="94"/>
      <c r="AU365" s="92"/>
      <c r="AV365" s="94"/>
      <c r="AW365" s="94"/>
      <c r="AX365" s="94"/>
      <c r="AY365" s="94"/>
      <c r="AZ365" s="94"/>
      <c r="BA365" s="94"/>
      <c r="BB365" s="94"/>
      <c r="BC365" s="94"/>
      <c r="BD365" s="94"/>
      <c r="BE365" s="94"/>
      <c r="BF365" s="94"/>
      <c r="BG365" s="94"/>
      <c r="BH365" s="94"/>
      <c r="BI365" s="94"/>
      <c r="BJ365" s="94"/>
      <c r="BK365" s="94"/>
      <c r="BL365" s="92"/>
      <c r="BM365" s="94"/>
      <c r="BN365" s="94"/>
      <c r="BO365" s="94"/>
      <c r="BP365" s="94"/>
      <c r="BQ365" s="92"/>
      <c r="BR365" s="92"/>
      <c r="BS365" s="92"/>
      <c r="BT365" s="92"/>
      <c r="BU365" s="92"/>
      <c r="BV365" s="92"/>
      <c r="BW365" s="92"/>
      <c r="BX365" s="92"/>
      <c r="BY365" s="92"/>
      <c r="BZ365" s="92"/>
    </row>
    <row r="366" spans="1:78" ht="12.9">
      <c r="A366" s="89"/>
      <c r="B366" s="89"/>
      <c r="C366" s="89"/>
      <c r="D366" s="89"/>
      <c r="E366" s="89"/>
      <c r="F366" s="89"/>
      <c r="G366" s="89"/>
      <c r="H366" s="105"/>
      <c r="I366" s="106"/>
      <c r="J366" s="106"/>
      <c r="K366" s="89"/>
      <c r="L366" s="89"/>
      <c r="M366" s="89"/>
      <c r="N366" s="107"/>
      <c r="O366" s="107"/>
      <c r="P366" s="89"/>
      <c r="Q366" s="89"/>
      <c r="R366" s="89"/>
      <c r="S366" s="89"/>
      <c r="T366" s="89"/>
      <c r="U366" s="89"/>
      <c r="V366" s="89"/>
      <c r="W366" s="89"/>
      <c r="X366" s="89"/>
      <c r="Y366" s="89"/>
      <c r="Z366" s="77"/>
      <c r="AA366" s="77"/>
      <c r="AB366" s="94"/>
      <c r="AC366" s="94"/>
      <c r="AD366" s="94"/>
      <c r="AE366" s="94"/>
      <c r="AF366" s="91"/>
      <c r="AG366" s="92"/>
      <c r="AH366" s="92"/>
      <c r="AI366" s="93"/>
      <c r="AJ366" s="94"/>
      <c r="AK366" s="92"/>
      <c r="AL366" s="94"/>
      <c r="AM366" s="94"/>
      <c r="AN366" s="94"/>
      <c r="AO366" s="94"/>
      <c r="AP366" s="94"/>
      <c r="AQ366" s="94"/>
      <c r="AR366" s="94"/>
      <c r="AS366" s="94"/>
      <c r="AT366" s="94"/>
      <c r="AU366" s="92"/>
      <c r="AV366" s="94"/>
      <c r="AW366" s="94"/>
      <c r="AX366" s="94"/>
      <c r="AY366" s="94"/>
      <c r="AZ366" s="94"/>
      <c r="BA366" s="94"/>
      <c r="BB366" s="94"/>
      <c r="BC366" s="94"/>
      <c r="BD366" s="94"/>
      <c r="BE366" s="94"/>
      <c r="BF366" s="94"/>
      <c r="BG366" s="94"/>
      <c r="BH366" s="94"/>
      <c r="BI366" s="94"/>
      <c r="BJ366" s="94"/>
      <c r="BK366" s="94"/>
      <c r="BL366" s="92"/>
      <c r="BM366" s="94"/>
      <c r="BN366" s="94"/>
      <c r="BO366" s="94"/>
      <c r="BP366" s="94"/>
      <c r="BQ366" s="92"/>
      <c r="BR366" s="92"/>
      <c r="BS366" s="92"/>
      <c r="BT366" s="92"/>
      <c r="BU366" s="92"/>
      <c r="BV366" s="92"/>
      <c r="BW366" s="92"/>
      <c r="BX366" s="92"/>
      <c r="BY366" s="92"/>
      <c r="BZ366" s="92"/>
    </row>
    <row r="367" spans="1:78" ht="12.9">
      <c r="A367" s="89"/>
      <c r="B367" s="89"/>
      <c r="C367" s="89"/>
      <c r="D367" s="89"/>
      <c r="E367" s="89"/>
      <c r="F367" s="89"/>
      <c r="G367" s="89"/>
      <c r="H367" s="105"/>
      <c r="I367" s="106"/>
      <c r="J367" s="106"/>
      <c r="K367" s="89"/>
      <c r="L367" s="89"/>
      <c r="M367" s="89"/>
      <c r="N367" s="107"/>
      <c r="O367" s="107"/>
      <c r="P367" s="89"/>
      <c r="Q367" s="89"/>
      <c r="R367" s="89"/>
      <c r="S367" s="89"/>
      <c r="T367" s="89"/>
      <c r="U367" s="89"/>
      <c r="V367" s="89"/>
      <c r="W367" s="89"/>
      <c r="X367" s="89"/>
      <c r="Y367" s="89"/>
      <c r="Z367" s="77"/>
      <c r="AA367" s="77"/>
      <c r="AB367" s="94"/>
      <c r="AC367" s="94"/>
      <c r="AD367" s="94"/>
      <c r="AE367" s="94"/>
      <c r="AF367" s="91"/>
      <c r="AG367" s="92"/>
      <c r="AH367" s="92"/>
      <c r="AI367" s="93"/>
      <c r="AJ367" s="94"/>
      <c r="AK367" s="92"/>
      <c r="AL367" s="94"/>
      <c r="AM367" s="94"/>
      <c r="AN367" s="94"/>
      <c r="AO367" s="94"/>
      <c r="AP367" s="94"/>
      <c r="AQ367" s="94"/>
      <c r="AR367" s="94"/>
      <c r="AS367" s="94"/>
      <c r="AT367" s="94"/>
      <c r="AU367" s="92"/>
      <c r="AV367" s="94"/>
      <c r="AW367" s="94"/>
      <c r="AX367" s="94"/>
      <c r="AY367" s="94"/>
      <c r="AZ367" s="94"/>
      <c r="BA367" s="94"/>
      <c r="BB367" s="94"/>
      <c r="BC367" s="94"/>
      <c r="BD367" s="94"/>
      <c r="BE367" s="94"/>
      <c r="BF367" s="94"/>
      <c r="BG367" s="94"/>
      <c r="BH367" s="94"/>
      <c r="BI367" s="94"/>
      <c r="BJ367" s="94"/>
      <c r="BK367" s="94"/>
      <c r="BL367" s="92"/>
      <c r="BM367" s="94"/>
      <c r="BN367" s="94"/>
      <c r="BO367" s="94"/>
      <c r="BP367" s="94"/>
      <c r="BQ367" s="92"/>
      <c r="BR367" s="92"/>
      <c r="BS367" s="92"/>
      <c r="BT367" s="92"/>
      <c r="BU367" s="92"/>
      <c r="BV367" s="92"/>
      <c r="BW367" s="92"/>
      <c r="BX367" s="92"/>
      <c r="BY367" s="92"/>
      <c r="BZ367" s="92"/>
    </row>
    <row r="368" spans="1:78" ht="12.9">
      <c r="A368" s="89"/>
      <c r="B368" s="89"/>
      <c r="C368" s="89"/>
      <c r="D368" s="89"/>
      <c r="E368" s="89"/>
      <c r="F368" s="89"/>
      <c r="G368" s="89"/>
      <c r="H368" s="105"/>
      <c r="I368" s="106"/>
      <c r="J368" s="106"/>
      <c r="K368" s="89"/>
      <c r="L368" s="89"/>
      <c r="M368" s="89"/>
      <c r="N368" s="107"/>
      <c r="O368" s="107"/>
      <c r="P368" s="89"/>
      <c r="Q368" s="89"/>
      <c r="R368" s="89"/>
      <c r="S368" s="89"/>
      <c r="T368" s="89"/>
      <c r="U368" s="89"/>
      <c r="V368" s="89"/>
      <c r="W368" s="89"/>
      <c r="X368" s="89"/>
      <c r="Y368" s="89"/>
      <c r="Z368" s="77"/>
      <c r="AA368" s="77"/>
      <c r="AB368" s="94"/>
      <c r="AC368" s="94"/>
      <c r="AD368" s="94"/>
      <c r="AE368" s="94"/>
      <c r="AF368" s="91"/>
      <c r="AG368" s="92"/>
      <c r="AH368" s="92"/>
      <c r="AI368" s="93"/>
      <c r="AJ368" s="94"/>
      <c r="AK368" s="92"/>
      <c r="AL368" s="94"/>
      <c r="AM368" s="94"/>
      <c r="AN368" s="94"/>
      <c r="AO368" s="94"/>
      <c r="AP368" s="94"/>
      <c r="AQ368" s="94"/>
      <c r="AR368" s="94"/>
      <c r="AS368" s="94"/>
      <c r="AT368" s="94"/>
      <c r="AU368" s="92"/>
      <c r="AV368" s="94"/>
      <c r="AW368" s="94"/>
      <c r="AX368" s="94"/>
      <c r="AY368" s="94"/>
      <c r="AZ368" s="94"/>
      <c r="BA368" s="94"/>
      <c r="BB368" s="94"/>
      <c r="BC368" s="94"/>
      <c r="BD368" s="94"/>
      <c r="BE368" s="94"/>
      <c r="BF368" s="94"/>
      <c r="BG368" s="94"/>
      <c r="BH368" s="94"/>
      <c r="BI368" s="94"/>
      <c r="BJ368" s="94"/>
      <c r="BK368" s="94"/>
      <c r="BL368" s="92"/>
      <c r="BM368" s="94"/>
      <c r="BN368" s="94"/>
      <c r="BO368" s="94"/>
      <c r="BP368" s="94"/>
      <c r="BQ368" s="92"/>
      <c r="BR368" s="92"/>
      <c r="BS368" s="92"/>
      <c r="BT368" s="92"/>
      <c r="BU368" s="92"/>
      <c r="BV368" s="92"/>
      <c r="BW368" s="92"/>
      <c r="BX368" s="92"/>
      <c r="BY368" s="92"/>
      <c r="BZ368" s="92"/>
    </row>
    <row r="369" spans="1:78" ht="12.9">
      <c r="A369" s="89"/>
      <c r="B369" s="89"/>
      <c r="C369" s="89"/>
      <c r="D369" s="89"/>
      <c r="E369" s="89"/>
      <c r="F369" s="89"/>
      <c r="G369" s="89"/>
      <c r="H369" s="105"/>
      <c r="I369" s="106"/>
      <c r="J369" s="106"/>
      <c r="K369" s="89"/>
      <c r="L369" s="89"/>
      <c r="M369" s="89"/>
      <c r="N369" s="107"/>
      <c r="O369" s="107"/>
      <c r="P369" s="89"/>
      <c r="Q369" s="89"/>
      <c r="R369" s="89"/>
      <c r="S369" s="89"/>
      <c r="T369" s="89"/>
      <c r="U369" s="89"/>
      <c r="V369" s="89"/>
      <c r="W369" s="89"/>
      <c r="X369" s="89"/>
      <c r="Y369" s="89"/>
      <c r="Z369" s="77"/>
      <c r="AA369" s="77"/>
      <c r="AB369" s="94"/>
      <c r="AC369" s="94"/>
      <c r="AD369" s="94"/>
      <c r="AE369" s="94"/>
      <c r="AF369" s="91"/>
      <c r="AG369" s="92"/>
      <c r="AH369" s="92"/>
      <c r="AI369" s="93"/>
      <c r="AJ369" s="94"/>
      <c r="AK369" s="92"/>
      <c r="AL369" s="94"/>
      <c r="AM369" s="94"/>
      <c r="AN369" s="94"/>
      <c r="AO369" s="94"/>
      <c r="AP369" s="94"/>
      <c r="AQ369" s="94"/>
      <c r="AR369" s="94"/>
      <c r="AS369" s="94"/>
      <c r="AT369" s="94"/>
      <c r="AU369" s="92"/>
      <c r="AV369" s="94"/>
      <c r="AW369" s="94"/>
      <c r="AX369" s="94"/>
      <c r="AY369" s="94"/>
      <c r="AZ369" s="94"/>
      <c r="BA369" s="94"/>
      <c r="BB369" s="94"/>
      <c r="BC369" s="94"/>
      <c r="BD369" s="94"/>
      <c r="BE369" s="94"/>
      <c r="BF369" s="94"/>
      <c r="BG369" s="94"/>
      <c r="BH369" s="94"/>
      <c r="BI369" s="94"/>
      <c r="BJ369" s="94"/>
      <c r="BK369" s="94"/>
      <c r="BL369" s="92"/>
      <c r="BM369" s="94"/>
      <c r="BN369" s="94"/>
      <c r="BO369" s="94"/>
      <c r="BP369" s="94"/>
      <c r="BQ369" s="92"/>
      <c r="BR369" s="92"/>
      <c r="BS369" s="92"/>
      <c r="BT369" s="92"/>
      <c r="BU369" s="92"/>
      <c r="BV369" s="92"/>
      <c r="BW369" s="92"/>
      <c r="BX369" s="92"/>
      <c r="BY369" s="92"/>
      <c r="BZ369" s="92"/>
    </row>
    <row r="370" spans="1:78" ht="12.9">
      <c r="A370" s="89"/>
      <c r="B370" s="89"/>
      <c r="C370" s="89"/>
      <c r="D370" s="89"/>
      <c r="E370" s="89"/>
      <c r="F370" s="89"/>
      <c r="G370" s="89"/>
      <c r="H370" s="105"/>
      <c r="I370" s="106"/>
      <c r="J370" s="106"/>
      <c r="K370" s="89"/>
      <c r="L370" s="89"/>
      <c r="M370" s="89"/>
      <c r="N370" s="107"/>
      <c r="O370" s="107"/>
      <c r="P370" s="89"/>
      <c r="Q370" s="89"/>
      <c r="R370" s="89"/>
      <c r="S370" s="89"/>
      <c r="T370" s="89"/>
      <c r="U370" s="89"/>
      <c r="V370" s="89"/>
      <c r="W370" s="89"/>
      <c r="X370" s="89"/>
      <c r="Y370" s="89"/>
      <c r="Z370" s="77"/>
      <c r="AA370" s="77"/>
      <c r="AB370" s="94"/>
      <c r="AC370" s="94"/>
      <c r="AD370" s="94"/>
      <c r="AE370" s="94"/>
      <c r="AF370" s="91"/>
      <c r="AG370" s="92"/>
      <c r="AH370" s="92"/>
      <c r="AI370" s="93"/>
      <c r="AJ370" s="94"/>
      <c r="AK370" s="92"/>
      <c r="AL370" s="94"/>
      <c r="AM370" s="94"/>
      <c r="AN370" s="94"/>
      <c r="AO370" s="94"/>
      <c r="AP370" s="94"/>
      <c r="AQ370" s="94"/>
      <c r="AR370" s="94"/>
      <c r="AS370" s="94"/>
      <c r="AT370" s="94"/>
      <c r="AU370" s="92"/>
      <c r="AV370" s="94"/>
      <c r="AW370" s="94"/>
      <c r="AX370" s="94"/>
      <c r="AY370" s="94"/>
      <c r="AZ370" s="94"/>
      <c r="BA370" s="94"/>
      <c r="BB370" s="94"/>
      <c r="BC370" s="94"/>
      <c r="BD370" s="94"/>
      <c r="BE370" s="94"/>
      <c r="BF370" s="94"/>
      <c r="BG370" s="94"/>
      <c r="BH370" s="94"/>
      <c r="BI370" s="94"/>
      <c r="BJ370" s="94"/>
      <c r="BK370" s="94"/>
      <c r="BL370" s="92"/>
      <c r="BM370" s="94"/>
      <c r="BN370" s="94"/>
      <c r="BO370" s="94"/>
      <c r="BP370" s="94"/>
      <c r="BQ370" s="92"/>
      <c r="BR370" s="92"/>
      <c r="BS370" s="92"/>
      <c r="BT370" s="92"/>
      <c r="BU370" s="92"/>
      <c r="BV370" s="92"/>
      <c r="BW370" s="92"/>
      <c r="BX370" s="92"/>
      <c r="BY370" s="92"/>
      <c r="BZ370" s="92"/>
    </row>
    <row r="371" spans="1:78" ht="12.9">
      <c r="A371" s="89"/>
      <c r="B371" s="89"/>
      <c r="C371" s="89"/>
      <c r="D371" s="89"/>
      <c r="E371" s="89"/>
      <c r="F371" s="89"/>
      <c r="G371" s="89"/>
      <c r="H371" s="105"/>
      <c r="I371" s="106"/>
      <c r="J371" s="106"/>
      <c r="K371" s="89"/>
      <c r="L371" s="89"/>
      <c r="M371" s="89"/>
      <c r="N371" s="107"/>
      <c r="O371" s="107"/>
      <c r="P371" s="89"/>
      <c r="Q371" s="89"/>
      <c r="R371" s="89"/>
      <c r="S371" s="89"/>
      <c r="T371" s="89"/>
      <c r="U371" s="89"/>
      <c r="V371" s="89"/>
      <c r="W371" s="89"/>
      <c r="X371" s="89"/>
      <c r="Y371" s="89"/>
      <c r="Z371" s="77"/>
      <c r="AA371" s="77"/>
      <c r="AB371" s="94"/>
      <c r="AC371" s="94"/>
      <c r="AD371" s="94"/>
      <c r="AE371" s="94"/>
      <c r="AF371" s="91"/>
      <c r="AG371" s="92"/>
      <c r="AH371" s="92"/>
      <c r="AI371" s="93"/>
      <c r="AJ371" s="94"/>
      <c r="AK371" s="92"/>
      <c r="AL371" s="94"/>
      <c r="AM371" s="94"/>
      <c r="AN371" s="94"/>
      <c r="AO371" s="94"/>
      <c r="AP371" s="94"/>
      <c r="AQ371" s="94"/>
      <c r="AR371" s="94"/>
      <c r="AS371" s="94"/>
      <c r="AT371" s="94"/>
      <c r="AU371" s="92"/>
      <c r="AV371" s="94"/>
      <c r="AW371" s="94"/>
      <c r="AX371" s="94"/>
      <c r="AY371" s="94"/>
      <c r="AZ371" s="94"/>
      <c r="BA371" s="94"/>
      <c r="BB371" s="94"/>
      <c r="BC371" s="94"/>
      <c r="BD371" s="94"/>
      <c r="BE371" s="94"/>
      <c r="BF371" s="94"/>
      <c r="BG371" s="94"/>
      <c r="BH371" s="94"/>
      <c r="BI371" s="94"/>
      <c r="BJ371" s="94"/>
      <c r="BK371" s="94"/>
      <c r="BL371" s="92"/>
      <c r="BM371" s="94"/>
      <c r="BN371" s="94"/>
      <c r="BO371" s="94"/>
      <c r="BP371" s="94"/>
      <c r="BQ371" s="92"/>
      <c r="BR371" s="92"/>
      <c r="BS371" s="92"/>
      <c r="BT371" s="92"/>
      <c r="BU371" s="92"/>
      <c r="BV371" s="92"/>
      <c r="BW371" s="92"/>
      <c r="BX371" s="92"/>
      <c r="BY371" s="92"/>
      <c r="BZ371" s="92"/>
    </row>
    <row r="372" spans="1:78" ht="12.9">
      <c r="A372" s="89"/>
      <c r="B372" s="89"/>
      <c r="C372" s="89"/>
      <c r="D372" s="89"/>
      <c r="E372" s="89"/>
      <c r="F372" s="89"/>
      <c r="G372" s="89"/>
      <c r="H372" s="105"/>
      <c r="I372" s="106"/>
      <c r="J372" s="106"/>
      <c r="K372" s="89"/>
      <c r="L372" s="89"/>
      <c r="M372" s="89"/>
      <c r="N372" s="107"/>
      <c r="O372" s="107"/>
      <c r="P372" s="89"/>
      <c r="Q372" s="89"/>
      <c r="R372" s="89"/>
      <c r="S372" s="89"/>
      <c r="T372" s="89"/>
      <c r="U372" s="89"/>
      <c r="V372" s="89"/>
      <c r="W372" s="89"/>
      <c r="X372" s="89"/>
      <c r="Y372" s="89"/>
      <c r="Z372" s="77"/>
      <c r="AA372" s="77"/>
      <c r="AB372" s="94"/>
      <c r="AC372" s="94"/>
      <c r="AD372" s="94"/>
      <c r="AE372" s="94"/>
      <c r="AF372" s="91"/>
      <c r="AG372" s="92"/>
      <c r="AH372" s="92"/>
      <c r="AI372" s="93"/>
      <c r="AJ372" s="94"/>
      <c r="AK372" s="92"/>
      <c r="AL372" s="94"/>
      <c r="AM372" s="94"/>
      <c r="AN372" s="94"/>
      <c r="AO372" s="94"/>
      <c r="AP372" s="94"/>
      <c r="AQ372" s="94"/>
      <c r="AR372" s="94"/>
      <c r="AS372" s="94"/>
      <c r="AT372" s="94"/>
      <c r="AU372" s="92"/>
      <c r="AV372" s="94"/>
      <c r="AW372" s="94"/>
      <c r="AX372" s="94"/>
      <c r="AY372" s="94"/>
      <c r="AZ372" s="94"/>
      <c r="BA372" s="94"/>
      <c r="BB372" s="94"/>
      <c r="BC372" s="94"/>
      <c r="BD372" s="94"/>
      <c r="BE372" s="94"/>
      <c r="BF372" s="94"/>
      <c r="BG372" s="94"/>
      <c r="BH372" s="94"/>
      <c r="BI372" s="94"/>
      <c r="BJ372" s="94"/>
      <c r="BK372" s="94"/>
      <c r="BL372" s="92"/>
      <c r="BM372" s="94"/>
      <c r="BN372" s="94"/>
      <c r="BO372" s="94"/>
      <c r="BP372" s="94"/>
      <c r="BQ372" s="92"/>
      <c r="BR372" s="92"/>
      <c r="BS372" s="92"/>
      <c r="BT372" s="92"/>
      <c r="BU372" s="92"/>
      <c r="BV372" s="92"/>
      <c r="BW372" s="92"/>
      <c r="BX372" s="92"/>
      <c r="BY372" s="92"/>
      <c r="BZ372" s="92"/>
    </row>
    <row r="373" spans="1:78" ht="12.9">
      <c r="A373" s="89"/>
      <c r="B373" s="89"/>
      <c r="C373" s="89"/>
      <c r="D373" s="89"/>
      <c r="E373" s="89"/>
      <c r="F373" s="89"/>
      <c r="G373" s="89"/>
      <c r="H373" s="105"/>
      <c r="I373" s="106"/>
      <c r="J373" s="106"/>
      <c r="K373" s="89"/>
      <c r="L373" s="89"/>
      <c r="M373" s="89"/>
      <c r="N373" s="107"/>
      <c r="O373" s="107"/>
      <c r="P373" s="89"/>
      <c r="Q373" s="89"/>
      <c r="R373" s="89"/>
      <c r="S373" s="89"/>
      <c r="T373" s="89"/>
      <c r="U373" s="89"/>
      <c r="V373" s="89"/>
      <c r="W373" s="89"/>
      <c r="X373" s="89"/>
      <c r="Y373" s="89"/>
      <c r="Z373" s="77"/>
      <c r="AA373" s="77"/>
      <c r="AB373" s="94"/>
      <c r="AC373" s="94"/>
      <c r="AD373" s="94"/>
      <c r="AE373" s="94"/>
      <c r="AF373" s="91"/>
      <c r="AG373" s="92"/>
      <c r="AH373" s="92"/>
      <c r="AI373" s="93"/>
      <c r="AJ373" s="94"/>
      <c r="AK373" s="92"/>
      <c r="AL373" s="94"/>
      <c r="AM373" s="94"/>
      <c r="AN373" s="94"/>
      <c r="AO373" s="94"/>
      <c r="AP373" s="94"/>
      <c r="AQ373" s="94"/>
      <c r="AR373" s="94"/>
      <c r="AS373" s="94"/>
      <c r="AT373" s="94"/>
      <c r="AU373" s="92"/>
      <c r="AV373" s="94"/>
      <c r="AW373" s="94"/>
      <c r="AX373" s="94"/>
      <c r="AY373" s="94"/>
      <c r="AZ373" s="94"/>
      <c r="BA373" s="94"/>
      <c r="BB373" s="94"/>
      <c r="BC373" s="94"/>
      <c r="BD373" s="94"/>
      <c r="BE373" s="94"/>
      <c r="BF373" s="94"/>
      <c r="BG373" s="94"/>
      <c r="BH373" s="94"/>
      <c r="BI373" s="94"/>
      <c r="BJ373" s="94"/>
      <c r="BK373" s="94"/>
      <c r="BL373" s="92"/>
      <c r="BM373" s="94"/>
      <c r="BN373" s="94"/>
      <c r="BO373" s="94"/>
      <c r="BP373" s="94"/>
      <c r="BQ373" s="92"/>
      <c r="BR373" s="92"/>
      <c r="BS373" s="92"/>
      <c r="BT373" s="92"/>
      <c r="BU373" s="92"/>
      <c r="BV373" s="92"/>
      <c r="BW373" s="92"/>
      <c r="BX373" s="92"/>
      <c r="BY373" s="92"/>
      <c r="BZ373" s="92"/>
    </row>
    <row r="374" spans="1:78" ht="12.9">
      <c r="A374" s="89"/>
      <c r="B374" s="89"/>
      <c r="C374" s="89"/>
      <c r="D374" s="89"/>
      <c r="E374" s="89"/>
      <c r="F374" s="89"/>
      <c r="G374" s="89"/>
      <c r="H374" s="105"/>
      <c r="I374" s="106"/>
      <c r="J374" s="106"/>
      <c r="K374" s="89"/>
      <c r="L374" s="89"/>
      <c r="M374" s="89"/>
      <c r="N374" s="107"/>
      <c r="O374" s="107"/>
      <c r="P374" s="89"/>
      <c r="Q374" s="89"/>
      <c r="R374" s="89"/>
      <c r="S374" s="89"/>
      <c r="T374" s="89"/>
      <c r="U374" s="89"/>
      <c r="V374" s="89"/>
      <c r="W374" s="89"/>
      <c r="X374" s="89"/>
      <c r="Y374" s="89"/>
      <c r="Z374" s="77"/>
      <c r="AA374" s="77"/>
      <c r="AB374" s="94"/>
      <c r="AC374" s="94"/>
      <c r="AD374" s="94"/>
      <c r="AE374" s="94"/>
      <c r="AF374" s="91"/>
      <c r="AG374" s="92"/>
      <c r="AH374" s="92"/>
      <c r="AI374" s="93"/>
      <c r="AJ374" s="94"/>
      <c r="AK374" s="92"/>
      <c r="AL374" s="94"/>
      <c r="AM374" s="94"/>
      <c r="AN374" s="94"/>
      <c r="AO374" s="94"/>
      <c r="AP374" s="94"/>
      <c r="AQ374" s="94"/>
      <c r="AR374" s="94"/>
      <c r="AS374" s="94"/>
      <c r="AT374" s="94"/>
      <c r="AU374" s="92"/>
      <c r="AV374" s="94"/>
      <c r="AW374" s="94"/>
      <c r="AX374" s="94"/>
      <c r="AY374" s="94"/>
      <c r="AZ374" s="94"/>
      <c r="BA374" s="94"/>
      <c r="BB374" s="94"/>
      <c r="BC374" s="94"/>
      <c r="BD374" s="94"/>
      <c r="BE374" s="94"/>
      <c r="BF374" s="94"/>
      <c r="BG374" s="94"/>
      <c r="BH374" s="94"/>
      <c r="BI374" s="94"/>
      <c r="BJ374" s="94"/>
      <c r="BK374" s="94"/>
      <c r="BL374" s="92"/>
      <c r="BM374" s="94"/>
      <c r="BN374" s="94"/>
      <c r="BO374" s="94"/>
      <c r="BP374" s="94"/>
      <c r="BQ374" s="92"/>
      <c r="BR374" s="92"/>
      <c r="BS374" s="92"/>
      <c r="BT374" s="92"/>
      <c r="BU374" s="92"/>
      <c r="BV374" s="92"/>
      <c r="BW374" s="92"/>
      <c r="BX374" s="92"/>
      <c r="BY374" s="92"/>
      <c r="BZ374" s="92"/>
    </row>
    <row r="375" spans="1:78" ht="12.9">
      <c r="A375" s="89"/>
      <c r="B375" s="89"/>
      <c r="C375" s="89"/>
      <c r="D375" s="89"/>
      <c r="E375" s="89"/>
      <c r="F375" s="89"/>
      <c r="G375" s="89"/>
      <c r="H375" s="105"/>
      <c r="I375" s="106"/>
      <c r="J375" s="106"/>
      <c r="K375" s="89"/>
      <c r="L375" s="89"/>
      <c r="M375" s="89"/>
      <c r="N375" s="107"/>
      <c r="O375" s="107"/>
      <c r="P375" s="89"/>
      <c r="Q375" s="89"/>
      <c r="R375" s="89"/>
      <c r="S375" s="89"/>
      <c r="T375" s="89"/>
      <c r="U375" s="89"/>
      <c r="V375" s="89"/>
      <c r="W375" s="89"/>
      <c r="X375" s="89"/>
      <c r="Y375" s="89"/>
      <c r="Z375" s="77"/>
      <c r="AA375" s="77"/>
      <c r="AB375" s="94"/>
      <c r="AC375" s="94"/>
      <c r="AD375" s="94"/>
      <c r="AE375" s="94"/>
      <c r="AF375" s="91"/>
      <c r="AG375" s="92"/>
      <c r="AH375" s="92"/>
      <c r="AI375" s="93"/>
      <c r="AJ375" s="94"/>
      <c r="AK375" s="92"/>
      <c r="AL375" s="94"/>
      <c r="AM375" s="94"/>
      <c r="AN375" s="94"/>
      <c r="AO375" s="94"/>
      <c r="AP375" s="94"/>
      <c r="AQ375" s="94"/>
      <c r="AR375" s="94"/>
      <c r="AS375" s="94"/>
      <c r="AT375" s="94"/>
      <c r="AU375" s="92"/>
      <c r="AV375" s="94"/>
      <c r="AW375" s="94"/>
      <c r="AX375" s="94"/>
      <c r="AY375" s="94"/>
      <c r="AZ375" s="94"/>
      <c r="BA375" s="94"/>
      <c r="BB375" s="94"/>
      <c r="BC375" s="94"/>
      <c r="BD375" s="94"/>
      <c r="BE375" s="94"/>
      <c r="BF375" s="94"/>
      <c r="BG375" s="94"/>
      <c r="BH375" s="94"/>
      <c r="BI375" s="94"/>
      <c r="BJ375" s="94"/>
      <c r="BK375" s="94"/>
      <c r="BL375" s="92"/>
      <c r="BM375" s="94"/>
      <c r="BN375" s="94"/>
      <c r="BO375" s="94"/>
      <c r="BP375" s="94"/>
      <c r="BQ375" s="92"/>
      <c r="BR375" s="92"/>
      <c r="BS375" s="92"/>
      <c r="BT375" s="92"/>
      <c r="BU375" s="92"/>
      <c r="BV375" s="92"/>
      <c r="BW375" s="92"/>
      <c r="BX375" s="92"/>
      <c r="BY375" s="92"/>
      <c r="BZ375" s="92"/>
    </row>
    <row r="376" spans="1:78" ht="12.9">
      <c r="A376" s="89"/>
      <c r="B376" s="89"/>
      <c r="C376" s="89"/>
      <c r="D376" s="89"/>
      <c r="E376" s="89"/>
      <c r="F376" s="89"/>
      <c r="G376" s="89"/>
      <c r="H376" s="105"/>
      <c r="I376" s="106"/>
      <c r="J376" s="106"/>
      <c r="K376" s="89"/>
      <c r="L376" s="89"/>
      <c r="M376" s="89"/>
      <c r="N376" s="107"/>
      <c r="O376" s="107"/>
      <c r="P376" s="89"/>
      <c r="Q376" s="89"/>
      <c r="R376" s="89"/>
      <c r="S376" s="89"/>
      <c r="T376" s="89"/>
      <c r="U376" s="89"/>
      <c r="V376" s="89"/>
      <c r="W376" s="89"/>
      <c r="X376" s="89"/>
      <c r="Y376" s="89"/>
      <c r="Z376" s="77"/>
      <c r="AA376" s="77"/>
      <c r="AB376" s="94"/>
      <c r="AC376" s="94"/>
      <c r="AD376" s="94"/>
      <c r="AE376" s="94"/>
      <c r="AF376" s="91"/>
      <c r="AG376" s="92"/>
      <c r="AH376" s="92"/>
      <c r="AI376" s="93"/>
      <c r="AJ376" s="94"/>
      <c r="AK376" s="92"/>
      <c r="AL376" s="94"/>
      <c r="AM376" s="94"/>
      <c r="AN376" s="94"/>
      <c r="AO376" s="94"/>
      <c r="AP376" s="94"/>
      <c r="AQ376" s="94"/>
      <c r="AR376" s="94"/>
      <c r="AS376" s="94"/>
      <c r="AT376" s="94"/>
      <c r="AU376" s="92"/>
      <c r="AV376" s="94"/>
      <c r="AW376" s="94"/>
      <c r="AX376" s="94"/>
      <c r="AY376" s="94"/>
      <c r="AZ376" s="94"/>
      <c r="BA376" s="94"/>
      <c r="BB376" s="94"/>
      <c r="BC376" s="94"/>
      <c r="BD376" s="94"/>
      <c r="BE376" s="94"/>
      <c r="BF376" s="94"/>
      <c r="BG376" s="94"/>
      <c r="BH376" s="94"/>
      <c r="BI376" s="94"/>
      <c r="BJ376" s="94"/>
      <c r="BK376" s="94"/>
      <c r="BL376" s="92"/>
      <c r="BM376" s="94"/>
      <c r="BN376" s="94"/>
      <c r="BO376" s="94"/>
      <c r="BP376" s="94"/>
      <c r="BQ376" s="92"/>
      <c r="BR376" s="92"/>
      <c r="BS376" s="92"/>
      <c r="BT376" s="92"/>
      <c r="BU376" s="92"/>
      <c r="BV376" s="92"/>
      <c r="BW376" s="92"/>
      <c r="BX376" s="92"/>
      <c r="BY376" s="92"/>
      <c r="BZ376" s="92"/>
    </row>
    <row r="377" spans="1:78" ht="12.9">
      <c r="A377" s="89"/>
      <c r="B377" s="89"/>
      <c r="C377" s="89"/>
      <c r="D377" s="89"/>
      <c r="E377" s="89"/>
      <c r="F377" s="89"/>
      <c r="G377" s="89"/>
      <c r="H377" s="105"/>
      <c r="I377" s="106"/>
      <c r="J377" s="106"/>
      <c r="K377" s="89"/>
      <c r="L377" s="89"/>
      <c r="M377" s="89"/>
      <c r="N377" s="107"/>
      <c r="O377" s="107"/>
      <c r="P377" s="89"/>
      <c r="Q377" s="89"/>
      <c r="R377" s="89"/>
      <c r="S377" s="89"/>
      <c r="T377" s="89"/>
      <c r="U377" s="89"/>
      <c r="V377" s="89"/>
      <c r="W377" s="89"/>
      <c r="X377" s="89"/>
      <c r="Y377" s="89"/>
      <c r="Z377" s="77"/>
      <c r="AA377" s="77"/>
      <c r="AB377" s="94"/>
      <c r="AC377" s="94"/>
      <c r="AD377" s="94"/>
      <c r="AE377" s="94"/>
      <c r="AF377" s="91"/>
      <c r="AG377" s="92"/>
      <c r="AH377" s="92"/>
      <c r="AI377" s="93"/>
      <c r="AJ377" s="94"/>
      <c r="AK377" s="92"/>
      <c r="AL377" s="94"/>
      <c r="AM377" s="94"/>
      <c r="AN377" s="94"/>
      <c r="AO377" s="94"/>
      <c r="AP377" s="94"/>
      <c r="AQ377" s="94"/>
      <c r="AR377" s="94"/>
      <c r="AS377" s="94"/>
      <c r="AT377" s="94"/>
      <c r="AU377" s="92"/>
      <c r="AV377" s="94"/>
      <c r="AW377" s="94"/>
      <c r="AX377" s="94"/>
      <c r="AY377" s="94"/>
      <c r="AZ377" s="94"/>
      <c r="BA377" s="94"/>
      <c r="BB377" s="94"/>
      <c r="BC377" s="94"/>
      <c r="BD377" s="94"/>
      <c r="BE377" s="94"/>
      <c r="BF377" s="94"/>
      <c r="BG377" s="94"/>
      <c r="BH377" s="94"/>
      <c r="BI377" s="94"/>
      <c r="BJ377" s="94"/>
      <c r="BK377" s="94"/>
      <c r="BL377" s="92"/>
      <c r="BM377" s="94"/>
      <c r="BN377" s="94"/>
      <c r="BO377" s="94"/>
      <c r="BP377" s="94"/>
      <c r="BQ377" s="92"/>
      <c r="BR377" s="92"/>
      <c r="BS377" s="92"/>
      <c r="BT377" s="92"/>
      <c r="BU377" s="92"/>
      <c r="BV377" s="92"/>
      <c r="BW377" s="92"/>
      <c r="BX377" s="92"/>
      <c r="BY377" s="92"/>
      <c r="BZ377" s="92"/>
    </row>
    <row r="378" spans="1:78" ht="12.9">
      <c r="A378" s="89"/>
      <c r="B378" s="89"/>
      <c r="C378" s="89"/>
      <c r="D378" s="89"/>
      <c r="E378" s="89"/>
      <c r="F378" s="89"/>
      <c r="G378" s="89"/>
      <c r="H378" s="105"/>
      <c r="I378" s="106"/>
      <c r="J378" s="106"/>
      <c r="K378" s="89"/>
      <c r="L378" s="89"/>
      <c r="M378" s="89"/>
      <c r="N378" s="107"/>
      <c r="O378" s="107"/>
      <c r="P378" s="89"/>
      <c r="Q378" s="89"/>
      <c r="R378" s="89"/>
      <c r="S378" s="89"/>
      <c r="T378" s="89"/>
      <c r="U378" s="89"/>
      <c r="V378" s="89"/>
      <c r="W378" s="89"/>
      <c r="X378" s="89"/>
      <c r="Y378" s="89"/>
      <c r="Z378" s="77"/>
      <c r="AA378" s="77"/>
      <c r="AB378" s="94"/>
      <c r="AC378" s="94"/>
      <c r="AD378" s="94"/>
      <c r="AE378" s="94"/>
      <c r="AF378" s="91"/>
      <c r="AG378" s="92"/>
      <c r="AH378" s="92"/>
      <c r="AI378" s="93"/>
      <c r="AJ378" s="94"/>
      <c r="AK378" s="92"/>
      <c r="AL378" s="94"/>
      <c r="AM378" s="94"/>
      <c r="AN378" s="94"/>
      <c r="AO378" s="94"/>
      <c r="AP378" s="94"/>
      <c r="AQ378" s="94"/>
      <c r="AR378" s="94"/>
      <c r="AS378" s="94"/>
      <c r="AT378" s="94"/>
      <c r="AU378" s="92"/>
      <c r="AV378" s="94"/>
      <c r="AW378" s="94"/>
      <c r="AX378" s="94"/>
      <c r="AY378" s="94"/>
      <c r="AZ378" s="94"/>
      <c r="BA378" s="94"/>
      <c r="BB378" s="94"/>
      <c r="BC378" s="94"/>
      <c r="BD378" s="94"/>
      <c r="BE378" s="94"/>
      <c r="BF378" s="94"/>
      <c r="BG378" s="94"/>
      <c r="BH378" s="94"/>
      <c r="BI378" s="94"/>
      <c r="BJ378" s="94"/>
      <c r="BK378" s="94"/>
      <c r="BL378" s="92"/>
      <c r="BM378" s="94"/>
      <c r="BN378" s="94"/>
      <c r="BO378" s="94"/>
      <c r="BP378" s="94"/>
      <c r="BQ378" s="92"/>
      <c r="BR378" s="92"/>
      <c r="BS378" s="92"/>
      <c r="BT378" s="92"/>
      <c r="BU378" s="92"/>
      <c r="BV378" s="92"/>
      <c r="BW378" s="92"/>
      <c r="BX378" s="92"/>
      <c r="BY378" s="92"/>
      <c r="BZ378" s="92"/>
    </row>
    <row r="379" spans="1:78" ht="12.9">
      <c r="A379" s="89"/>
      <c r="B379" s="89"/>
      <c r="C379" s="89"/>
      <c r="D379" s="89"/>
      <c r="E379" s="89"/>
      <c r="F379" s="89"/>
      <c r="G379" s="89"/>
      <c r="H379" s="105"/>
      <c r="I379" s="106"/>
      <c r="J379" s="106"/>
      <c r="K379" s="89"/>
      <c r="L379" s="89"/>
      <c r="M379" s="89"/>
      <c r="N379" s="107"/>
      <c r="O379" s="107"/>
      <c r="P379" s="89"/>
      <c r="Q379" s="89"/>
      <c r="R379" s="89"/>
      <c r="S379" s="89"/>
      <c r="T379" s="89"/>
      <c r="U379" s="89"/>
      <c r="V379" s="89"/>
      <c r="W379" s="89"/>
      <c r="X379" s="89"/>
      <c r="Y379" s="89"/>
      <c r="Z379" s="77"/>
      <c r="AA379" s="77"/>
      <c r="AB379" s="94"/>
      <c r="AC379" s="94"/>
      <c r="AD379" s="94"/>
      <c r="AE379" s="94"/>
      <c r="AF379" s="91"/>
      <c r="AG379" s="92"/>
      <c r="AH379" s="92"/>
      <c r="AI379" s="93"/>
      <c r="AJ379" s="94"/>
      <c r="AK379" s="92"/>
      <c r="AL379" s="94"/>
      <c r="AM379" s="94"/>
      <c r="AN379" s="94"/>
      <c r="AO379" s="94"/>
      <c r="AP379" s="94"/>
      <c r="AQ379" s="94"/>
      <c r="AR379" s="94"/>
      <c r="AS379" s="94"/>
      <c r="AT379" s="94"/>
      <c r="AU379" s="92"/>
      <c r="AV379" s="94"/>
      <c r="AW379" s="94"/>
      <c r="AX379" s="94"/>
      <c r="AY379" s="94"/>
      <c r="AZ379" s="94"/>
      <c r="BA379" s="94"/>
      <c r="BB379" s="94"/>
      <c r="BC379" s="94"/>
      <c r="BD379" s="94"/>
      <c r="BE379" s="94"/>
      <c r="BF379" s="94"/>
      <c r="BG379" s="94"/>
      <c r="BH379" s="94"/>
      <c r="BI379" s="94"/>
      <c r="BJ379" s="94"/>
      <c r="BK379" s="94"/>
      <c r="BL379" s="92"/>
      <c r="BM379" s="94"/>
      <c r="BN379" s="94"/>
      <c r="BO379" s="94"/>
      <c r="BP379" s="94"/>
      <c r="BQ379" s="92"/>
      <c r="BR379" s="92"/>
      <c r="BS379" s="92"/>
      <c r="BT379" s="92"/>
      <c r="BU379" s="92"/>
      <c r="BV379" s="92"/>
      <c r="BW379" s="92"/>
      <c r="BX379" s="92"/>
      <c r="BY379" s="92"/>
      <c r="BZ379" s="92"/>
    </row>
    <row r="380" spans="1:78" ht="12.9">
      <c r="A380" s="89"/>
      <c r="B380" s="89"/>
      <c r="C380" s="89"/>
      <c r="D380" s="89"/>
      <c r="E380" s="89"/>
      <c r="F380" s="89"/>
      <c r="G380" s="89"/>
      <c r="H380" s="105"/>
      <c r="I380" s="106"/>
      <c r="J380" s="106"/>
      <c r="K380" s="89"/>
      <c r="L380" s="89"/>
      <c r="M380" s="89"/>
      <c r="N380" s="107"/>
      <c r="O380" s="107"/>
      <c r="P380" s="89"/>
      <c r="Q380" s="89"/>
      <c r="R380" s="89"/>
      <c r="S380" s="89"/>
      <c r="T380" s="89"/>
      <c r="U380" s="89"/>
      <c r="V380" s="89"/>
      <c r="W380" s="89"/>
      <c r="X380" s="89"/>
      <c r="Y380" s="89"/>
      <c r="Z380" s="77"/>
      <c r="AA380" s="77"/>
      <c r="AB380" s="94"/>
      <c r="AC380" s="94"/>
      <c r="AD380" s="94"/>
      <c r="AE380" s="94"/>
      <c r="AF380" s="91"/>
      <c r="AG380" s="92"/>
      <c r="AH380" s="92"/>
      <c r="AI380" s="93"/>
      <c r="AJ380" s="94"/>
      <c r="AK380" s="92"/>
      <c r="AL380" s="94"/>
      <c r="AM380" s="94"/>
      <c r="AN380" s="94"/>
      <c r="AO380" s="94"/>
      <c r="AP380" s="94"/>
      <c r="AQ380" s="94"/>
      <c r="AR380" s="94"/>
      <c r="AS380" s="94"/>
      <c r="AT380" s="94"/>
      <c r="AU380" s="92"/>
      <c r="AV380" s="94"/>
      <c r="AW380" s="94"/>
      <c r="AX380" s="94"/>
      <c r="AY380" s="94"/>
      <c r="AZ380" s="94"/>
      <c r="BA380" s="94"/>
      <c r="BB380" s="94"/>
      <c r="BC380" s="94"/>
      <c r="BD380" s="94"/>
      <c r="BE380" s="94"/>
      <c r="BF380" s="94"/>
      <c r="BG380" s="94"/>
      <c r="BH380" s="94"/>
      <c r="BI380" s="94"/>
      <c r="BJ380" s="94"/>
      <c r="BK380" s="94"/>
      <c r="BL380" s="92"/>
      <c r="BM380" s="94"/>
      <c r="BN380" s="94"/>
      <c r="BO380" s="94"/>
      <c r="BP380" s="94"/>
      <c r="BQ380" s="92"/>
      <c r="BR380" s="92"/>
      <c r="BS380" s="92"/>
      <c r="BT380" s="92"/>
      <c r="BU380" s="92"/>
      <c r="BV380" s="92"/>
      <c r="BW380" s="92"/>
      <c r="BX380" s="92"/>
      <c r="BY380" s="92"/>
      <c r="BZ380" s="92"/>
    </row>
    <row r="381" spans="1:78" ht="12.9">
      <c r="A381" s="89"/>
      <c r="B381" s="89"/>
      <c r="C381" s="89"/>
      <c r="D381" s="89"/>
      <c r="E381" s="89"/>
      <c r="F381" s="89"/>
      <c r="G381" s="89"/>
      <c r="H381" s="105"/>
      <c r="I381" s="106"/>
      <c r="J381" s="106"/>
      <c r="K381" s="89"/>
      <c r="L381" s="89"/>
      <c r="M381" s="89"/>
      <c r="N381" s="107"/>
      <c r="O381" s="107"/>
      <c r="P381" s="89"/>
      <c r="Q381" s="89"/>
      <c r="R381" s="89"/>
      <c r="S381" s="89"/>
      <c r="T381" s="89"/>
      <c r="U381" s="89"/>
      <c r="V381" s="89"/>
      <c r="W381" s="89"/>
      <c r="X381" s="89"/>
      <c r="Y381" s="89"/>
      <c r="Z381" s="77"/>
      <c r="AA381" s="77"/>
      <c r="AB381" s="94"/>
      <c r="AC381" s="94"/>
      <c r="AD381" s="94"/>
      <c r="AE381" s="94"/>
      <c r="AF381" s="91"/>
      <c r="AG381" s="92"/>
      <c r="AH381" s="92"/>
      <c r="AI381" s="93"/>
      <c r="AJ381" s="94"/>
      <c r="AK381" s="92"/>
      <c r="AL381" s="94"/>
      <c r="AM381" s="94"/>
      <c r="AN381" s="94"/>
      <c r="AO381" s="94"/>
      <c r="AP381" s="94"/>
      <c r="AQ381" s="94"/>
      <c r="AR381" s="94"/>
      <c r="AS381" s="94"/>
      <c r="AT381" s="94"/>
      <c r="AU381" s="92"/>
      <c r="AV381" s="94"/>
      <c r="AW381" s="94"/>
      <c r="AX381" s="94"/>
      <c r="AY381" s="94"/>
      <c r="AZ381" s="94"/>
      <c r="BA381" s="94"/>
      <c r="BB381" s="94"/>
      <c r="BC381" s="94"/>
      <c r="BD381" s="94"/>
      <c r="BE381" s="94"/>
      <c r="BF381" s="94"/>
      <c r="BG381" s="94"/>
      <c r="BH381" s="94"/>
      <c r="BI381" s="94"/>
      <c r="BJ381" s="94"/>
      <c r="BK381" s="94"/>
      <c r="BL381" s="92"/>
      <c r="BM381" s="94"/>
      <c r="BN381" s="94"/>
      <c r="BO381" s="94"/>
      <c r="BP381" s="94"/>
      <c r="BQ381" s="92"/>
      <c r="BR381" s="92"/>
      <c r="BS381" s="92"/>
      <c r="BT381" s="92"/>
      <c r="BU381" s="92"/>
      <c r="BV381" s="92"/>
      <c r="BW381" s="92"/>
      <c r="BX381" s="92"/>
      <c r="BY381" s="92"/>
      <c r="BZ381" s="92"/>
    </row>
    <row r="382" spans="1:78" ht="12.9">
      <c r="A382" s="89"/>
      <c r="B382" s="89"/>
      <c r="C382" s="89"/>
      <c r="D382" s="89"/>
      <c r="E382" s="89"/>
      <c r="F382" s="89"/>
      <c r="G382" s="89"/>
      <c r="H382" s="105"/>
      <c r="I382" s="106"/>
      <c r="J382" s="106"/>
      <c r="K382" s="89"/>
      <c r="L382" s="89"/>
      <c r="M382" s="89"/>
      <c r="N382" s="107"/>
      <c r="O382" s="107"/>
      <c r="P382" s="89"/>
      <c r="Q382" s="89"/>
      <c r="R382" s="89"/>
      <c r="S382" s="89"/>
      <c r="T382" s="89"/>
      <c r="U382" s="89"/>
      <c r="V382" s="89"/>
      <c r="W382" s="89"/>
      <c r="X382" s="89"/>
      <c r="Y382" s="89"/>
      <c r="Z382" s="77"/>
      <c r="AA382" s="77"/>
      <c r="AB382" s="94"/>
      <c r="AC382" s="94"/>
      <c r="AD382" s="94"/>
      <c r="AE382" s="94"/>
      <c r="AF382" s="91"/>
      <c r="AG382" s="92"/>
      <c r="AH382" s="92"/>
      <c r="AI382" s="93"/>
      <c r="AJ382" s="94"/>
      <c r="AK382" s="92"/>
      <c r="AL382" s="94"/>
      <c r="AM382" s="94"/>
      <c r="AN382" s="94"/>
      <c r="AO382" s="94"/>
      <c r="AP382" s="94"/>
      <c r="AQ382" s="94"/>
      <c r="AR382" s="94"/>
      <c r="AS382" s="94"/>
      <c r="AT382" s="94"/>
      <c r="AU382" s="92"/>
      <c r="AV382" s="94"/>
      <c r="AW382" s="94"/>
      <c r="AX382" s="94"/>
      <c r="AY382" s="94"/>
      <c r="AZ382" s="94"/>
      <c r="BA382" s="94"/>
      <c r="BB382" s="94"/>
      <c r="BC382" s="94"/>
      <c r="BD382" s="94"/>
      <c r="BE382" s="94"/>
      <c r="BF382" s="94"/>
      <c r="BG382" s="94"/>
      <c r="BH382" s="94"/>
      <c r="BI382" s="94"/>
      <c r="BJ382" s="94"/>
      <c r="BK382" s="94"/>
      <c r="BL382" s="92"/>
      <c r="BM382" s="94"/>
      <c r="BN382" s="94"/>
      <c r="BO382" s="94"/>
      <c r="BP382" s="94"/>
      <c r="BQ382" s="92"/>
      <c r="BR382" s="92"/>
      <c r="BS382" s="92"/>
      <c r="BT382" s="92"/>
      <c r="BU382" s="92"/>
      <c r="BV382" s="92"/>
      <c r="BW382" s="92"/>
      <c r="BX382" s="92"/>
      <c r="BY382" s="92"/>
      <c r="BZ382" s="92"/>
    </row>
    <row r="383" spans="1:78" ht="12.9">
      <c r="A383" s="89"/>
      <c r="B383" s="89"/>
      <c r="C383" s="89"/>
      <c r="D383" s="89"/>
      <c r="E383" s="89"/>
      <c r="F383" s="89"/>
      <c r="G383" s="89"/>
      <c r="H383" s="105"/>
      <c r="I383" s="106"/>
      <c r="J383" s="106"/>
      <c r="K383" s="89"/>
      <c r="L383" s="89"/>
      <c r="M383" s="89"/>
      <c r="N383" s="107"/>
      <c r="O383" s="107"/>
      <c r="P383" s="89"/>
      <c r="Q383" s="89"/>
      <c r="R383" s="89"/>
      <c r="S383" s="89"/>
      <c r="T383" s="89"/>
      <c r="U383" s="89"/>
      <c r="V383" s="89"/>
      <c r="W383" s="89"/>
      <c r="X383" s="89"/>
      <c r="Y383" s="89"/>
      <c r="Z383" s="77"/>
      <c r="AA383" s="77"/>
      <c r="AB383" s="94"/>
      <c r="AC383" s="94"/>
      <c r="AD383" s="94"/>
      <c r="AE383" s="94"/>
      <c r="AF383" s="91"/>
      <c r="AG383" s="92"/>
      <c r="AH383" s="92"/>
      <c r="AI383" s="93"/>
      <c r="AJ383" s="94"/>
      <c r="AK383" s="92"/>
      <c r="AL383" s="94"/>
      <c r="AM383" s="94"/>
      <c r="AN383" s="94"/>
      <c r="AO383" s="94"/>
      <c r="AP383" s="94"/>
      <c r="AQ383" s="94"/>
      <c r="AR383" s="94"/>
      <c r="AS383" s="94"/>
      <c r="AT383" s="94"/>
      <c r="AU383" s="92"/>
      <c r="AV383" s="94"/>
      <c r="AW383" s="94"/>
      <c r="AX383" s="94"/>
      <c r="AY383" s="94"/>
      <c r="AZ383" s="94"/>
      <c r="BA383" s="94"/>
      <c r="BB383" s="94"/>
      <c r="BC383" s="94"/>
      <c r="BD383" s="94"/>
      <c r="BE383" s="94"/>
      <c r="BF383" s="94"/>
      <c r="BG383" s="94"/>
      <c r="BH383" s="94"/>
      <c r="BI383" s="94"/>
      <c r="BJ383" s="94"/>
      <c r="BK383" s="94"/>
      <c r="BL383" s="92"/>
      <c r="BM383" s="94"/>
      <c r="BN383" s="94"/>
      <c r="BO383" s="94"/>
      <c r="BP383" s="94"/>
      <c r="BQ383" s="92"/>
      <c r="BR383" s="92"/>
      <c r="BS383" s="92"/>
      <c r="BT383" s="92"/>
      <c r="BU383" s="92"/>
      <c r="BV383" s="92"/>
      <c r="BW383" s="92"/>
      <c r="BX383" s="92"/>
      <c r="BY383" s="92"/>
      <c r="BZ383" s="92"/>
    </row>
    <row r="384" spans="1:78" ht="12.9">
      <c r="A384" s="89"/>
      <c r="B384" s="89"/>
      <c r="C384" s="89"/>
      <c r="D384" s="89"/>
      <c r="E384" s="89"/>
      <c r="F384" s="89"/>
      <c r="G384" s="89"/>
      <c r="H384" s="105"/>
      <c r="I384" s="106"/>
      <c r="J384" s="106"/>
      <c r="K384" s="89"/>
      <c r="L384" s="89"/>
      <c r="M384" s="89"/>
      <c r="N384" s="107"/>
      <c r="O384" s="107"/>
      <c r="P384" s="89"/>
      <c r="Q384" s="89"/>
      <c r="R384" s="89"/>
      <c r="S384" s="89"/>
      <c r="T384" s="89"/>
      <c r="U384" s="89"/>
      <c r="V384" s="89"/>
      <c r="W384" s="89"/>
      <c r="X384" s="89"/>
      <c r="Y384" s="89"/>
      <c r="Z384" s="77"/>
      <c r="AA384" s="77"/>
      <c r="AB384" s="94"/>
      <c r="AC384" s="94"/>
      <c r="AD384" s="94"/>
      <c r="AE384" s="94"/>
      <c r="AF384" s="91"/>
      <c r="AG384" s="92"/>
      <c r="AH384" s="92"/>
      <c r="AI384" s="93"/>
      <c r="AJ384" s="94"/>
      <c r="AK384" s="92"/>
      <c r="AL384" s="94"/>
      <c r="AM384" s="94"/>
      <c r="AN384" s="94"/>
      <c r="AO384" s="94"/>
      <c r="AP384" s="94"/>
      <c r="AQ384" s="94"/>
      <c r="AR384" s="94"/>
      <c r="AS384" s="94"/>
      <c r="AT384" s="94"/>
      <c r="AU384" s="92"/>
      <c r="AV384" s="94"/>
      <c r="AW384" s="94"/>
      <c r="AX384" s="94"/>
      <c r="AY384" s="94"/>
      <c r="AZ384" s="94"/>
      <c r="BA384" s="94"/>
      <c r="BB384" s="94"/>
      <c r="BC384" s="94"/>
      <c r="BD384" s="94"/>
      <c r="BE384" s="94"/>
      <c r="BF384" s="94"/>
      <c r="BG384" s="94"/>
      <c r="BH384" s="94"/>
      <c r="BI384" s="94"/>
      <c r="BJ384" s="94"/>
      <c r="BK384" s="94"/>
      <c r="BL384" s="92"/>
      <c r="BM384" s="94"/>
      <c r="BN384" s="94"/>
      <c r="BO384" s="94"/>
      <c r="BP384" s="94"/>
      <c r="BQ384" s="92"/>
      <c r="BR384" s="92"/>
      <c r="BS384" s="92"/>
      <c r="BT384" s="92"/>
      <c r="BU384" s="92"/>
      <c r="BV384" s="92"/>
      <c r="BW384" s="92"/>
      <c r="BX384" s="92"/>
      <c r="BY384" s="92"/>
      <c r="BZ384" s="92"/>
    </row>
    <row r="385" spans="1:78" ht="12.9">
      <c r="A385" s="89"/>
      <c r="B385" s="89"/>
      <c r="C385" s="89"/>
      <c r="D385" s="89"/>
      <c r="E385" s="89"/>
      <c r="F385" s="89"/>
      <c r="G385" s="89"/>
      <c r="H385" s="105"/>
      <c r="I385" s="106"/>
      <c r="J385" s="106"/>
      <c r="K385" s="89"/>
      <c r="L385" s="89"/>
      <c r="M385" s="89"/>
      <c r="N385" s="107"/>
      <c r="O385" s="107"/>
      <c r="P385" s="89"/>
      <c r="Q385" s="89"/>
      <c r="R385" s="89"/>
      <c r="S385" s="89"/>
      <c r="T385" s="89"/>
      <c r="U385" s="89"/>
      <c r="V385" s="89"/>
      <c r="W385" s="89"/>
      <c r="X385" s="89"/>
      <c r="Y385" s="89"/>
      <c r="Z385" s="77"/>
      <c r="AA385" s="77"/>
      <c r="AB385" s="94"/>
      <c r="AC385" s="94"/>
      <c r="AD385" s="94"/>
      <c r="AE385" s="94"/>
      <c r="AF385" s="91"/>
      <c r="AG385" s="92"/>
      <c r="AH385" s="92"/>
      <c r="AI385" s="93"/>
      <c r="AJ385" s="94"/>
      <c r="AK385" s="92"/>
      <c r="AL385" s="94"/>
      <c r="AM385" s="94"/>
      <c r="AN385" s="94"/>
      <c r="AO385" s="94"/>
      <c r="AP385" s="94"/>
      <c r="AQ385" s="94"/>
      <c r="AR385" s="94"/>
      <c r="AS385" s="94"/>
      <c r="AT385" s="94"/>
      <c r="AU385" s="92"/>
      <c r="AV385" s="94"/>
      <c r="AW385" s="94"/>
      <c r="AX385" s="94"/>
      <c r="AY385" s="94"/>
      <c r="AZ385" s="94"/>
      <c r="BA385" s="94"/>
      <c r="BB385" s="94"/>
      <c r="BC385" s="94"/>
      <c r="BD385" s="94"/>
      <c r="BE385" s="94"/>
      <c r="BF385" s="94"/>
      <c r="BG385" s="94"/>
      <c r="BH385" s="94"/>
      <c r="BI385" s="94"/>
      <c r="BJ385" s="94"/>
      <c r="BK385" s="94"/>
      <c r="BL385" s="92"/>
      <c r="BM385" s="94"/>
      <c r="BN385" s="94"/>
      <c r="BO385" s="94"/>
      <c r="BP385" s="94"/>
      <c r="BQ385" s="92"/>
      <c r="BR385" s="92"/>
      <c r="BS385" s="92"/>
      <c r="BT385" s="92"/>
      <c r="BU385" s="92"/>
      <c r="BV385" s="92"/>
      <c r="BW385" s="92"/>
      <c r="BX385" s="92"/>
      <c r="BY385" s="92"/>
      <c r="BZ385" s="92"/>
    </row>
    <row r="386" spans="1:78" ht="12.9">
      <c r="A386" s="89"/>
      <c r="B386" s="89"/>
      <c r="C386" s="89"/>
      <c r="D386" s="89"/>
      <c r="E386" s="89"/>
      <c r="F386" s="89"/>
      <c r="G386" s="89"/>
      <c r="H386" s="105"/>
      <c r="I386" s="106"/>
      <c r="J386" s="106"/>
      <c r="K386" s="89"/>
      <c r="L386" s="89"/>
      <c r="M386" s="89"/>
      <c r="N386" s="107"/>
      <c r="O386" s="107"/>
      <c r="P386" s="89"/>
      <c r="Q386" s="89"/>
      <c r="R386" s="89"/>
      <c r="S386" s="89"/>
      <c r="T386" s="89"/>
      <c r="U386" s="89"/>
      <c r="V386" s="89"/>
      <c r="W386" s="89"/>
      <c r="X386" s="89"/>
      <c r="Y386" s="89"/>
      <c r="Z386" s="77"/>
      <c r="AA386" s="77"/>
      <c r="AB386" s="94"/>
      <c r="AC386" s="94"/>
      <c r="AD386" s="94"/>
      <c r="AE386" s="94"/>
      <c r="AF386" s="91"/>
      <c r="AG386" s="92"/>
      <c r="AH386" s="92"/>
      <c r="AI386" s="93"/>
      <c r="AJ386" s="94"/>
      <c r="AK386" s="92"/>
      <c r="AL386" s="94"/>
      <c r="AM386" s="94"/>
      <c r="AN386" s="94"/>
      <c r="AO386" s="94"/>
      <c r="AP386" s="94"/>
      <c r="AQ386" s="94"/>
      <c r="AR386" s="94"/>
      <c r="AS386" s="94"/>
      <c r="AT386" s="94"/>
      <c r="AU386" s="92"/>
      <c r="AV386" s="94"/>
      <c r="AW386" s="94"/>
      <c r="AX386" s="94"/>
      <c r="AY386" s="94"/>
      <c r="AZ386" s="94"/>
      <c r="BA386" s="94"/>
      <c r="BB386" s="94"/>
      <c r="BC386" s="94"/>
      <c r="BD386" s="94"/>
      <c r="BE386" s="94"/>
      <c r="BF386" s="94"/>
      <c r="BG386" s="94"/>
      <c r="BH386" s="94"/>
      <c r="BI386" s="94"/>
      <c r="BJ386" s="94"/>
      <c r="BK386" s="94"/>
      <c r="BL386" s="92"/>
      <c r="BM386" s="94"/>
      <c r="BN386" s="94"/>
      <c r="BO386" s="94"/>
      <c r="BP386" s="94"/>
      <c r="BQ386" s="92"/>
      <c r="BR386" s="92"/>
      <c r="BS386" s="92"/>
      <c r="BT386" s="92"/>
      <c r="BU386" s="92"/>
      <c r="BV386" s="92"/>
      <c r="BW386" s="92"/>
      <c r="BX386" s="92"/>
      <c r="BY386" s="92"/>
      <c r="BZ386" s="92"/>
    </row>
    <row r="387" spans="1:78" ht="12.9">
      <c r="A387" s="89"/>
      <c r="B387" s="89"/>
      <c r="C387" s="89"/>
      <c r="D387" s="89"/>
      <c r="E387" s="89"/>
      <c r="F387" s="89"/>
      <c r="G387" s="89"/>
      <c r="H387" s="105"/>
      <c r="I387" s="106"/>
      <c r="J387" s="106"/>
      <c r="K387" s="89"/>
      <c r="L387" s="89"/>
      <c r="M387" s="89"/>
      <c r="N387" s="107"/>
      <c r="O387" s="107"/>
      <c r="P387" s="89"/>
      <c r="Q387" s="89"/>
      <c r="R387" s="89"/>
      <c r="S387" s="89"/>
      <c r="T387" s="89"/>
      <c r="U387" s="89"/>
      <c r="V387" s="89"/>
      <c r="W387" s="89"/>
      <c r="X387" s="89"/>
      <c r="Y387" s="89"/>
      <c r="Z387" s="77"/>
      <c r="AA387" s="77"/>
      <c r="AB387" s="94"/>
      <c r="AC387" s="94"/>
      <c r="AD387" s="94"/>
      <c r="AE387" s="94"/>
      <c r="AF387" s="91"/>
      <c r="AG387" s="92"/>
      <c r="AH387" s="92"/>
      <c r="AI387" s="93"/>
      <c r="AJ387" s="94"/>
      <c r="AK387" s="92"/>
      <c r="AL387" s="94"/>
      <c r="AM387" s="94"/>
      <c r="AN387" s="94"/>
      <c r="AO387" s="94"/>
      <c r="AP387" s="94"/>
      <c r="AQ387" s="94"/>
      <c r="AR387" s="94"/>
      <c r="AS387" s="94"/>
      <c r="AT387" s="94"/>
      <c r="AU387" s="92"/>
      <c r="AV387" s="94"/>
      <c r="AW387" s="94"/>
      <c r="AX387" s="94"/>
      <c r="AY387" s="94"/>
      <c r="AZ387" s="94"/>
      <c r="BA387" s="94"/>
      <c r="BB387" s="94"/>
      <c r="BC387" s="94"/>
      <c r="BD387" s="94"/>
      <c r="BE387" s="94"/>
      <c r="BF387" s="94"/>
      <c r="BG387" s="94"/>
      <c r="BH387" s="94"/>
      <c r="BI387" s="94"/>
      <c r="BJ387" s="94"/>
      <c r="BK387" s="94"/>
      <c r="BL387" s="92"/>
      <c r="BM387" s="94"/>
      <c r="BN387" s="94"/>
      <c r="BO387" s="94"/>
      <c r="BP387" s="94"/>
      <c r="BQ387" s="92"/>
      <c r="BR387" s="92"/>
      <c r="BS387" s="92"/>
      <c r="BT387" s="92"/>
      <c r="BU387" s="92"/>
      <c r="BV387" s="92"/>
      <c r="BW387" s="92"/>
      <c r="BX387" s="92"/>
      <c r="BY387" s="92"/>
      <c r="BZ387" s="92"/>
    </row>
    <row r="388" spans="1:78" ht="12.9">
      <c r="A388" s="89"/>
      <c r="B388" s="89"/>
      <c r="C388" s="89"/>
      <c r="D388" s="89"/>
      <c r="E388" s="89"/>
      <c r="F388" s="89"/>
      <c r="G388" s="89"/>
      <c r="H388" s="105"/>
      <c r="I388" s="106"/>
      <c r="J388" s="106"/>
      <c r="K388" s="89"/>
      <c r="L388" s="89"/>
      <c r="M388" s="89"/>
      <c r="N388" s="107"/>
      <c r="O388" s="107"/>
      <c r="P388" s="89"/>
      <c r="Q388" s="89"/>
      <c r="R388" s="89"/>
      <c r="S388" s="89"/>
      <c r="T388" s="89"/>
      <c r="U388" s="89"/>
      <c r="V388" s="89"/>
      <c r="W388" s="89"/>
      <c r="X388" s="89"/>
      <c r="Y388" s="89"/>
      <c r="Z388" s="77"/>
      <c r="AA388" s="77"/>
      <c r="AB388" s="94"/>
      <c r="AC388" s="94"/>
      <c r="AD388" s="94"/>
      <c r="AE388" s="94"/>
      <c r="AF388" s="91"/>
      <c r="AG388" s="92"/>
      <c r="AH388" s="92"/>
      <c r="AI388" s="93"/>
      <c r="AJ388" s="94"/>
      <c r="AK388" s="92"/>
      <c r="AL388" s="94"/>
      <c r="AM388" s="94"/>
      <c r="AN388" s="94"/>
      <c r="AO388" s="94"/>
      <c r="AP388" s="94"/>
      <c r="AQ388" s="94"/>
      <c r="AR388" s="94"/>
      <c r="AS388" s="94"/>
      <c r="AT388" s="94"/>
      <c r="AU388" s="92"/>
      <c r="AV388" s="94"/>
      <c r="AW388" s="94"/>
      <c r="AX388" s="94"/>
      <c r="AY388" s="94"/>
      <c r="AZ388" s="94"/>
      <c r="BA388" s="94"/>
      <c r="BB388" s="94"/>
      <c r="BC388" s="94"/>
      <c r="BD388" s="94"/>
      <c r="BE388" s="94"/>
      <c r="BF388" s="94"/>
      <c r="BG388" s="94"/>
      <c r="BH388" s="94"/>
      <c r="BI388" s="94"/>
      <c r="BJ388" s="94"/>
      <c r="BK388" s="94"/>
      <c r="BL388" s="92"/>
      <c r="BM388" s="94"/>
      <c r="BN388" s="94"/>
      <c r="BO388" s="94"/>
      <c r="BP388" s="94"/>
      <c r="BQ388" s="92"/>
      <c r="BR388" s="92"/>
      <c r="BS388" s="92"/>
      <c r="BT388" s="92"/>
      <c r="BU388" s="92"/>
      <c r="BV388" s="92"/>
      <c r="BW388" s="92"/>
      <c r="BX388" s="92"/>
      <c r="BY388" s="92"/>
      <c r="BZ388" s="92"/>
    </row>
    <row r="389" spans="1:78" ht="12.9">
      <c r="A389" s="89"/>
      <c r="B389" s="89"/>
      <c r="C389" s="89"/>
      <c r="D389" s="89"/>
      <c r="E389" s="89"/>
      <c r="F389" s="89"/>
      <c r="G389" s="89"/>
      <c r="H389" s="105"/>
      <c r="I389" s="106"/>
      <c r="J389" s="106"/>
      <c r="K389" s="89"/>
      <c r="L389" s="89"/>
      <c r="M389" s="89"/>
      <c r="N389" s="107"/>
      <c r="O389" s="107"/>
      <c r="P389" s="89"/>
      <c r="Q389" s="89"/>
      <c r="R389" s="89"/>
      <c r="S389" s="89"/>
      <c r="T389" s="89"/>
      <c r="U389" s="89"/>
      <c r="V389" s="89"/>
      <c r="W389" s="89"/>
      <c r="X389" s="89"/>
      <c r="Y389" s="89"/>
      <c r="Z389" s="77"/>
      <c r="AA389" s="77"/>
      <c r="AB389" s="94"/>
      <c r="AC389" s="94"/>
      <c r="AD389" s="94"/>
      <c r="AE389" s="94"/>
      <c r="AF389" s="91"/>
      <c r="AG389" s="92"/>
      <c r="AH389" s="92"/>
      <c r="AI389" s="93"/>
      <c r="AJ389" s="94"/>
      <c r="AK389" s="92"/>
      <c r="AL389" s="94"/>
      <c r="AM389" s="94"/>
      <c r="AN389" s="94"/>
      <c r="AO389" s="94"/>
      <c r="AP389" s="94"/>
      <c r="AQ389" s="94"/>
      <c r="AR389" s="94"/>
      <c r="AS389" s="94"/>
      <c r="AT389" s="94"/>
      <c r="AU389" s="92"/>
      <c r="AV389" s="94"/>
      <c r="AW389" s="94"/>
      <c r="AX389" s="94"/>
      <c r="AY389" s="94"/>
      <c r="AZ389" s="94"/>
      <c r="BA389" s="94"/>
      <c r="BB389" s="94"/>
      <c r="BC389" s="94"/>
      <c r="BD389" s="94"/>
      <c r="BE389" s="94"/>
      <c r="BF389" s="94"/>
      <c r="BG389" s="94"/>
      <c r="BH389" s="94"/>
      <c r="BI389" s="94"/>
      <c r="BJ389" s="94"/>
      <c r="BK389" s="94"/>
      <c r="BL389" s="92"/>
      <c r="BM389" s="94"/>
      <c r="BN389" s="94"/>
      <c r="BO389" s="94"/>
      <c r="BP389" s="94"/>
      <c r="BQ389" s="92"/>
      <c r="BR389" s="92"/>
      <c r="BS389" s="92"/>
      <c r="BT389" s="92"/>
      <c r="BU389" s="92"/>
      <c r="BV389" s="92"/>
      <c r="BW389" s="92"/>
      <c r="BX389" s="92"/>
      <c r="BY389" s="92"/>
      <c r="BZ389" s="92"/>
    </row>
    <row r="390" spans="1:78" ht="12.9">
      <c r="A390" s="89"/>
      <c r="B390" s="89"/>
      <c r="C390" s="89"/>
      <c r="D390" s="89"/>
      <c r="E390" s="89"/>
      <c r="F390" s="89"/>
      <c r="G390" s="89"/>
      <c r="H390" s="105"/>
      <c r="I390" s="106"/>
      <c r="J390" s="106"/>
      <c r="K390" s="89"/>
      <c r="L390" s="89"/>
      <c r="M390" s="89"/>
      <c r="N390" s="107"/>
      <c r="O390" s="107"/>
      <c r="P390" s="89"/>
      <c r="Q390" s="89"/>
      <c r="R390" s="89"/>
      <c r="S390" s="89"/>
      <c r="T390" s="89"/>
      <c r="U390" s="89"/>
      <c r="V390" s="89"/>
      <c r="W390" s="89"/>
      <c r="X390" s="89"/>
      <c r="Y390" s="89"/>
      <c r="Z390" s="77"/>
      <c r="AA390" s="77"/>
      <c r="AB390" s="94"/>
      <c r="AC390" s="94"/>
      <c r="AD390" s="94"/>
      <c r="AE390" s="94"/>
      <c r="AF390" s="91"/>
      <c r="AG390" s="92"/>
      <c r="AH390" s="92"/>
      <c r="AI390" s="93"/>
      <c r="AJ390" s="94"/>
      <c r="AK390" s="92"/>
      <c r="AL390" s="94"/>
      <c r="AM390" s="94"/>
      <c r="AN390" s="94"/>
      <c r="AO390" s="94"/>
      <c r="AP390" s="94"/>
      <c r="AQ390" s="94"/>
      <c r="AR390" s="94"/>
      <c r="AS390" s="94"/>
      <c r="AT390" s="94"/>
      <c r="AU390" s="92"/>
      <c r="AV390" s="94"/>
      <c r="AW390" s="94"/>
      <c r="AX390" s="94"/>
      <c r="AY390" s="94"/>
      <c r="AZ390" s="94"/>
      <c r="BA390" s="94"/>
      <c r="BB390" s="94"/>
      <c r="BC390" s="94"/>
      <c r="BD390" s="94"/>
      <c r="BE390" s="94"/>
      <c r="BF390" s="94"/>
      <c r="BG390" s="94"/>
      <c r="BH390" s="94"/>
      <c r="BI390" s="94"/>
      <c r="BJ390" s="94"/>
      <c r="BK390" s="94"/>
      <c r="BL390" s="92"/>
      <c r="BM390" s="94"/>
      <c r="BN390" s="94"/>
      <c r="BO390" s="94"/>
      <c r="BP390" s="94"/>
      <c r="BQ390" s="92"/>
      <c r="BR390" s="92"/>
      <c r="BS390" s="92"/>
      <c r="BT390" s="92"/>
      <c r="BU390" s="92"/>
      <c r="BV390" s="92"/>
      <c r="BW390" s="92"/>
      <c r="BX390" s="92"/>
      <c r="BY390" s="92"/>
      <c r="BZ390" s="92"/>
    </row>
    <row r="391" spans="1:78" ht="12.9">
      <c r="A391" s="89"/>
      <c r="B391" s="89"/>
      <c r="C391" s="89"/>
      <c r="D391" s="89"/>
      <c r="E391" s="89"/>
      <c r="F391" s="89"/>
      <c r="G391" s="89"/>
      <c r="H391" s="105"/>
      <c r="I391" s="106"/>
      <c r="J391" s="106"/>
      <c r="K391" s="89"/>
      <c r="L391" s="89"/>
      <c r="M391" s="89"/>
      <c r="N391" s="107"/>
      <c r="O391" s="107"/>
      <c r="P391" s="89"/>
      <c r="Q391" s="89"/>
      <c r="R391" s="89"/>
      <c r="S391" s="89"/>
      <c r="T391" s="89"/>
      <c r="U391" s="89"/>
      <c r="V391" s="89"/>
      <c r="W391" s="89"/>
      <c r="X391" s="89"/>
      <c r="Y391" s="89"/>
      <c r="Z391" s="77"/>
      <c r="AA391" s="77"/>
      <c r="AB391" s="94"/>
      <c r="AC391" s="94"/>
      <c r="AD391" s="94"/>
      <c r="AE391" s="94"/>
      <c r="AF391" s="91"/>
      <c r="AG391" s="92"/>
      <c r="AH391" s="92"/>
      <c r="AI391" s="93"/>
      <c r="AJ391" s="94"/>
      <c r="AK391" s="92"/>
      <c r="AL391" s="94"/>
      <c r="AM391" s="94"/>
      <c r="AN391" s="94"/>
      <c r="AO391" s="94"/>
      <c r="AP391" s="94"/>
      <c r="AQ391" s="94"/>
      <c r="AR391" s="94"/>
      <c r="AS391" s="94"/>
      <c r="AT391" s="94"/>
      <c r="AU391" s="92"/>
      <c r="AV391" s="94"/>
      <c r="AW391" s="94"/>
      <c r="AX391" s="94"/>
      <c r="AY391" s="94"/>
      <c r="AZ391" s="94"/>
      <c r="BA391" s="94"/>
      <c r="BB391" s="94"/>
      <c r="BC391" s="94"/>
      <c r="BD391" s="94"/>
      <c r="BE391" s="94"/>
      <c r="BF391" s="94"/>
      <c r="BG391" s="94"/>
      <c r="BH391" s="94"/>
      <c r="BI391" s="94"/>
      <c r="BJ391" s="94"/>
      <c r="BK391" s="94"/>
      <c r="BL391" s="92"/>
      <c r="BM391" s="94"/>
      <c r="BN391" s="94"/>
      <c r="BO391" s="94"/>
      <c r="BP391" s="94"/>
      <c r="BQ391" s="92"/>
      <c r="BR391" s="92"/>
      <c r="BS391" s="92"/>
      <c r="BT391" s="92"/>
      <c r="BU391" s="92"/>
      <c r="BV391" s="92"/>
      <c r="BW391" s="92"/>
      <c r="BX391" s="92"/>
      <c r="BY391" s="92"/>
      <c r="BZ391" s="92"/>
    </row>
    <row r="392" spans="1:78" ht="12.9">
      <c r="A392" s="89"/>
      <c r="B392" s="89"/>
      <c r="C392" s="89"/>
      <c r="D392" s="89"/>
      <c r="E392" s="89"/>
      <c r="F392" s="89"/>
      <c r="G392" s="89"/>
      <c r="H392" s="105"/>
      <c r="I392" s="106"/>
      <c r="J392" s="106"/>
      <c r="K392" s="89"/>
      <c r="L392" s="89"/>
      <c r="M392" s="89"/>
      <c r="N392" s="107"/>
      <c r="O392" s="107"/>
      <c r="P392" s="89"/>
      <c r="Q392" s="89"/>
      <c r="R392" s="89"/>
      <c r="S392" s="89"/>
      <c r="T392" s="89"/>
      <c r="U392" s="89"/>
      <c r="V392" s="89"/>
      <c r="W392" s="89"/>
      <c r="X392" s="89"/>
      <c r="Y392" s="89"/>
      <c r="Z392" s="77"/>
      <c r="AA392" s="77"/>
      <c r="AB392" s="94"/>
      <c r="AC392" s="94"/>
      <c r="AD392" s="94"/>
      <c r="AE392" s="94"/>
      <c r="AF392" s="91"/>
      <c r="AG392" s="92"/>
      <c r="AH392" s="92"/>
      <c r="AI392" s="93"/>
      <c r="AJ392" s="94"/>
      <c r="AK392" s="92"/>
      <c r="AL392" s="94"/>
      <c r="AM392" s="94"/>
      <c r="AN392" s="94"/>
      <c r="AO392" s="94"/>
      <c r="AP392" s="94"/>
      <c r="AQ392" s="94"/>
      <c r="AR392" s="94"/>
      <c r="AS392" s="94"/>
      <c r="AT392" s="94"/>
      <c r="AU392" s="92"/>
      <c r="AV392" s="94"/>
      <c r="AW392" s="94"/>
      <c r="AX392" s="94"/>
      <c r="AY392" s="94"/>
      <c r="AZ392" s="94"/>
      <c r="BA392" s="94"/>
      <c r="BB392" s="94"/>
      <c r="BC392" s="94"/>
      <c r="BD392" s="94"/>
      <c r="BE392" s="94"/>
      <c r="BF392" s="94"/>
      <c r="BG392" s="94"/>
      <c r="BH392" s="94"/>
      <c r="BI392" s="94"/>
      <c r="BJ392" s="94"/>
      <c r="BK392" s="94"/>
      <c r="BL392" s="92"/>
      <c r="BM392" s="94"/>
      <c r="BN392" s="94"/>
      <c r="BO392" s="94"/>
      <c r="BP392" s="94"/>
      <c r="BQ392" s="92"/>
      <c r="BR392" s="92"/>
      <c r="BS392" s="92"/>
      <c r="BT392" s="92"/>
      <c r="BU392" s="92"/>
      <c r="BV392" s="92"/>
      <c r="BW392" s="92"/>
      <c r="BX392" s="92"/>
      <c r="BY392" s="92"/>
      <c r="BZ392" s="92"/>
    </row>
    <row r="393" spans="1:78" ht="12.9">
      <c r="A393" s="89"/>
      <c r="B393" s="89"/>
      <c r="C393" s="89"/>
      <c r="D393" s="89"/>
      <c r="E393" s="89"/>
      <c r="F393" s="89"/>
      <c r="G393" s="89"/>
      <c r="H393" s="105"/>
      <c r="I393" s="106"/>
      <c r="J393" s="106"/>
      <c r="K393" s="89"/>
      <c r="L393" s="89"/>
      <c r="M393" s="89"/>
      <c r="N393" s="107"/>
      <c r="O393" s="107"/>
      <c r="P393" s="89"/>
      <c r="Q393" s="89"/>
      <c r="R393" s="89"/>
      <c r="S393" s="89"/>
      <c r="T393" s="89"/>
      <c r="U393" s="89"/>
      <c r="V393" s="89"/>
      <c r="W393" s="89"/>
      <c r="X393" s="89"/>
      <c r="Y393" s="89"/>
      <c r="Z393" s="77"/>
      <c r="AA393" s="77"/>
      <c r="AB393" s="94"/>
      <c r="AC393" s="94"/>
      <c r="AD393" s="94"/>
      <c r="AE393" s="94"/>
      <c r="AF393" s="91"/>
      <c r="AG393" s="92"/>
      <c r="AH393" s="92"/>
      <c r="AI393" s="93"/>
      <c r="AJ393" s="94"/>
      <c r="AK393" s="92"/>
      <c r="AL393" s="94"/>
      <c r="AM393" s="94"/>
      <c r="AN393" s="94"/>
      <c r="AO393" s="94"/>
      <c r="AP393" s="94"/>
      <c r="AQ393" s="94"/>
      <c r="AR393" s="94"/>
      <c r="AS393" s="94"/>
      <c r="AT393" s="94"/>
      <c r="AU393" s="92"/>
      <c r="AV393" s="94"/>
      <c r="AW393" s="94"/>
      <c r="AX393" s="94"/>
      <c r="AY393" s="94"/>
      <c r="AZ393" s="94"/>
      <c r="BA393" s="94"/>
      <c r="BB393" s="94"/>
      <c r="BC393" s="94"/>
      <c r="BD393" s="94"/>
      <c r="BE393" s="94"/>
      <c r="BF393" s="94"/>
      <c r="BG393" s="94"/>
      <c r="BH393" s="94"/>
      <c r="BI393" s="94"/>
      <c r="BJ393" s="94"/>
      <c r="BK393" s="94"/>
      <c r="BL393" s="92"/>
      <c r="BM393" s="94"/>
      <c r="BN393" s="94"/>
      <c r="BO393" s="94"/>
      <c r="BP393" s="94"/>
      <c r="BQ393" s="92"/>
      <c r="BR393" s="92"/>
      <c r="BS393" s="92"/>
      <c r="BT393" s="92"/>
      <c r="BU393" s="92"/>
      <c r="BV393" s="92"/>
      <c r="BW393" s="92"/>
      <c r="BX393" s="92"/>
      <c r="BY393" s="92"/>
      <c r="BZ393" s="92"/>
    </row>
    <row r="394" spans="1:78" ht="12.9">
      <c r="A394" s="89"/>
      <c r="B394" s="89"/>
      <c r="C394" s="89"/>
      <c r="D394" s="89"/>
      <c r="E394" s="89"/>
      <c r="F394" s="89"/>
      <c r="G394" s="89"/>
      <c r="H394" s="105"/>
      <c r="I394" s="106"/>
      <c r="J394" s="106"/>
      <c r="K394" s="89"/>
      <c r="L394" s="89"/>
      <c r="M394" s="89"/>
      <c r="N394" s="107"/>
      <c r="O394" s="107"/>
      <c r="P394" s="89"/>
      <c r="Q394" s="89"/>
      <c r="R394" s="89"/>
      <c r="S394" s="89"/>
      <c r="T394" s="89"/>
      <c r="U394" s="89"/>
      <c r="V394" s="89"/>
      <c r="W394" s="89"/>
      <c r="X394" s="89"/>
      <c r="Y394" s="89"/>
      <c r="Z394" s="77"/>
      <c r="AA394" s="77"/>
      <c r="AB394" s="94"/>
      <c r="AC394" s="94"/>
      <c r="AD394" s="94"/>
      <c r="AE394" s="94"/>
      <c r="AF394" s="91"/>
      <c r="AG394" s="92"/>
      <c r="AH394" s="92"/>
      <c r="AI394" s="93"/>
      <c r="AJ394" s="94"/>
      <c r="AK394" s="92"/>
      <c r="AL394" s="94"/>
      <c r="AM394" s="94"/>
      <c r="AN394" s="94"/>
      <c r="AO394" s="94"/>
      <c r="AP394" s="94"/>
      <c r="AQ394" s="94"/>
      <c r="AR394" s="94"/>
      <c r="AS394" s="94"/>
      <c r="AT394" s="94"/>
      <c r="AU394" s="92"/>
      <c r="AV394" s="94"/>
      <c r="AW394" s="94"/>
      <c r="AX394" s="94"/>
      <c r="AY394" s="94"/>
      <c r="AZ394" s="94"/>
      <c r="BA394" s="94"/>
      <c r="BB394" s="94"/>
      <c r="BC394" s="94"/>
      <c r="BD394" s="94"/>
      <c r="BE394" s="94"/>
      <c r="BF394" s="94"/>
      <c r="BG394" s="94"/>
      <c r="BH394" s="94"/>
      <c r="BI394" s="94"/>
      <c r="BJ394" s="94"/>
      <c r="BK394" s="94"/>
      <c r="BL394" s="92"/>
      <c r="BM394" s="94"/>
      <c r="BN394" s="94"/>
      <c r="BO394" s="94"/>
      <c r="BP394" s="94"/>
      <c r="BQ394" s="92"/>
      <c r="BR394" s="92"/>
      <c r="BS394" s="92"/>
      <c r="BT394" s="92"/>
      <c r="BU394" s="92"/>
      <c r="BV394" s="92"/>
      <c r="BW394" s="92"/>
      <c r="BX394" s="92"/>
      <c r="BY394" s="92"/>
      <c r="BZ394" s="92"/>
    </row>
    <row r="395" spans="1:78" ht="12.9">
      <c r="A395" s="89"/>
      <c r="B395" s="89"/>
      <c r="C395" s="89"/>
      <c r="D395" s="89"/>
      <c r="E395" s="89"/>
      <c r="F395" s="89"/>
      <c r="G395" s="89"/>
      <c r="H395" s="105"/>
      <c r="I395" s="106"/>
      <c r="J395" s="106"/>
      <c r="K395" s="89"/>
      <c r="L395" s="89"/>
      <c r="M395" s="89"/>
      <c r="N395" s="107"/>
      <c r="O395" s="107"/>
      <c r="P395" s="89"/>
      <c r="Q395" s="89"/>
      <c r="R395" s="89"/>
      <c r="S395" s="89"/>
      <c r="T395" s="89"/>
      <c r="U395" s="89"/>
      <c r="V395" s="89"/>
      <c r="W395" s="89"/>
      <c r="X395" s="89"/>
      <c r="Y395" s="89"/>
      <c r="Z395" s="77"/>
      <c r="AA395" s="77"/>
      <c r="AB395" s="94"/>
      <c r="AC395" s="94"/>
      <c r="AD395" s="94"/>
      <c r="AE395" s="94"/>
      <c r="AF395" s="91"/>
      <c r="AG395" s="92"/>
      <c r="AH395" s="92"/>
      <c r="AI395" s="93"/>
      <c r="AJ395" s="94"/>
      <c r="AK395" s="92"/>
      <c r="AL395" s="94"/>
      <c r="AM395" s="94"/>
      <c r="AN395" s="94"/>
      <c r="AO395" s="94"/>
      <c r="AP395" s="94"/>
      <c r="AQ395" s="94"/>
      <c r="AR395" s="94"/>
      <c r="AS395" s="94"/>
      <c r="AT395" s="94"/>
      <c r="AU395" s="92"/>
      <c r="AV395" s="94"/>
      <c r="AW395" s="94"/>
      <c r="AX395" s="94"/>
      <c r="AY395" s="94"/>
      <c r="AZ395" s="94"/>
      <c r="BA395" s="94"/>
      <c r="BB395" s="94"/>
      <c r="BC395" s="94"/>
      <c r="BD395" s="94"/>
      <c r="BE395" s="94"/>
      <c r="BF395" s="94"/>
      <c r="BG395" s="94"/>
      <c r="BH395" s="94"/>
      <c r="BI395" s="94"/>
      <c r="BJ395" s="94"/>
      <c r="BK395" s="94"/>
      <c r="BL395" s="92"/>
      <c r="BM395" s="94"/>
      <c r="BN395" s="94"/>
      <c r="BO395" s="94"/>
      <c r="BP395" s="94"/>
      <c r="BQ395" s="92"/>
      <c r="BR395" s="92"/>
      <c r="BS395" s="92"/>
      <c r="BT395" s="92"/>
      <c r="BU395" s="92"/>
      <c r="BV395" s="92"/>
      <c r="BW395" s="92"/>
      <c r="BX395" s="92"/>
      <c r="BY395" s="92"/>
      <c r="BZ395" s="92"/>
    </row>
    <row r="396" spans="1:78" ht="12.9">
      <c r="A396" s="89"/>
      <c r="B396" s="89"/>
      <c r="C396" s="89"/>
      <c r="D396" s="89"/>
      <c r="E396" s="89"/>
      <c r="F396" s="89"/>
      <c r="G396" s="89"/>
      <c r="H396" s="105"/>
      <c r="I396" s="106"/>
      <c r="J396" s="106"/>
      <c r="K396" s="89"/>
      <c r="L396" s="89"/>
      <c r="M396" s="89"/>
      <c r="N396" s="107"/>
      <c r="O396" s="107"/>
      <c r="P396" s="89"/>
      <c r="Q396" s="89"/>
      <c r="R396" s="89"/>
      <c r="S396" s="89"/>
      <c r="T396" s="89"/>
      <c r="U396" s="89"/>
      <c r="V396" s="89"/>
      <c r="W396" s="89"/>
      <c r="X396" s="89"/>
      <c r="Y396" s="89"/>
      <c r="Z396" s="77"/>
      <c r="AA396" s="77"/>
      <c r="AB396" s="94"/>
      <c r="AC396" s="94"/>
      <c r="AD396" s="94"/>
      <c r="AE396" s="94"/>
      <c r="AF396" s="91"/>
      <c r="AG396" s="92"/>
      <c r="AH396" s="92"/>
      <c r="AI396" s="93"/>
      <c r="AJ396" s="94"/>
      <c r="AK396" s="92"/>
      <c r="AL396" s="94"/>
      <c r="AM396" s="94"/>
      <c r="AN396" s="94"/>
      <c r="AO396" s="94"/>
      <c r="AP396" s="94"/>
      <c r="AQ396" s="94"/>
      <c r="AR396" s="94"/>
      <c r="AS396" s="94"/>
      <c r="AT396" s="94"/>
      <c r="AU396" s="92"/>
      <c r="AV396" s="94"/>
      <c r="AW396" s="94"/>
      <c r="AX396" s="94"/>
      <c r="AY396" s="94"/>
      <c r="AZ396" s="94"/>
      <c r="BA396" s="94"/>
      <c r="BB396" s="94"/>
      <c r="BC396" s="94"/>
      <c r="BD396" s="94"/>
      <c r="BE396" s="94"/>
      <c r="BF396" s="94"/>
      <c r="BG396" s="94"/>
      <c r="BH396" s="94"/>
      <c r="BI396" s="94"/>
      <c r="BJ396" s="94"/>
      <c r="BK396" s="94"/>
      <c r="BL396" s="92"/>
      <c r="BM396" s="94"/>
      <c r="BN396" s="94"/>
      <c r="BO396" s="94"/>
      <c r="BP396" s="94"/>
      <c r="BQ396" s="92"/>
      <c r="BR396" s="92"/>
      <c r="BS396" s="92"/>
      <c r="BT396" s="92"/>
      <c r="BU396" s="92"/>
      <c r="BV396" s="92"/>
      <c r="BW396" s="92"/>
      <c r="BX396" s="92"/>
      <c r="BY396" s="92"/>
      <c r="BZ396" s="92"/>
    </row>
    <row r="397" spans="1:78" ht="12.9">
      <c r="A397" s="89"/>
      <c r="B397" s="89"/>
      <c r="C397" s="89"/>
      <c r="D397" s="89"/>
      <c r="E397" s="89"/>
      <c r="F397" s="89"/>
      <c r="G397" s="89"/>
      <c r="H397" s="105"/>
      <c r="I397" s="106"/>
      <c r="J397" s="106"/>
      <c r="K397" s="89"/>
      <c r="L397" s="89"/>
      <c r="M397" s="89"/>
      <c r="N397" s="107"/>
      <c r="O397" s="107"/>
      <c r="P397" s="89"/>
      <c r="Q397" s="89"/>
      <c r="R397" s="89"/>
      <c r="S397" s="89"/>
      <c r="T397" s="89"/>
      <c r="U397" s="89"/>
      <c r="V397" s="89"/>
      <c r="W397" s="89"/>
      <c r="X397" s="89"/>
      <c r="Y397" s="89"/>
      <c r="Z397" s="77"/>
      <c r="AA397" s="77"/>
      <c r="AB397" s="94"/>
      <c r="AC397" s="94"/>
      <c r="AD397" s="94"/>
      <c r="AE397" s="94"/>
      <c r="AF397" s="91"/>
      <c r="AG397" s="92"/>
      <c r="AH397" s="92"/>
      <c r="AI397" s="93"/>
      <c r="AJ397" s="94"/>
      <c r="AK397" s="92"/>
      <c r="AL397" s="94"/>
      <c r="AM397" s="94"/>
      <c r="AN397" s="94"/>
      <c r="AO397" s="94"/>
      <c r="AP397" s="94"/>
      <c r="AQ397" s="94"/>
      <c r="AR397" s="94"/>
      <c r="AS397" s="94"/>
      <c r="AT397" s="94"/>
      <c r="AU397" s="92"/>
      <c r="AV397" s="94"/>
      <c r="AW397" s="94"/>
      <c r="AX397" s="94"/>
      <c r="AY397" s="94"/>
      <c r="AZ397" s="94"/>
      <c r="BA397" s="94"/>
      <c r="BB397" s="94"/>
      <c r="BC397" s="94"/>
      <c r="BD397" s="94"/>
      <c r="BE397" s="94"/>
      <c r="BF397" s="94"/>
      <c r="BG397" s="94"/>
      <c r="BH397" s="94"/>
      <c r="BI397" s="94"/>
      <c r="BJ397" s="94"/>
      <c r="BK397" s="94"/>
      <c r="BL397" s="92"/>
      <c r="BM397" s="94"/>
      <c r="BN397" s="94"/>
      <c r="BO397" s="94"/>
      <c r="BP397" s="94"/>
      <c r="BQ397" s="92"/>
      <c r="BR397" s="92"/>
      <c r="BS397" s="92"/>
      <c r="BT397" s="92"/>
      <c r="BU397" s="92"/>
      <c r="BV397" s="92"/>
      <c r="BW397" s="92"/>
      <c r="BX397" s="92"/>
      <c r="BY397" s="92"/>
      <c r="BZ397" s="92"/>
    </row>
    <row r="398" spans="1:78" ht="12.9">
      <c r="A398" s="89"/>
      <c r="B398" s="89"/>
      <c r="C398" s="89"/>
      <c r="D398" s="89"/>
      <c r="E398" s="89"/>
      <c r="F398" s="89"/>
      <c r="G398" s="89"/>
      <c r="H398" s="105"/>
      <c r="I398" s="106"/>
      <c r="J398" s="106"/>
      <c r="K398" s="89"/>
      <c r="L398" s="89"/>
      <c r="M398" s="89"/>
      <c r="N398" s="107"/>
      <c r="O398" s="107"/>
      <c r="P398" s="89"/>
      <c r="Q398" s="89"/>
      <c r="R398" s="89"/>
      <c r="S398" s="89"/>
      <c r="T398" s="89"/>
      <c r="U398" s="89"/>
      <c r="V398" s="89"/>
      <c r="W398" s="89"/>
      <c r="X398" s="89"/>
      <c r="Y398" s="89"/>
      <c r="Z398" s="77"/>
      <c r="AA398" s="77"/>
      <c r="AB398" s="94"/>
      <c r="AC398" s="94"/>
      <c r="AD398" s="94"/>
      <c r="AE398" s="94"/>
      <c r="AF398" s="91"/>
      <c r="AG398" s="92"/>
      <c r="AH398" s="92"/>
      <c r="AI398" s="93"/>
      <c r="AJ398" s="94"/>
      <c r="AK398" s="92"/>
      <c r="AL398" s="94"/>
      <c r="AM398" s="94"/>
      <c r="AN398" s="94"/>
      <c r="AO398" s="94"/>
      <c r="AP398" s="94"/>
      <c r="AQ398" s="94"/>
      <c r="AR398" s="94"/>
      <c r="AS398" s="94"/>
      <c r="AT398" s="94"/>
      <c r="AU398" s="92"/>
      <c r="AV398" s="94"/>
      <c r="AW398" s="94"/>
      <c r="AX398" s="94"/>
      <c r="AY398" s="94"/>
      <c r="AZ398" s="94"/>
      <c r="BA398" s="94"/>
      <c r="BB398" s="94"/>
      <c r="BC398" s="94"/>
      <c r="BD398" s="94"/>
      <c r="BE398" s="94"/>
      <c r="BF398" s="94"/>
      <c r="BG398" s="94"/>
      <c r="BH398" s="94"/>
      <c r="BI398" s="94"/>
      <c r="BJ398" s="94"/>
      <c r="BK398" s="94"/>
      <c r="BL398" s="92"/>
      <c r="BM398" s="94"/>
      <c r="BN398" s="94"/>
      <c r="BO398" s="94"/>
      <c r="BP398" s="94"/>
      <c r="BQ398" s="92"/>
      <c r="BR398" s="92"/>
      <c r="BS398" s="92"/>
      <c r="BT398" s="92"/>
      <c r="BU398" s="92"/>
      <c r="BV398" s="92"/>
      <c r="BW398" s="92"/>
      <c r="BX398" s="92"/>
      <c r="BY398" s="92"/>
      <c r="BZ398" s="92"/>
    </row>
    <row r="399" spans="1:78" ht="12.9">
      <c r="A399" s="89"/>
      <c r="B399" s="89"/>
      <c r="C399" s="89"/>
      <c r="D399" s="89"/>
      <c r="E399" s="89"/>
      <c r="F399" s="89"/>
      <c r="G399" s="89"/>
      <c r="H399" s="105"/>
      <c r="I399" s="106"/>
      <c r="J399" s="106"/>
      <c r="K399" s="89"/>
      <c r="L399" s="89"/>
      <c r="M399" s="89"/>
      <c r="N399" s="107"/>
      <c r="O399" s="107"/>
      <c r="P399" s="89"/>
      <c r="Q399" s="89"/>
      <c r="R399" s="89"/>
      <c r="S399" s="89"/>
      <c r="T399" s="89"/>
      <c r="U399" s="89"/>
      <c r="V399" s="89"/>
      <c r="W399" s="89"/>
      <c r="X399" s="89"/>
      <c r="Y399" s="89"/>
      <c r="Z399" s="77"/>
      <c r="AA399" s="77"/>
      <c r="AB399" s="94"/>
      <c r="AC399" s="94"/>
      <c r="AD399" s="94"/>
      <c r="AE399" s="94"/>
      <c r="AF399" s="91"/>
      <c r="AG399" s="92"/>
      <c r="AH399" s="92"/>
      <c r="AI399" s="93"/>
      <c r="AJ399" s="94"/>
      <c r="AK399" s="92"/>
      <c r="AL399" s="94"/>
      <c r="AM399" s="94"/>
      <c r="AN399" s="94"/>
      <c r="AO399" s="94"/>
      <c r="AP399" s="94"/>
      <c r="AQ399" s="94"/>
      <c r="AR399" s="94"/>
      <c r="AS399" s="94"/>
      <c r="AT399" s="94"/>
      <c r="AU399" s="92"/>
      <c r="AV399" s="94"/>
      <c r="AW399" s="94"/>
      <c r="AX399" s="94"/>
      <c r="AY399" s="94"/>
      <c r="AZ399" s="94"/>
      <c r="BA399" s="94"/>
      <c r="BB399" s="94"/>
      <c r="BC399" s="94"/>
      <c r="BD399" s="94"/>
      <c r="BE399" s="94"/>
      <c r="BF399" s="94"/>
      <c r="BG399" s="94"/>
      <c r="BH399" s="94"/>
      <c r="BI399" s="94"/>
      <c r="BJ399" s="94"/>
      <c r="BK399" s="94"/>
      <c r="BL399" s="92"/>
      <c r="BM399" s="94"/>
      <c r="BN399" s="94"/>
      <c r="BO399" s="94"/>
      <c r="BP399" s="94"/>
      <c r="BQ399" s="92"/>
      <c r="BR399" s="92"/>
      <c r="BS399" s="92"/>
      <c r="BT399" s="92"/>
      <c r="BU399" s="92"/>
      <c r="BV399" s="92"/>
      <c r="BW399" s="92"/>
      <c r="BX399" s="92"/>
      <c r="BY399" s="92"/>
      <c r="BZ399" s="92"/>
    </row>
    <row r="400" spans="1:78" ht="12.9">
      <c r="A400" s="89"/>
      <c r="B400" s="89"/>
      <c r="C400" s="89"/>
      <c r="D400" s="89"/>
      <c r="E400" s="89"/>
      <c r="F400" s="89"/>
      <c r="G400" s="89"/>
      <c r="H400" s="105"/>
      <c r="I400" s="106"/>
      <c r="J400" s="106"/>
      <c r="K400" s="89"/>
      <c r="L400" s="89"/>
      <c r="M400" s="89"/>
      <c r="N400" s="107"/>
      <c r="O400" s="107"/>
      <c r="P400" s="89"/>
      <c r="Q400" s="89"/>
      <c r="R400" s="89"/>
      <c r="S400" s="89"/>
      <c r="T400" s="89"/>
      <c r="U400" s="89"/>
      <c r="V400" s="89"/>
      <c r="W400" s="89"/>
      <c r="X400" s="89"/>
      <c r="Y400" s="89"/>
      <c r="Z400" s="77"/>
      <c r="AA400" s="77"/>
      <c r="AB400" s="94"/>
      <c r="AC400" s="94"/>
      <c r="AD400" s="94"/>
      <c r="AE400" s="94"/>
      <c r="AF400" s="91"/>
      <c r="AG400" s="92"/>
      <c r="AH400" s="92"/>
      <c r="AI400" s="93"/>
      <c r="AJ400" s="94"/>
      <c r="AK400" s="92"/>
      <c r="AL400" s="94"/>
      <c r="AM400" s="94"/>
      <c r="AN400" s="94"/>
      <c r="AO400" s="94"/>
      <c r="AP400" s="94"/>
      <c r="AQ400" s="94"/>
      <c r="AR400" s="94"/>
      <c r="AS400" s="94"/>
      <c r="AT400" s="94"/>
      <c r="AU400" s="92"/>
      <c r="AV400" s="94"/>
      <c r="AW400" s="94"/>
      <c r="AX400" s="94"/>
      <c r="AY400" s="94"/>
      <c r="AZ400" s="94"/>
      <c r="BA400" s="94"/>
      <c r="BB400" s="94"/>
      <c r="BC400" s="94"/>
      <c r="BD400" s="94"/>
      <c r="BE400" s="94"/>
      <c r="BF400" s="94"/>
      <c r="BG400" s="94"/>
      <c r="BH400" s="94"/>
      <c r="BI400" s="94"/>
      <c r="BJ400" s="94"/>
      <c r="BK400" s="94"/>
      <c r="BL400" s="92"/>
      <c r="BM400" s="94"/>
      <c r="BN400" s="94"/>
      <c r="BO400" s="94"/>
      <c r="BP400" s="94"/>
      <c r="BQ400" s="92"/>
      <c r="BR400" s="92"/>
      <c r="BS400" s="92"/>
      <c r="BT400" s="92"/>
      <c r="BU400" s="92"/>
      <c r="BV400" s="92"/>
      <c r="BW400" s="92"/>
      <c r="BX400" s="92"/>
      <c r="BY400" s="92"/>
      <c r="BZ400" s="92"/>
    </row>
    <row r="401" spans="1:78" ht="12.9">
      <c r="A401" s="89"/>
      <c r="B401" s="89"/>
      <c r="C401" s="89"/>
      <c r="D401" s="89"/>
      <c r="E401" s="89"/>
      <c r="F401" s="89"/>
      <c r="G401" s="89"/>
      <c r="H401" s="105"/>
      <c r="I401" s="106"/>
      <c r="J401" s="106"/>
      <c r="K401" s="89"/>
      <c r="L401" s="89"/>
      <c r="M401" s="89"/>
      <c r="N401" s="107"/>
      <c r="O401" s="107"/>
      <c r="P401" s="89"/>
      <c r="Q401" s="89"/>
      <c r="R401" s="89"/>
      <c r="S401" s="89"/>
      <c r="T401" s="89"/>
      <c r="U401" s="89"/>
      <c r="V401" s="89"/>
      <c r="W401" s="89"/>
      <c r="X401" s="89"/>
      <c r="Y401" s="89"/>
      <c r="Z401" s="77"/>
      <c r="AA401" s="77"/>
      <c r="AB401" s="94"/>
      <c r="AC401" s="94"/>
      <c r="AD401" s="94"/>
      <c r="AE401" s="94"/>
      <c r="AF401" s="91"/>
      <c r="AG401" s="92"/>
      <c r="AH401" s="92"/>
      <c r="AI401" s="93"/>
      <c r="AJ401" s="94"/>
      <c r="AK401" s="92"/>
      <c r="AL401" s="94"/>
      <c r="AM401" s="94"/>
      <c r="AN401" s="94"/>
      <c r="AO401" s="94"/>
      <c r="AP401" s="94"/>
      <c r="AQ401" s="94"/>
      <c r="AR401" s="94"/>
      <c r="AS401" s="94"/>
      <c r="AT401" s="94"/>
      <c r="AU401" s="92"/>
      <c r="AV401" s="94"/>
      <c r="AW401" s="94"/>
      <c r="AX401" s="94"/>
      <c r="AY401" s="94"/>
      <c r="AZ401" s="94"/>
      <c r="BA401" s="94"/>
      <c r="BB401" s="94"/>
      <c r="BC401" s="94"/>
      <c r="BD401" s="94"/>
      <c r="BE401" s="94"/>
      <c r="BF401" s="94"/>
      <c r="BG401" s="94"/>
      <c r="BH401" s="94"/>
      <c r="BI401" s="94"/>
      <c r="BJ401" s="94"/>
      <c r="BK401" s="94"/>
      <c r="BL401" s="92"/>
      <c r="BM401" s="94"/>
      <c r="BN401" s="94"/>
      <c r="BO401" s="94"/>
      <c r="BP401" s="94"/>
      <c r="BQ401" s="92"/>
      <c r="BR401" s="92"/>
      <c r="BS401" s="92"/>
      <c r="BT401" s="92"/>
      <c r="BU401" s="92"/>
      <c r="BV401" s="92"/>
      <c r="BW401" s="92"/>
      <c r="BX401" s="92"/>
      <c r="BY401" s="92"/>
      <c r="BZ401" s="92"/>
    </row>
    <row r="402" spans="1:78" ht="12.9">
      <c r="A402" s="89"/>
      <c r="B402" s="89"/>
      <c r="C402" s="89"/>
      <c r="D402" s="89"/>
      <c r="E402" s="89"/>
      <c r="F402" s="89"/>
      <c r="G402" s="89"/>
      <c r="H402" s="105"/>
      <c r="I402" s="106"/>
      <c r="J402" s="106"/>
      <c r="K402" s="89"/>
      <c r="L402" s="89"/>
      <c r="M402" s="89"/>
      <c r="N402" s="107"/>
      <c r="O402" s="107"/>
      <c r="P402" s="89"/>
      <c r="Q402" s="89"/>
      <c r="R402" s="89"/>
      <c r="S402" s="89"/>
      <c r="T402" s="89"/>
      <c r="U402" s="89"/>
      <c r="V402" s="89"/>
      <c r="W402" s="89"/>
      <c r="X402" s="89"/>
      <c r="Y402" s="89"/>
      <c r="Z402" s="77"/>
      <c r="AA402" s="77"/>
      <c r="AB402" s="94"/>
      <c r="AC402" s="94"/>
      <c r="AD402" s="94"/>
      <c r="AE402" s="94"/>
      <c r="AF402" s="91"/>
      <c r="AG402" s="92"/>
      <c r="AH402" s="92"/>
      <c r="AI402" s="93"/>
      <c r="AJ402" s="94"/>
      <c r="AK402" s="92"/>
      <c r="AL402" s="94"/>
      <c r="AM402" s="94"/>
      <c r="AN402" s="94"/>
      <c r="AO402" s="94"/>
      <c r="AP402" s="94"/>
      <c r="AQ402" s="94"/>
      <c r="AR402" s="94"/>
      <c r="AS402" s="94"/>
      <c r="AT402" s="94"/>
      <c r="AU402" s="92"/>
      <c r="AV402" s="94"/>
      <c r="AW402" s="94"/>
      <c r="AX402" s="94"/>
      <c r="AY402" s="94"/>
      <c r="AZ402" s="94"/>
      <c r="BA402" s="94"/>
      <c r="BB402" s="94"/>
      <c r="BC402" s="94"/>
      <c r="BD402" s="94"/>
      <c r="BE402" s="94"/>
      <c r="BF402" s="94"/>
      <c r="BG402" s="94"/>
      <c r="BH402" s="94"/>
      <c r="BI402" s="94"/>
      <c r="BJ402" s="94"/>
      <c r="BK402" s="94"/>
      <c r="BL402" s="92"/>
      <c r="BM402" s="94"/>
      <c r="BN402" s="94"/>
      <c r="BO402" s="94"/>
      <c r="BP402" s="94"/>
      <c r="BQ402" s="92"/>
      <c r="BR402" s="92"/>
      <c r="BS402" s="92"/>
      <c r="BT402" s="92"/>
      <c r="BU402" s="92"/>
      <c r="BV402" s="92"/>
      <c r="BW402" s="92"/>
      <c r="BX402" s="92"/>
      <c r="BY402" s="92"/>
      <c r="BZ402" s="92"/>
    </row>
    <row r="403" spans="1:78" ht="12.9">
      <c r="A403" s="89"/>
      <c r="B403" s="89"/>
      <c r="C403" s="89"/>
      <c r="D403" s="89"/>
      <c r="E403" s="89"/>
      <c r="F403" s="89"/>
      <c r="G403" s="89"/>
      <c r="H403" s="105"/>
      <c r="I403" s="106"/>
      <c r="J403" s="106"/>
      <c r="K403" s="89"/>
      <c r="L403" s="89"/>
      <c r="M403" s="89"/>
      <c r="N403" s="107"/>
      <c r="O403" s="107"/>
      <c r="P403" s="89"/>
      <c r="Q403" s="89"/>
      <c r="R403" s="89"/>
      <c r="S403" s="89"/>
      <c r="T403" s="89"/>
      <c r="U403" s="89"/>
      <c r="V403" s="89"/>
      <c r="W403" s="89"/>
      <c r="X403" s="89"/>
      <c r="Y403" s="89"/>
      <c r="Z403" s="77"/>
      <c r="AA403" s="77"/>
      <c r="AB403" s="94"/>
      <c r="AC403" s="94"/>
      <c r="AD403" s="94"/>
      <c r="AE403" s="94"/>
      <c r="AF403" s="91"/>
      <c r="AG403" s="92"/>
      <c r="AH403" s="92"/>
      <c r="AI403" s="93"/>
      <c r="AJ403" s="94"/>
      <c r="AK403" s="92"/>
      <c r="AL403" s="94"/>
      <c r="AM403" s="94"/>
      <c r="AN403" s="94"/>
      <c r="AO403" s="94"/>
      <c r="AP403" s="94"/>
      <c r="AQ403" s="94"/>
      <c r="AR403" s="94"/>
      <c r="AS403" s="94"/>
      <c r="AT403" s="94"/>
      <c r="AU403" s="92"/>
      <c r="AV403" s="94"/>
      <c r="AW403" s="94"/>
      <c r="AX403" s="94"/>
      <c r="AY403" s="94"/>
      <c r="AZ403" s="94"/>
      <c r="BA403" s="94"/>
      <c r="BB403" s="94"/>
      <c r="BC403" s="94"/>
      <c r="BD403" s="94"/>
      <c r="BE403" s="94"/>
      <c r="BF403" s="94"/>
      <c r="BG403" s="94"/>
      <c r="BH403" s="94"/>
      <c r="BI403" s="94"/>
      <c r="BJ403" s="94"/>
      <c r="BK403" s="94"/>
      <c r="BL403" s="92"/>
      <c r="BM403" s="94"/>
      <c r="BN403" s="94"/>
      <c r="BO403" s="94"/>
      <c r="BP403" s="94"/>
      <c r="BQ403" s="92"/>
      <c r="BR403" s="92"/>
      <c r="BS403" s="92"/>
      <c r="BT403" s="92"/>
      <c r="BU403" s="92"/>
      <c r="BV403" s="92"/>
      <c r="BW403" s="92"/>
      <c r="BX403" s="92"/>
      <c r="BY403" s="92"/>
      <c r="BZ403" s="92"/>
    </row>
    <row r="404" spans="1:78" ht="12.9">
      <c r="A404" s="89"/>
      <c r="B404" s="89"/>
      <c r="C404" s="89"/>
      <c r="D404" s="89"/>
      <c r="E404" s="89"/>
      <c r="F404" s="89"/>
      <c r="G404" s="89"/>
      <c r="H404" s="105"/>
      <c r="I404" s="106"/>
      <c r="J404" s="106"/>
      <c r="K404" s="89"/>
      <c r="L404" s="89"/>
      <c r="M404" s="89"/>
      <c r="N404" s="107"/>
      <c r="O404" s="107"/>
      <c r="P404" s="89"/>
      <c r="Q404" s="89"/>
      <c r="R404" s="89"/>
      <c r="S404" s="89"/>
      <c r="T404" s="89"/>
      <c r="U404" s="89"/>
      <c r="V404" s="89"/>
      <c r="W404" s="89"/>
      <c r="X404" s="89"/>
      <c r="Y404" s="89"/>
      <c r="Z404" s="77"/>
      <c r="AA404" s="77"/>
      <c r="AB404" s="94"/>
      <c r="AC404" s="94"/>
      <c r="AD404" s="94"/>
      <c r="AE404" s="94"/>
      <c r="AF404" s="91"/>
      <c r="AG404" s="92"/>
      <c r="AH404" s="92"/>
      <c r="AI404" s="93"/>
      <c r="AJ404" s="94"/>
      <c r="AK404" s="92"/>
      <c r="AL404" s="94"/>
      <c r="AM404" s="94"/>
      <c r="AN404" s="94"/>
      <c r="AO404" s="94"/>
      <c r="AP404" s="94"/>
      <c r="AQ404" s="94"/>
      <c r="AR404" s="94"/>
      <c r="AS404" s="94"/>
      <c r="AT404" s="94"/>
      <c r="AU404" s="92"/>
      <c r="AV404" s="94"/>
      <c r="AW404" s="94"/>
      <c r="AX404" s="94"/>
      <c r="AY404" s="94"/>
      <c r="AZ404" s="94"/>
      <c r="BA404" s="94"/>
      <c r="BB404" s="94"/>
      <c r="BC404" s="94"/>
      <c r="BD404" s="94"/>
      <c r="BE404" s="94"/>
      <c r="BF404" s="94"/>
      <c r="BG404" s="94"/>
      <c r="BH404" s="94"/>
      <c r="BI404" s="94"/>
      <c r="BJ404" s="94"/>
      <c r="BK404" s="94"/>
      <c r="BL404" s="92"/>
      <c r="BM404" s="94"/>
      <c r="BN404" s="94"/>
      <c r="BO404" s="94"/>
      <c r="BP404" s="94"/>
      <c r="BQ404" s="92"/>
      <c r="BR404" s="92"/>
      <c r="BS404" s="92"/>
      <c r="BT404" s="92"/>
      <c r="BU404" s="92"/>
      <c r="BV404" s="92"/>
      <c r="BW404" s="92"/>
      <c r="BX404" s="92"/>
      <c r="BY404" s="92"/>
      <c r="BZ404" s="92"/>
    </row>
    <row r="405" spans="1:78" ht="12.9">
      <c r="A405" s="89"/>
      <c r="B405" s="89"/>
      <c r="C405" s="89"/>
      <c r="D405" s="89"/>
      <c r="E405" s="89"/>
      <c r="F405" s="89"/>
      <c r="G405" s="89"/>
      <c r="H405" s="105"/>
      <c r="I405" s="106"/>
      <c r="J405" s="106"/>
      <c r="K405" s="89"/>
      <c r="L405" s="89"/>
      <c r="M405" s="89"/>
      <c r="N405" s="107"/>
      <c r="O405" s="107"/>
      <c r="P405" s="89"/>
      <c r="Q405" s="89"/>
      <c r="R405" s="89"/>
      <c r="S405" s="89"/>
      <c r="T405" s="89"/>
      <c r="U405" s="89"/>
      <c r="V405" s="89"/>
      <c r="W405" s="89"/>
      <c r="X405" s="89"/>
      <c r="Y405" s="89"/>
      <c r="Z405" s="77"/>
      <c r="AA405" s="77"/>
      <c r="AB405" s="94"/>
      <c r="AC405" s="94"/>
      <c r="AD405" s="94"/>
      <c r="AE405" s="94"/>
      <c r="AF405" s="91"/>
      <c r="AG405" s="92"/>
      <c r="AH405" s="92"/>
      <c r="AI405" s="93"/>
      <c r="AJ405" s="94"/>
      <c r="AK405" s="92"/>
      <c r="AL405" s="94"/>
      <c r="AM405" s="94"/>
      <c r="AN405" s="94"/>
      <c r="AO405" s="94"/>
      <c r="AP405" s="94"/>
      <c r="AQ405" s="94"/>
      <c r="AR405" s="94"/>
      <c r="AS405" s="94"/>
      <c r="AT405" s="94"/>
      <c r="AU405" s="92"/>
      <c r="AV405" s="94"/>
      <c r="AW405" s="94"/>
      <c r="AX405" s="94"/>
      <c r="AY405" s="94"/>
      <c r="AZ405" s="94"/>
      <c r="BA405" s="94"/>
      <c r="BB405" s="94"/>
      <c r="BC405" s="94"/>
      <c r="BD405" s="94"/>
      <c r="BE405" s="94"/>
      <c r="BF405" s="94"/>
      <c r="BG405" s="94"/>
      <c r="BH405" s="94"/>
      <c r="BI405" s="94"/>
      <c r="BJ405" s="94"/>
      <c r="BK405" s="94"/>
      <c r="BL405" s="92"/>
      <c r="BM405" s="94"/>
      <c r="BN405" s="94"/>
      <c r="BO405" s="94"/>
      <c r="BP405" s="94"/>
      <c r="BQ405" s="92"/>
      <c r="BR405" s="92"/>
      <c r="BS405" s="92"/>
      <c r="BT405" s="92"/>
      <c r="BU405" s="92"/>
      <c r="BV405" s="92"/>
      <c r="BW405" s="92"/>
      <c r="BX405" s="92"/>
      <c r="BY405" s="92"/>
      <c r="BZ405" s="92"/>
    </row>
    <row r="406" spans="1:78" ht="12.9">
      <c r="A406" s="89"/>
      <c r="B406" s="89"/>
      <c r="C406" s="89"/>
      <c r="D406" s="89"/>
      <c r="E406" s="89"/>
      <c r="F406" s="89"/>
      <c r="G406" s="89"/>
      <c r="H406" s="105"/>
      <c r="I406" s="106"/>
      <c r="J406" s="106"/>
      <c r="K406" s="89"/>
      <c r="L406" s="89"/>
      <c r="M406" s="89"/>
      <c r="N406" s="107"/>
      <c r="O406" s="107"/>
      <c r="P406" s="89"/>
      <c r="Q406" s="89"/>
      <c r="R406" s="89"/>
      <c r="S406" s="89"/>
      <c r="T406" s="89"/>
      <c r="U406" s="89"/>
      <c r="V406" s="89"/>
      <c r="W406" s="89"/>
      <c r="X406" s="89"/>
      <c r="Y406" s="89"/>
      <c r="Z406" s="77"/>
      <c r="AA406" s="77"/>
      <c r="AB406" s="94"/>
      <c r="AC406" s="94"/>
      <c r="AD406" s="94"/>
      <c r="AE406" s="94"/>
      <c r="AF406" s="91"/>
      <c r="AG406" s="92"/>
      <c r="AH406" s="92"/>
      <c r="AI406" s="93"/>
      <c r="AJ406" s="94"/>
      <c r="AK406" s="92"/>
      <c r="AL406" s="94"/>
      <c r="AM406" s="94"/>
      <c r="AN406" s="94"/>
      <c r="AO406" s="94"/>
      <c r="AP406" s="94"/>
      <c r="AQ406" s="94"/>
      <c r="AR406" s="94"/>
      <c r="AS406" s="94"/>
      <c r="AT406" s="94"/>
      <c r="AU406" s="92"/>
      <c r="AV406" s="94"/>
      <c r="AW406" s="94"/>
      <c r="AX406" s="94"/>
      <c r="AY406" s="94"/>
      <c r="AZ406" s="94"/>
      <c r="BA406" s="94"/>
      <c r="BB406" s="94"/>
      <c r="BC406" s="94"/>
      <c r="BD406" s="94"/>
      <c r="BE406" s="94"/>
      <c r="BF406" s="94"/>
      <c r="BG406" s="94"/>
      <c r="BH406" s="94"/>
      <c r="BI406" s="94"/>
      <c r="BJ406" s="94"/>
      <c r="BK406" s="94"/>
      <c r="BL406" s="92"/>
      <c r="BM406" s="94"/>
      <c r="BN406" s="94"/>
      <c r="BO406" s="94"/>
      <c r="BP406" s="94"/>
      <c r="BQ406" s="92"/>
      <c r="BR406" s="92"/>
      <c r="BS406" s="92"/>
      <c r="BT406" s="92"/>
      <c r="BU406" s="92"/>
      <c r="BV406" s="92"/>
      <c r="BW406" s="92"/>
      <c r="BX406" s="92"/>
      <c r="BY406" s="92"/>
      <c r="BZ406" s="92"/>
    </row>
    <row r="407" spans="1:78" ht="12.9">
      <c r="A407" s="89"/>
      <c r="B407" s="89"/>
      <c r="C407" s="89"/>
      <c r="D407" s="89"/>
      <c r="E407" s="89"/>
      <c r="F407" s="89"/>
      <c r="G407" s="89"/>
      <c r="H407" s="105"/>
      <c r="I407" s="106"/>
      <c r="J407" s="106"/>
      <c r="K407" s="89"/>
      <c r="L407" s="89"/>
      <c r="M407" s="89"/>
      <c r="N407" s="107"/>
      <c r="O407" s="107"/>
      <c r="P407" s="89"/>
      <c r="Q407" s="89"/>
      <c r="R407" s="89"/>
      <c r="S407" s="89"/>
      <c r="T407" s="89"/>
      <c r="U407" s="89"/>
      <c r="V407" s="89"/>
      <c r="W407" s="89"/>
      <c r="X407" s="89"/>
      <c r="Y407" s="89"/>
      <c r="Z407" s="77"/>
      <c r="AA407" s="77"/>
      <c r="AB407" s="94"/>
      <c r="AC407" s="94"/>
      <c r="AD407" s="94"/>
      <c r="AE407" s="94"/>
      <c r="AF407" s="91"/>
      <c r="AG407" s="92"/>
      <c r="AH407" s="92"/>
      <c r="AI407" s="93"/>
      <c r="AJ407" s="94"/>
      <c r="AK407" s="92"/>
      <c r="AL407" s="94"/>
      <c r="AM407" s="94"/>
      <c r="AN407" s="94"/>
      <c r="AO407" s="94"/>
      <c r="AP407" s="94"/>
      <c r="AQ407" s="94"/>
      <c r="AR407" s="94"/>
      <c r="AS407" s="94"/>
      <c r="AT407" s="94"/>
      <c r="AU407" s="92"/>
      <c r="AV407" s="94"/>
      <c r="AW407" s="94"/>
      <c r="AX407" s="94"/>
      <c r="AY407" s="94"/>
      <c r="AZ407" s="94"/>
      <c r="BA407" s="94"/>
      <c r="BB407" s="94"/>
      <c r="BC407" s="94"/>
      <c r="BD407" s="94"/>
      <c r="BE407" s="94"/>
      <c r="BF407" s="94"/>
      <c r="BG407" s="94"/>
      <c r="BH407" s="94"/>
      <c r="BI407" s="94"/>
      <c r="BJ407" s="94"/>
      <c r="BK407" s="94"/>
      <c r="BL407" s="92"/>
      <c r="BM407" s="94"/>
      <c r="BN407" s="94"/>
      <c r="BO407" s="94"/>
      <c r="BP407" s="94"/>
      <c r="BQ407" s="92"/>
      <c r="BR407" s="92"/>
      <c r="BS407" s="92"/>
      <c r="BT407" s="92"/>
      <c r="BU407" s="92"/>
      <c r="BV407" s="92"/>
      <c r="BW407" s="92"/>
      <c r="BX407" s="92"/>
      <c r="BY407" s="92"/>
      <c r="BZ407" s="92"/>
    </row>
    <row r="408" spans="1:78" ht="12.9">
      <c r="A408" s="89"/>
      <c r="B408" s="89"/>
      <c r="C408" s="89"/>
      <c r="D408" s="89"/>
      <c r="E408" s="89"/>
      <c r="F408" s="89"/>
      <c r="G408" s="89"/>
      <c r="H408" s="105"/>
      <c r="I408" s="106"/>
      <c r="J408" s="106"/>
      <c r="K408" s="89"/>
      <c r="L408" s="89"/>
      <c r="M408" s="89"/>
      <c r="N408" s="107"/>
      <c r="O408" s="107"/>
      <c r="P408" s="89"/>
      <c r="Q408" s="89"/>
      <c r="R408" s="89"/>
      <c r="S408" s="89"/>
      <c r="T408" s="89"/>
      <c r="U408" s="89"/>
      <c r="V408" s="89"/>
      <c r="W408" s="89"/>
      <c r="X408" s="89"/>
      <c r="Y408" s="89"/>
      <c r="Z408" s="77"/>
      <c r="AA408" s="77"/>
      <c r="AB408" s="94"/>
      <c r="AC408" s="94"/>
      <c r="AD408" s="94"/>
      <c r="AE408" s="94"/>
      <c r="AF408" s="91"/>
      <c r="AG408" s="92"/>
      <c r="AH408" s="92"/>
      <c r="AI408" s="93"/>
      <c r="AJ408" s="94"/>
      <c r="AK408" s="92"/>
      <c r="AL408" s="94"/>
      <c r="AM408" s="94"/>
      <c r="AN408" s="94"/>
      <c r="AO408" s="94"/>
      <c r="AP408" s="94"/>
      <c r="AQ408" s="94"/>
      <c r="AR408" s="94"/>
      <c r="AS408" s="94"/>
      <c r="AT408" s="94"/>
      <c r="AU408" s="92"/>
      <c r="AV408" s="94"/>
      <c r="AW408" s="94"/>
      <c r="AX408" s="94"/>
      <c r="AY408" s="94"/>
      <c r="AZ408" s="94"/>
      <c r="BA408" s="94"/>
      <c r="BB408" s="94"/>
      <c r="BC408" s="94"/>
      <c r="BD408" s="94"/>
      <c r="BE408" s="94"/>
      <c r="BF408" s="94"/>
      <c r="BG408" s="94"/>
      <c r="BH408" s="94"/>
      <c r="BI408" s="94"/>
      <c r="BJ408" s="94"/>
      <c r="BK408" s="94"/>
      <c r="BL408" s="92"/>
      <c r="BM408" s="94"/>
      <c r="BN408" s="94"/>
      <c r="BO408" s="94"/>
      <c r="BP408" s="94"/>
      <c r="BQ408" s="92"/>
      <c r="BR408" s="92"/>
      <c r="BS408" s="92"/>
      <c r="BT408" s="92"/>
      <c r="BU408" s="92"/>
      <c r="BV408" s="92"/>
      <c r="BW408" s="92"/>
      <c r="BX408" s="92"/>
      <c r="BY408" s="92"/>
      <c r="BZ408" s="92"/>
    </row>
    <row r="409" spans="1:78" ht="12.9">
      <c r="A409" s="89"/>
      <c r="B409" s="89"/>
      <c r="C409" s="89"/>
      <c r="D409" s="89"/>
      <c r="E409" s="89"/>
      <c r="F409" s="89"/>
      <c r="G409" s="89"/>
      <c r="H409" s="105"/>
      <c r="I409" s="106"/>
      <c r="J409" s="106"/>
      <c r="K409" s="89"/>
      <c r="L409" s="89"/>
      <c r="M409" s="89"/>
      <c r="N409" s="107"/>
      <c r="O409" s="107"/>
      <c r="P409" s="89"/>
      <c r="Q409" s="89"/>
      <c r="R409" s="89"/>
      <c r="S409" s="89"/>
      <c r="T409" s="89"/>
      <c r="U409" s="89"/>
      <c r="V409" s="89"/>
      <c r="W409" s="89"/>
      <c r="X409" s="89"/>
      <c r="Y409" s="89"/>
      <c r="Z409" s="77"/>
      <c r="AA409" s="77"/>
      <c r="AB409" s="94"/>
      <c r="AC409" s="94"/>
      <c r="AD409" s="94"/>
      <c r="AE409" s="94"/>
      <c r="AF409" s="91"/>
      <c r="AG409" s="92"/>
      <c r="AH409" s="92"/>
      <c r="AI409" s="93"/>
      <c r="AJ409" s="94"/>
      <c r="AK409" s="92"/>
      <c r="AL409" s="94"/>
      <c r="AM409" s="94"/>
      <c r="AN409" s="94"/>
      <c r="AO409" s="94"/>
      <c r="AP409" s="94"/>
      <c r="AQ409" s="94"/>
      <c r="AR409" s="94"/>
      <c r="AS409" s="94"/>
      <c r="AT409" s="94"/>
      <c r="AU409" s="92"/>
      <c r="AV409" s="94"/>
      <c r="AW409" s="94"/>
      <c r="AX409" s="94"/>
      <c r="AY409" s="94"/>
      <c r="AZ409" s="94"/>
      <c r="BA409" s="94"/>
      <c r="BB409" s="94"/>
      <c r="BC409" s="94"/>
      <c r="BD409" s="94"/>
      <c r="BE409" s="94"/>
      <c r="BF409" s="94"/>
      <c r="BG409" s="94"/>
      <c r="BH409" s="94"/>
      <c r="BI409" s="94"/>
      <c r="BJ409" s="94"/>
      <c r="BK409" s="94"/>
      <c r="BL409" s="92"/>
      <c r="BM409" s="94"/>
      <c r="BN409" s="94"/>
      <c r="BO409" s="94"/>
      <c r="BP409" s="94"/>
      <c r="BQ409" s="92"/>
      <c r="BR409" s="92"/>
      <c r="BS409" s="92"/>
      <c r="BT409" s="92"/>
      <c r="BU409" s="92"/>
      <c r="BV409" s="92"/>
      <c r="BW409" s="92"/>
      <c r="BX409" s="92"/>
      <c r="BY409" s="92"/>
      <c r="BZ409" s="92"/>
    </row>
    <row r="410" spans="1:78" ht="12.9">
      <c r="A410" s="89"/>
      <c r="B410" s="89"/>
      <c r="C410" s="89"/>
      <c r="D410" s="89"/>
      <c r="E410" s="89"/>
      <c r="F410" s="89"/>
      <c r="G410" s="89"/>
      <c r="H410" s="105"/>
      <c r="I410" s="106"/>
      <c r="J410" s="106"/>
      <c r="K410" s="89"/>
      <c r="L410" s="89"/>
      <c r="M410" s="89"/>
      <c r="N410" s="107"/>
      <c r="O410" s="107"/>
      <c r="P410" s="89"/>
      <c r="Q410" s="89"/>
      <c r="R410" s="89"/>
      <c r="S410" s="89"/>
      <c r="T410" s="89"/>
      <c r="U410" s="89"/>
      <c r="V410" s="89"/>
      <c r="W410" s="89"/>
      <c r="X410" s="89"/>
      <c r="Y410" s="89"/>
      <c r="Z410" s="77"/>
      <c r="AA410" s="77"/>
      <c r="AB410" s="94"/>
      <c r="AC410" s="94"/>
      <c r="AD410" s="94"/>
      <c r="AE410" s="94"/>
      <c r="AF410" s="91"/>
      <c r="AG410" s="92"/>
      <c r="AH410" s="92"/>
      <c r="AI410" s="93"/>
      <c r="AJ410" s="94"/>
      <c r="AK410" s="92"/>
      <c r="AL410" s="94"/>
      <c r="AM410" s="94"/>
      <c r="AN410" s="94"/>
      <c r="AO410" s="94"/>
      <c r="AP410" s="94"/>
      <c r="AQ410" s="94"/>
      <c r="AR410" s="94"/>
      <c r="AS410" s="94"/>
      <c r="AT410" s="94"/>
      <c r="AU410" s="92"/>
      <c r="AV410" s="94"/>
      <c r="AW410" s="94"/>
      <c r="AX410" s="94"/>
      <c r="AY410" s="94"/>
      <c r="AZ410" s="94"/>
      <c r="BA410" s="94"/>
      <c r="BB410" s="94"/>
      <c r="BC410" s="94"/>
      <c r="BD410" s="94"/>
      <c r="BE410" s="94"/>
      <c r="BF410" s="94"/>
      <c r="BG410" s="94"/>
      <c r="BH410" s="94"/>
      <c r="BI410" s="94"/>
      <c r="BJ410" s="94"/>
      <c r="BK410" s="94"/>
      <c r="BL410" s="92"/>
      <c r="BM410" s="94"/>
      <c r="BN410" s="94"/>
      <c r="BO410" s="94"/>
      <c r="BP410" s="94"/>
      <c r="BQ410" s="92"/>
      <c r="BR410" s="92"/>
      <c r="BS410" s="92"/>
      <c r="BT410" s="92"/>
      <c r="BU410" s="92"/>
      <c r="BV410" s="92"/>
      <c r="BW410" s="92"/>
      <c r="BX410" s="92"/>
      <c r="BY410" s="92"/>
      <c r="BZ410" s="92"/>
    </row>
    <row r="411" spans="1:78" ht="12.9">
      <c r="A411" s="89"/>
      <c r="B411" s="89"/>
      <c r="C411" s="89"/>
      <c r="D411" s="89"/>
      <c r="E411" s="89"/>
      <c r="F411" s="89"/>
      <c r="G411" s="89"/>
      <c r="H411" s="105"/>
      <c r="I411" s="106"/>
      <c r="J411" s="106"/>
      <c r="K411" s="89"/>
      <c r="L411" s="89"/>
      <c r="M411" s="89"/>
      <c r="N411" s="107"/>
      <c r="O411" s="107"/>
      <c r="P411" s="89"/>
      <c r="Q411" s="89"/>
      <c r="R411" s="89"/>
      <c r="S411" s="89"/>
      <c r="T411" s="89"/>
      <c r="U411" s="89"/>
      <c r="V411" s="89"/>
      <c r="W411" s="89"/>
      <c r="X411" s="89"/>
      <c r="Y411" s="89"/>
      <c r="Z411" s="77"/>
      <c r="AA411" s="77"/>
      <c r="AB411" s="94"/>
      <c r="AC411" s="94"/>
      <c r="AD411" s="94"/>
      <c r="AE411" s="94"/>
      <c r="AF411" s="91"/>
      <c r="AG411" s="92"/>
      <c r="AH411" s="92"/>
      <c r="AI411" s="93"/>
      <c r="AJ411" s="94"/>
      <c r="AK411" s="92"/>
      <c r="AL411" s="94"/>
      <c r="AM411" s="94"/>
      <c r="AN411" s="94"/>
      <c r="AO411" s="94"/>
      <c r="AP411" s="94"/>
      <c r="AQ411" s="94"/>
      <c r="AR411" s="94"/>
      <c r="AS411" s="94"/>
      <c r="AT411" s="94"/>
      <c r="AU411" s="92"/>
      <c r="AV411" s="94"/>
      <c r="AW411" s="94"/>
      <c r="AX411" s="94"/>
      <c r="AY411" s="94"/>
      <c r="AZ411" s="94"/>
      <c r="BA411" s="94"/>
      <c r="BB411" s="94"/>
      <c r="BC411" s="94"/>
      <c r="BD411" s="94"/>
      <c r="BE411" s="94"/>
      <c r="BF411" s="94"/>
      <c r="BG411" s="94"/>
      <c r="BH411" s="94"/>
      <c r="BI411" s="94"/>
      <c r="BJ411" s="94"/>
      <c r="BK411" s="94"/>
      <c r="BL411" s="92"/>
      <c r="BM411" s="94"/>
      <c r="BN411" s="94"/>
      <c r="BO411" s="94"/>
      <c r="BP411" s="94"/>
      <c r="BQ411" s="92"/>
      <c r="BR411" s="92"/>
      <c r="BS411" s="92"/>
      <c r="BT411" s="92"/>
      <c r="BU411" s="92"/>
      <c r="BV411" s="92"/>
      <c r="BW411" s="92"/>
      <c r="BX411" s="92"/>
      <c r="BY411" s="92"/>
      <c r="BZ411" s="92"/>
    </row>
    <row r="412" spans="1:78" ht="12.9">
      <c r="A412" s="89"/>
      <c r="B412" s="89"/>
      <c r="C412" s="89"/>
      <c r="D412" s="89"/>
      <c r="E412" s="89"/>
      <c r="F412" s="89"/>
      <c r="G412" s="89"/>
      <c r="H412" s="105"/>
      <c r="I412" s="106"/>
      <c r="J412" s="106"/>
      <c r="K412" s="89"/>
      <c r="L412" s="89"/>
      <c r="M412" s="89"/>
      <c r="N412" s="107"/>
      <c r="O412" s="107"/>
      <c r="P412" s="89"/>
      <c r="Q412" s="89"/>
      <c r="R412" s="89"/>
      <c r="S412" s="89"/>
      <c r="T412" s="89"/>
      <c r="U412" s="89"/>
      <c r="V412" s="89"/>
      <c r="W412" s="89"/>
      <c r="X412" s="89"/>
      <c r="Y412" s="89"/>
      <c r="Z412" s="77"/>
      <c r="AA412" s="77"/>
      <c r="AB412" s="94"/>
      <c r="AC412" s="94"/>
      <c r="AD412" s="94"/>
      <c r="AE412" s="94"/>
      <c r="AF412" s="91"/>
      <c r="AG412" s="92"/>
      <c r="AH412" s="92"/>
      <c r="AI412" s="93"/>
      <c r="AJ412" s="94"/>
      <c r="AK412" s="92"/>
      <c r="AL412" s="94"/>
      <c r="AM412" s="94"/>
      <c r="AN412" s="94"/>
      <c r="AO412" s="94"/>
      <c r="AP412" s="94"/>
      <c r="AQ412" s="94"/>
      <c r="AR412" s="94"/>
      <c r="AS412" s="94"/>
      <c r="AT412" s="94"/>
      <c r="AU412" s="92"/>
      <c r="AV412" s="94"/>
      <c r="AW412" s="94"/>
      <c r="AX412" s="94"/>
      <c r="AY412" s="94"/>
      <c r="AZ412" s="94"/>
      <c r="BA412" s="94"/>
      <c r="BB412" s="94"/>
      <c r="BC412" s="94"/>
      <c r="BD412" s="94"/>
      <c r="BE412" s="94"/>
      <c r="BF412" s="94"/>
      <c r="BG412" s="94"/>
      <c r="BH412" s="94"/>
      <c r="BI412" s="94"/>
      <c r="BJ412" s="94"/>
      <c r="BK412" s="94"/>
      <c r="BL412" s="92"/>
      <c r="BM412" s="94"/>
      <c r="BN412" s="94"/>
      <c r="BO412" s="94"/>
      <c r="BP412" s="94"/>
      <c r="BQ412" s="92"/>
      <c r="BR412" s="92"/>
      <c r="BS412" s="92"/>
      <c r="BT412" s="92"/>
      <c r="BU412" s="92"/>
      <c r="BV412" s="92"/>
      <c r="BW412" s="92"/>
      <c r="BX412" s="92"/>
      <c r="BY412" s="92"/>
      <c r="BZ412" s="92"/>
    </row>
    <row r="413" spans="1:78" ht="12.9">
      <c r="A413" s="89"/>
      <c r="B413" s="89"/>
      <c r="C413" s="89"/>
      <c r="D413" s="89"/>
      <c r="E413" s="89"/>
      <c r="F413" s="89"/>
      <c r="G413" s="89"/>
      <c r="H413" s="105"/>
      <c r="I413" s="106"/>
      <c r="J413" s="106"/>
      <c r="K413" s="89"/>
      <c r="L413" s="89"/>
      <c r="M413" s="89"/>
      <c r="N413" s="107"/>
      <c r="O413" s="107"/>
      <c r="P413" s="89"/>
      <c r="Q413" s="89"/>
      <c r="R413" s="89"/>
      <c r="S413" s="89"/>
      <c r="T413" s="89"/>
      <c r="U413" s="89"/>
      <c r="V413" s="89"/>
      <c r="W413" s="89"/>
      <c r="X413" s="89"/>
      <c r="Y413" s="89"/>
      <c r="Z413" s="77"/>
      <c r="AA413" s="77"/>
      <c r="AB413" s="94"/>
      <c r="AC413" s="94"/>
      <c r="AD413" s="94"/>
      <c r="AE413" s="94"/>
      <c r="AF413" s="91"/>
      <c r="AG413" s="92"/>
      <c r="AH413" s="92"/>
      <c r="AI413" s="93"/>
      <c r="AJ413" s="94"/>
      <c r="AK413" s="92"/>
      <c r="AL413" s="94"/>
      <c r="AM413" s="94"/>
      <c r="AN413" s="94"/>
      <c r="AO413" s="94"/>
      <c r="AP413" s="94"/>
      <c r="AQ413" s="94"/>
      <c r="AR413" s="94"/>
      <c r="AS413" s="94"/>
      <c r="AT413" s="94"/>
      <c r="AU413" s="92"/>
      <c r="AV413" s="94"/>
      <c r="AW413" s="94"/>
      <c r="AX413" s="94"/>
      <c r="AY413" s="94"/>
      <c r="AZ413" s="94"/>
      <c r="BA413" s="94"/>
      <c r="BB413" s="94"/>
      <c r="BC413" s="94"/>
      <c r="BD413" s="94"/>
      <c r="BE413" s="94"/>
      <c r="BF413" s="94"/>
      <c r="BG413" s="94"/>
      <c r="BH413" s="94"/>
      <c r="BI413" s="94"/>
      <c r="BJ413" s="94"/>
      <c r="BK413" s="94"/>
      <c r="BL413" s="92"/>
      <c r="BM413" s="94"/>
      <c r="BN413" s="94"/>
      <c r="BO413" s="94"/>
      <c r="BP413" s="94"/>
      <c r="BQ413" s="92"/>
      <c r="BR413" s="92"/>
      <c r="BS413" s="92"/>
      <c r="BT413" s="92"/>
      <c r="BU413" s="92"/>
      <c r="BV413" s="92"/>
      <c r="BW413" s="92"/>
      <c r="BX413" s="92"/>
      <c r="BY413" s="92"/>
      <c r="BZ413" s="92"/>
    </row>
    <row r="414" spans="1:78" ht="12.9">
      <c r="A414" s="89"/>
      <c r="B414" s="89"/>
      <c r="C414" s="89"/>
      <c r="D414" s="89"/>
      <c r="E414" s="89"/>
      <c r="F414" s="89"/>
      <c r="G414" s="89"/>
      <c r="H414" s="105"/>
      <c r="I414" s="106"/>
      <c r="J414" s="106"/>
      <c r="K414" s="89"/>
      <c r="L414" s="89"/>
      <c r="M414" s="89"/>
      <c r="N414" s="107"/>
      <c r="O414" s="107"/>
      <c r="P414" s="89"/>
      <c r="Q414" s="89"/>
      <c r="R414" s="89"/>
      <c r="S414" s="89"/>
      <c r="T414" s="89"/>
      <c r="U414" s="89"/>
      <c r="V414" s="89"/>
      <c r="W414" s="89"/>
      <c r="X414" s="89"/>
      <c r="Y414" s="89"/>
      <c r="Z414" s="77"/>
      <c r="AA414" s="77"/>
      <c r="AB414" s="94"/>
      <c r="AC414" s="94"/>
      <c r="AD414" s="94"/>
      <c r="AE414" s="94"/>
      <c r="AF414" s="91"/>
      <c r="AG414" s="92"/>
      <c r="AH414" s="92"/>
      <c r="AI414" s="93"/>
      <c r="AJ414" s="94"/>
      <c r="AK414" s="92"/>
      <c r="AL414" s="94"/>
      <c r="AM414" s="94"/>
      <c r="AN414" s="94"/>
      <c r="AO414" s="94"/>
      <c r="AP414" s="94"/>
      <c r="AQ414" s="94"/>
      <c r="AR414" s="94"/>
      <c r="AS414" s="94"/>
      <c r="AT414" s="94"/>
      <c r="AU414" s="92"/>
      <c r="AV414" s="94"/>
      <c r="AW414" s="94"/>
      <c r="AX414" s="94"/>
      <c r="AY414" s="94"/>
      <c r="AZ414" s="94"/>
      <c r="BA414" s="94"/>
      <c r="BB414" s="94"/>
      <c r="BC414" s="94"/>
      <c r="BD414" s="94"/>
      <c r="BE414" s="94"/>
      <c r="BF414" s="94"/>
      <c r="BG414" s="94"/>
      <c r="BH414" s="94"/>
      <c r="BI414" s="94"/>
      <c r="BJ414" s="94"/>
      <c r="BK414" s="94"/>
      <c r="BL414" s="92"/>
      <c r="BM414" s="94"/>
      <c r="BN414" s="94"/>
      <c r="BO414" s="94"/>
      <c r="BP414" s="94"/>
      <c r="BQ414" s="92"/>
      <c r="BR414" s="92"/>
      <c r="BS414" s="92"/>
      <c r="BT414" s="92"/>
      <c r="BU414" s="92"/>
      <c r="BV414" s="92"/>
      <c r="BW414" s="92"/>
      <c r="BX414" s="92"/>
      <c r="BY414" s="92"/>
      <c r="BZ414" s="92"/>
    </row>
    <row r="415" spans="1:78" ht="12.9">
      <c r="A415" s="89"/>
      <c r="B415" s="89"/>
      <c r="C415" s="89"/>
      <c r="D415" s="89"/>
      <c r="E415" s="89"/>
      <c r="F415" s="89"/>
      <c r="G415" s="89"/>
      <c r="H415" s="105"/>
      <c r="I415" s="106"/>
      <c r="J415" s="106"/>
      <c r="K415" s="89"/>
      <c r="L415" s="89"/>
      <c r="M415" s="89"/>
      <c r="N415" s="107"/>
      <c r="O415" s="107"/>
      <c r="P415" s="89"/>
      <c r="Q415" s="89"/>
      <c r="R415" s="89"/>
      <c r="S415" s="89"/>
      <c r="T415" s="89"/>
      <c r="U415" s="89"/>
      <c r="V415" s="89"/>
      <c r="W415" s="89"/>
      <c r="X415" s="89"/>
      <c r="Y415" s="89"/>
      <c r="Z415" s="77"/>
      <c r="AA415" s="77"/>
      <c r="AB415" s="94"/>
      <c r="AC415" s="94"/>
      <c r="AD415" s="94"/>
      <c r="AE415" s="94"/>
      <c r="AF415" s="91"/>
      <c r="AG415" s="92"/>
      <c r="AH415" s="92"/>
      <c r="AI415" s="93"/>
      <c r="AJ415" s="94"/>
      <c r="AK415" s="92"/>
      <c r="AL415" s="94"/>
      <c r="AM415" s="94"/>
      <c r="AN415" s="94"/>
      <c r="AO415" s="94"/>
      <c r="AP415" s="94"/>
      <c r="AQ415" s="94"/>
      <c r="AR415" s="94"/>
      <c r="AS415" s="94"/>
      <c r="AT415" s="94"/>
      <c r="AU415" s="92"/>
      <c r="AV415" s="94"/>
      <c r="AW415" s="94"/>
      <c r="AX415" s="94"/>
      <c r="AY415" s="94"/>
      <c r="AZ415" s="94"/>
      <c r="BA415" s="94"/>
      <c r="BB415" s="94"/>
      <c r="BC415" s="94"/>
      <c r="BD415" s="94"/>
      <c r="BE415" s="94"/>
      <c r="BF415" s="94"/>
      <c r="BG415" s="94"/>
      <c r="BH415" s="94"/>
      <c r="BI415" s="94"/>
      <c r="BJ415" s="94"/>
      <c r="BK415" s="94"/>
      <c r="BL415" s="92"/>
      <c r="BM415" s="94"/>
      <c r="BN415" s="94"/>
      <c r="BO415" s="94"/>
      <c r="BP415" s="94"/>
      <c r="BQ415" s="92"/>
      <c r="BR415" s="92"/>
      <c r="BS415" s="92"/>
      <c r="BT415" s="92"/>
      <c r="BU415" s="92"/>
      <c r="BV415" s="92"/>
      <c r="BW415" s="92"/>
      <c r="BX415" s="92"/>
      <c r="BY415" s="92"/>
      <c r="BZ415" s="92"/>
    </row>
    <row r="416" spans="1:78" ht="12.9">
      <c r="A416" s="89"/>
      <c r="B416" s="89"/>
      <c r="C416" s="89"/>
      <c r="D416" s="89"/>
      <c r="E416" s="89"/>
      <c r="F416" s="89"/>
      <c r="G416" s="89"/>
      <c r="H416" s="105"/>
      <c r="I416" s="106"/>
      <c r="J416" s="106"/>
      <c r="K416" s="89"/>
      <c r="L416" s="89"/>
      <c r="M416" s="89"/>
      <c r="N416" s="107"/>
      <c r="O416" s="107"/>
      <c r="P416" s="89"/>
      <c r="Q416" s="89"/>
      <c r="R416" s="89"/>
      <c r="S416" s="89"/>
      <c r="T416" s="89"/>
      <c r="U416" s="89"/>
      <c r="V416" s="89"/>
      <c r="W416" s="89"/>
      <c r="X416" s="89"/>
      <c r="Y416" s="89"/>
      <c r="Z416" s="77"/>
      <c r="AA416" s="77"/>
      <c r="AB416" s="94"/>
      <c r="AC416" s="94"/>
      <c r="AD416" s="94"/>
      <c r="AE416" s="94"/>
      <c r="AF416" s="91"/>
      <c r="AG416" s="92"/>
      <c r="AH416" s="92"/>
      <c r="AI416" s="93"/>
      <c r="AJ416" s="94"/>
      <c r="AK416" s="92"/>
      <c r="AL416" s="94"/>
      <c r="AM416" s="94"/>
      <c r="AN416" s="94"/>
      <c r="AO416" s="94"/>
      <c r="AP416" s="94"/>
      <c r="AQ416" s="94"/>
      <c r="AR416" s="94"/>
      <c r="AS416" s="94"/>
      <c r="AT416" s="94"/>
      <c r="AU416" s="92"/>
      <c r="AV416" s="94"/>
      <c r="AW416" s="94"/>
      <c r="AX416" s="94"/>
      <c r="AY416" s="94"/>
      <c r="AZ416" s="94"/>
      <c r="BA416" s="94"/>
      <c r="BB416" s="94"/>
      <c r="BC416" s="94"/>
      <c r="BD416" s="94"/>
      <c r="BE416" s="94"/>
      <c r="BF416" s="94"/>
      <c r="BG416" s="94"/>
      <c r="BH416" s="94"/>
      <c r="BI416" s="94"/>
      <c r="BJ416" s="94"/>
      <c r="BK416" s="94"/>
      <c r="BL416" s="92"/>
      <c r="BM416" s="94"/>
      <c r="BN416" s="94"/>
      <c r="BO416" s="94"/>
      <c r="BP416" s="94"/>
      <c r="BQ416" s="92"/>
      <c r="BR416" s="92"/>
      <c r="BS416" s="92"/>
      <c r="BT416" s="92"/>
      <c r="BU416" s="92"/>
      <c r="BV416" s="92"/>
      <c r="BW416" s="92"/>
      <c r="BX416" s="92"/>
      <c r="BY416" s="92"/>
      <c r="BZ416" s="92"/>
    </row>
    <row r="417" spans="1:78" ht="12.9">
      <c r="A417" s="89"/>
      <c r="B417" s="89"/>
      <c r="C417" s="89"/>
      <c r="D417" s="89"/>
      <c r="E417" s="89"/>
      <c r="F417" s="89"/>
      <c r="G417" s="89"/>
      <c r="H417" s="105"/>
      <c r="I417" s="106"/>
      <c r="J417" s="106"/>
      <c r="K417" s="89"/>
      <c r="L417" s="89"/>
      <c r="M417" s="89"/>
      <c r="N417" s="107"/>
      <c r="O417" s="107"/>
      <c r="P417" s="89"/>
      <c r="Q417" s="89"/>
      <c r="R417" s="89"/>
      <c r="S417" s="89"/>
      <c r="T417" s="89"/>
      <c r="U417" s="89"/>
      <c r="V417" s="89"/>
      <c r="W417" s="89"/>
      <c r="X417" s="89"/>
      <c r="Y417" s="89"/>
      <c r="Z417" s="77"/>
      <c r="AA417" s="77"/>
      <c r="AB417" s="94"/>
      <c r="AC417" s="94"/>
      <c r="AD417" s="94"/>
      <c r="AE417" s="94"/>
      <c r="AF417" s="91"/>
      <c r="AG417" s="92"/>
      <c r="AH417" s="92"/>
      <c r="AI417" s="93"/>
      <c r="AJ417" s="94"/>
      <c r="AK417" s="92"/>
      <c r="AL417" s="94"/>
      <c r="AM417" s="94"/>
      <c r="AN417" s="94"/>
      <c r="AO417" s="94"/>
      <c r="AP417" s="94"/>
      <c r="AQ417" s="94"/>
      <c r="AR417" s="94"/>
      <c r="AS417" s="94"/>
      <c r="AT417" s="94"/>
      <c r="AU417" s="92"/>
      <c r="AV417" s="94"/>
      <c r="AW417" s="94"/>
      <c r="AX417" s="94"/>
      <c r="AY417" s="94"/>
      <c r="AZ417" s="94"/>
      <c r="BA417" s="94"/>
      <c r="BB417" s="94"/>
      <c r="BC417" s="94"/>
      <c r="BD417" s="94"/>
      <c r="BE417" s="94"/>
      <c r="BF417" s="94"/>
      <c r="BG417" s="94"/>
      <c r="BH417" s="94"/>
      <c r="BI417" s="94"/>
      <c r="BJ417" s="94"/>
      <c r="BK417" s="94"/>
      <c r="BL417" s="92"/>
      <c r="BM417" s="94"/>
      <c r="BN417" s="94"/>
      <c r="BO417" s="94"/>
      <c r="BP417" s="94"/>
      <c r="BQ417" s="92"/>
      <c r="BR417" s="92"/>
      <c r="BS417" s="92"/>
      <c r="BT417" s="92"/>
      <c r="BU417" s="92"/>
      <c r="BV417" s="92"/>
      <c r="BW417" s="92"/>
      <c r="BX417" s="92"/>
      <c r="BY417" s="92"/>
      <c r="BZ417" s="92"/>
    </row>
    <row r="418" spans="1:78" ht="12.9">
      <c r="A418" s="89"/>
      <c r="B418" s="89"/>
      <c r="C418" s="89"/>
      <c r="D418" s="89"/>
      <c r="E418" s="89"/>
      <c r="F418" s="89"/>
      <c r="G418" s="89"/>
      <c r="H418" s="105"/>
      <c r="I418" s="106"/>
      <c r="J418" s="106"/>
      <c r="K418" s="89"/>
      <c r="L418" s="89"/>
      <c r="M418" s="89"/>
      <c r="N418" s="107"/>
      <c r="O418" s="107"/>
      <c r="P418" s="89"/>
      <c r="Q418" s="89"/>
      <c r="R418" s="89"/>
      <c r="S418" s="89"/>
      <c r="T418" s="89"/>
      <c r="U418" s="89"/>
      <c r="V418" s="89"/>
      <c r="W418" s="89"/>
      <c r="X418" s="89"/>
      <c r="Y418" s="89"/>
      <c r="Z418" s="77"/>
      <c r="AA418" s="77"/>
      <c r="AB418" s="94"/>
      <c r="AC418" s="94"/>
      <c r="AD418" s="94"/>
      <c r="AE418" s="94"/>
      <c r="AF418" s="91"/>
      <c r="AG418" s="92"/>
      <c r="AH418" s="92"/>
      <c r="AI418" s="93"/>
      <c r="AJ418" s="94"/>
      <c r="AK418" s="92"/>
      <c r="AL418" s="94"/>
      <c r="AM418" s="94"/>
      <c r="AN418" s="94"/>
      <c r="AO418" s="94"/>
      <c r="AP418" s="94"/>
      <c r="AQ418" s="94"/>
      <c r="AR418" s="94"/>
      <c r="AS418" s="94"/>
      <c r="AT418" s="94"/>
      <c r="AU418" s="92"/>
      <c r="AV418" s="94"/>
      <c r="AW418" s="94"/>
      <c r="AX418" s="94"/>
      <c r="AY418" s="94"/>
      <c r="AZ418" s="94"/>
      <c r="BA418" s="94"/>
      <c r="BB418" s="94"/>
      <c r="BC418" s="94"/>
      <c r="BD418" s="94"/>
      <c r="BE418" s="94"/>
      <c r="BF418" s="94"/>
      <c r="BG418" s="94"/>
      <c r="BH418" s="94"/>
      <c r="BI418" s="94"/>
      <c r="BJ418" s="94"/>
      <c r="BK418" s="94"/>
      <c r="BL418" s="92"/>
      <c r="BM418" s="94"/>
      <c r="BN418" s="94"/>
      <c r="BO418" s="94"/>
      <c r="BP418" s="94"/>
      <c r="BQ418" s="92"/>
      <c r="BR418" s="92"/>
      <c r="BS418" s="92"/>
      <c r="BT418" s="92"/>
      <c r="BU418" s="92"/>
      <c r="BV418" s="92"/>
      <c r="BW418" s="92"/>
      <c r="BX418" s="92"/>
      <c r="BY418" s="92"/>
      <c r="BZ418" s="92"/>
    </row>
    <row r="419" spans="1:78" ht="12.9">
      <c r="A419" s="89"/>
      <c r="B419" s="89"/>
      <c r="C419" s="89"/>
      <c r="D419" s="89"/>
      <c r="E419" s="89"/>
      <c r="F419" s="89"/>
      <c r="G419" s="89"/>
      <c r="H419" s="105"/>
      <c r="I419" s="106"/>
      <c r="J419" s="106"/>
      <c r="K419" s="89"/>
      <c r="L419" s="89"/>
      <c r="M419" s="89"/>
      <c r="N419" s="107"/>
      <c r="O419" s="107"/>
      <c r="P419" s="89"/>
      <c r="Q419" s="89"/>
      <c r="R419" s="89"/>
      <c r="S419" s="89"/>
      <c r="T419" s="89"/>
      <c r="U419" s="89"/>
      <c r="V419" s="89"/>
      <c r="W419" s="89"/>
      <c r="X419" s="89"/>
      <c r="Y419" s="89"/>
      <c r="Z419" s="77"/>
      <c r="AA419" s="77"/>
      <c r="AB419" s="94"/>
      <c r="AC419" s="94"/>
      <c r="AD419" s="94"/>
      <c r="AE419" s="94"/>
      <c r="AF419" s="91"/>
      <c r="AG419" s="92"/>
      <c r="AH419" s="92"/>
      <c r="AI419" s="93"/>
      <c r="AJ419" s="94"/>
      <c r="AK419" s="92"/>
      <c r="AL419" s="94"/>
      <c r="AM419" s="94"/>
      <c r="AN419" s="94"/>
      <c r="AO419" s="94"/>
      <c r="AP419" s="94"/>
      <c r="AQ419" s="94"/>
      <c r="AR419" s="94"/>
      <c r="AS419" s="94"/>
      <c r="AT419" s="94"/>
      <c r="AU419" s="92"/>
      <c r="AV419" s="94"/>
      <c r="AW419" s="94"/>
      <c r="AX419" s="94"/>
      <c r="AY419" s="94"/>
      <c r="AZ419" s="94"/>
      <c r="BA419" s="94"/>
      <c r="BB419" s="94"/>
      <c r="BC419" s="94"/>
      <c r="BD419" s="94"/>
      <c r="BE419" s="94"/>
      <c r="BF419" s="94"/>
      <c r="BG419" s="94"/>
      <c r="BH419" s="94"/>
      <c r="BI419" s="94"/>
      <c r="BJ419" s="94"/>
      <c r="BK419" s="94"/>
      <c r="BL419" s="92"/>
      <c r="BM419" s="94"/>
      <c r="BN419" s="94"/>
      <c r="BO419" s="94"/>
      <c r="BP419" s="94"/>
      <c r="BQ419" s="92"/>
      <c r="BR419" s="92"/>
      <c r="BS419" s="92"/>
      <c r="BT419" s="92"/>
      <c r="BU419" s="92"/>
      <c r="BV419" s="92"/>
      <c r="BW419" s="92"/>
      <c r="BX419" s="92"/>
      <c r="BY419" s="92"/>
      <c r="BZ419" s="92"/>
    </row>
    <row r="420" spans="1:78" ht="12.9">
      <c r="A420" s="89"/>
      <c r="B420" s="89"/>
      <c r="C420" s="89"/>
      <c r="D420" s="89"/>
      <c r="E420" s="89"/>
      <c r="F420" s="89"/>
      <c r="G420" s="89"/>
      <c r="H420" s="105"/>
      <c r="I420" s="106"/>
      <c r="J420" s="106"/>
      <c r="K420" s="89"/>
      <c r="L420" s="89"/>
      <c r="M420" s="89"/>
      <c r="N420" s="107"/>
      <c r="O420" s="107"/>
      <c r="P420" s="89"/>
      <c r="Q420" s="89"/>
      <c r="R420" s="89"/>
      <c r="S420" s="89"/>
      <c r="T420" s="89"/>
      <c r="U420" s="89"/>
      <c r="V420" s="89"/>
      <c r="W420" s="89"/>
      <c r="X420" s="89"/>
      <c r="Y420" s="89"/>
      <c r="Z420" s="77"/>
      <c r="AA420" s="77"/>
      <c r="AB420" s="94"/>
      <c r="AC420" s="94"/>
      <c r="AD420" s="94"/>
      <c r="AE420" s="94"/>
      <c r="AF420" s="91"/>
      <c r="AG420" s="92"/>
      <c r="AH420" s="92"/>
      <c r="AI420" s="93"/>
      <c r="AJ420" s="94"/>
      <c r="AK420" s="92"/>
      <c r="AL420" s="94"/>
      <c r="AM420" s="94"/>
      <c r="AN420" s="94"/>
      <c r="AO420" s="94"/>
      <c r="AP420" s="94"/>
      <c r="AQ420" s="94"/>
      <c r="AR420" s="94"/>
      <c r="AS420" s="94"/>
      <c r="AT420" s="94"/>
      <c r="AU420" s="92"/>
      <c r="AV420" s="94"/>
      <c r="AW420" s="94"/>
      <c r="AX420" s="94"/>
      <c r="AY420" s="94"/>
      <c r="AZ420" s="94"/>
      <c r="BA420" s="94"/>
      <c r="BB420" s="94"/>
      <c r="BC420" s="94"/>
      <c r="BD420" s="94"/>
      <c r="BE420" s="94"/>
      <c r="BF420" s="94"/>
      <c r="BG420" s="94"/>
      <c r="BH420" s="94"/>
      <c r="BI420" s="94"/>
      <c r="BJ420" s="94"/>
      <c r="BK420" s="94"/>
      <c r="BL420" s="92"/>
      <c r="BM420" s="94"/>
      <c r="BN420" s="94"/>
      <c r="BO420" s="94"/>
      <c r="BP420" s="94"/>
      <c r="BQ420" s="92"/>
      <c r="BR420" s="92"/>
      <c r="BS420" s="92"/>
      <c r="BT420" s="92"/>
      <c r="BU420" s="92"/>
      <c r="BV420" s="92"/>
      <c r="BW420" s="92"/>
      <c r="BX420" s="92"/>
      <c r="BY420" s="92"/>
      <c r="BZ420" s="92"/>
    </row>
    <row r="421" spans="1:78" ht="12.9">
      <c r="A421" s="89"/>
      <c r="B421" s="89"/>
      <c r="C421" s="89"/>
      <c r="D421" s="89"/>
      <c r="E421" s="89"/>
      <c r="F421" s="89"/>
      <c r="G421" s="89"/>
      <c r="H421" s="105"/>
      <c r="I421" s="106"/>
      <c r="J421" s="106"/>
      <c r="K421" s="89"/>
      <c r="L421" s="89"/>
      <c r="M421" s="89"/>
      <c r="N421" s="107"/>
      <c r="O421" s="107"/>
      <c r="P421" s="89"/>
      <c r="Q421" s="89"/>
      <c r="R421" s="89"/>
      <c r="S421" s="89"/>
      <c r="T421" s="89"/>
      <c r="U421" s="89"/>
      <c r="V421" s="89"/>
      <c r="W421" s="89"/>
      <c r="X421" s="89"/>
      <c r="Y421" s="89"/>
      <c r="Z421" s="77"/>
      <c r="AA421" s="77"/>
      <c r="AB421" s="94"/>
      <c r="AC421" s="94"/>
      <c r="AD421" s="94"/>
      <c r="AE421" s="94"/>
      <c r="AF421" s="91"/>
      <c r="AG421" s="92"/>
      <c r="AH421" s="92"/>
      <c r="AI421" s="93"/>
      <c r="AJ421" s="94"/>
      <c r="AK421" s="92"/>
      <c r="AL421" s="94"/>
      <c r="AM421" s="94"/>
      <c r="AN421" s="94"/>
      <c r="AO421" s="94"/>
      <c r="AP421" s="94"/>
      <c r="AQ421" s="94"/>
      <c r="AR421" s="94"/>
      <c r="AS421" s="94"/>
      <c r="AT421" s="94"/>
      <c r="AU421" s="92"/>
      <c r="AV421" s="94"/>
      <c r="AW421" s="94"/>
      <c r="AX421" s="94"/>
      <c r="AY421" s="94"/>
      <c r="AZ421" s="94"/>
      <c r="BA421" s="94"/>
      <c r="BB421" s="94"/>
      <c r="BC421" s="94"/>
      <c r="BD421" s="94"/>
      <c r="BE421" s="94"/>
      <c r="BF421" s="94"/>
      <c r="BG421" s="94"/>
      <c r="BH421" s="94"/>
      <c r="BI421" s="94"/>
      <c r="BJ421" s="94"/>
      <c r="BK421" s="94"/>
      <c r="BL421" s="92"/>
      <c r="BM421" s="94"/>
      <c r="BN421" s="94"/>
      <c r="BO421" s="94"/>
      <c r="BP421" s="94"/>
      <c r="BQ421" s="92"/>
      <c r="BR421" s="92"/>
      <c r="BS421" s="92"/>
      <c r="BT421" s="92"/>
      <c r="BU421" s="92"/>
      <c r="BV421" s="92"/>
      <c r="BW421" s="92"/>
      <c r="BX421" s="92"/>
      <c r="BY421" s="92"/>
      <c r="BZ421" s="92"/>
    </row>
    <row r="422" spans="1:78" ht="12.9">
      <c r="A422" s="89"/>
      <c r="B422" s="89"/>
      <c r="C422" s="89"/>
      <c r="D422" s="89"/>
      <c r="E422" s="89"/>
      <c r="F422" s="89"/>
      <c r="G422" s="89"/>
      <c r="H422" s="105"/>
      <c r="I422" s="106"/>
      <c r="J422" s="106"/>
      <c r="K422" s="89"/>
      <c r="L422" s="89"/>
      <c r="M422" s="89"/>
      <c r="N422" s="107"/>
      <c r="O422" s="107"/>
      <c r="P422" s="89"/>
      <c r="Q422" s="89"/>
      <c r="R422" s="89"/>
      <c r="S422" s="89"/>
      <c r="T422" s="89"/>
      <c r="U422" s="89"/>
      <c r="V422" s="89"/>
      <c r="W422" s="89"/>
      <c r="X422" s="89"/>
      <c r="Y422" s="89"/>
      <c r="Z422" s="77"/>
      <c r="AA422" s="77"/>
      <c r="AB422" s="94"/>
      <c r="AC422" s="94"/>
      <c r="AD422" s="94"/>
      <c r="AE422" s="94"/>
      <c r="AF422" s="91"/>
      <c r="AG422" s="92"/>
      <c r="AH422" s="92"/>
      <c r="AI422" s="93"/>
      <c r="AJ422" s="94"/>
      <c r="AK422" s="92"/>
      <c r="AL422" s="94"/>
      <c r="AM422" s="94"/>
      <c r="AN422" s="94"/>
      <c r="AO422" s="94"/>
      <c r="AP422" s="94"/>
      <c r="AQ422" s="94"/>
      <c r="AR422" s="94"/>
      <c r="AS422" s="94"/>
      <c r="AT422" s="94"/>
      <c r="AU422" s="92"/>
      <c r="AV422" s="94"/>
      <c r="AW422" s="94"/>
      <c r="AX422" s="94"/>
      <c r="AY422" s="94"/>
      <c r="AZ422" s="94"/>
      <c r="BA422" s="94"/>
      <c r="BB422" s="94"/>
      <c r="BC422" s="94"/>
      <c r="BD422" s="94"/>
      <c r="BE422" s="94"/>
      <c r="BF422" s="94"/>
      <c r="BG422" s="94"/>
      <c r="BH422" s="94"/>
      <c r="BI422" s="94"/>
      <c r="BJ422" s="94"/>
      <c r="BK422" s="94"/>
      <c r="BL422" s="92"/>
      <c r="BM422" s="94"/>
      <c r="BN422" s="94"/>
      <c r="BO422" s="94"/>
      <c r="BP422" s="94"/>
      <c r="BQ422" s="92"/>
      <c r="BR422" s="92"/>
      <c r="BS422" s="92"/>
      <c r="BT422" s="92"/>
      <c r="BU422" s="92"/>
      <c r="BV422" s="92"/>
      <c r="BW422" s="92"/>
      <c r="BX422" s="92"/>
      <c r="BY422" s="92"/>
      <c r="BZ422" s="92"/>
    </row>
    <row r="423" spans="1:78" ht="12.9">
      <c r="A423" s="89"/>
      <c r="B423" s="89"/>
      <c r="C423" s="89"/>
      <c r="D423" s="89"/>
      <c r="E423" s="89"/>
      <c r="F423" s="89"/>
      <c r="G423" s="89"/>
      <c r="H423" s="105"/>
      <c r="I423" s="106"/>
      <c r="J423" s="106"/>
      <c r="K423" s="89"/>
      <c r="L423" s="89"/>
      <c r="M423" s="89"/>
      <c r="N423" s="107"/>
      <c r="O423" s="107"/>
      <c r="P423" s="89"/>
      <c r="Q423" s="89"/>
      <c r="R423" s="89"/>
      <c r="S423" s="89"/>
      <c r="T423" s="89"/>
      <c r="U423" s="89"/>
      <c r="V423" s="89"/>
      <c r="W423" s="89"/>
      <c r="X423" s="89"/>
      <c r="Y423" s="89"/>
      <c r="Z423" s="77"/>
      <c r="AA423" s="77"/>
      <c r="AB423" s="94"/>
      <c r="AC423" s="94"/>
      <c r="AD423" s="94"/>
      <c r="AE423" s="94"/>
      <c r="AF423" s="91"/>
      <c r="AG423" s="92"/>
      <c r="AH423" s="92"/>
      <c r="AI423" s="93"/>
      <c r="AJ423" s="94"/>
      <c r="AK423" s="92"/>
      <c r="AL423" s="94"/>
      <c r="AM423" s="94"/>
      <c r="AN423" s="94"/>
      <c r="AO423" s="94"/>
      <c r="AP423" s="94"/>
      <c r="AQ423" s="94"/>
      <c r="AR423" s="94"/>
      <c r="AS423" s="94"/>
      <c r="AT423" s="94"/>
      <c r="AU423" s="92"/>
      <c r="AV423" s="94"/>
      <c r="AW423" s="94"/>
      <c r="AX423" s="94"/>
      <c r="AY423" s="94"/>
      <c r="AZ423" s="94"/>
      <c r="BA423" s="94"/>
      <c r="BB423" s="94"/>
      <c r="BC423" s="94"/>
      <c r="BD423" s="94"/>
      <c r="BE423" s="94"/>
      <c r="BF423" s="94"/>
      <c r="BG423" s="94"/>
      <c r="BH423" s="94"/>
      <c r="BI423" s="94"/>
      <c r="BJ423" s="94"/>
      <c r="BK423" s="94"/>
      <c r="BL423" s="92"/>
      <c r="BM423" s="94"/>
      <c r="BN423" s="94"/>
      <c r="BO423" s="94"/>
      <c r="BP423" s="94"/>
      <c r="BQ423" s="92"/>
      <c r="BR423" s="92"/>
      <c r="BS423" s="92"/>
      <c r="BT423" s="92"/>
      <c r="BU423" s="92"/>
      <c r="BV423" s="92"/>
      <c r="BW423" s="92"/>
      <c r="BX423" s="92"/>
      <c r="BY423" s="92"/>
      <c r="BZ423" s="92"/>
    </row>
    <row r="424" spans="1:78" ht="12.9">
      <c r="A424" s="89"/>
      <c r="B424" s="89"/>
      <c r="C424" s="89"/>
      <c r="D424" s="89"/>
      <c r="E424" s="89"/>
      <c r="F424" s="89"/>
      <c r="G424" s="89"/>
      <c r="H424" s="105"/>
      <c r="I424" s="106"/>
      <c r="J424" s="106"/>
      <c r="K424" s="89"/>
      <c r="L424" s="89"/>
      <c r="M424" s="89"/>
      <c r="N424" s="107"/>
      <c r="O424" s="107"/>
      <c r="P424" s="89"/>
      <c r="Q424" s="89"/>
      <c r="R424" s="89"/>
      <c r="S424" s="89"/>
      <c r="T424" s="89"/>
      <c r="U424" s="89"/>
      <c r="V424" s="89"/>
      <c r="W424" s="89"/>
      <c r="X424" s="89"/>
      <c r="Y424" s="89"/>
      <c r="Z424" s="77"/>
      <c r="AA424" s="77"/>
      <c r="AB424" s="94"/>
      <c r="AC424" s="94"/>
      <c r="AD424" s="94"/>
      <c r="AE424" s="94"/>
      <c r="AF424" s="91"/>
      <c r="AG424" s="92"/>
      <c r="AH424" s="92"/>
      <c r="AI424" s="93"/>
      <c r="AJ424" s="94"/>
      <c r="AK424" s="92"/>
      <c r="AL424" s="94"/>
      <c r="AM424" s="94"/>
      <c r="AN424" s="94"/>
      <c r="AO424" s="94"/>
      <c r="AP424" s="94"/>
      <c r="AQ424" s="94"/>
      <c r="AR424" s="94"/>
      <c r="AS424" s="94"/>
      <c r="AT424" s="94"/>
      <c r="AU424" s="92"/>
      <c r="AV424" s="94"/>
      <c r="AW424" s="94"/>
      <c r="AX424" s="94"/>
      <c r="AY424" s="94"/>
      <c r="AZ424" s="94"/>
      <c r="BA424" s="94"/>
      <c r="BB424" s="94"/>
      <c r="BC424" s="94"/>
      <c r="BD424" s="94"/>
      <c r="BE424" s="94"/>
      <c r="BF424" s="94"/>
      <c r="BG424" s="94"/>
      <c r="BH424" s="94"/>
      <c r="BI424" s="94"/>
      <c r="BJ424" s="94"/>
      <c r="BK424" s="94"/>
      <c r="BL424" s="92"/>
      <c r="BM424" s="94"/>
      <c r="BN424" s="94"/>
      <c r="BO424" s="94"/>
      <c r="BP424" s="94"/>
      <c r="BQ424" s="92"/>
      <c r="BR424" s="92"/>
      <c r="BS424" s="92"/>
      <c r="BT424" s="92"/>
      <c r="BU424" s="92"/>
      <c r="BV424" s="92"/>
      <c r="BW424" s="92"/>
      <c r="BX424" s="92"/>
      <c r="BY424" s="92"/>
      <c r="BZ424" s="92"/>
    </row>
    <row r="425" spans="1:78" ht="12.9">
      <c r="A425" s="89"/>
      <c r="B425" s="89"/>
      <c r="C425" s="89"/>
      <c r="D425" s="89"/>
      <c r="E425" s="89"/>
      <c r="F425" s="89"/>
      <c r="G425" s="89"/>
      <c r="H425" s="105"/>
      <c r="I425" s="106"/>
      <c r="J425" s="106"/>
      <c r="K425" s="89"/>
      <c r="L425" s="89"/>
      <c r="M425" s="89"/>
      <c r="N425" s="107"/>
      <c r="O425" s="107"/>
      <c r="P425" s="89"/>
      <c r="Q425" s="89"/>
      <c r="R425" s="89"/>
      <c r="S425" s="89"/>
      <c r="T425" s="89"/>
      <c r="U425" s="89"/>
      <c r="V425" s="89"/>
      <c r="W425" s="89"/>
      <c r="X425" s="89"/>
      <c r="Y425" s="89"/>
      <c r="Z425" s="77"/>
      <c r="AA425" s="77"/>
      <c r="AB425" s="94"/>
      <c r="AC425" s="94"/>
      <c r="AD425" s="94"/>
      <c r="AE425" s="94"/>
      <c r="AF425" s="91"/>
      <c r="AG425" s="92"/>
      <c r="AH425" s="92"/>
      <c r="AI425" s="93"/>
      <c r="AJ425" s="94"/>
      <c r="AK425" s="92"/>
      <c r="AL425" s="94"/>
      <c r="AM425" s="94"/>
      <c r="AN425" s="94"/>
      <c r="AO425" s="94"/>
      <c r="AP425" s="94"/>
      <c r="AQ425" s="94"/>
      <c r="AR425" s="94"/>
      <c r="AS425" s="94"/>
      <c r="AT425" s="94"/>
      <c r="AU425" s="92"/>
      <c r="AV425" s="94"/>
      <c r="AW425" s="94"/>
      <c r="AX425" s="94"/>
      <c r="AY425" s="94"/>
      <c r="AZ425" s="94"/>
      <c r="BA425" s="94"/>
      <c r="BB425" s="94"/>
      <c r="BC425" s="94"/>
      <c r="BD425" s="94"/>
      <c r="BE425" s="94"/>
      <c r="BF425" s="94"/>
      <c r="BG425" s="94"/>
      <c r="BH425" s="94"/>
      <c r="BI425" s="94"/>
      <c r="BJ425" s="94"/>
      <c r="BK425" s="94"/>
      <c r="BL425" s="92"/>
      <c r="BM425" s="94"/>
      <c r="BN425" s="94"/>
      <c r="BO425" s="94"/>
      <c r="BP425" s="94"/>
      <c r="BQ425" s="92"/>
      <c r="BR425" s="92"/>
      <c r="BS425" s="92"/>
      <c r="BT425" s="92"/>
      <c r="BU425" s="92"/>
      <c r="BV425" s="92"/>
      <c r="BW425" s="92"/>
      <c r="BX425" s="92"/>
      <c r="BY425" s="92"/>
      <c r="BZ425" s="92"/>
    </row>
    <row r="426" spans="1:78" ht="12.9">
      <c r="A426" s="89"/>
      <c r="B426" s="89"/>
      <c r="C426" s="89"/>
      <c r="D426" s="89"/>
      <c r="E426" s="89"/>
      <c r="F426" s="89"/>
      <c r="G426" s="89"/>
      <c r="H426" s="105"/>
      <c r="I426" s="106"/>
      <c r="J426" s="106"/>
      <c r="K426" s="89"/>
      <c r="L426" s="89"/>
      <c r="M426" s="89"/>
      <c r="N426" s="107"/>
      <c r="O426" s="107"/>
      <c r="P426" s="89"/>
      <c r="Q426" s="89"/>
      <c r="R426" s="89"/>
      <c r="S426" s="89"/>
      <c r="T426" s="89"/>
      <c r="U426" s="89"/>
      <c r="V426" s="89"/>
      <c r="W426" s="89"/>
      <c r="X426" s="89"/>
      <c r="Y426" s="89"/>
      <c r="Z426" s="77"/>
      <c r="AA426" s="77"/>
      <c r="AB426" s="94"/>
      <c r="AC426" s="94"/>
      <c r="AD426" s="94"/>
      <c r="AE426" s="94"/>
      <c r="AF426" s="91"/>
      <c r="AG426" s="92"/>
      <c r="AH426" s="92"/>
      <c r="AI426" s="93"/>
      <c r="AJ426" s="94"/>
      <c r="AK426" s="92"/>
      <c r="AL426" s="94"/>
      <c r="AM426" s="94"/>
      <c r="AN426" s="94"/>
      <c r="AO426" s="94"/>
      <c r="AP426" s="94"/>
      <c r="AQ426" s="94"/>
      <c r="AR426" s="94"/>
      <c r="AS426" s="94"/>
      <c r="AT426" s="94"/>
      <c r="AU426" s="92"/>
      <c r="AV426" s="94"/>
      <c r="AW426" s="94"/>
      <c r="AX426" s="94"/>
      <c r="AY426" s="94"/>
      <c r="AZ426" s="94"/>
      <c r="BA426" s="94"/>
      <c r="BB426" s="94"/>
      <c r="BC426" s="94"/>
      <c r="BD426" s="94"/>
      <c r="BE426" s="94"/>
      <c r="BF426" s="94"/>
      <c r="BG426" s="94"/>
      <c r="BH426" s="94"/>
      <c r="BI426" s="94"/>
      <c r="BJ426" s="94"/>
      <c r="BK426" s="94"/>
      <c r="BL426" s="92"/>
      <c r="BM426" s="94"/>
      <c r="BN426" s="94"/>
      <c r="BO426" s="94"/>
      <c r="BP426" s="94"/>
      <c r="BQ426" s="92"/>
      <c r="BR426" s="92"/>
      <c r="BS426" s="92"/>
      <c r="BT426" s="92"/>
      <c r="BU426" s="92"/>
      <c r="BV426" s="92"/>
      <c r="BW426" s="92"/>
      <c r="BX426" s="92"/>
      <c r="BY426" s="92"/>
      <c r="BZ426" s="92"/>
    </row>
    <row r="427" spans="1:78" ht="12.9">
      <c r="A427" s="89"/>
      <c r="B427" s="89"/>
      <c r="C427" s="89"/>
      <c r="D427" s="89"/>
      <c r="E427" s="89"/>
      <c r="F427" s="89"/>
      <c r="G427" s="89"/>
      <c r="H427" s="105"/>
      <c r="I427" s="106"/>
      <c r="J427" s="106"/>
      <c r="K427" s="89"/>
      <c r="L427" s="89"/>
      <c r="M427" s="89"/>
      <c r="N427" s="107"/>
      <c r="O427" s="107"/>
      <c r="P427" s="89"/>
      <c r="Q427" s="89"/>
      <c r="R427" s="89"/>
      <c r="S427" s="89"/>
      <c r="T427" s="89"/>
      <c r="U427" s="89"/>
      <c r="V427" s="89"/>
      <c r="W427" s="89"/>
      <c r="X427" s="89"/>
      <c r="Y427" s="89"/>
      <c r="Z427" s="77"/>
      <c r="AA427" s="77"/>
      <c r="AB427" s="94"/>
      <c r="AC427" s="94"/>
      <c r="AD427" s="94"/>
      <c r="AE427" s="94"/>
      <c r="AF427" s="91"/>
      <c r="AG427" s="92"/>
      <c r="AH427" s="92"/>
      <c r="AI427" s="93"/>
      <c r="AJ427" s="94"/>
      <c r="AK427" s="92"/>
      <c r="AL427" s="94"/>
      <c r="AM427" s="94"/>
      <c r="AN427" s="94"/>
      <c r="AO427" s="94"/>
      <c r="AP427" s="94"/>
      <c r="AQ427" s="94"/>
      <c r="AR427" s="94"/>
      <c r="AS427" s="94"/>
      <c r="AT427" s="94"/>
      <c r="AU427" s="92"/>
      <c r="AV427" s="94"/>
      <c r="AW427" s="94"/>
      <c r="AX427" s="94"/>
      <c r="AY427" s="94"/>
      <c r="AZ427" s="94"/>
      <c r="BA427" s="94"/>
      <c r="BB427" s="94"/>
      <c r="BC427" s="94"/>
      <c r="BD427" s="94"/>
      <c r="BE427" s="94"/>
      <c r="BF427" s="94"/>
      <c r="BG427" s="94"/>
      <c r="BH427" s="94"/>
      <c r="BI427" s="94"/>
      <c r="BJ427" s="94"/>
      <c r="BK427" s="94"/>
      <c r="BL427" s="92"/>
      <c r="BM427" s="94"/>
      <c r="BN427" s="94"/>
      <c r="BO427" s="94"/>
      <c r="BP427" s="94"/>
      <c r="BQ427" s="92"/>
      <c r="BR427" s="92"/>
      <c r="BS427" s="92"/>
      <c r="BT427" s="92"/>
      <c r="BU427" s="92"/>
      <c r="BV427" s="92"/>
      <c r="BW427" s="92"/>
      <c r="BX427" s="92"/>
      <c r="BY427" s="92"/>
      <c r="BZ427" s="92"/>
    </row>
    <row r="428" spans="1:78" ht="12.9">
      <c r="A428" s="89"/>
      <c r="B428" s="89"/>
      <c r="C428" s="89"/>
      <c r="D428" s="89"/>
      <c r="E428" s="89"/>
      <c r="F428" s="89"/>
      <c r="G428" s="89"/>
      <c r="H428" s="105"/>
      <c r="I428" s="106"/>
      <c r="J428" s="106"/>
      <c r="K428" s="89"/>
      <c r="L428" s="89"/>
      <c r="M428" s="89"/>
      <c r="N428" s="107"/>
      <c r="O428" s="107"/>
      <c r="P428" s="89"/>
      <c r="Q428" s="89"/>
      <c r="R428" s="89"/>
      <c r="S428" s="89"/>
      <c r="T428" s="89"/>
      <c r="U428" s="89"/>
      <c r="V428" s="89"/>
      <c r="W428" s="89"/>
      <c r="X428" s="89"/>
      <c r="Y428" s="89"/>
      <c r="Z428" s="77"/>
      <c r="AA428" s="77"/>
      <c r="AB428" s="94"/>
      <c r="AC428" s="94"/>
      <c r="AD428" s="94"/>
      <c r="AE428" s="94"/>
      <c r="AF428" s="91"/>
      <c r="AG428" s="92"/>
      <c r="AH428" s="92"/>
      <c r="AI428" s="93"/>
      <c r="AJ428" s="94"/>
      <c r="AK428" s="92"/>
      <c r="AL428" s="94"/>
      <c r="AM428" s="94"/>
      <c r="AN428" s="94"/>
      <c r="AO428" s="94"/>
      <c r="AP428" s="94"/>
      <c r="AQ428" s="94"/>
      <c r="AR428" s="94"/>
      <c r="AS428" s="94"/>
      <c r="AT428" s="94"/>
      <c r="AU428" s="92"/>
      <c r="AV428" s="94"/>
      <c r="AW428" s="94"/>
      <c r="AX428" s="94"/>
      <c r="AY428" s="94"/>
      <c r="AZ428" s="94"/>
      <c r="BA428" s="94"/>
      <c r="BB428" s="94"/>
      <c r="BC428" s="94"/>
      <c r="BD428" s="94"/>
      <c r="BE428" s="94"/>
      <c r="BF428" s="94"/>
      <c r="BG428" s="94"/>
      <c r="BH428" s="94"/>
      <c r="BI428" s="94"/>
      <c r="BJ428" s="94"/>
      <c r="BK428" s="94"/>
      <c r="BL428" s="92"/>
      <c r="BM428" s="94"/>
      <c r="BN428" s="94"/>
      <c r="BO428" s="94"/>
      <c r="BP428" s="94"/>
      <c r="BQ428" s="92"/>
      <c r="BR428" s="92"/>
      <c r="BS428" s="92"/>
      <c r="BT428" s="92"/>
      <c r="BU428" s="92"/>
      <c r="BV428" s="92"/>
      <c r="BW428" s="92"/>
      <c r="BX428" s="92"/>
      <c r="BY428" s="92"/>
      <c r="BZ428" s="92"/>
    </row>
    <row r="429" spans="1:78" ht="12.9">
      <c r="A429" s="89"/>
      <c r="B429" s="89"/>
      <c r="C429" s="89"/>
      <c r="D429" s="89"/>
      <c r="E429" s="89"/>
      <c r="F429" s="89"/>
      <c r="G429" s="89"/>
      <c r="H429" s="105"/>
      <c r="I429" s="106"/>
      <c r="J429" s="106"/>
      <c r="K429" s="89"/>
      <c r="L429" s="89"/>
      <c r="M429" s="89"/>
      <c r="N429" s="107"/>
      <c r="O429" s="107"/>
      <c r="P429" s="89"/>
      <c r="Q429" s="89"/>
      <c r="R429" s="89"/>
      <c r="S429" s="89"/>
      <c r="T429" s="89"/>
      <c r="U429" s="89"/>
      <c r="V429" s="89"/>
      <c r="W429" s="89"/>
      <c r="X429" s="89"/>
      <c r="Y429" s="89"/>
      <c r="Z429" s="77"/>
      <c r="AA429" s="77"/>
      <c r="AB429" s="94"/>
      <c r="AC429" s="94"/>
      <c r="AD429" s="94"/>
      <c r="AE429" s="94"/>
      <c r="AF429" s="91"/>
      <c r="AG429" s="92"/>
      <c r="AH429" s="92"/>
      <c r="AI429" s="93"/>
      <c r="AJ429" s="94"/>
      <c r="AK429" s="92"/>
      <c r="AL429" s="94"/>
      <c r="AM429" s="94"/>
      <c r="AN429" s="94"/>
      <c r="AO429" s="94"/>
      <c r="AP429" s="94"/>
      <c r="AQ429" s="94"/>
      <c r="AR429" s="94"/>
      <c r="AS429" s="94"/>
      <c r="AT429" s="94"/>
      <c r="AU429" s="92"/>
      <c r="AV429" s="94"/>
      <c r="AW429" s="94"/>
      <c r="AX429" s="94"/>
      <c r="AY429" s="94"/>
      <c r="AZ429" s="94"/>
      <c r="BA429" s="94"/>
      <c r="BB429" s="94"/>
      <c r="BC429" s="94"/>
      <c r="BD429" s="94"/>
      <c r="BE429" s="94"/>
      <c r="BF429" s="94"/>
      <c r="BG429" s="94"/>
      <c r="BH429" s="94"/>
      <c r="BI429" s="94"/>
      <c r="BJ429" s="94"/>
      <c r="BK429" s="94"/>
      <c r="BL429" s="92"/>
      <c r="BM429" s="94"/>
      <c r="BN429" s="94"/>
      <c r="BO429" s="94"/>
      <c r="BP429" s="94"/>
      <c r="BQ429" s="92"/>
      <c r="BR429" s="92"/>
      <c r="BS429" s="92"/>
      <c r="BT429" s="92"/>
      <c r="BU429" s="92"/>
      <c r="BV429" s="92"/>
      <c r="BW429" s="92"/>
      <c r="BX429" s="92"/>
      <c r="BY429" s="92"/>
      <c r="BZ429" s="92"/>
    </row>
    <row r="430" spans="1:78" ht="12.9">
      <c r="A430" s="89"/>
      <c r="B430" s="89"/>
      <c r="C430" s="89"/>
      <c r="D430" s="89"/>
      <c r="E430" s="89"/>
      <c r="F430" s="89"/>
      <c r="G430" s="89"/>
      <c r="H430" s="105"/>
      <c r="I430" s="106"/>
      <c r="J430" s="106"/>
      <c r="K430" s="89"/>
      <c r="L430" s="89"/>
      <c r="M430" s="89"/>
      <c r="N430" s="107"/>
      <c r="O430" s="107"/>
      <c r="P430" s="89"/>
      <c r="Q430" s="89"/>
      <c r="R430" s="89"/>
      <c r="S430" s="89"/>
      <c r="T430" s="89"/>
      <c r="U430" s="89"/>
      <c r="V430" s="89"/>
      <c r="W430" s="89"/>
      <c r="X430" s="89"/>
      <c r="Y430" s="89"/>
      <c r="Z430" s="77"/>
      <c r="AA430" s="77"/>
      <c r="AB430" s="94"/>
      <c r="AC430" s="94"/>
      <c r="AD430" s="94"/>
      <c r="AE430" s="94"/>
      <c r="AF430" s="91"/>
      <c r="AG430" s="92"/>
      <c r="AH430" s="92"/>
      <c r="AI430" s="93"/>
      <c r="AJ430" s="94"/>
      <c r="AK430" s="92"/>
      <c r="AL430" s="94"/>
      <c r="AM430" s="94"/>
      <c r="AN430" s="94"/>
      <c r="AO430" s="94"/>
      <c r="AP430" s="94"/>
      <c r="AQ430" s="94"/>
      <c r="AR430" s="94"/>
      <c r="AS430" s="94"/>
      <c r="AT430" s="94"/>
      <c r="AU430" s="92"/>
      <c r="AV430" s="94"/>
      <c r="AW430" s="94"/>
      <c r="AX430" s="94"/>
      <c r="AY430" s="94"/>
      <c r="AZ430" s="94"/>
      <c r="BA430" s="94"/>
      <c r="BB430" s="94"/>
      <c r="BC430" s="94"/>
      <c r="BD430" s="94"/>
      <c r="BE430" s="94"/>
      <c r="BF430" s="94"/>
      <c r="BG430" s="94"/>
      <c r="BH430" s="94"/>
      <c r="BI430" s="94"/>
      <c r="BJ430" s="94"/>
      <c r="BK430" s="94"/>
      <c r="BL430" s="92"/>
      <c r="BM430" s="94"/>
      <c r="BN430" s="94"/>
      <c r="BO430" s="94"/>
      <c r="BP430" s="94"/>
      <c r="BQ430" s="92"/>
      <c r="BR430" s="92"/>
      <c r="BS430" s="92"/>
      <c r="BT430" s="92"/>
      <c r="BU430" s="92"/>
      <c r="BV430" s="92"/>
      <c r="BW430" s="92"/>
      <c r="BX430" s="92"/>
      <c r="BY430" s="92"/>
      <c r="BZ430" s="92"/>
    </row>
    <row r="431" spans="1:78" ht="12.9">
      <c r="A431" s="89"/>
      <c r="B431" s="89"/>
      <c r="C431" s="89"/>
      <c r="D431" s="89"/>
      <c r="E431" s="89"/>
      <c r="F431" s="89"/>
      <c r="G431" s="89"/>
      <c r="H431" s="105"/>
      <c r="I431" s="106"/>
      <c r="J431" s="106"/>
      <c r="K431" s="89"/>
      <c r="L431" s="89"/>
      <c r="M431" s="89"/>
      <c r="N431" s="107"/>
      <c r="O431" s="107"/>
      <c r="P431" s="89"/>
      <c r="Q431" s="89"/>
      <c r="R431" s="89"/>
      <c r="S431" s="89"/>
      <c r="T431" s="89"/>
      <c r="U431" s="89"/>
      <c r="V431" s="89"/>
      <c r="W431" s="89"/>
      <c r="X431" s="89"/>
      <c r="Y431" s="89"/>
      <c r="Z431" s="77"/>
      <c r="AA431" s="77"/>
      <c r="AB431" s="94"/>
      <c r="AC431" s="94"/>
      <c r="AD431" s="94"/>
      <c r="AE431" s="94"/>
      <c r="AF431" s="91"/>
      <c r="AG431" s="92"/>
      <c r="AH431" s="92"/>
      <c r="AI431" s="93"/>
      <c r="AJ431" s="94"/>
      <c r="AK431" s="92"/>
      <c r="AL431" s="94"/>
      <c r="AM431" s="94"/>
      <c r="AN431" s="94"/>
      <c r="AO431" s="94"/>
      <c r="AP431" s="94"/>
      <c r="AQ431" s="94"/>
      <c r="AR431" s="94"/>
      <c r="AS431" s="94"/>
      <c r="AT431" s="94"/>
      <c r="AU431" s="92"/>
      <c r="AV431" s="94"/>
      <c r="AW431" s="94"/>
      <c r="AX431" s="94"/>
      <c r="AY431" s="94"/>
      <c r="AZ431" s="94"/>
      <c r="BA431" s="94"/>
      <c r="BB431" s="94"/>
      <c r="BC431" s="94"/>
      <c r="BD431" s="94"/>
      <c r="BE431" s="94"/>
      <c r="BF431" s="94"/>
      <c r="BG431" s="94"/>
      <c r="BH431" s="94"/>
      <c r="BI431" s="94"/>
      <c r="BJ431" s="94"/>
      <c r="BK431" s="94"/>
      <c r="BL431" s="92"/>
      <c r="BM431" s="94"/>
      <c r="BN431" s="94"/>
      <c r="BO431" s="94"/>
      <c r="BP431" s="94"/>
      <c r="BQ431" s="92"/>
      <c r="BR431" s="92"/>
      <c r="BS431" s="92"/>
      <c r="BT431" s="92"/>
      <c r="BU431" s="92"/>
      <c r="BV431" s="92"/>
      <c r="BW431" s="92"/>
      <c r="BX431" s="92"/>
      <c r="BY431" s="92"/>
      <c r="BZ431" s="92"/>
    </row>
    <row r="432" spans="1:78" ht="12.9">
      <c r="A432" s="89"/>
      <c r="B432" s="89"/>
      <c r="C432" s="89"/>
      <c r="D432" s="89"/>
      <c r="E432" s="89"/>
      <c r="F432" s="89"/>
      <c r="G432" s="89"/>
      <c r="H432" s="105"/>
      <c r="I432" s="106"/>
      <c r="J432" s="106"/>
      <c r="K432" s="89"/>
      <c r="L432" s="89"/>
      <c r="M432" s="89"/>
      <c r="N432" s="107"/>
      <c r="O432" s="107"/>
      <c r="P432" s="89"/>
      <c r="Q432" s="89"/>
      <c r="R432" s="89"/>
      <c r="S432" s="89"/>
      <c r="T432" s="89"/>
      <c r="U432" s="89"/>
      <c r="V432" s="89"/>
      <c r="W432" s="89"/>
      <c r="X432" s="89"/>
      <c r="Y432" s="89"/>
      <c r="Z432" s="77"/>
      <c r="AA432" s="77"/>
      <c r="AB432" s="94"/>
      <c r="AC432" s="94"/>
      <c r="AD432" s="94"/>
      <c r="AE432" s="94"/>
      <c r="AF432" s="91"/>
      <c r="AG432" s="92"/>
      <c r="AH432" s="92"/>
      <c r="AI432" s="93"/>
      <c r="AJ432" s="94"/>
      <c r="AK432" s="92"/>
      <c r="AL432" s="94"/>
      <c r="AM432" s="94"/>
      <c r="AN432" s="94"/>
      <c r="AO432" s="94"/>
      <c r="AP432" s="94"/>
      <c r="AQ432" s="94"/>
      <c r="AR432" s="94"/>
      <c r="AS432" s="94"/>
      <c r="AT432" s="94"/>
      <c r="AU432" s="92"/>
      <c r="AV432" s="94"/>
      <c r="AW432" s="94"/>
      <c r="AX432" s="94"/>
      <c r="AY432" s="94"/>
      <c r="AZ432" s="94"/>
      <c r="BA432" s="94"/>
      <c r="BB432" s="94"/>
      <c r="BC432" s="94"/>
      <c r="BD432" s="94"/>
      <c r="BE432" s="94"/>
      <c r="BF432" s="94"/>
      <c r="BG432" s="94"/>
      <c r="BH432" s="94"/>
      <c r="BI432" s="94"/>
      <c r="BJ432" s="94"/>
      <c r="BK432" s="94"/>
      <c r="BL432" s="92"/>
      <c r="BM432" s="94"/>
      <c r="BN432" s="94"/>
      <c r="BO432" s="94"/>
      <c r="BP432" s="94"/>
      <c r="BQ432" s="92"/>
      <c r="BR432" s="92"/>
      <c r="BS432" s="92"/>
      <c r="BT432" s="92"/>
      <c r="BU432" s="92"/>
      <c r="BV432" s="92"/>
      <c r="BW432" s="92"/>
      <c r="BX432" s="92"/>
      <c r="BY432" s="92"/>
      <c r="BZ432" s="92"/>
    </row>
    <row r="433" spans="1:78" ht="12.9">
      <c r="A433" s="89"/>
      <c r="B433" s="89"/>
      <c r="C433" s="89"/>
      <c r="D433" s="89"/>
      <c r="E433" s="89"/>
      <c r="F433" s="89"/>
      <c r="G433" s="89"/>
      <c r="H433" s="105"/>
      <c r="I433" s="106"/>
      <c r="J433" s="106"/>
      <c r="K433" s="89"/>
      <c r="L433" s="89"/>
      <c r="M433" s="89"/>
      <c r="N433" s="107"/>
      <c r="O433" s="107"/>
      <c r="P433" s="89"/>
      <c r="Q433" s="89"/>
      <c r="R433" s="89"/>
      <c r="S433" s="89"/>
      <c r="T433" s="89"/>
      <c r="U433" s="89"/>
      <c r="V433" s="89"/>
      <c r="W433" s="89"/>
      <c r="X433" s="89"/>
      <c r="Y433" s="89"/>
      <c r="Z433" s="77"/>
      <c r="AA433" s="77"/>
      <c r="AB433" s="94"/>
      <c r="AC433" s="94"/>
      <c r="AD433" s="94"/>
      <c r="AE433" s="94"/>
      <c r="AF433" s="91"/>
      <c r="AG433" s="92"/>
      <c r="AH433" s="92"/>
      <c r="AI433" s="93"/>
      <c r="AJ433" s="94"/>
      <c r="AK433" s="92"/>
      <c r="AL433" s="94"/>
      <c r="AM433" s="94"/>
      <c r="AN433" s="94"/>
      <c r="AO433" s="94"/>
      <c r="AP433" s="94"/>
      <c r="AQ433" s="94"/>
      <c r="AR433" s="94"/>
      <c r="AS433" s="94"/>
      <c r="AT433" s="94"/>
      <c r="AU433" s="92"/>
      <c r="AV433" s="94"/>
      <c r="AW433" s="94"/>
      <c r="AX433" s="94"/>
      <c r="AY433" s="94"/>
      <c r="AZ433" s="94"/>
      <c r="BA433" s="94"/>
      <c r="BB433" s="94"/>
      <c r="BC433" s="94"/>
      <c r="BD433" s="94"/>
      <c r="BE433" s="94"/>
      <c r="BF433" s="94"/>
      <c r="BG433" s="94"/>
      <c r="BH433" s="94"/>
      <c r="BI433" s="94"/>
      <c r="BJ433" s="94"/>
      <c r="BK433" s="94"/>
      <c r="BL433" s="92"/>
      <c r="BM433" s="94"/>
      <c r="BN433" s="94"/>
      <c r="BO433" s="94"/>
      <c r="BP433" s="94"/>
      <c r="BQ433" s="92"/>
      <c r="BR433" s="92"/>
      <c r="BS433" s="92"/>
      <c r="BT433" s="92"/>
      <c r="BU433" s="92"/>
      <c r="BV433" s="92"/>
      <c r="BW433" s="92"/>
      <c r="BX433" s="92"/>
      <c r="BY433" s="92"/>
      <c r="BZ433" s="92"/>
    </row>
    <row r="434" spans="1:78" ht="12.9">
      <c r="A434" s="89"/>
      <c r="B434" s="89"/>
      <c r="C434" s="89"/>
      <c r="D434" s="89"/>
      <c r="E434" s="89"/>
      <c r="F434" s="89"/>
      <c r="G434" s="89"/>
      <c r="H434" s="105"/>
      <c r="I434" s="106"/>
      <c r="J434" s="106"/>
      <c r="K434" s="89"/>
      <c r="L434" s="89"/>
      <c r="M434" s="89"/>
      <c r="N434" s="107"/>
      <c r="O434" s="107"/>
      <c r="P434" s="89"/>
      <c r="Q434" s="89"/>
      <c r="R434" s="89"/>
      <c r="S434" s="89"/>
      <c r="T434" s="89"/>
      <c r="U434" s="89"/>
      <c r="V434" s="89"/>
      <c r="W434" s="89"/>
      <c r="X434" s="89"/>
      <c r="Y434" s="89"/>
      <c r="Z434" s="77"/>
      <c r="AA434" s="77"/>
      <c r="AB434" s="94"/>
      <c r="AC434" s="94"/>
      <c r="AD434" s="94"/>
      <c r="AE434" s="94"/>
      <c r="AF434" s="91"/>
      <c r="AG434" s="92"/>
      <c r="AH434" s="92"/>
      <c r="AI434" s="93"/>
      <c r="AJ434" s="94"/>
      <c r="AK434" s="92"/>
      <c r="AL434" s="94"/>
      <c r="AM434" s="94"/>
      <c r="AN434" s="94"/>
      <c r="AO434" s="94"/>
      <c r="AP434" s="94"/>
      <c r="AQ434" s="94"/>
      <c r="AR434" s="94"/>
      <c r="AS434" s="94"/>
      <c r="AT434" s="94"/>
      <c r="AU434" s="92"/>
      <c r="AV434" s="94"/>
      <c r="AW434" s="94"/>
      <c r="AX434" s="94"/>
      <c r="AY434" s="94"/>
      <c r="AZ434" s="94"/>
      <c r="BA434" s="94"/>
      <c r="BB434" s="94"/>
      <c r="BC434" s="94"/>
      <c r="BD434" s="94"/>
      <c r="BE434" s="94"/>
      <c r="BF434" s="94"/>
      <c r="BG434" s="94"/>
      <c r="BH434" s="94"/>
      <c r="BI434" s="94"/>
      <c r="BJ434" s="94"/>
      <c r="BK434" s="94"/>
      <c r="BL434" s="92"/>
      <c r="BM434" s="94"/>
      <c r="BN434" s="94"/>
      <c r="BO434" s="94"/>
      <c r="BP434" s="94"/>
      <c r="BQ434" s="92"/>
      <c r="BR434" s="92"/>
      <c r="BS434" s="92"/>
      <c r="BT434" s="92"/>
      <c r="BU434" s="92"/>
      <c r="BV434" s="92"/>
      <c r="BW434" s="92"/>
      <c r="BX434" s="92"/>
      <c r="BY434" s="92"/>
      <c r="BZ434" s="92"/>
    </row>
    <row r="435" spans="1:78" ht="12.9">
      <c r="A435" s="89"/>
      <c r="B435" s="89"/>
      <c r="C435" s="89"/>
      <c r="D435" s="89"/>
      <c r="E435" s="89"/>
      <c r="F435" s="89"/>
      <c r="G435" s="89"/>
      <c r="H435" s="105"/>
      <c r="I435" s="106"/>
      <c r="J435" s="106"/>
      <c r="K435" s="89"/>
      <c r="L435" s="89"/>
      <c r="M435" s="89"/>
      <c r="N435" s="107"/>
      <c r="O435" s="107"/>
      <c r="P435" s="89"/>
      <c r="Q435" s="89"/>
      <c r="R435" s="89"/>
      <c r="S435" s="89"/>
      <c r="T435" s="89"/>
      <c r="U435" s="89"/>
      <c r="V435" s="89"/>
      <c r="W435" s="89"/>
      <c r="X435" s="89"/>
      <c r="Y435" s="89"/>
      <c r="Z435" s="77"/>
      <c r="AA435" s="77"/>
      <c r="AB435" s="94"/>
      <c r="AC435" s="94"/>
      <c r="AD435" s="94"/>
      <c r="AE435" s="94"/>
      <c r="AF435" s="91"/>
      <c r="AG435" s="92"/>
      <c r="AH435" s="92"/>
      <c r="AI435" s="93"/>
      <c r="AJ435" s="94"/>
      <c r="AK435" s="92"/>
      <c r="AL435" s="94"/>
      <c r="AM435" s="94"/>
      <c r="AN435" s="94"/>
      <c r="AO435" s="94"/>
      <c r="AP435" s="94"/>
      <c r="AQ435" s="94"/>
      <c r="AR435" s="94"/>
      <c r="AS435" s="94"/>
      <c r="AT435" s="94"/>
      <c r="AU435" s="92"/>
      <c r="AV435" s="94"/>
      <c r="AW435" s="94"/>
      <c r="AX435" s="94"/>
      <c r="AY435" s="94"/>
      <c r="AZ435" s="94"/>
      <c r="BA435" s="94"/>
      <c r="BB435" s="94"/>
      <c r="BC435" s="94"/>
      <c r="BD435" s="94"/>
      <c r="BE435" s="94"/>
      <c r="BF435" s="94"/>
      <c r="BG435" s="94"/>
      <c r="BH435" s="94"/>
      <c r="BI435" s="94"/>
      <c r="BJ435" s="94"/>
      <c r="BK435" s="94"/>
      <c r="BL435" s="92"/>
      <c r="BM435" s="94"/>
      <c r="BN435" s="94"/>
      <c r="BO435" s="94"/>
      <c r="BP435" s="94"/>
      <c r="BQ435" s="92"/>
      <c r="BR435" s="92"/>
      <c r="BS435" s="92"/>
      <c r="BT435" s="92"/>
      <c r="BU435" s="92"/>
      <c r="BV435" s="92"/>
      <c r="BW435" s="92"/>
      <c r="BX435" s="92"/>
      <c r="BY435" s="92"/>
      <c r="BZ435" s="92"/>
    </row>
    <row r="436" spans="1:78" ht="12.9">
      <c r="A436" s="89"/>
      <c r="B436" s="89"/>
      <c r="C436" s="89"/>
      <c r="D436" s="89"/>
      <c r="E436" s="89"/>
      <c r="F436" s="89"/>
      <c r="G436" s="89"/>
      <c r="H436" s="105"/>
      <c r="I436" s="106"/>
      <c r="J436" s="106"/>
      <c r="K436" s="89"/>
      <c r="L436" s="89"/>
      <c r="M436" s="89"/>
      <c r="N436" s="107"/>
      <c r="O436" s="107"/>
      <c r="P436" s="89"/>
      <c r="Q436" s="89"/>
      <c r="R436" s="89"/>
      <c r="S436" s="89"/>
      <c r="T436" s="89"/>
      <c r="U436" s="89"/>
      <c r="V436" s="89"/>
      <c r="W436" s="89"/>
      <c r="X436" s="89"/>
      <c r="Y436" s="89"/>
      <c r="Z436" s="77"/>
      <c r="AA436" s="77"/>
      <c r="AB436" s="94"/>
      <c r="AC436" s="94"/>
      <c r="AD436" s="94"/>
      <c r="AE436" s="94"/>
      <c r="AF436" s="91"/>
      <c r="AG436" s="92"/>
      <c r="AH436" s="92"/>
      <c r="AI436" s="93"/>
      <c r="AJ436" s="94"/>
      <c r="AK436" s="92"/>
      <c r="AL436" s="94"/>
      <c r="AM436" s="94"/>
      <c r="AN436" s="94"/>
      <c r="AO436" s="94"/>
      <c r="AP436" s="94"/>
      <c r="AQ436" s="94"/>
      <c r="AR436" s="94"/>
      <c r="AS436" s="94"/>
      <c r="AT436" s="94"/>
      <c r="AU436" s="92"/>
      <c r="AV436" s="94"/>
      <c r="AW436" s="94"/>
      <c r="AX436" s="94"/>
      <c r="AY436" s="94"/>
      <c r="AZ436" s="94"/>
      <c r="BA436" s="94"/>
      <c r="BB436" s="94"/>
      <c r="BC436" s="94"/>
      <c r="BD436" s="94"/>
      <c r="BE436" s="94"/>
      <c r="BF436" s="94"/>
      <c r="BG436" s="94"/>
      <c r="BH436" s="94"/>
      <c r="BI436" s="94"/>
      <c r="BJ436" s="94"/>
      <c r="BK436" s="94"/>
      <c r="BL436" s="92"/>
      <c r="BM436" s="94"/>
      <c r="BN436" s="94"/>
      <c r="BO436" s="94"/>
      <c r="BP436" s="94"/>
      <c r="BQ436" s="92"/>
      <c r="BR436" s="92"/>
      <c r="BS436" s="92"/>
      <c r="BT436" s="92"/>
      <c r="BU436" s="92"/>
      <c r="BV436" s="92"/>
      <c r="BW436" s="92"/>
      <c r="BX436" s="92"/>
      <c r="BY436" s="92"/>
      <c r="BZ436" s="92"/>
    </row>
    <row r="437" spans="1:78" ht="12.9">
      <c r="A437" s="89"/>
      <c r="B437" s="89"/>
      <c r="C437" s="89"/>
      <c r="D437" s="89"/>
      <c r="E437" s="89"/>
      <c r="F437" s="89"/>
      <c r="G437" s="89"/>
      <c r="H437" s="105"/>
      <c r="I437" s="106"/>
      <c r="J437" s="106"/>
      <c r="K437" s="89"/>
      <c r="L437" s="89"/>
      <c r="M437" s="89"/>
      <c r="N437" s="107"/>
      <c r="O437" s="107"/>
      <c r="P437" s="89"/>
      <c r="Q437" s="89"/>
      <c r="R437" s="89"/>
      <c r="S437" s="89"/>
      <c r="T437" s="89"/>
      <c r="U437" s="89"/>
      <c r="V437" s="89"/>
      <c r="W437" s="89"/>
      <c r="X437" s="89"/>
      <c r="Y437" s="89"/>
      <c r="Z437" s="77"/>
      <c r="AA437" s="77"/>
      <c r="AB437" s="94"/>
      <c r="AC437" s="94"/>
      <c r="AD437" s="94"/>
      <c r="AE437" s="94"/>
      <c r="AF437" s="91"/>
      <c r="AG437" s="92"/>
      <c r="AH437" s="92"/>
      <c r="AI437" s="93"/>
      <c r="AJ437" s="94"/>
      <c r="AK437" s="92"/>
      <c r="AL437" s="94"/>
      <c r="AM437" s="94"/>
      <c r="AN437" s="94"/>
      <c r="AO437" s="94"/>
      <c r="AP437" s="94"/>
      <c r="AQ437" s="94"/>
      <c r="AR437" s="94"/>
      <c r="AS437" s="94"/>
      <c r="AT437" s="94"/>
      <c r="AU437" s="92"/>
      <c r="AV437" s="94"/>
      <c r="AW437" s="94"/>
      <c r="AX437" s="94"/>
      <c r="AY437" s="94"/>
      <c r="AZ437" s="94"/>
      <c r="BA437" s="94"/>
      <c r="BB437" s="94"/>
      <c r="BC437" s="94"/>
      <c r="BD437" s="94"/>
      <c r="BE437" s="94"/>
      <c r="BF437" s="94"/>
      <c r="BG437" s="94"/>
      <c r="BH437" s="94"/>
      <c r="BI437" s="94"/>
      <c r="BJ437" s="94"/>
      <c r="BK437" s="94"/>
      <c r="BL437" s="92"/>
      <c r="BM437" s="94"/>
      <c r="BN437" s="94"/>
      <c r="BO437" s="94"/>
      <c r="BP437" s="94"/>
      <c r="BQ437" s="92"/>
      <c r="BR437" s="92"/>
      <c r="BS437" s="92"/>
      <c r="BT437" s="92"/>
      <c r="BU437" s="92"/>
      <c r="BV437" s="92"/>
      <c r="BW437" s="92"/>
      <c r="BX437" s="92"/>
      <c r="BY437" s="92"/>
      <c r="BZ437" s="92"/>
    </row>
    <row r="438" spans="1:78" ht="12.9">
      <c r="A438" s="89"/>
      <c r="B438" s="89"/>
      <c r="C438" s="89"/>
      <c r="D438" s="89"/>
      <c r="E438" s="89"/>
      <c r="F438" s="89"/>
      <c r="G438" s="89"/>
      <c r="H438" s="105"/>
      <c r="I438" s="106"/>
      <c r="J438" s="106"/>
      <c r="K438" s="89"/>
      <c r="L438" s="89"/>
      <c r="M438" s="89"/>
      <c r="N438" s="107"/>
      <c r="O438" s="107"/>
      <c r="P438" s="89"/>
      <c r="Q438" s="89"/>
      <c r="R438" s="89"/>
      <c r="S438" s="89"/>
      <c r="T438" s="89"/>
      <c r="U438" s="89"/>
      <c r="V438" s="89"/>
      <c r="W438" s="89"/>
      <c r="X438" s="89"/>
      <c r="Y438" s="89"/>
      <c r="Z438" s="77"/>
      <c r="AA438" s="77"/>
      <c r="AB438" s="94"/>
      <c r="AC438" s="94"/>
      <c r="AD438" s="94"/>
      <c r="AE438" s="94"/>
      <c r="AF438" s="91"/>
      <c r="AG438" s="92"/>
      <c r="AH438" s="92"/>
      <c r="AI438" s="93"/>
      <c r="AJ438" s="94"/>
      <c r="AK438" s="92"/>
      <c r="AL438" s="94"/>
      <c r="AM438" s="94"/>
      <c r="AN438" s="94"/>
      <c r="AO438" s="94"/>
      <c r="AP438" s="94"/>
      <c r="AQ438" s="94"/>
      <c r="AR438" s="94"/>
      <c r="AS438" s="94"/>
      <c r="AT438" s="94"/>
      <c r="AU438" s="92"/>
      <c r="AV438" s="94"/>
      <c r="AW438" s="94"/>
      <c r="AX438" s="94"/>
      <c r="AY438" s="94"/>
      <c r="AZ438" s="94"/>
      <c r="BA438" s="94"/>
      <c r="BB438" s="94"/>
      <c r="BC438" s="94"/>
      <c r="BD438" s="94"/>
      <c r="BE438" s="94"/>
      <c r="BF438" s="94"/>
      <c r="BG438" s="94"/>
      <c r="BH438" s="94"/>
      <c r="BI438" s="94"/>
      <c r="BJ438" s="94"/>
      <c r="BK438" s="94"/>
      <c r="BL438" s="92"/>
      <c r="BM438" s="94"/>
      <c r="BN438" s="94"/>
      <c r="BO438" s="94"/>
      <c r="BP438" s="94"/>
      <c r="BQ438" s="92"/>
      <c r="BR438" s="92"/>
      <c r="BS438" s="92"/>
      <c r="BT438" s="92"/>
      <c r="BU438" s="92"/>
      <c r="BV438" s="92"/>
      <c r="BW438" s="92"/>
      <c r="BX438" s="92"/>
      <c r="BY438" s="92"/>
      <c r="BZ438" s="92"/>
    </row>
    <row r="439" spans="1:78" ht="12.9">
      <c r="A439" s="89"/>
      <c r="B439" s="89"/>
      <c r="C439" s="89"/>
      <c r="D439" s="89"/>
      <c r="E439" s="89"/>
      <c r="F439" s="89"/>
      <c r="G439" s="89"/>
      <c r="H439" s="105"/>
      <c r="I439" s="106"/>
      <c r="J439" s="106"/>
      <c r="K439" s="89"/>
      <c r="L439" s="89"/>
      <c r="M439" s="89"/>
      <c r="N439" s="107"/>
      <c r="O439" s="107"/>
      <c r="P439" s="89"/>
      <c r="Q439" s="89"/>
      <c r="R439" s="89"/>
      <c r="S439" s="89"/>
      <c r="T439" s="89"/>
      <c r="U439" s="89"/>
      <c r="V439" s="89"/>
      <c r="W439" s="89"/>
      <c r="X439" s="89"/>
      <c r="Y439" s="89"/>
      <c r="Z439" s="77"/>
      <c r="AA439" s="77"/>
      <c r="AB439" s="94"/>
      <c r="AC439" s="94"/>
      <c r="AD439" s="94"/>
      <c r="AE439" s="94"/>
      <c r="AF439" s="91"/>
      <c r="AG439" s="92"/>
      <c r="AH439" s="92"/>
      <c r="AI439" s="93"/>
      <c r="AJ439" s="94"/>
      <c r="AK439" s="92"/>
      <c r="AL439" s="94"/>
      <c r="AM439" s="94"/>
      <c r="AN439" s="94"/>
      <c r="AO439" s="94"/>
      <c r="AP439" s="94"/>
      <c r="AQ439" s="94"/>
      <c r="AR439" s="94"/>
      <c r="AS439" s="94"/>
      <c r="AT439" s="94"/>
      <c r="AU439" s="92"/>
      <c r="AV439" s="94"/>
      <c r="AW439" s="94"/>
      <c r="AX439" s="94"/>
      <c r="AY439" s="94"/>
      <c r="AZ439" s="94"/>
      <c r="BA439" s="94"/>
      <c r="BB439" s="94"/>
      <c r="BC439" s="94"/>
      <c r="BD439" s="94"/>
      <c r="BE439" s="94"/>
      <c r="BF439" s="94"/>
      <c r="BG439" s="94"/>
      <c r="BH439" s="94"/>
      <c r="BI439" s="94"/>
      <c r="BJ439" s="94"/>
      <c r="BK439" s="94"/>
      <c r="BL439" s="92"/>
      <c r="BM439" s="94"/>
      <c r="BN439" s="94"/>
      <c r="BO439" s="94"/>
      <c r="BP439" s="94"/>
      <c r="BQ439" s="92"/>
      <c r="BR439" s="92"/>
      <c r="BS439" s="92"/>
      <c r="BT439" s="92"/>
      <c r="BU439" s="92"/>
      <c r="BV439" s="92"/>
      <c r="BW439" s="92"/>
      <c r="BX439" s="92"/>
      <c r="BY439" s="92"/>
      <c r="BZ439" s="92"/>
    </row>
    <row r="440" spans="1:78" ht="12.9">
      <c r="A440" s="89"/>
      <c r="B440" s="89"/>
      <c r="C440" s="89"/>
      <c r="D440" s="89"/>
      <c r="E440" s="89"/>
      <c r="F440" s="89"/>
      <c r="G440" s="89"/>
      <c r="H440" s="105"/>
      <c r="I440" s="106"/>
      <c r="J440" s="106"/>
      <c r="K440" s="89"/>
      <c r="L440" s="89"/>
      <c r="M440" s="89"/>
      <c r="N440" s="107"/>
      <c r="O440" s="107"/>
      <c r="P440" s="89"/>
      <c r="Q440" s="89"/>
      <c r="R440" s="89"/>
      <c r="S440" s="89"/>
      <c r="T440" s="89"/>
      <c r="U440" s="89"/>
      <c r="V440" s="89"/>
      <c r="W440" s="89"/>
      <c r="X440" s="89"/>
      <c r="Y440" s="89"/>
      <c r="Z440" s="77"/>
      <c r="AA440" s="77"/>
      <c r="AB440" s="94"/>
      <c r="AC440" s="94"/>
      <c r="AD440" s="94"/>
      <c r="AE440" s="94"/>
      <c r="AF440" s="91"/>
      <c r="AG440" s="92"/>
      <c r="AH440" s="92"/>
      <c r="AI440" s="93"/>
      <c r="AJ440" s="94"/>
      <c r="AK440" s="92"/>
      <c r="AL440" s="94"/>
      <c r="AM440" s="94"/>
      <c r="AN440" s="94"/>
      <c r="AO440" s="94"/>
      <c r="AP440" s="94"/>
      <c r="AQ440" s="94"/>
      <c r="AR440" s="94"/>
      <c r="AS440" s="94"/>
      <c r="AT440" s="94"/>
      <c r="AU440" s="92"/>
      <c r="AV440" s="94"/>
      <c r="AW440" s="94"/>
      <c r="AX440" s="94"/>
      <c r="AY440" s="94"/>
      <c r="AZ440" s="94"/>
      <c r="BA440" s="94"/>
      <c r="BB440" s="94"/>
      <c r="BC440" s="94"/>
      <c r="BD440" s="94"/>
      <c r="BE440" s="94"/>
      <c r="BF440" s="94"/>
      <c r="BG440" s="94"/>
      <c r="BH440" s="94"/>
      <c r="BI440" s="94"/>
      <c r="BJ440" s="94"/>
      <c r="BK440" s="94"/>
      <c r="BL440" s="92"/>
      <c r="BM440" s="94"/>
      <c r="BN440" s="94"/>
      <c r="BO440" s="94"/>
      <c r="BP440" s="94"/>
      <c r="BQ440" s="92"/>
      <c r="BR440" s="92"/>
      <c r="BS440" s="92"/>
      <c r="BT440" s="92"/>
      <c r="BU440" s="92"/>
      <c r="BV440" s="92"/>
      <c r="BW440" s="92"/>
      <c r="BX440" s="92"/>
      <c r="BY440" s="92"/>
      <c r="BZ440" s="92"/>
    </row>
    <row r="441" spans="1:78" ht="12.9">
      <c r="A441" s="89"/>
      <c r="B441" s="89"/>
      <c r="C441" s="89"/>
      <c r="D441" s="89"/>
      <c r="E441" s="89"/>
      <c r="F441" s="89"/>
      <c r="G441" s="89"/>
      <c r="H441" s="105"/>
      <c r="I441" s="106"/>
      <c r="J441" s="106"/>
      <c r="K441" s="89"/>
      <c r="L441" s="89"/>
      <c r="M441" s="89"/>
      <c r="N441" s="107"/>
      <c r="O441" s="107"/>
      <c r="P441" s="89"/>
      <c r="Q441" s="89"/>
      <c r="R441" s="89"/>
      <c r="S441" s="89"/>
      <c r="T441" s="89"/>
      <c r="U441" s="89"/>
      <c r="V441" s="89"/>
      <c r="W441" s="89"/>
      <c r="X441" s="89"/>
      <c r="Y441" s="89"/>
      <c r="Z441" s="77"/>
      <c r="AA441" s="77"/>
      <c r="AB441" s="94"/>
      <c r="AC441" s="94"/>
      <c r="AD441" s="94"/>
      <c r="AE441" s="94"/>
      <c r="AF441" s="91"/>
      <c r="AG441" s="92"/>
      <c r="AH441" s="92"/>
      <c r="AI441" s="93"/>
      <c r="AJ441" s="94"/>
      <c r="AK441" s="92"/>
      <c r="AL441" s="94"/>
      <c r="AM441" s="94"/>
      <c r="AN441" s="94"/>
      <c r="AO441" s="94"/>
      <c r="AP441" s="94"/>
      <c r="AQ441" s="94"/>
      <c r="AR441" s="94"/>
      <c r="AS441" s="94"/>
      <c r="AT441" s="94"/>
      <c r="AU441" s="92"/>
      <c r="AV441" s="94"/>
      <c r="AW441" s="94"/>
      <c r="AX441" s="94"/>
      <c r="AY441" s="94"/>
      <c r="AZ441" s="94"/>
      <c r="BA441" s="94"/>
      <c r="BB441" s="94"/>
      <c r="BC441" s="94"/>
      <c r="BD441" s="94"/>
      <c r="BE441" s="94"/>
      <c r="BF441" s="94"/>
      <c r="BG441" s="94"/>
      <c r="BH441" s="94"/>
      <c r="BI441" s="94"/>
      <c r="BJ441" s="94"/>
      <c r="BK441" s="94"/>
      <c r="BL441" s="92"/>
      <c r="BM441" s="94"/>
      <c r="BN441" s="94"/>
      <c r="BO441" s="94"/>
      <c r="BP441" s="94"/>
      <c r="BQ441" s="92"/>
      <c r="BR441" s="92"/>
      <c r="BS441" s="92"/>
      <c r="BT441" s="92"/>
      <c r="BU441" s="92"/>
      <c r="BV441" s="92"/>
      <c r="BW441" s="92"/>
      <c r="BX441" s="92"/>
      <c r="BY441" s="92"/>
      <c r="BZ441" s="92"/>
    </row>
    <row r="442" spans="1:78" ht="12.9">
      <c r="A442" s="89"/>
      <c r="B442" s="89"/>
      <c r="C442" s="89"/>
      <c r="D442" s="89"/>
      <c r="E442" s="89"/>
      <c r="F442" s="89"/>
      <c r="G442" s="89"/>
      <c r="H442" s="105"/>
      <c r="I442" s="106"/>
      <c r="J442" s="106"/>
      <c r="K442" s="89"/>
      <c r="L442" s="89"/>
      <c r="M442" s="89"/>
      <c r="N442" s="107"/>
      <c r="O442" s="107"/>
      <c r="P442" s="89"/>
      <c r="Q442" s="89"/>
      <c r="R442" s="89"/>
      <c r="S442" s="89"/>
      <c r="T442" s="89"/>
      <c r="U442" s="89"/>
      <c r="V442" s="89"/>
      <c r="W442" s="89"/>
      <c r="X442" s="89"/>
      <c r="Y442" s="89"/>
      <c r="Z442" s="77"/>
      <c r="AA442" s="77"/>
      <c r="AB442" s="94"/>
      <c r="AC442" s="94"/>
      <c r="AD442" s="94"/>
      <c r="AE442" s="94"/>
      <c r="AF442" s="91"/>
      <c r="AG442" s="92"/>
      <c r="AH442" s="92"/>
      <c r="AI442" s="93"/>
      <c r="AJ442" s="94"/>
      <c r="AK442" s="92"/>
      <c r="AL442" s="94"/>
      <c r="AM442" s="94"/>
      <c r="AN442" s="94"/>
      <c r="AO442" s="94"/>
      <c r="AP442" s="94"/>
      <c r="AQ442" s="94"/>
      <c r="AR442" s="94"/>
      <c r="AS442" s="94"/>
      <c r="AT442" s="94"/>
      <c r="AU442" s="92"/>
      <c r="AV442" s="94"/>
      <c r="AW442" s="94"/>
      <c r="AX442" s="94"/>
      <c r="AY442" s="94"/>
      <c r="AZ442" s="94"/>
      <c r="BA442" s="94"/>
      <c r="BB442" s="94"/>
      <c r="BC442" s="94"/>
      <c r="BD442" s="94"/>
      <c r="BE442" s="94"/>
      <c r="BF442" s="94"/>
      <c r="BG442" s="94"/>
      <c r="BH442" s="94"/>
      <c r="BI442" s="94"/>
      <c r="BJ442" s="94"/>
      <c r="BK442" s="94"/>
      <c r="BL442" s="92"/>
      <c r="BM442" s="94"/>
      <c r="BN442" s="94"/>
      <c r="BO442" s="94"/>
      <c r="BP442" s="94"/>
      <c r="BQ442" s="92"/>
      <c r="BR442" s="92"/>
      <c r="BS442" s="92"/>
      <c r="BT442" s="92"/>
      <c r="BU442" s="92"/>
      <c r="BV442" s="92"/>
      <c r="BW442" s="92"/>
      <c r="BX442" s="92"/>
      <c r="BY442" s="92"/>
      <c r="BZ442" s="92"/>
    </row>
    <row r="443" spans="1:78" ht="12.9">
      <c r="A443" s="89"/>
      <c r="B443" s="89"/>
      <c r="C443" s="89"/>
      <c r="D443" s="89"/>
      <c r="E443" s="89"/>
      <c r="F443" s="89"/>
      <c r="G443" s="89"/>
      <c r="H443" s="105"/>
      <c r="I443" s="106"/>
      <c r="J443" s="106"/>
      <c r="K443" s="89"/>
      <c r="L443" s="89"/>
      <c r="M443" s="89"/>
      <c r="N443" s="107"/>
      <c r="O443" s="107"/>
      <c r="P443" s="89"/>
      <c r="Q443" s="89"/>
      <c r="R443" s="89"/>
      <c r="S443" s="89"/>
      <c r="T443" s="89"/>
      <c r="U443" s="89"/>
      <c r="V443" s="89"/>
      <c r="W443" s="89"/>
      <c r="X443" s="89"/>
      <c r="Y443" s="89"/>
      <c r="Z443" s="77"/>
      <c r="AA443" s="77"/>
      <c r="AB443" s="94"/>
      <c r="AC443" s="94"/>
      <c r="AD443" s="94"/>
      <c r="AE443" s="94"/>
      <c r="AF443" s="91"/>
      <c r="AG443" s="92"/>
      <c r="AH443" s="92"/>
      <c r="AI443" s="93"/>
      <c r="AJ443" s="94"/>
      <c r="AK443" s="92"/>
      <c r="AL443" s="94"/>
      <c r="AM443" s="94"/>
      <c r="AN443" s="94"/>
      <c r="AO443" s="94"/>
      <c r="AP443" s="94"/>
      <c r="AQ443" s="94"/>
      <c r="AR443" s="94"/>
      <c r="AS443" s="94"/>
      <c r="AT443" s="94"/>
      <c r="AU443" s="92"/>
      <c r="AV443" s="94"/>
      <c r="AW443" s="94"/>
      <c r="AX443" s="94"/>
      <c r="AY443" s="94"/>
      <c r="AZ443" s="94"/>
      <c r="BA443" s="94"/>
      <c r="BB443" s="94"/>
      <c r="BC443" s="94"/>
      <c r="BD443" s="94"/>
      <c r="BE443" s="94"/>
      <c r="BF443" s="94"/>
      <c r="BG443" s="94"/>
      <c r="BH443" s="94"/>
      <c r="BI443" s="94"/>
      <c r="BJ443" s="94"/>
      <c r="BK443" s="94"/>
      <c r="BL443" s="92"/>
      <c r="BM443" s="94"/>
      <c r="BN443" s="94"/>
      <c r="BO443" s="94"/>
      <c r="BP443" s="94"/>
      <c r="BQ443" s="92"/>
      <c r="BR443" s="92"/>
      <c r="BS443" s="92"/>
      <c r="BT443" s="92"/>
      <c r="BU443" s="92"/>
      <c r="BV443" s="92"/>
      <c r="BW443" s="92"/>
      <c r="BX443" s="92"/>
      <c r="BY443" s="92"/>
      <c r="BZ443" s="92"/>
    </row>
    <row r="444" spans="1:78" ht="12.9">
      <c r="A444" s="89"/>
      <c r="B444" s="89"/>
      <c r="C444" s="89"/>
      <c r="D444" s="89"/>
      <c r="E444" s="89"/>
      <c r="F444" s="89"/>
      <c r="G444" s="89"/>
      <c r="H444" s="105"/>
      <c r="I444" s="106"/>
      <c r="J444" s="106"/>
      <c r="K444" s="89"/>
      <c r="L444" s="89"/>
      <c r="M444" s="89"/>
      <c r="N444" s="107"/>
      <c r="O444" s="107"/>
      <c r="P444" s="89"/>
      <c r="Q444" s="89"/>
      <c r="R444" s="89"/>
      <c r="S444" s="89"/>
      <c r="T444" s="89"/>
      <c r="U444" s="89"/>
      <c r="V444" s="89"/>
      <c r="W444" s="89"/>
      <c r="X444" s="89"/>
      <c r="Y444" s="89"/>
      <c r="Z444" s="77"/>
      <c r="AA444" s="77"/>
      <c r="AB444" s="94"/>
      <c r="AC444" s="94"/>
      <c r="AD444" s="94"/>
      <c r="AE444" s="94"/>
      <c r="AF444" s="91"/>
      <c r="AG444" s="92"/>
      <c r="AH444" s="92"/>
      <c r="AI444" s="93"/>
      <c r="AJ444" s="94"/>
      <c r="AK444" s="92"/>
      <c r="AL444" s="94"/>
      <c r="AM444" s="94"/>
      <c r="AN444" s="94"/>
      <c r="AO444" s="94"/>
      <c r="AP444" s="94"/>
      <c r="AQ444" s="94"/>
      <c r="AR444" s="94"/>
      <c r="AS444" s="94"/>
      <c r="AT444" s="94"/>
      <c r="AU444" s="92"/>
      <c r="AV444" s="94"/>
      <c r="AW444" s="94"/>
      <c r="AX444" s="94"/>
      <c r="AY444" s="94"/>
      <c r="AZ444" s="94"/>
      <c r="BA444" s="94"/>
      <c r="BB444" s="94"/>
      <c r="BC444" s="94"/>
      <c r="BD444" s="94"/>
      <c r="BE444" s="94"/>
      <c r="BF444" s="94"/>
      <c r="BG444" s="94"/>
      <c r="BH444" s="94"/>
      <c r="BI444" s="94"/>
      <c r="BJ444" s="94"/>
      <c r="BK444" s="94"/>
      <c r="BL444" s="92"/>
      <c r="BM444" s="94"/>
      <c r="BN444" s="94"/>
      <c r="BO444" s="94"/>
      <c r="BP444" s="94"/>
      <c r="BQ444" s="92"/>
      <c r="BR444" s="92"/>
      <c r="BS444" s="92"/>
      <c r="BT444" s="92"/>
      <c r="BU444" s="92"/>
      <c r="BV444" s="92"/>
      <c r="BW444" s="92"/>
      <c r="BX444" s="92"/>
      <c r="BY444" s="92"/>
      <c r="BZ444" s="92"/>
    </row>
    <row r="445" spans="1:78" ht="12.9">
      <c r="A445" s="89"/>
      <c r="B445" s="89"/>
      <c r="C445" s="89"/>
      <c r="D445" s="89"/>
      <c r="E445" s="89"/>
      <c r="F445" s="89"/>
      <c r="G445" s="89"/>
      <c r="H445" s="105"/>
      <c r="I445" s="106"/>
      <c r="J445" s="106"/>
      <c r="K445" s="89"/>
      <c r="L445" s="89"/>
      <c r="M445" s="89"/>
      <c r="N445" s="107"/>
      <c r="O445" s="107"/>
      <c r="P445" s="89"/>
      <c r="Q445" s="89"/>
      <c r="R445" s="89"/>
      <c r="S445" s="89"/>
      <c r="T445" s="89"/>
      <c r="U445" s="89"/>
      <c r="V445" s="89"/>
      <c r="W445" s="89"/>
      <c r="X445" s="89"/>
      <c r="Y445" s="89"/>
      <c r="Z445" s="77"/>
      <c r="AA445" s="77"/>
      <c r="AB445" s="94"/>
      <c r="AC445" s="94"/>
      <c r="AD445" s="94"/>
      <c r="AE445" s="94"/>
      <c r="AF445" s="91"/>
      <c r="AG445" s="92"/>
      <c r="AH445" s="92"/>
      <c r="AI445" s="93"/>
      <c r="AJ445" s="94"/>
      <c r="AK445" s="92"/>
      <c r="AL445" s="94"/>
      <c r="AM445" s="94"/>
      <c r="AN445" s="94"/>
      <c r="AO445" s="94"/>
      <c r="AP445" s="94"/>
      <c r="AQ445" s="94"/>
      <c r="AR445" s="94"/>
      <c r="AS445" s="94"/>
      <c r="AT445" s="94"/>
      <c r="AU445" s="92"/>
      <c r="AV445" s="94"/>
      <c r="AW445" s="94"/>
      <c r="AX445" s="94"/>
      <c r="AY445" s="94"/>
      <c r="AZ445" s="94"/>
      <c r="BA445" s="94"/>
      <c r="BB445" s="94"/>
      <c r="BC445" s="94"/>
      <c r="BD445" s="94"/>
      <c r="BE445" s="94"/>
      <c r="BF445" s="94"/>
      <c r="BG445" s="94"/>
      <c r="BH445" s="94"/>
      <c r="BI445" s="94"/>
      <c r="BJ445" s="94"/>
      <c r="BK445" s="94"/>
      <c r="BL445" s="92"/>
      <c r="BM445" s="94"/>
      <c r="BN445" s="94"/>
      <c r="BO445" s="94"/>
      <c r="BP445" s="94"/>
      <c r="BQ445" s="92"/>
      <c r="BR445" s="92"/>
      <c r="BS445" s="92"/>
      <c r="BT445" s="92"/>
      <c r="BU445" s="92"/>
      <c r="BV445" s="92"/>
      <c r="BW445" s="92"/>
      <c r="BX445" s="92"/>
      <c r="BY445" s="92"/>
      <c r="BZ445" s="92"/>
    </row>
    <row r="446" spans="1:78" ht="12.9">
      <c r="A446" s="89"/>
      <c r="B446" s="89"/>
      <c r="C446" s="89"/>
      <c r="D446" s="89"/>
      <c r="E446" s="89"/>
      <c r="F446" s="89"/>
      <c r="G446" s="89"/>
      <c r="H446" s="105"/>
      <c r="I446" s="106"/>
      <c r="J446" s="106"/>
      <c r="K446" s="89"/>
      <c r="L446" s="89"/>
      <c r="M446" s="89"/>
      <c r="N446" s="107"/>
      <c r="O446" s="107"/>
      <c r="P446" s="89"/>
      <c r="Q446" s="89"/>
      <c r="R446" s="89"/>
      <c r="S446" s="89"/>
      <c r="T446" s="89"/>
      <c r="U446" s="89"/>
      <c r="V446" s="89"/>
      <c r="W446" s="89"/>
      <c r="X446" s="89"/>
      <c r="Y446" s="89"/>
      <c r="Z446" s="77"/>
      <c r="AA446" s="77"/>
      <c r="AB446" s="94"/>
      <c r="AC446" s="94"/>
      <c r="AD446" s="94"/>
      <c r="AE446" s="94"/>
      <c r="AF446" s="91"/>
      <c r="AG446" s="92"/>
      <c r="AH446" s="92"/>
      <c r="AI446" s="93"/>
      <c r="AJ446" s="94"/>
      <c r="AK446" s="92"/>
      <c r="AL446" s="94"/>
      <c r="AM446" s="94"/>
      <c r="AN446" s="94"/>
      <c r="AO446" s="94"/>
      <c r="AP446" s="94"/>
      <c r="AQ446" s="94"/>
      <c r="AR446" s="94"/>
      <c r="AS446" s="94"/>
      <c r="AT446" s="94"/>
      <c r="AU446" s="92"/>
      <c r="AV446" s="94"/>
      <c r="AW446" s="94"/>
      <c r="AX446" s="94"/>
      <c r="AY446" s="94"/>
      <c r="AZ446" s="94"/>
      <c r="BA446" s="94"/>
      <c r="BB446" s="94"/>
      <c r="BC446" s="94"/>
      <c r="BD446" s="94"/>
      <c r="BE446" s="94"/>
      <c r="BF446" s="94"/>
      <c r="BG446" s="94"/>
      <c r="BH446" s="94"/>
      <c r="BI446" s="94"/>
      <c r="BJ446" s="94"/>
      <c r="BK446" s="94"/>
      <c r="BL446" s="92"/>
      <c r="BM446" s="94"/>
      <c r="BN446" s="94"/>
      <c r="BO446" s="94"/>
      <c r="BP446" s="94"/>
      <c r="BQ446" s="92"/>
      <c r="BR446" s="92"/>
      <c r="BS446" s="92"/>
      <c r="BT446" s="92"/>
      <c r="BU446" s="92"/>
      <c r="BV446" s="92"/>
      <c r="BW446" s="92"/>
      <c r="BX446" s="92"/>
      <c r="BY446" s="92"/>
      <c r="BZ446" s="92"/>
    </row>
    <row r="447" spans="1:78" ht="12.9">
      <c r="A447" s="89"/>
      <c r="B447" s="89"/>
      <c r="C447" s="89"/>
      <c r="D447" s="89"/>
      <c r="E447" s="89"/>
      <c r="F447" s="89"/>
      <c r="G447" s="89"/>
      <c r="H447" s="105"/>
      <c r="I447" s="106"/>
      <c r="J447" s="106"/>
      <c r="K447" s="89"/>
      <c r="L447" s="89"/>
      <c r="M447" s="89"/>
      <c r="N447" s="107"/>
      <c r="O447" s="107"/>
      <c r="P447" s="89"/>
      <c r="Q447" s="89"/>
      <c r="R447" s="89"/>
      <c r="S447" s="89"/>
      <c r="T447" s="89"/>
      <c r="U447" s="89"/>
      <c r="V447" s="89"/>
      <c r="W447" s="89"/>
      <c r="X447" s="89"/>
      <c r="Y447" s="89"/>
      <c r="Z447" s="77"/>
      <c r="AA447" s="77"/>
      <c r="AB447" s="94"/>
      <c r="AC447" s="94"/>
      <c r="AD447" s="94"/>
      <c r="AE447" s="94"/>
      <c r="AF447" s="91"/>
      <c r="AG447" s="92"/>
      <c r="AH447" s="92"/>
      <c r="AI447" s="93"/>
      <c r="AJ447" s="94"/>
      <c r="AK447" s="92"/>
      <c r="AL447" s="94"/>
      <c r="AM447" s="94"/>
      <c r="AN447" s="94"/>
      <c r="AO447" s="94"/>
      <c r="AP447" s="94"/>
      <c r="AQ447" s="94"/>
      <c r="AR447" s="94"/>
      <c r="AS447" s="94"/>
      <c r="AT447" s="94"/>
      <c r="AU447" s="92"/>
      <c r="AV447" s="94"/>
      <c r="AW447" s="94"/>
      <c r="AX447" s="94"/>
      <c r="AY447" s="94"/>
      <c r="AZ447" s="94"/>
      <c r="BA447" s="94"/>
      <c r="BB447" s="94"/>
      <c r="BC447" s="94"/>
      <c r="BD447" s="94"/>
      <c r="BE447" s="94"/>
      <c r="BF447" s="94"/>
      <c r="BG447" s="94"/>
      <c r="BH447" s="94"/>
      <c r="BI447" s="94"/>
      <c r="BJ447" s="94"/>
      <c r="BK447" s="94"/>
      <c r="BL447" s="92"/>
      <c r="BM447" s="94"/>
      <c r="BN447" s="94"/>
      <c r="BO447" s="94"/>
      <c r="BP447" s="94"/>
      <c r="BQ447" s="92"/>
      <c r="BR447" s="92"/>
      <c r="BS447" s="92"/>
      <c r="BT447" s="92"/>
      <c r="BU447" s="92"/>
      <c r="BV447" s="92"/>
      <c r="BW447" s="92"/>
      <c r="BX447" s="92"/>
      <c r="BY447" s="92"/>
      <c r="BZ447" s="92"/>
    </row>
    <row r="448" spans="1:78" ht="12.9">
      <c r="A448" s="89"/>
      <c r="B448" s="89"/>
      <c r="C448" s="89"/>
      <c r="D448" s="89"/>
      <c r="E448" s="89"/>
      <c r="F448" s="89"/>
      <c r="G448" s="89"/>
      <c r="H448" s="105"/>
      <c r="I448" s="106"/>
      <c r="J448" s="106"/>
      <c r="K448" s="89"/>
      <c r="L448" s="89"/>
      <c r="M448" s="89"/>
      <c r="N448" s="107"/>
      <c r="O448" s="107"/>
      <c r="P448" s="89"/>
      <c r="Q448" s="89"/>
      <c r="R448" s="89"/>
      <c r="S448" s="89"/>
      <c r="T448" s="89"/>
      <c r="U448" s="89"/>
      <c r="V448" s="89"/>
      <c r="W448" s="89"/>
      <c r="X448" s="89"/>
      <c r="Y448" s="89"/>
      <c r="Z448" s="77"/>
      <c r="AA448" s="77"/>
      <c r="AB448" s="94"/>
      <c r="AC448" s="94"/>
      <c r="AD448" s="94"/>
      <c r="AE448" s="94"/>
      <c r="AF448" s="91"/>
      <c r="AG448" s="92"/>
      <c r="AH448" s="92"/>
      <c r="AI448" s="93"/>
      <c r="AJ448" s="94"/>
      <c r="AK448" s="92"/>
      <c r="AL448" s="94"/>
      <c r="AM448" s="94"/>
      <c r="AN448" s="94"/>
      <c r="AO448" s="94"/>
      <c r="AP448" s="94"/>
      <c r="AQ448" s="94"/>
      <c r="AR448" s="94"/>
      <c r="AS448" s="94"/>
      <c r="AT448" s="94"/>
      <c r="AU448" s="92"/>
      <c r="AV448" s="94"/>
      <c r="AW448" s="94"/>
      <c r="AX448" s="94"/>
      <c r="AY448" s="94"/>
      <c r="AZ448" s="94"/>
      <c r="BA448" s="94"/>
      <c r="BB448" s="94"/>
      <c r="BC448" s="94"/>
      <c r="BD448" s="94"/>
      <c r="BE448" s="94"/>
      <c r="BF448" s="94"/>
      <c r="BG448" s="94"/>
      <c r="BH448" s="94"/>
      <c r="BI448" s="94"/>
      <c r="BJ448" s="94"/>
      <c r="BK448" s="94"/>
      <c r="BL448" s="92"/>
      <c r="BM448" s="94"/>
      <c r="BN448" s="94"/>
      <c r="BO448" s="94"/>
      <c r="BP448" s="94"/>
      <c r="BQ448" s="92"/>
      <c r="BR448" s="92"/>
      <c r="BS448" s="92"/>
      <c r="BT448" s="92"/>
      <c r="BU448" s="92"/>
      <c r="BV448" s="92"/>
      <c r="BW448" s="92"/>
      <c r="BX448" s="92"/>
      <c r="BY448" s="92"/>
      <c r="BZ448" s="92"/>
    </row>
    <row r="449" spans="1:78" ht="12.9">
      <c r="A449" s="89"/>
      <c r="B449" s="89"/>
      <c r="C449" s="89"/>
      <c r="D449" s="89"/>
      <c r="E449" s="89"/>
      <c r="F449" s="89"/>
      <c r="G449" s="89"/>
      <c r="H449" s="105"/>
      <c r="I449" s="106"/>
      <c r="J449" s="106"/>
      <c r="K449" s="89"/>
      <c r="L449" s="89"/>
      <c r="M449" s="89"/>
      <c r="N449" s="107"/>
      <c r="O449" s="107"/>
      <c r="P449" s="89"/>
      <c r="Q449" s="89"/>
      <c r="R449" s="89"/>
      <c r="S449" s="89"/>
      <c r="T449" s="89"/>
      <c r="U449" s="89"/>
      <c r="V449" s="89"/>
      <c r="W449" s="89"/>
      <c r="X449" s="89"/>
      <c r="Y449" s="89"/>
      <c r="Z449" s="77"/>
      <c r="AA449" s="77"/>
      <c r="AB449" s="94"/>
      <c r="AC449" s="94"/>
      <c r="AD449" s="94"/>
      <c r="AE449" s="94"/>
      <c r="AF449" s="91"/>
      <c r="AG449" s="92"/>
      <c r="AH449" s="92"/>
      <c r="AI449" s="93"/>
      <c r="AJ449" s="94"/>
      <c r="AK449" s="92"/>
      <c r="AL449" s="94"/>
      <c r="AM449" s="94"/>
      <c r="AN449" s="94"/>
      <c r="AO449" s="94"/>
      <c r="AP449" s="94"/>
      <c r="AQ449" s="94"/>
      <c r="AR449" s="94"/>
      <c r="AS449" s="94"/>
      <c r="AT449" s="94"/>
      <c r="AU449" s="92"/>
      <c r="AV449" s="94"/>
      <c r="AW449" s="94"/>
      <c r="AX449" s="94"/>
      <c r="AY449" s="94"/>
      <c r="AZ449" s="94"/>
      <c r="BA449" s="94"/>
      <c r="BB449" s="94"/>
      <c r="BC449" s="94"/>
      <c r="BD449" s="94"/>
      <c r="BE449" s="94"/>
      <c r="BF449" s="94"/>
      <c r="BG449" s="94"/>
      <c r="BH449" s="94"/>
      <c r="BI449" s="94"/>
      <c r="BJ449" s="94"/>
      <c r="BK449" s="94"/>
      <c r="BL449" s="92"/>
      <c r="BM449" s="94"/>
      <c r="BN449" s="94"/>
      <c r="BO449" s="94"/>
      <c r="BP449" s="94"/>
      <c r="BQ449" s="92"/>
      <c r="BR449" s="92"/>
      <c r="BS449" s="92"/>
      <c r="BT449" s="92"/>
      <c r="BU449" s="92"/>
      <c r="BV449" s="92"/>
      <c r="BW449" s="92"/>
      <c r="BX449" s="92"/>
      <c r="BY449" s="92"/>
      <c r="BZ449" s="92"/>
    </row>
    <row r="450" spans="1:78" ht="12.9">
      <c r="A450" s="89"/>
      <c r="B450" s="89"/>
      <c r="C450" s="89"/>
      <c r="D450" s="89"/>
      <c r="E450" s="89"/>
      <c r="F450" s="89"/>
      <c r="G450" s="89"/>
      <c r="H450" s="105"/>
      <c r="I450" s="106"/>
      <c r="J450" s="106"/>
      <c r="K450" s="89"/>
      <c r="L450" s="89"/>
      <c r="M450" s="89"/>
      <c r="N450" s="107"/>
      <c r="O450" s="107"/>
      <c r="P450" s="89"/>
      <c r="Q450" s="89"/>
      <c r="R450" s="89"/>
      <c r="S450" s="89"/>
      <c r="T450" s="89"/>
      <c r="U450" s="89"/>
      <c r="V450" s="89"/>
      <c r="W450" s="89"/>
      <c r="X450" s="89"/>
      <c r="Y450" s="89"/>
      <c r="Z450" s="77"/>
      <c r="AA450" s="77"/>
      <c r="AB450" s="94"/>
      <c r="AC450" s="94"/>
      <c r="AD450" s="94"/>
      <c r="AE450" s="94"/>
      <c r="AF450" s="91"/>
      <c r="AG450" s="92"/>
      <c r="AH450" s="92"/>
      <c r="AI450" s="93"/>
      <c r="AJ450" s="94"/>
      <c r="AK450" s="92"/>
      <c r="AL450" s="94"/>
      <c r="AM450" s="94"/>
      <c r="AN450" s="94"/>
      <c r="AO450" s="94"/>
      <c r="AP450" s="94"/>
      <c r="AQ450" s="94"/>
      <c r="AR450" s="94"/>
      <c r="AS450" s="94"/>
      <c r="AT450" s="94"/>
      <c r="AU450" s="92"/>
      <c r="AV450" s="94"/>
      <c r="AW450" s="94"/>
      <c r="AX450" s="94"/>
      <c r="AY450" s="94"/>
      <c r="AZ450" s="94"/>
      <c r="BA450" s="94"/>
      <c r="BB450" s="94"/>
      <c r="BC450" s="94"/>
      <c r="BD450" s="94"/>
      <c r="BE450" s="94"/>
      <c r="BF450" s="94"/>
      <c r="BG450" s="94"/>
      <c r="BH450" s="94"/>
      <c r="BI450" s="94"/>
      <c r="BJ450" s="94"/>
      <c r="BK450" s="94"/>
      <c r="BL450" s="92"/>
      <c r="BM450" s="94"/>
      <c r="BN450" s="94"/>
      <c r="BO450" s="94"/>
      <c r="BP450" s="94"/>
      <c r="BQ450" s="92"/>
      <c r="BR450" s="92"/>
      <c r="BS450" s="92"/>
      <c r="BT450" s="92"/>
      <c r="BU450" s="92"/>
      <c r="BV450" s="92"/>
      <c r="BW450" s="92"/>
      <c r="BX450" s="92"/>
      <c r="BY450" s="92"/>
      <c r="BZ450" s="92"/>
    </row>
    <row r="451" spans="1:78" ht="12.9">
      <c r="A451" s="89"/>
      <c r="B451" s="89"/>
      <c r="C451" s="89"/>
      <c r="D451" s="89"/>
      <c r="E451" s="89"/>
      <c r="F451" s="89"/>
      <c r="G451" s="89"/>
      <c r="H451" s="105"/>
      <c r="I451" s="106"/>
      <c r="J451" s="106"/>
      <c r="K451" s="89"/>
      <c r="L451" s="89"/>
      <c r="M451" s="89"/>
      <c r="N451" s="107"/>
      <c r="O451" s="107"/>
      <c r="P451" s="89"/>
      <c r="Q451" s="89"/>
      <c r="R451" s="89"/>
      <c r="S451" s="89"/>
      <c r="T451" s="89"/>
      <c r="U451" s="89"/>
      <c r="V451" s="89"/>
      <c r="W451" s="89"/>
      <c r="X451" s="89"/>
      <c r="Y451" s="89"/>
      <c r="Z451" s="77"/>
      <c r="AA451" s="77"/>
      <c r="AB451" s="94"/>
      <c r="AC451" s="94"/>
      <c r="AD451" s="94"/>
      <c r="AE451" s="94"/>
      <c r="AF451" s="91"/>
      <c r="AG451" s="92"/>
      <c r="AH451" s="92"/>
      <c r="AI451" s="93"/>
      <c r="AJ451" s="94"/>
      <c r="AK451" s="92"/>
      <c r="AL451" s="94"/>
      <c r="AM451" s="94"/>
      <c r="AN451" s="94"/>
      <c r="AO451" s="94"/>
      <c r="AP451" s="94"/>
      <c r="AQ451" s="94"/>
      <c r="AR451" s="94"/>
      <c r="AS451" s="94"/>
      <c r="AT451" s="94"/>
      <c r="AU451" s="92"/>
      <c r="AV451" s="94"/>
      <c r="AW451" s="94"/>
      <c r="AX451" s="94"/>
      <c r="AY451" s="94"/>
      <c r="AZ451" s="94"/>
      <c r="BA451" s="94"/>
      <c r="BB451" s="94"/>
      <c r="BC451" s="94"/>
      <c r="BD451" s="94"/>
      <c r="BE451" s="94"/>
      <c r="BF451" s="94"/>
      <c r="BG451" s="94"/>
      <c r="BH451" s="94"/>
      <c r="BI451" s="94"/>
      <c r="BJ451" s="94"/>
      <c r="BK451" s="94"/>
      <c r="BL451" s="92"/>
      <c r="BM451" s="94"/>
      <c r="BN451" s="94"/>
      <c r="BO451" s="94"/>
      <c r="BP451" s="94"/>
      <c r="BQ451" s="92"/>
      <c r="BR451" s="92"/>
      <c r="BS451" s="92"/>
      <c r="BT451" s="92"/>
      <c r="BU451" s="92"/>
      <c r="BV451" s="92"/>
      <c r="BW451" s="92"/>
      <c r="BX451" s="92"/>
      <c r="BY451" s="92"/>
      <c r="BZ451" s="92"/>
    </row>
    <row r="452" spans="1:78" ht="12.9">
      <c r="A452" s="89"/>
      <c r="B452" s="89"/>
      <c r="C452" s="89"/>
      <c r="D452" s="89"/>
      <c r="E452" s="89"/>
      <c r="F452" s="89"/>
      <c r="G452" s="89"/>
      <c r="H452" s="105"/>
      <c r="I452" s="106"/>
      <c r="J452" s="106"/>
      <c r="K452" s="89"/>
      <c r="L452" s="89"/>
      <c r="M452" s="89"/>
      <c r="N452" s="107"/>
      <c r="O452" s="107"/>
      <c r="P452" s="89"/>
      <c r="Q452" s="89"/>
      <c r="R452" s="89"/>
      <c r="S452" s="89"/>
      <c r="T452" s="89"/>
      <c r="U452" s="89"/>
      <c r="V452" s="89"/>
      <c r="W452" s="89"/>
      <c r="X452" s="89"/>
      <c r="Y452" s="89"/>
      <c r="Z452" s="77"/>
      <c r="AA452" s="77"/>
      <c r="AB452" s="94"/>
      <c r="AC452" s="94"/>
      <c r="AD452" s="94"/>
      <c r="AE452" s="94"/>
      <c r="AF452" s="91"/>
      <c r="AG452" s="92"/>
      <c r="AH452" s="92"/>
      <c r="AI452" s="93"/>
      <c r="AJ452" s="94"/>
      <c r="AK452" s="92"/>
      <c r="AL452" s="94"/>
      <c r="AM452" s="94"/>
      <c r="AN452" s="94"/>
      <c r="AO452" s="94"/>
      <c r="AP452" s="94"/>
      <c r="AQ452" s="94"/>
      <c r="AR452" s="94"/>
      <c r="AS452" s="94"/>
      <c r="AT452" s="94"/>
      <c r="AU452" s="92"/>
      <c r="AV452" s="94"/>
      <c r="AW452" s="94"/>
      <c r="AX452" s="94"/>
      <c r="AY452" s="94"/>
      <c r="AZ452" s="94"/>
      <c r="BA452" s="94"/>
      <c r="BB452" s="94"/>
      <c r="BC452" s="94"/>
      <c r="BD452" s="94"/>
      <c r="BE452" s="94"/>
      <c r="BF452" s="94"/>
      <c r="BG452" s="94"/>
      <c r="BH452" s="94"/>
      <c r="BI452" s="94"/>
      <c r="BJ452" s="94"/>
      <c r="BK452" s="94"/>
      <c r="BL452" s="92"/>
      <c r="BM452" s="94"/>
      <c r="BN452" s="94"/>
      <c r="BO452" s="94"/>
      <c r="BP452" s="94"/>
      <c r="BQ452" s="92"/>
      <c r="BR452" s="92"/>
      <c r="BS452" s="92"/>
      <c r="BT452" s="92"/>
      <c r="BU452" s="92"/>
      <c r="BV452" s="92"/>
      <c r="BW452" s="92"/>
      <c r="BX452" s="92"/>
      <c r="BY452" s="92"/>
      <c r="BZ452" s="92"/>
    </row>
    <row r="453" spans="1:78" ht="12.9">
      <c r="A453" s="89"/>
      <c r="B453" s="89"/>
      <c r="C453" s="89"/>
      <c r="D453" s="89"/>
      <c r="E453" s="89"/>
      <c r="F453" s="89"/>
      <c r="G453" s="89"/>
      <c r="H453" s="105"/>
      <c r="I453" s="106"/>
      <c r="J453" s="106"/>
      <c r="K453" s="89"/>
      <c r="L453" s="89"/>
      <c r="M453" s="89"/>
      <c r="N453" s="107"/>
      <c r="O453" s="107"/>
      <c r="P453" s="89"/>
      <c r="Q453" s="89"/>
      <c r="R453" s="89"/>
      <c r="S453" s="89"/>
      <c r="T453" s="89"/>
      <c r="U453" s="89"/>
      <c r="V453" s="89"/>
      <c r="W453" s="89"/>
      <c r="X453" s="89"/>
      <c r="Y453" s="89"/>
      <c r="Z453" s="77"/>
      <c r="AA453" s="77"/>
      <c r="AB453" s="94"/>
      <c r="AC453" s="94"/>
      <c r="AD453" s="94"/>
      <c r="AE453" s="94"/>
      <c r="AF453" s="91"/>
      <c r="AG453" s="92"/>
      <c r="AH453" s="92"/>
      <c r="AI453" s="93"/>
      <c r="AJ453" s="94"/>
      <c r="AK453" s="92"/>
      <c r="AL453" s="94"/>
      <c r="AM453" s="94"/>
      <c r="AN453" s="94"/>
      <c r="AO453" s="94"/>
      <c r="AP453" s="94"/>
      <c r="AQ453" s="94"/>
      <c r="AR453" s="94"/>
      <c r="AS453" s="94"/>
      <c r="AT453" s="94"/>
      <c r="AU453" s="92"/>
      <c r="AV453" s="94"/>
      <c r="AW453" s="94"/>
      <c r="AX453" s="94"/>
      <c r="AY453" s="94"/>
      <c r="AZ453" s="94"/>
      <c r="BA453" s="94"/>
      <c r="BB453" s="94"/>
      <c r="BC453" s="94"/>
      <c r="BD453" s="94"/>
      <c r="BE453" s="94"/>
      <c r="BF453" s="94"/>
      <c r="BG453" s="94"/>
      <c r="BH453" s="94"/>
      <c r="BI453" s="94"/>
      <c r="BJ453" s="94"/>
      <c r="BK453" s="94"/>
      <c r="BL453" s="92"/>
      <c r="BM453" s="94"/>
      <c r="BN453" s="94"/>
      <c r="BO453" s="94"/>
      <c r="BP453" s="94"/>
      <c r="BQ453" s="92"/>
      <c r="BR453" s="92"/>
      <c r="BS453" s="92"/>
      <c r="BT453" s="92"/>
      <c r="BU453" s="92"/>
      <c r="BV453" s="92"/>
      <c r="BW453" s="92"/>
      <c r="BX453" s="92"/>
      <c r="BY453" s="92"/>
      <c r="BZ453" s="92"/>
    </row>
    <row r="454" spans="1:78" ht="12.9">
      <c r="A454" s="89"/>
      <c r="B454" s="89"/>
      <c r="C454" s="89"/>
      <c r="D454" s="89"/>
      <c r="E454" s="89"/>
      <c r="F454" s="89"/>
      <c r="G454" s="89"/>
      <c r="H454" s="105"/>
      <c r="I454" s="106"/>
      <c r="J454" s="106"/>
      <c r="K454" s="89"/>
      <c r="L454" s="89"/>
      <c r="M454" s="89"/>
      <c r="N454" s="107"/>
      <c r="O454" s="107"/>
      <c r="P454" s="89"/>
      <c r="Q454" s="89"/>
      <c r="R454" s="89"/>
      <c r="S454" s="89"/>
      <c r="T454" s="89"/>
      <c r="U454" s="89"/>
      <c r="V454" s="89"/>
      <c r="W454" s="89"/>
      <c r="X454" s="89"/>
      <c r="Y454" s="89"/>
      <c r="Z454" s="77"/>
      <c r="AA454" s="77"/>
      <c r="AB454" s="94"/>
      <c r="AC454" s="94"/>
      <c r="AD454" s="94"/>
      <c r="AE454" s="94"/>
      <c r="AF454" s="91"/>
      <c r="AG454" s="92"/>
      <c r="AH454" s="92"/>
      <c r="AI454" s="93"/>
      <c r="AJ454" s="94"/>
      <c r="AK454" s="92"/>
      <c r="AL454" s="94"/>
      <c r="AM454" s="94"/>
      <c r="AN454" s="94"/>
      <c r="AO454" s="94"/>
      <c r="AP454" s="94"/>
      <c r="AQ454" s="94"/>
      <c r="AR454" s="94"/>
      <c r="AS454" s="94"/>
      <c r="AT454" s="94"/>
      <c r="AU454" s="92"/>
      <c r="AV454" s="94"/>
      <c r="AW454" s="94"/>
      <c r="AX454" s="94"/>
      <c r="AY454" s="94"/>
      <c r="AZ454" s="94"/>
      <c r="BA454" s="94"/>
      <c r="BB454" s="94"/>
      <c r="BC454" s="94"/>
      <c r="BD454" s="94"/>
      <c r="BE454" s="94"/>
      <c r="BF454" s="94"/>
      <c r="BG454" s="94"/>
      <c r="BH454" s="94"/>
      <c r="BI454" s="94"/>
      <c r="BJ454" s="94"/>
      <c r="BK454" s="94"/>
      <c r="BL454" s="92"/>
      <c r="BM454" s="94"/>
      <c r="BN454" s="94"/>
      <c r="BO454" s="94"/>
      <c r="BP454" s="94"/>
      <c r="BQ454" s="92"/>
      <c r="BR454" s="92"/>
      <c r="BS454" s="92"/>
      <c r="BT454" s="92"/>
      <c r="BU454" s="92"/>
      <c r="BV454" s="92"/>
      <c r="BW454" s="92"/>
      <c r="BX454" s="92"/>
      <c r="BY454" s="92"/>
      <c r="BZ454" s="92"/>
    </row>
    <row r="455" spans="1:78" ht="12.9">
      <c r="A455" s="89"/>
      <c r="B455" s="89"/>
      <c r="C455" s="89"/>
      <c r="D455" s="89"/>
      <c r="E455" s="89"/>
      <c r="F455" s="89"/>
      <c r="G455" s="89"/>
      <c r="H455" s="105"/>
      <c r="I455" s="106"/>
      <c r="J455" s="106"/>
      <c r="K455" s="89"/>
      <c r="L455" s="89"/>
      <c r="M455" s="89"/>
      <c r="N455" s="107"/>
      <c r="O455" s="107"/>
      <c r="P455" s="89"/>
      <c r="Q455" s="89"/>
      <c r="R455" s="89"/>
      <c r="S455" s="89"/>
      <c r="T455" s="89"/>
      <c r="U455" s="89"/>
      <c r="V455" s="89"/>
      <c r="W455" s="89"/>
      <c r="X455" s="89"/>
      <c r="Y455" s="89"/>
      <c r="Z455" s="77"/>
      <c r="AA455" s="77"/>
      <c r="AB455" s="94"/>
      <c r="AC455" s="94"/>
      <c r="AD455" s="94"/>
      <c r="AE455" s="94"/>
      <c r="AF455" s="91"/>
      <c r="AG455" s="92"/>
      <c r="AH455" s="92"/>
      <c r="AI455" s="93"/>
      <c r="AJ455" s="94"/>
      <c r="AK455" s="92"/>
      <c r="AL455" s="94"/>
      <c r="AM455" s="94"/>
      <c r="AN455" s="94"/>
      <c r="AO455" s="94"/>
      <c r="AP455" s="94"/>
      <c r="AQ455" s="94"/>
      <c r="AR455" s="94"/>
      <c r="AS455" s="94"/>
      <c r="AT455" s="94"/>
      <c r="AU455" s="92"/>
      <c r="AV455" s="94"/>
      <c r="AW455" s="94"/>
      <c r="AX455" s="94"/>
      <c r="AY455" s="94"/>
      <c r="AZ455" s="94"/>
      <c r="BA455" s="94"/>
      <c r="BB455" s="94"/>
      <c r="BC455" s="94"/>
      <c r="BD455" s="94"/>
      <c r="BE455" s="94"/>
      <c r="BF455" s="94"/>
      <c r="BG455" s="94"/>
      <c r="BH455" s="94"/>
      <c r="BI455" s="94"/>
      <c r="BJ455" s="94"/>
      <c r="BK455" s="94"/>
      <c r="BL455" s="92"/>
      <c r="BM455" s="94"/>
      <c r="BN455" s="94"/>
      <c r="BO455" s="94"/>
      <c r="BP455" s="94"/>
      <c r="BQ455" s="92"/>
      <c r="BR455" s="92"/>
      <c r="BS455" s="92"/>
      <c r="BT455" s="92"/>
      <c r="BU455" s="92"/>
      <c r="BV455" s="92"/>
      <c r="BW455" s="92"/>
      <c r="BX455" s="92"/>
      <c r="BY455" s="92"/>
      <c r="BZ455" s="92"/>
    </row>
    <row r="456" spans="1:78" ht="12.9">
      <c r="A456" s="89"/>
      <c r="B456" s="89"/>
      <c r="C456" s="89"/>
      <c r="D456" s="89"/>
      <c r="E456" s="89"/>
      <c r="F456" s="89"/>
      <c r="G456" s="89"/>
      <c r="H456" s="105"/>
      <c r="I456" s="106"/>
      <c r="J456" s="106"/>
      <c r="K456" s="89"/>
      <c r="L456" s="89"/>
      <c r="M456" s="89"/>
      <c r="N456" s="107"/>
      <c r="O456" s="107"/>
      <c r="P456" s="89"/>
      <c r="Q456" s="89"/>
      <c r="R456" s="89"/>
      <c r="S456" s="89"/>
      <c r="T456" s="89"/>
      <c r="U456" s="89"/>
      <c r="V456" s="89"/>
      <c r="W456" s="89"/>
      <c r="X456" s="89"/>
      <c r="Y456" s="89"/>
      <c r="Z456" s="77"/>
      <c r="AA456" s="77"/>
      <c r="AB456" s="94"/>
      <c r="AC456" s="94"/>
      <c r="AD456" s="94"/>
      <c r="AE456" s="94"/>
      <c r="AF456" s="91"/>
      <c r="AG456" s="92"/>
      <c r="AH456" s="92"/>
      <c r="AI456" s="93"/>
      <c r="AJ456" s="94"/>
      <c r="AK456" s="92"/>
      <c r="AL456" s="94"/>
      <c r="AM456" s="94"/>
      <c r="AN456" s="94"/>
      <c r="AO456" s="94"/>
      <c r="AP456" s="94"/>
      <c r="AQ456" s="94"/>
      <c r="AR456" s="94"/>
      <c r="AS456" s="94"/>
      <c r="AT456" s="94"/>
      <c r="AU456" s="92"/>
      <c r="AV456" s="94"/>
      <c r="AW456" s="94"/>
      <c r="AX456" s="94"/>
      <c r="AY456" s="94"/>
      <c r="AZ456" s="94"/>
      <c r="BA456" s="94"/>
      <c r="BB456" s="94"/>
      <c r="BC456" s="94"/>
      <c r="BD456" s="94"/>
      <c r="BE456" s="94"/>
      <c r="BF456" s="94"/>
      <c r="BG456" s="94"/>
      <c r="BH456" s="94"/>
      <c r="BI456" s="94"/>
      <c r="BJ456" s="94"/>
      <c r="BK456" s="94"/>
      <c r="BL456" s="92"/>
      <c r="BM456" s="94"/>
      <c r="BN456" s="94"/>
      <c r="BO456" s="94"/>
      <c r="BP456" s="94"/>
      <c r="BQ456" s="92"/>
      <c r="BR456" s="92"/>
      <c r="BS456" s="92"/>
      <c r="BT456" s="92"/>
      <c r="BU456" s="92"/>
      <c r="BV456" s="92"/>
      <c r="BW456" s="92"/>
      <c r="BX456" s="92"/>
      <c r="BY456" s="92"/>
      <c r="BZ456" s="92"/>
    </row>
    <row r="457" spans="1:78" ht="12.9">
      <c r="A457" s="89"/>
      <c r="B457" s="89"/>
      <c r="C457" s="89"/>
      <c r="D457" s="89"/>
      <c r="E457" s="89"/>
      <c r="F457" s="89"/>
      <c r="G457" s="89"/>
      <c r="H457" s="105"/>
      <c r="I457" s="106"/>
      <c r="J457" s="106"/>
      <c r="K457" s="89"/>
      <c r="L457" s="89"/>
      <c r="M457" s="89"/>
      <c r="N457" s="107"/>
      <c r="O457" s="107"/>
      <c r="P457" s="89"/>
      <c r="Q457" s="89"/>
      <c r="R457" s="89"/>
      <c r="S457" s="89"/>
      <c r="T457" s="89"/>
      <c r="U457" s="89"/>
      <c r="V457" s="89"/>
      <c r="W457" s="89"/>
      <c r="X457" s="89"/>
      <c r="Y457" s="89"/>
      <c r="Z457" s="77"/>
      <c r="AA457" s="77"/>
      <c r="AB457" s="94"/>
      <c r="AC457" s="94"/>
      <c r="AD457" s="94"/>
      <c r="AE457" s="94"/>
      <c r="AF457" s="91"/>
      <c r="AG457" s="92"/>
      <c r="AH457" s="92"/>
      <c r="AI457" s="93"/>
      <c r="AJ457" s="94"/>
      <c r="AK457" s="92"/>
      <c r="AL457" s="94"/>
      <c r="AM457" s="94"/>
      <c r="AN457" s="94"/>
      <c r="AO457" s="94"/>
      <c r="AP457" s="94"/>
      <c r="AQ457" s="94"/>
      <c r="AR457" s="94"/>
      <c r="AS457" s="94"/>
      <c r="AT457" s="94"/>
      <c r="AU457" s="92"/>
      <c r="AV457" s="94"/>
      <c r="AW457" s="94"/>
      <c r="AX457" s="94"/>
      <c r="AY457" s="94"/>
      <c r="AZ457" s="94"/>
      <c r="BA457" s="94"/>
      <c r="BB457" s="94"/>
      <c r="BC457" s="94"/>
      <c r="BD457" s="94"/>
      <c r="BE457" s="94"/>
      <c r="BF457" s="94"/>
      <c r="BG457" s="94"/>
      <c r="BH457" s="94"/>
      <c r="BI457" s="94"/>
      <c r="BJ457" s="94"/>
      <c r="BK457" s="94"/>
      <c r="BL457" s="92"/>
      <c r="BM457" s="94"/>
      <c r="BN457" s="94"/>
      <c r="BO457" s="94"/>
      <c r="BP457" s="94"/>
      <c r="BQ457" s="92"/>
      <c r="BR457" s="92"/>
      <c r="BS457" s="92"/>
      <c r="BT457" s="92"/>
      <c r="BU457" s="92"/>
      <c r="BV457" s="92"/>
      <c r="BW457" s="92"/>
      <c r="BX457" s="92"/>
      <c r="BY457" s="92"/>
      <c r="BZ457" s="92"/>
    </row>
    <row r="458" spans="1:78" ht="12.9">
      <c r="A458" s="89"/>
      <c r="B458" s="89"/>
      <c r="C458" s="89"/>
      <c r="D458" s="89"/>
      <c r="E458" s="89"/>
      <c r="F458" s="89"/>
      <c r="G458" s="89"/>
      <c r="H458" s="105"/>
      <c r="I458" s="106"/>
      <c r="J458" s="106"/>
      <c r="K458" s="89"/>
      <c r="L458" s="89"/>
      <c r="M458" s="89"/>
      <c r="N458" s="107"/>
      <c r="O458" s="107"/>
      <c r="P458" s="89"/>
      <c r="Q458" s="89"/>
      <c r="R458" s="89"/>
      <c r="S458" s="89"/>
      <c r="T458" s="89"/>
      <c r="U458" s="89"/>
      <c r="V458" s="89"/>
      <c r="W458" s="89"/>
      <c r="X458" s="89"/>
      <c r="Y458" s="89"/>
      <c r="Z458" s="77"/>
      <c r="AA458" s="77"/>
      <c r="AB458" s="94"/>
      <c r="AC458" s="94"/>
      <c r="AD458" s="94"/>
      <c r="AE458" s="94"/>
      <c r="AF458" s="91"/>
      <c r="AG458" s="92"/>
      <c r="AH458" s="92"/>
      <c r="AI458" s="93"/>
      <c r="AJ458" s="94"/>
      <c r="AK458" s="92"/>
      <c r="AL458" s="94"/>
      <c r="AM458" s="94"/>
      <c r="AN458" s="94"/>
      <c r="AO458" s="94"/>
      <c r="AP458" s="94"/>
      <c r="AQ458" s="94"/>
      <c r="AR458" s="94"/>
      <c r="AS458" s="94"/>
      <c r="AT458" s="94"/>
      <c r="AU458" s="92"/>
      <c r="AV458" s="94"/>
      <c r="AW458" s="94"/>
      <c r="AX458" s="94"/>
      <c r="AY458" s="94"/>
      <c r="AZ458" s="94"/>
      <c r="BA458" s="94"/>
      <c r="BB458" s="94"/>
      <c r="BC458" s="94"/>
      <c r="BD458" s="94"/>
      <c r="BE458" s="94"/>
      <c r="BF458" s="94"/>
      <c r="BG458" s="94"/>
      <c r="BH458" s="94"/>
      <c r="BI458" s="94"/>
      <c r="BJ458" s="94"/>
      <c r="BK458" s="94"/>
      <c r="BL458" s="92"/>
      <c r="BM458" s="94"/>
      <c r="BN458" s="94"/>
      <c r="BO458" s="94"/>
      <c r="BP458" s="94"/>
      <c r="BQ458" s="92"/>
      <c r="BR458" s="92"/>
      <c r="BS458" s="92"/>
      <c r="BT458" s="92"/>
      <c r="BU458" s="92"/>
      <c r="BV458" s="92"/>
      <c r="BW458" s="92"/>
      <c r="BX458" s="92"/>
      <c r="BY458" s="92"/>
      <c r="BZ458" s="92"/>
    </row>
    <row r="459" spans="1:78" ht="12.9">
      <c r="A459" s="89"/>
      <c r="B459" s="89"/>
      <c r="C459" s="89"/>
      <c r="D459" s="89"/>
      <c r="E459" s="89"/>
      <c r="F459" s="89"/>
      <c r="G459" s="89"/>
      <c r="H459" s="105"/>
      <c r="I459" s="106"/>
      <c r="J459" s="106"/>
      <c r="K459" s="89"/>
      <c r="L459" s="89"/>
      <c r="M459" s="89"/>
      <c r="N459" s="107"/>
      <c r="O459" s="107"/>
      <c r="P459" s="89"/>
      <c r="Q459" s="89"/>
      <c r="R459" s="89"/>
      <c r="S459" s="89"/>
      <c r="T459" s="89"/>
      <c r="U459" s="89"/>
      <c r="V459" s="89"/>
      <c r="W459" s="89"/>
      <c r="X459" s="89"/>
      <c r="Y459" s="89"/>
      <c r="Z459" s="77"/>
      <c r="AA459" s="77"/>
      <c r="AB459" s="94"/>
      <c r="AC459" s="94"/>
      <c r="AD459" s="94"/>
      <c r="AE459" s="94"/>
      <c r="AF459" s="91"/>
      <c r="AG459" s="92"/>
      <c r="AH459" s="92"/>
      <c r="AI459" s="93"/>
      <c r="AJ459" s="94"/>
      <c r="AK459" s="92"/>
      <c r="AL459" s="94"/>
      <c r="AM459" s="94"/>
      <c r="AN459" s="94"/>
      <c r="AO459" s="94"/>
      <c r="AP459" s="94"/>
      <c r="AQ459" s="94"/>
      <c r="AR459" s="94"/>
      <c r="AS459" s="94"/>
      <c r="AT459" s="94"/>
      <c r="AU459" s="92"/>
      <c r="AV459" s="94"/>
      <c r="AW459" s="94"/>
      <c r="AX459" s="94"/>
      <c r="AY459" s="94"/>
      <c r="AZ459" s="94"/>
      <c r="BA459" s="94"/>
      <c r="BB459" s="94"/>
      <c r="BC459" s="94"/>
      <c r="BD459" s="94"/>
      <c r="BE459" s="94"/>
      <c r="BF459" s="94"/>
      <c r="BG459" s="94"/>
      <c r="BH459" s="94"/>
      <c r="BI459" s="94"/>
      <c r="BJ459" s="94"/>
      <c r="BK459" s="94"/>
      <c r="BL459" s="92"/>
      <c r="BM459" s="94"/>
      <c r="BN459" s="94"/>
      <c r="BO459" s="94"/>
      <c r="BP459" s="94"/>
      <c r="BQ459" s="92"/>
      <c r="BR459" s="92"/>
      <c r="BS459" s="92"/>
      <c r="BT459" s="92"/>
      <c r="BU459" s="92"/>
      <c r="BV459" s="92"/>
      <c r="BW459" s="92"/>
      <c r="BX459" s="92"/>
      <c r="BY459" s="92"/>
      <c r="BZ459" s="92"/>
    </row>
    <row r="460" spans="1:78" ht="12.9">
      <c r="A460" s="89"/>
      <c r="B460" s="89"/>
      <c r="C460" s="89"/>
      <c r="D460" s="89"/>
      <c r="E460" s="89"/>
      <c r="F460" s="89"/>
      <c r="G460" s="89"/>
      <c r="H460" s="105"/>
      <c r="I460" s="106"/>
      <c r="J460" s="106"/>
      <c r="K460" s="89"/>
      <c r="L460" s="89"/>
      <c r="M460" s="89"/>
      <c r="N460" s="107"/>
      <c r="O460" s="107"/>
      <c r="P460" s="89"/>
      <c r="Q460" s="89"/>
      <c r="R460" s="89"/>
      <c r="S460" s="89"/>
      <c r="T460" s="89"/>
      <c r="U460" s="89"/>
      <c r="V460" s="89"/>
      <c r="W460" s="89"/>
      <c r="X460" s="89"/>
      <c r="Y460" s="89"/>
      <c r="Z460" s="77"/>
      <c r="AA460" s="77"/>
      <c r="AB460" s="94"/>
      <c r="AC460" s="94"/>
      <c r="AD460" s="94"/>
      <c r="AE460" s="94"/>
      <c r="AF460" s="91"/>
      <c r="AG460" s="92"/>
      <c r="AH460" s="92"/>
      <c r="AI460" s="93"/>
      <c r="AJ460" s="94"/>
      <c r="AK460" s="92"/>
      <c r="AL460" s="94"/>
      <c r="AM460" s="94"/>
      <c r="AN460" s="94"/>
      <c r="AO460" s="94"/>
      <c r="AP460" s="94"/>
      <c r="AQ460" s="94"/>
      <c r="AR460" s="94"/>
      <c r="AS460" s="94"/>
      <c r="AT460" s="94"/>
      <c r="AU460" s="92"/>
      <c r="AV460" s="94"/>
      <c r="AW460" s="94"/>
      <c r="AX460" s="94"/>
      <c r="AY460" s="94"/>
      <c r="AZ460" s="94"/>
      <c r="BA460" s="94"/>
      <c r="BB460" s="94"/>
      <c r="BC460" s="94"/>
      <c r="BD460" s="94"/>
      <c r="BE460" s="94"/>
      <c r="BF460" s="94"/>
      <c r="BG460" s="94"/>
      <c r="BH460" s="94"/>
      <c r="BI460" s="94"/>
      <c r="BJ460" s="94"/>
      <c r="BK460" s="94"/>
      <c r="BL460" s="92"/>
      <c r="BM460" s="94"/>
      <c r="BN460" s="94"/>
      <c r="BO460" s="94"/>
      <c r="BP460" s="94"/>
      <c r="BQ460" s="92"/>
      <c r="BR460" s="92"/>
      <c r="BS460" s="92"/>
      <c r="BT460" s="92"/>
      <c r="BU460" s="92"/>
      <c r="BV460" s="92"/>
      <c r="BW460" s="92"/>
      <c r="BX460" s="92"/>
      <c r="BY460" s="92"/>
      <c r="BZ460" s="92"/>
    </row>
    <row r="461" spans="1:78" ht="12.9">
      <c r="A461" s="89"/>
      <c r="B461" s="89"/>
      <c r="C461" s="89"/>
      <c r="D461" s="89"/>
      <c r="E461" s="89"/>
      <c r="F461" s="89"/>
      <c r="G461" s="89"/>
      <c r="H461" s="105"/>
      <c r="I461" s="106"/>
      <c r="J461" s="106"/>
      <c r="K461" s="89"/>
      <c r="L461" s="89"/>
      <c r="M461" s="89"/>
      <c r="N461" s="107"/>
      <c r="O461" s="107"/>
      <c r="P461" s="89"/>
      <c r="Q461" s="89"/>
      <c r="R461" s="89"/>
      <c r="S461" s="89"/>
      <c r="T461" s="89"/>
      <c r="U461" s="89"/>
      <c r="V461" s="89"/>
      <c r="W461" s="89"/>
      <c r="X461" s="89"/>
      <c r="Y461" s="89"/>
      <c r="Z461" s="77"/>
      <c r="AA461" s="77"/>
      <c r="AB461" s="94"/>
      <c r="AC461" s="94"/>
      <c r="AD461" s="94"/>
      <c r="AE461" s="94"/>
      <c r="AF461" s="91"/>
      <c r="AG461" s="92"/>
      <c r="AH461" s="92"/>
      <c r="AI461" s="93"/>
      <c r="AJ461" s="94"/>
      <c r="AK461" s="92"/>
      <c r="AL461" s="94"/>
      <c r="AM461" s="94"/>
      <c r="AN461" s="94"/>
      <c r="AO461" s="94"/>
      <c r="AP461" s="94"/>
      <c r="AQ461" s="94"/>
      <c r="AR461" s="94"/>
      <c r="AS461" s="94"/>
      <c r="AT461" s="94"/>
      <c r="AU461" s="92"/>
      <c r="AV461" s="94"/>
      <c r="AW461" s="94"/>
      <c r="AX461" s="94"/>
      <c r="AY461" s="94"/>
      <c r="AZ461" s="94"/>
      <c r="BA461" s="94"/>
      <c r="BB461" s="94"/>
      <c r="BC461" s="94"/>
      <c r="BD461" s="94"/>
      <c r="BE461" s="94"/>
      <c r="BF461" s="94"/>
      <c r="BG461" s="94"/>
      <c r="BH461" s="94"/>
      <c r="BI461" s="94"/>
      <c r="BJ461" s="94"/>
      <c r="BK461" s="94"/>
      <c r="BL461" s="92"/>
      <c r="BM461" s="94"/>
      <c r="BN461" s="94"/>
      <c r="BO461" s="94"/>
      <c r="BP461" s="94"/>
      <c r="BQ461" s="92"/>
      <c r="BR461" s="92"/>
      <c r="BS461" s="92"/>
      <c r="BT461" s="92"/>
      <c r="BU461" s="92"/>
      <c r="BV461" s="92"/>
      <c r="BW461" s="92"/>
      <c r="BX461" s="92"/>
      <c r="BY461" s="92"/>
      <c r="BZ461" s="92"/>
    </row>
    <row r="462" spans="1:78" ht="12.9">
      <c r="A462" s="89"/>
      <c r="B462" s="89"/>
      <c r="C462" s="89"/>
      <c r="D462" s="89"/>
      <c r="E462" s="89"/>
      <c r="F462" s="89"/>
      <c r="G462" s="89"/>
      <c r="H462" s="105"/>
      <c r="I462" s="106"/>
      <c r="J462" s="106"/>
      <c r="K462" s="89"/>
      <c r="L462" s="89"/>
      <c r="M462" s="89"/>
      <c r="N462" s="107"/>
      <c r="O462" s="107"/>
      <c r="P462" s="89"/>
      <c r="Q462" s="89"/>
      <c r="R462" s="89"/>
      <c r="S462" s="89"/>
      <c r="T462" s="89"/>
      <c r="U462" s="89"/>
      <c r="V462" s="89"/>
      <c r="W462" s="89"/>
      <c r="X462" s="89"/>
      <c r="Y462" s="89"/>
      <c r="Z462" s="77"/>
      <c r="AA462" s="77"/>
      <c r="AB462" s="94"/>
      <c r="AC462" s="94"/>
      <c r="AD462" s="94"/>
      <c r="AE462" s="94"/>
      <c r="AF462" s="91"/>
      <c r="AG462" s="92"/>
      <c r="AH462" s="92"/>
      <c r="AI462" s="93"/>
      <c r="AJ462" s="94"/>
      <c r="AK462" s="92"/>
      <c r="AL462" s="94"/>
      <c r="AM462" s="94"/>
      <c r="AN462" s="94"/>
      <c r="AO462" s="94"/>
      <c r="AP462" s="94"/>
      <c r="AQ462" s="94"/>
      <c r="AR462" s="94"/>
      <c r="AS462" s="94"/>
      <c r="AT462" s="94"/>
      <c r="AU462" s="92"/>
      <c r="AV462" s="94"/>
      <c r="AW462" s="94"/>
      <c r="AX462" s="94"/>
      <c r="AY462" s="94"/>
      <c r="AZ462" s="94"/>
      <c r="BA462" s="94"/>
      <c r="BB462" s="94"/>
      <c r="BC462" s="94"/>
      <c r="BD462" s="94"/>
      <c r="BE462" s="94"/>
      <c r="BF462" s="94"/>
      <c r="BG462" s="94"/>
      <c r="BH462" s="94"/>
      <c r="BI462" s="94"/>
      <c r="BJ462" s="94"/>
      <c r="BK462" s="94"/>
      <c r="BL462" s="92"/>
      <c r="BM462" s="94"/>
      <c r="BN462" s="94"/>
      <c r="BO462" s="94"/>
      <c r="BP462" s="94"/>
      <c r="BQ462" s="92"/>
      <c r="BR462" s="92"/>
      <c r="BS462" s="92"/>
      <c r="BT462" s="92"/>
      <c r="BU462" s="92"/>
      <c r="BV462" s="92"/>
      <c r="BW462" s="92"/>
      <c r="BX462" s="92"/>
      <c r="BY462" s="92"/>
      <c r="BZ462" s="92"/>
    </row>
    <row r="463" spans="1:78" ht="12.9">
      <c r="A463" s="89"/>
      <c r="B463" s="89"/>
      <c r="C463" s="89"/>
      <c r="D463" s="89"/>
      <c r="E463" s="89"/>
      <c r="F463" s="89"/>
      <c r="G463" s="89"/>
      <c r="H463" s="105"/>
      <c r="I463" s="106"/>
      <c r="J463" s="106"/>
      <c r="K463" s="89"/>
      <c r="L463" s="89"/>
      <c r="M463" s="89"/>
      <c r="N463" s="107"/>
      <c r="O463" s="107"/>
      <c r="P463" s="89"/>
      <c r="Q463" s="89"/>
      <c r="R463" s="89"/>
      <c r="S463" s="89"/>
      <c r="T463" s="89"/>
      <c r="U463" s="89"/>
      <c r="V463" s="89"/>
      <c r="W463" s="89"/>
      <c r="X463" s="89"/>
      <c r="Y463" s="89"/>
      <c r="Z463" s="77"/>
      <c r="AA463" s="77"/>
      <c r="AB463" s="94"/>
      <c r="AC463" s="94"/>
      <c r="AD463" s="94"/>
      <c r="AE463" s="94"/>
      <c r="AF463" s="91"/>
      <c r="AG463" s="92"/>
      <c r="AH463" s="92"/>
      <c r="AI463" s="93"/>
      <c r="AJ463" s="94"/>
      <c r="AK463" s="92"/>
      <c r="AL463" s="94"/>
      <c r="AM463" s="94"/>
      <c r="AN463" s="94"/>
      <c r="AO463" s="94"/>
      <c r="AP463" s="94"/>
      <c r="AQ463" s="94"/>
      <c r="AR463" s="94"/>
      <c r="AS463" s="94"/>
      <c r="AT463" s="94"/>
      <c r="AU463" s="92"/>
      <c r="AV463" s="94"/>
      <c r="AW463" s="94"/>
      <c r="AX463" s="94"/>
      <c r="AY463" s="94"/>
      <c r="AZ463" s="94"/>
      <c r="BA463" s="94"/>
      <c r="BB463" s="94"/>
      <c r="BC463" s="94"/>
      <c r="BD463" s="94"/>
      <c r="BE463" s="94"/>
      <c r="BF463" s="94"/>
      <c r="BG463" s="94"/>
      <c r="BH463" s="94"/>
      <c r="BI463" s="94"/>
      <c r="BJ463" s="94"/>
      <c r="BK463" s="94"/>
      <c r="BL463" s="92"/>
      <c r="BM463" s="94"/>
      <c r="BN463" s="94"/>
      <c r="BO463" s="94"/>
      <c r="BP463" s="94"/>
      <c r="BQ463" s="92"/>
      <c r="BR463" s="92"/>
      <c r="BS463" s="92"/>
      <c r="BT463" s="92"/>
      <c r="BU463" s="92"/>
      <c r="BV463" s="92"/>
      <c r="BW463" s="92"/>
      <c r="BX463" s="92"/>
      <c r="BY463" s="92"/>
      <c r="BZ463" s="92"/>
    </row>
    <row r="464" spans="1:78" ht="12.9">
      <c r="A464" s="89"/>
      <c r="B464" s="89"/>
      <c r="C464" s="89"/>
      <c r="D464" s="89"/>
      <c r="E464" s="89"/>
      <c r="F464" s="89"/>
      <c r="G464" s="89"/>
      <c r="H464" s="105"/>
      <c r="I464" s="106"/>
      <c r="J464" s="106"/>
      <c r="K464" s="89"/>
      <c r="L464" s="89"/>
      <c r="M464" s="89"/>
      <c r="N464" s="107"/>
      <c r="O464" s="107"/>
      <c r="P464" s="89"/>
      <c r="Q464" s="89"/>
      <c r="R464" s="89"/>
      <c r="S464" s="89"/>
      <c r="T464" s="89"/>
      <c r="U464" s="89"/>
      <c r="V464" s="89"/>
      <c r="W464" s="89"/>
      <c r="X464" s="89"/>
      <c r="Y464" s="89"/>
      <c r="Z464" s="77"/>
      <c r="AA464" s="77"/>
      <c r="AB464" s="94"/>
      <c r="AC464" s="94"/>
      <c r="AD464" s="94"/>
      <c r="AE464" s="94"/>
      <c r="AF464" s="91"/>
      <c r="AG464" s="92"/>
      <c r="AH464" s="92"/>
      <c r="AI464" s="93"/>
      <c r="AJ464" s="94"/>
      <c r="AK464" s="92"/>
      <c r="AL464" s="94"/>
      <c r="AM464" s="94"/>
      <c r="AN464" s="94"/>
      <c r="AO464" s="94"/>
      <c r="AP464" s="94"/>
      <c r="AQ464" s="94"/>
      <c r="AR464" s="94"/>
      <c r="AS464" s="94"/>
      <c r="AT464" s="94"/>
      <c r="AU464" s="92"/>
      <c r="AV464" s="94"/>
      <c r="AW464" s="94"/>
      <c r="AX464" s="94"/>
      <c r="AY464" s="94"/>
      <c r="AZ464" s="94"/>
      <c r="BA464" s="94"/>
      <c r="BB464" s="94"/>
      <c r="BC464" s="94"/>
      <c r="BD464" s="94"/>
      <c r="BE464" s="94"/>
      <c r="BF464" s="94"/>
      <c r="BG464" s="94"/>
      <c r="BH464" s="94"/>
      <c r="BI464" s="94"/>
      <c r="BJ464" s="94"/>
      <c r="BK464" s="94"/>
      <c r="BL464" s="92"/>
      <c r="BM464" s="94"/>
      <c r="BN464" s="94"/>
      <c r="BO464" s="94"/>
      <c r="BP464" s="94"/>
      <c r="BQ464" s="92"/>
      <c r="BR464" s="92"/>
      <c r="BS464" s="92"/>
      <c r="BT464" s="92"/>
      <c r="BU464" s="92"/>
      <c r="BV464" s="92"/>
      <c r="BW464" s="92"/>
      <c r="BX464" s="92"/>
      <c r="BY464" s="92"/>
      <c r="BZ464" s="92"/>
    </row>
    <row r="465" spans="1:78" ht="12.9">
      <c r="A465" s="89"/>
      <c r="B465" s="89"/>
      <c r="C465" s="89"/>
      <c r="D465" s="89"/>
      <c r="E465" s="89"/>
      <c r="F465" s="89"/>
      <c r="G465" s="89"/>
      <c r="H465" s="105"/>
      <c r="I465" s="106"/>
      <c r="J465" s="106"/>
      <c r="K465" s="89"/>
      <c r="L465" s="89"/>
      <c r="M465" s="89"/>
      <c r="N465" s="107"/>
      <c r="O465" s="107"/>
      <c r="P465" s="89"/>
      <c r="Q465" s="89"/>
      <c r="R465" s="89"/>
      <c r="S465" s="89"/>
      <c r="T465" s="89"/>
      <c r="U465" s="89"/>
      <c r="V465" s="89"/>
      <c r="W465" s="89"/>
      <c r="X465" s="89"/>
      <c r="Y465" s="89"/>
      <c r="Z465" s="77"/>
      <c r="AA465" s="77"/>
      <c r="AB465" s="94"/>
      <c r="AC465" s="94"/>
      <c r="AD465" s="94"/>
      <c r="AE465" s="94"/>
      <c r="AF465" s="91"/>
      <c r="AG465" s="92"/>
      <c r="AH465" s="92"/>
      <c r="AI465" s="93"/>
      <c r="AJ465" s="94"/>
      <c r="AK465" s="92"/>
      <c r="AL465" s="94"/>
      <c r="AM465" s="94"/>
      <c r="AN465" s="94"/>
      <c r="AO465" s="94"/>
      <c r="AP465" s="94"/>
      <c r="AQ465" s="94"/>
      <c r="AR465" s="94"/>
      <c r="AS465" s="94"/>
      <c r="AT465" s="94"/>
      <c r="AU465" s="92"/>
      <c r="AV465" s="94"/>
      <c r="AW465" s="94"/>
      <c r="AX465" s="94"/>
      <c r="AY465" s="94"/>
      <c r="AZ465" s="94"/>
      <c r="BA465" s="94"/>
      <c r="BB465" s="94"/>
      <c r="BC465" s="94"/>
      <c r="BD465" s="94"/>
      <c r="BE465" s="94"/>
      <c r="BF465" s="94"/>
      <c r="BG465" s="94"/>
      <c r="BH465" s="94"/>
      <c r="BI465" s="94"/>
      <c r="BJ465" s="94"/>
      <c r="BK465" s="94"/>
      <c r="BL465" s="92"/>
      <c r="BM465" s="94"/>
      <c r="BN465" s="94"/>
      <c r="BO465" s="94"/>
      <c r="BP465" s="94"/>
      <c r="BQ465" s="92"/>
      <c r="BR465" s="92"/>
      <c r="BS465" s="92"/>
      <c r="BT465" s="92"/>
      <c r="BU465" s="92"/>
      <c r="BV465" s="92"/>
      <c r="BW465" s="92"/>
      <c r="BX465" s="92"/>
      <c r="BY465" s="92"/>
      <c r="BZ465" s="92"/>
    </row>
    <row r="466" spans="1:78" ht="12.9">
      <c r="A466" s="89"/>
      <c r="B466" s="89"/>
      <c r="C466" s="89"/>
      <c r="D466" s="89"/>
      <c r="E466" s="89"/>
      <c r="F466" s="89"/>
      <c r="G466" s="89"/>
      <c r="H466" s="105"/>
      <c r="I466" s="106"/>
      <c r="J466" s="106"/>
      <c r="K466" s="89"/>
      <c r="L466" s="89"/>
      <c r="M466" s="89"/>
      <c r="N466" s="107"/>
      <c r="O466" s="107"/>
      <c r="P466" s="89"/>
      <c r="Q466" s="89"/>
      <c r="R466" s="89"/>
      <c r="S466" s="89"/>
      <c r="T466" s="89"/>
      <c r="U466" s="89"/>
      <c r="V466" s="89"/>
      <c r="W466" s="89"/>
      <c r="X466" s="89"/>
      <c r="Y466" s="89"/>
      <c r="Z466" s="77"/>
      <c r="AA466" s="77"/>
      <c r="AB466" s="94"/>
      <c r="AC466" s="94"/>
      <c r="AD466" s="94"/>
      <c r="AE466" s="94"/>
      <c r="AF466" s="91"/>
      <c r="AG466" s="92"/>
      <c r="AH466" s="92"/>
      <c r="AI466" s="93"/>
      <c r="AJ466" s="94"/>
      <c r="AK466" s="92"/>
      <c r="AL466" s="94"/>
      <c r="AM466" s="94"/>
      <c r="AN466" s="94"/>
      <c r="AO466" s="94"/>
      <c r="AP466" s="94"/>
      <c r="AQ466" s="94"/>
      <c r="AR466" s="94"/>
      <c r="AS466" s="94"/>
      <c r="AT466" s="94"/>
      <c r="AU466" s="92"/>
      <c r="AV466" s="94"/>
      <c r="AW466" s="94"/>
      <c r="AX466" s="94"/>
      <c r="AY466" s="94"/>
      <c r="AZ466" s="94"/>
      <c r="BA466" s="94"/>
      <c r="BB466" s="94"/>
      <c r="BC466" s="94"/>
      <c r="BD466" s="94"/>
      <c r="BE466" s="94"/>
      <c r="BF466" s="94"/>
      <c r="BG466" s="94"/>
      <c r="BH466" s="94"/>
      <c r="BI466" s="94"/>
      <c r="BJ466" s="94"/>
      <c r="BK466" s="94"/>
      <c r="BL466" s="92"/>
      <c r="BM466" s="94"/>
      <c r="BN466" s="94"/>
      <c r="BO466" s="94"/>
      <c r="BP466" s="94"/>
      <c r="BQ466" s="92"/>
      <c r="BR466" s="92"/>
      <c r="BS466" s="92"/>
      <c r="BT466" s="92"/>
      <c r="BU466" s="92"/>
      <c r="BV466" s="92"/>
      <c r="BW466" s="92"/>
      <c r="BX466" s="92"/>
      <c r="BY466" s="92"/>
      <c r="BZ466" s="92"/>
    </row>
    <row r="467" spans="1:78" ht="12.9">
      <c r="A467" s="89"/>
      <c r="B467" s="89"/>
      <c r="C467" s="89"/>
      <c r="D467" s="89"/>
      <c r="E467" s="89"/>
      <c r="F467" s="89"/>
      <c r="G467" s="89"/>
      <c r="H467" s="105"/>
      <c r="I467" s="106"/>
      <c r="J467" s="106"/>
      <c r="K467" s="89"/>
      <c r="L467" s="89"/>
      <c r="M467" s="89"/>
      <c r="N467" s="107"/>
      <c r="O467" s="107"/>
      <c r="P467" s="89"/>
      <c r="Q467" s="89"/>
      <c r="R467" s="89"/>
      <c r="S467" s="89"/>
      <c r="T467" s="89"/>
      <c r="U467" s="89"/>
      <c r="V467" s="89"/>
      <c r="W467" s="89"/>
      <c r="X467" s="89"/>
      <c r="Y467" s="89"/>
      <c r="Z467" s="77"/>
      <c r="AA467" s="77"/>
      <c r="AB467" s="94"/>
      <c r="AC467" s="94"/>
      <c r="AD467" s="94"/>
      <c r="AE467" s="94"/>
      <c r="AF467" s="91"/>
      <c r="AG467" s="92"/>
      <c r="AH467" s="92"/>
      <c r="AI467" s="93"/>
      <c r="AJ467" s="94"/>
      <c r="AK467" s="92"/>
      <c r="AL467" s="94"/>
      <c r="AM467" s="94"/>
      <c r="AN467" s="94"/>
      <c r="AO467" s="94"/>
      <c r="AP467" s="94"/>
      <c r="AQ467" s="94"/>
      <c r="AR467" s="94"/>
      <c r="AS467" s="94"/>
      <c r="AT467" s="94"/>
      <c r="AU467" s="92"/>
      <c r="AV467" s="94"/>
      <c r="AW467" s="94"/>
      <c r="AX467" s="94"/>
      <c r="AY467" s="94"/>
      <c r="AZ467" s="94"/>
      <c r="BA467" s="94"/>
      <c r="BB467" s="94"/>
      <c r="BC467" s="94"/>
      <c r="BD467" s="94"/>
      <c r="BE467" s="94"/>
      <c r="BF467" s="94"/>
      <c r="BG467" s="94"/>
      <c r="BH467" s="94"/>
      <c r="BI467" s="94"/>
      <c r="BJ467" s="94"/>
      <c r="BK467" s="94"/>
      <c r="BL467" s="92"/>
      <c r="BM467" s="94"/>
      <c r="BN467" s="94"/>
      <c r="BO467" s="94"/>
      <c r="BP467" s="94"/>
      <c r="BQ467" s="92"/>
      <c r="BR467" s="92"/>
      <c r="BS467" s="92"/>
      <c r="BT467" s="92"/>
      <c r="BU467" s="92"/>
      <c r="BV467" s="92"/>
      <c r="BW467" s="92"/>
      <c r="BX467" s="92"/>
      <c r="BY467" s="92"/>
      <c r="BZ467" s="92"/>
    </row>
    <row r="468" spans="1:78" ht="12.9">
      <c r="A468" s="89"/>
      <c r="B468" s="89"/>
      <c r="C468" s="89"/>
      <c r="D468" s="89"/>
      <c r="E468" s="89"/>
      <c r="F468" s="89"/>
      <c r="G468" s="89"/>
      <c r="H468" s="105"/>
      <c r="I468" s="106"/>
      <c r="J468" s="106"/>
      <c r="K468" s="89"/>
      <c r="L468" s="89"/>
      <c r="M468" s="89"/>
      <c r="N468" s="107"/>
      <c r="O468" s="107"/>
      <c r="P468" s="89"/>
      <c r="Q468" s="89"/>
      <c r="R468" s="89"/>
      <c r="S468" s="89"/>
      <c r="T468" s="89"/>
      <c r="U468" s="89"/>
      <c r="V468" s="89"/>
      <c r="W468" s="89"/>
      <c r="X468" s="89"/>
      <c r="Y468" s="89"/>
      <c r="Z468" s="77"/>
      <c r="AA468" s="77"/>
      <c r="AB468" s="94"/>
      <c r="AC468" s="94"/>
      <c r="AD468" s="94"/>
      <c r="AE468" s="94"/>
      <c r="AF468" s="91"/>
      <c r="AG468" s="92"/>
      <c r="AH468" s="92"/>
      <c r="AI468" s="93"/>
      <c r="AJ468" s="94"/>
      <c r="AK468" s="92"/>
      <c r="AL468" s="94"/>
      <c r="AM468" s="94"/>
      <c r="AN468" s="94"/>
      <c r="AO468" s="94"/>
      <c r="AP468" s="94"/>
      <c r="AQ468" s="94"/>
      <c r="AR468" s="94"/>
      <c r="AS468" s="94"/>
      <c r="AT468" s="94"/>
      <c r="AU468" s="92"/>
      <c r="AV468" s="94"/>
      <c r="AW468" s="94"/>
      <c r="AX468" s="94"/>
      <c r="AY468" s="94"/>
      <c r="AZ468" s="94"/>
      <c r="BA468" s="94"/>
      <c r="BB468" s="94"/>
      <c r="BC468" s="94"/>
      <c r="BD468" s="94"/>
      <c r="BE468" s="94"/>
      <c r="BF468" s="94"/>
      <c r="BG468" s="94"/>
      <c r="BH468" s="94"/>
      <c r="BI468" s="94"/>
      <c r="BJ468" s="94"/>
      <c r="BK468" s="94"/>
      <c r="BL468" s="92"/>
      <c r="BM468" s="94"/>
      <c r="BN468" s="94"/>
      <c r="BO468" s="94"/>
      <c r="BP468" s="94"/>
      <c r="BQ468" s="92"/>
      <c r="BR468" s="92"/>
      <c r="BS468" s="92"/>
      <c r="BT468" s="92"/>
      <c r="BU468" s="92"/>
      <c r="BV468" s="92"/>
      <c r="BW468" s="92"/>
      <c r="BX468" s="92"/>
      <c r="BY468" s="92"/>
      <c r="BZ468" s="92"/>
    </row>
    <row r="469" spans="1:78" ht="12.9">
      <c r="A469" s="89"/>
      <c r="B469" s="89"/>
      <c r="C469" s="89"/>
      <c r="D469" s="89"/>
      <c r="E469" s="89"/>
      <c r="F469" s="89"/>
      <c r="G469" s="89"/>
      <c r="H469" s="105"/>
      <c r="I469" s="106"/>
      <c r="J469" s="106"/>
      <c r="K469" s="89"/>
      <c r="L469" s="89"/>
      <c r="M469" s="89"/>
      <c r="N469" s="107"/>
      <c r="O469" s="107"/>
      <c r="P469" s="89"/>
      <c r="Q469" s="89"/>
      <c r="R469" s="89"/>
      <c r="S469" s="89"/>
      <c r="T469" s="89"/>
      <c r="U469" s="89"/>
      <c r="V469" s="89"/>
      <c r="W469" s="89"/>
      <c r="X469" s="89"/>
      <c r="Y469" s="89"/>
      <c r="Z469" s="77"/>
      <c r="AA469" s="77"/>
      <c r="AB469" s="94"/>
      <c r="AC469" s="94"/>
      <c r="AD469" s="94"/>
      <c r="AE469" s="94"/>
      <c r="AF469" s="91"/>
      <c r="AG469" s="92"/>
      <c r="AH469" s="92"/>
      <c r="AI469" s="93"/>
      <c r="AJ469" s="94"/>
      <c r="AK469" s="92"/>
      <c r="AL469" s="94"/>
      <c r="AM469" s="94"/>
      <c r="AN469" s="94"/>
      <c r="AO469" s="94"/>
      <c r="AP469" s="94"/>
      <c r="AQ469" s="94"/>
      <c r="AR469" s="94"/>
      <c r="AS469" s="94"/>
      <c r="AT469" s="94"/>
      <c r="AU469" s="92"/>
      <c r="AV469" s="94"/>
      <c r="AW469" s="94"/>
      <c r="AX469" s="94"/>
      <c r="AY469" s="94"/>
      <c r="AZ469" s="94"/>
      <c r="BA469" s="94"/>
      <c r="BB469" s="94"/>
      <c r="BC469" s="94"/>
      <c r="BD469" s="94"/>
      <c r="BE469" s="94"/>
      <c r="BF469" s="94"/>
      <c r="BG469" s="94"/>
      <c r="BH469" s="94"/>
      <c r="BI469" s="94"/>
      <c r="BJ469" s="94"/>
      <c r="BK469" s="94"/>
      <c r="BL469" s="92"/>
      <c r="BM469" s="94"/>
      <c r="BN469" s="94"/>
      <c r="BO469" s="94"/>
      <c r="BP469" s="94"/>
      <c r="BQ469" s="92"/>
      <c r="BR469" s="92"/>
      <c r="BS469" s="92"/>
      <c r="BT469" s="92"/>
      <c r="BU469" s="92"/>
      <c r="BV469" s="92"/>
      <c r="BW469" s="92"/>
      <c r="BX469" s="92"/>
      <c r="BY469" s="92"/>
      <c r="BZ469" s="92"/>
    </row>
    <row r="470" spans="1:78" ht="12.9">
      <c r="A470" s="89"/>
      <c r="B470" s="89"/>
      <c r="C470" s="89"/>
      <c r="D470" s="89"/>
      <c r="E470" s="89"/>
      <c r="F470" s="89"/>
      <c r="G470" s="89"/>
      <c r="H470" s="105"/>
      <c r="I470" s="106"/>
      <c r="J470" s="106"/>
      <c r="K470" s="89"/>
      <c r="L470" s="89"/>
      <c r="M470" s="89"/>
      <c r="N470" s="107"/>
      <c r="O470" s="107"/>
      <c r="P470" s="89"/>
      <c r="Q470" s="89"/>
      <c r="R470" s="89"/>
      <c r="S470" s="89"/>
      <c r="T470" s="89"/>
      <c r="U470" s="89"/>
      <c r="V470" s="89"/>
      <c r="W470" s="89"/>
      <c r="X470" s="89"/>
      <c r="Y470" s="89"/>
      <c r="Z470" s="77"/>
      <c r="AA470" s="77"/>
      <c r="AB470" s="94"/>
      <c r="AC470" s="94"/>
      <c r="AD470" s="94"/>
      <c r="AE470" s="94"/>
      <c r="AF470" s="91"/>
      <c r="AG470" s="92"/>
      <c r="AH470" s="92"/>
      <c r="AI470" s="93"/>
      <c r="AJ470" s="94"/>
      <c r="AK470" s="92"/>
      <c r="AL470" s="94"/>
      <c r="AM470" s="94"/>
      <c r="AN470" s="94"/>
      <c r="AO470" s="94"/>
      <c r="AP470" s="94"/>
      <c r="AQ470" s="94"/>
      <c r="AR470" s="94"/>
      <c r="AS470" s="94"/>
      <c r="AT470" s="94"/>
      <c r="AU470" s="92"/>
      <c r="AV470" s="94"/>
      <c r="AW470" s="94"/>
      <c r="AX470" s="94"/>
      <c r="AY470" s="94"/>
      <c r="AZ470" s="94"/>
      <c r="BA470" s="94"/>
      <c r="BB470" s="94"/>
      <c r="BC470" s="94"/>
      <c r="BD470" s="94"/>
      <c r="BE470" s="94"/>
      <c r="BF470" s="94"/>
      <c r="BG470" s="94"/>
      <c r="BH470" s="94"/>
      <c r="BI470" s="94"/>
      <c r="BJ470" s="94"/>
      <c r="BK470" s="94"/>
      <c r="BL470" s="92"/>
      <c r="BM470" s="94"/>
      <c r="BN470" s="94"/>
      <c r="BO470" s="94"/>
      <c r="BP470" s="94"/>
      <c r="BQ470" s="92"/>
      <c r="BR470" s="92"/>
      <c r="BS470" s="92"/>
      <c r="BT470" s="92"/>
      <c r="BU470" s="92"/>
      <c r="BV470" s="92"/>
      <c r="BW470" s="92"/>
      <c r="BX470" s="92"/>
      <c r="BY470" s="92"/>
      <c r="BZ470" s="92"/>
    </row>
    <row r="471" spans="1:78" ht="12.9">
      <c r="A471" s="89"/>
      <c r="B471" s="89"/>
      <c r="C471" s="89"/>
      <c r="D471" s="89"/>
      <c r="E471" s="89"/>
      <c r="F471" s="89"/>
      <c r="G471" s="89"/>
      <c r="H471" s="105"/>
      <c r="I471" s="106"/>
      <c r="J471" s="106"/>
      <c r="K471" s="89"/>
      <c r="L471" s="89"/>
      <c r="M471" s="89"/>
      <c r="N471" s="107"/>
      <c r="O471" s="107"/>
      <c r="P471" s="89"/>
      <c r="Q471" s="89"/>
      <c r="R471" s="89"/>
      <c r="S471" s="89"/>
      <c r="T471" s="89"/>
      <c r="U471" s="89"/>
      <c r="V471" s="89"/>
      <c r="W471" s="89"/>
      <c r="X471" s="89"/>
      <c r="Y471" s="89"/>
      <c r="Z471" s="77"/>
      <c r="AA471" s="77"/>
      <c r="AB471" s="94"/>
      <c r="AC471" s="94"/>
      <c r="AD471" s="94"/>
      <c r="AE471" s="94"/>
      <c r="AF471" s="91"/>
      <c r="AG471" s="92"/>
      <c r="AH471" s="92"/>
      <c r="AI471" s="93"/>
      <c r="AJ471" s="94"/>
      <c r="AK471" s="92"/>
      <c r="AL471" s="94"/>
      <c r="AM471" s="94"/>
      <c r="AN471" s="94"/>
      <c r="AO471" s="94"/>
      <c r="AP471" s="94"/>
      <c r="AQ471" s="94"/>
      <c r="AR471" s="94"/>
      <c r="AS471" s="94"/>
      <c r="AT471" s="94"/>
      <c r="AU471" s="92"/>
      <c r="AV471" s="94"/>
      <c r="AW471" s="94"/>
      <c r="AX471" s="94"/>
      <c r="AY471" s="94"/>
      <c r="AZ471" s="94"/>
      <c r="BA471" s="94"/>
      <c r="BB471" s="94"/>
      <c r="BC471" s="94"/>
      <c r="BD471" s="94"/>
      <c r="BE471" s="94"/>
      <c r="BF471" s="94"/>
      <c r="BG471" s="94"/>
      <c r="BH471" s="94"/>
      <c r="BI471" s="94"/>
      <c r="BJ471" s="94"/>
      <c r="BK471" s="94"/>
      <c r="BL471" s="92"/>
      <c r="BM471" s="94"/>
      <c r="BN471" s="94"/>
      <c r="BO471" s="94"/>
      <c r="BP471" s="94"/>
      <c r="BQ471" s="92"/>
      <c r="BR471" s="92"/>
      <c r="BS471" s="92"/>
      <c r="BT471" s="92"/>
      <c r="BU471" s="92"/>
      <c r="BV471" s="92"/>
      <c r="BW471" s="92"/>
      <c r="BX471" s="92"/>
      <c r="BY471" s="92"/>
      <c r="BZ471" s="92"/>
    </row>
    <row r="472" spans="1:78" ht="12.9">
      <c r="A472" s="89"/>
      <c r="B472" s="89"/>
      <c r="C472" s="89"/>
      <c r="D472" s="89"/>
      <c r="E472" s="89"/>
      <c r="F472" s="89"/>
      <c r="G472" s="89"/>
      <c r="H472" s="105"/>
      <c r="I472" s="106"/>
      <c r="J472" s="106"/>
      <c r="K472" s="89"/>
      <c r="L472" s="89"/>
      <c r="M472" s="89"/>
      <c r="N472" s="107"/>
      <c r="O472" s="107"/>
      <c r="P472" s="89"/>
      <c r="Q472" s="89"/>
      <c r="R472" s="89"/>
      <c r="S472" s="89"/>
      <c r="T472" s="89"/>
      <c r="U472" s="89"/>
      <c r="V472" s="89"/>
      <c r="W472" s="89"/>
      <c r="X472" s="89"/>
      <c r="Y472" s="89"/>
      <c r="Z472" s="77"/>
      <c r="AA472" s="77"/>
      <c r="AB472" s="94"/>
      <c r="AC472" s="94"/>
      <c r="AD472" s="94"/>
      <c r="AE472" s="94"/>
      <c r="AF472" s="91"/>
      <c r="AG472" s="92"/>
      <c r="AH472" s="92"/>
      <c r="AI472" s="93"/>
      <c r="AJ472" s="94"/>
      <c r="AK472" s="92"/>
      <c r="AL472" s="94"/>
      <c r="AM472" s="94"/>
      <c r="AN472" s="94"/>
      <c r="AO472" s="94"/>
      <c r="AP472" s="94"/>
      <c r="AQ472" s="94"/>
      <c r="AR472" s="94"/>
      <c r="AS472" s="94"/>
      <c r="AT472" s="94"/>
      <c r="AU472" s="92"/>
      <c r="AV472" s="94"/>
      <c r="AW472" s="94"/>
      <c r="AX472" s="94"/>
      <c r="AY472" s="94"/>
      <c r="AZ472" s="94"/>
      <c r="BA472" s="94"/>
      <c r="BB472" s="94"/>
      <c r="BC472" s="94"/>
      <c r="BD472" s="94"/>
      <c r="BE472" s="94"/>
      <c r="BF472" s="94"/>
      <c r="BG472" s="94"/>
      <c r="BH472" s="94"/>
      <c r="BI472" s="94"/>
      <c r="BJ472" s="94"/>
      <c r="BK472" s="94"/>
      <c r="BL472" s="92"/>
      <c r="BM472" s="94"/>
      <c r="BN472" s="94"/>
      <c r="BO472" s="94"/>
      <c r="BP472" s="94"/>
      <c r="BQ472" s="92"/>
      <c r="BR472" s="92"/>
      <c r="BS472" s="92"/>
      <c r="BT472" s="92"/>
      <c r="BU472" s="92"/>
      <c r="BV472" s="92"/>
      <c r="BW472" s="92"/>
      <c r="BX472" s="92"/>
      <c r="BY472" s="92"/>
      <c r="BZ472" s="92"/>
    </row>
    <row r="473" spans="1:78" ht="12.9">
      <c r="A473" s="89"/>
      <c r="B473" s="89"/>
      <c r="C473" s="89"/>
      <c r="D473" s="89"/>
      <c r="E473" s="89"/>
      <c r="F473" s="89"/>
      <c r="G473" s="89"/>
      <c r="H473" s="105"/>
      <c r="I473" s="106"/>
      <c r="J473" s="106"/>
      <c r="K473" s="89"/>
      <c r="L473" s="89"/>
      <c r="M473" s="89"/>
      <c r="N473" s="107"/>
      <c r="O473" s="107"/>
      <c r="P473" s="89"/>
      <c r="Q473" s="89"/>
      <c r="R473" s="89"/>
      <c r="S473" s="89"/>
      <c r="T473" s="89"/>
      <c r="U473" s="89"/>
      <c r="V473" s="89"/>
      <c r="W473" s="89"/>
      <c r="X473" s="89"/>
      <c r="Y473" s="89"/>
      <c r="Z473" s="77"/>
      <c r="AA473" s="77"/>
      <c r="AB473" s="94"/>
      <c r="AC473" s="94"/>
      <c r="AD473" s="94"/>
      <c r="AE473" s="94"/>
      <c r="AF473" s="91"/>
      <c r="AG473" s="92"/>
      <c r="AH473" s="92"/>
      <c r="AI473" s="93"/>
      <c r="AJ473" s="94"/>
      <c r="AK473" s="92"/>
      <c r="AL473" s="94"/>
      <c r="AM473" s="94"/>
      <c r="AN473" s="94"/>
      <c r="AO473" s="94"/>
      <c r="AP473" s="94"/>
      <c r="AQ473" s="94"/>
      <c r="AR473" s="94"/>
      <c r="AS473" s="94"/>
      <c r="AT473" s="94"/>
      <c r="AU473" s="92"/>
      <c r="AV473" s="94"/>
      <c r="AW473" s="94"/>
      <c r="AX473" s="94"/>
      <c r="AY473" s="94"/>
      <c r="AZ473" s="94"/>
      <c r="BA473" s="94"/>
      <c r="BB473" s="94"/>
      <c r="BC473" s="94"/>
      <c r="BD473" s="94"/>
      <c r="BE473" s="94"/>
      <c r="BF473" s="94"/>
      <c r="BG473" s="94"/>
      <c r="BH473" s="94"/>
      <c r="BI473" s="94"/>
      <c r="BJ473" s="94"/>
      <c r="BK473" s="94"/>
      <c r="BL473" s="92"/>
      <c r="BM473" s="94"/>
      <c r="BN473" s="94"/>
      <c r="BO473" s="94"/>
      <c r="BP473" s="94"/>
      <c r="BQ473" s="92"/>
      <c r="BR473" s="92"/>
      <c r="BS473" s="92"/>
      <c r="BT473" s="92"/>
      <c r="BU473" s="92"/>
      <c r="BV473" s="92"/>
      <c r="BW473" s="92"/>
      <c r="BX473" s="92"/>
      <c r="BY473" s="92"/>
      <c r="BZ473" s="92"/>
    </row>
    <row r="474" spans="1:78" ht="12.9">
      <c r="A474" s="89"/>
      <c r="B474" s="89"/>
      <c r="C474" s="89"/>
      <c r="D474" s="89"/>
      <c r="E474" s="89"/>
      <c r="F474" s="89"/>
      <c r="G474" s="89"/>
      <c r="H474" s="105"/>
      <c r="I474" s="106"/>
      <c r="J474" s="106"/>
      <c r="K474" s="89"/>
      <c r="L474" s="89"/>
      <c r="M474" s="89"/>
      <c r="N474" s="107"/>
      <c r="O474" s="107"/>
      <c r="P474" s="89"/>
      <c r="Q474" s="89"/>
      <c r="R474" s="89"/>
      <c r="S474" s="89"/>
      <c r="T474" s="89"/>
      <c r="U474" s="89"/>
      <c r="V474" s="89"/>
      <c r="W474" s="89"/>
      <c r="X474" s="89"/>
      <c r="Y474" s="89"/>
      <c r="Z474" s="77"/>
      <c r="AA474" s="77"/>
      <c r="AB474" s="94"/>
      <c r="AC474" s="94"/>
      <c r="AD474" s="94"/>
      <c r="AE474" s="94"/>
      <c r="AF474" s="91"/>
      <c r="AG474" s="92"/>
      <c r="AH474" s="92"/>
      <c r="AI474" s="93"/>
      <c r="AJ474" s="94"/>
      <c r="AK474" s="92"/>
      <c r="AL474" s="94"/>
      <c r="AM474" s="94"/>
      <c r="AN474" s="94"/>
      <c r="AO474" s="94"/>
      <c r="AP474" s="94"/>
      <c r="AQ474" s="94"/>
      <c r="AR474" s="94"/>
      <c r="AS474" s="94"/>
      <c r="AT474" s="94"/>
      <c r="AU474" s="92"/>
      <c r="AV474" s="94"/>
      <c r="AW474" s="94"/>
      <c r="AX474" s="94"/>
      <c r="AY474" s="94"/>
      <c r="AZ474" s="94"/>
      <c r="BA474" s="94"/>
      <c r="BB474" s="94"/>
      <c r="BC474" s="94"/>
      <c r="BD474" s="94"/>
      <c r="BE474" s="94"/>
      <c r="BF474" s="94"/>
      <c r="BG474" s="94"/>
      <c r="BH474" s="94"/>
      <c r="BI474" s="94"/>
      <c r="BJ474" s="94"/>
      <c r="BK474" s="94"/>
      <c r="BL474" s="92"/>
      <c r="BM474" s="94"/>
      <c r="BN474" s="94"/>
      <c r="BO474" s="94"/>
      <c r="BP474" s="94"/>
      <c r="BQ474" s="92"/>
      <c r="BR474" s="92"/>
      <c r="BS474" s="92"/>
      <c r="BT474" s="92"/>
      <c r="BU474" s="92"/>
      <c r="BV474" s="92"/>
      <c r="BW474" s="92"/>
      <c r="BX474" s="92"/>
      <c r="BY474" s="92"/>
      <c r="BZ474" s="92"/>
    </row>
    <row r="475" spans="1:78" ht="12.9">
      <c r="A475" s="89"/>
      <c r="B475" s="89"/>
      <c r="C475" s="89"/>
      <c r="D475" s="89"/>
      <c r="E475" s="89"/>
      <c r="F475" s="89"/>
      <c r="G475" s="89"/>
      <c r="H475" s="105"/>
      <c r="I475" s="106"/>
      <c r="J475" s="106"/>
      <c r="K475" s="89"/>
      <c r="L475" s="89"/>
      <c r="M475" s="89"/>
      <c r="N475" s="107"/>
      <c r="O475" s="107"/>
      <c r="P475" s="89"/>
      <c r="Q475" s="89"/>
      <c r="R475" s="89"/>
      <c r="S475" s="89"/>
      <c r="T475" s="89"/>
      <c r="U475" s="89"/>
      <c r="V475" s="89"/>
      <c r="W475" s="89"/>
      <c r="X475" s="89"/>
      <c r="Y475" s="89"/>
      <c r="Z475" s="77"/>
      <c r="AA475" s="77"/>
      <c r="AB475" s="94"/>
      <c r="AC475" s="94"/>
      <c r="AD475" s="94"/>
      <c r="AE475" s="94"/>
      <c r="AF475" s="91"/>
      <c r="AG475" s="92"/>
      <c r="AH475" s="92"/>
      <c r="AI475" s="93"/>
      <c r="AJ475" s="94"/>
      <c r="AK475" s="92"/>
      <c r="AL475" s="94"/>
      <c r="AM475" s="94"/>
      <c r="AN475" s="94"/>
      <c r="AO475" s="94"/>
      <c r="AP475" s="94"/>
      <c r="AQ475" s="94"/>
      <c r="AR475" s="94"/>
      <c r="AS475" s="94"/>
      <c r="AT475" s="94"/>
      <c r="AU475" s="92"/>
      <c r="AV475" s="94"/>
      <c r="AW475" s="94"/>
      <c r="AX475" s="94"/>
      <c r="AY475" s="94"/>
      <c r="AZ475" s="94"/>
      <c r="BA475" s="94"/>
      <c r="BB475" s="94"/>
      <c r="BC475" s="94"/>
      <c r="BD475" s="94"/>
      <c r="BE475" s="94"/>
      <c r="BF475" s="94"/>
      <c r="BG475" s="94"/>
      <c r="BH475" s="94"/>
      <c r="BI475" s="94"/>
      <c r="BJ475" s="94"/>
      <c r="BK475" s="94"/>
      <c r="BL475" s="92"/>
      <c r="BM475" s="94"/>
      <c r="BN475" s="94"/>
      <c r="BO475" s="94"/>
      <c r="BP475" s="94"/>
      <c r="BQ475" s="92"/>
      <c r="BR475" s="92"/>
      <c r="BS475" s="92"/>
      <c r="BT475" s="92"/>
      <c r="BU475" s="92"/>
      <c r="BV475" s="92"/>
      <c r="BW475" s="92"/>
      <c r="BX475" s="92"/>
      <c r="BY475" s="92"/>
      <c r="BZ475" s="92"/>
    </row>
    <row r="476" spans="1:78" ht="12.9">
      <c r="A476" s="89"/>
      <c r="B476" s="89"/>
      <c r="C476" s="89"/>
      <c r="D476" s="89"/>
      <c r="E476" s="89"/>
      <c r="F476" s="89"/>
      <c r="G476" s="89"/>
      <c r="H476" s="105"/>
      <c r="I476" s="106"/>
      <c r="J476" s="106"/>
      <c r="K476" s="89"/>
      <c r="L476" s="89"/>
      <c r="M476" s="89"/>
      <c r="N476" s="107"/>
      <c r="O476" s="107"/>
      <c r="P476" s="89"/>
      <c r="Q476" s="89"/>
      <c r="R476" s="89"/>
      <c r="S476" s="89"/>
      <c r="T476" s="89"/>
      <c r="U476" s="89"/>
      <c r="V476" s="89"/>
      <c r="W476" s="89"/>
      <c r="X476" s="89"/>
      <c r="Y476" s="89"/>
      <c r="Z476" s="77"/>
      <c r="AA476" s="77"/>
      <c r="AB476" s="94"/>
      <c r="AC476" s="94"/>
      <c r="AD476" s="94"/>
      <c r="AE476" s="94"/>
      <c r="AF476" s="91"/>
      <c r="AG476" s="92"/>
      <c r="AH476" s="92"/>
      <c r="AI476" s="93"/>
      <c r="AJ476" s="94"/>
      <c r="AK476" s="92"/>
      <c r="AL476" s="94"/>
      <c r="AM476" s="94"/>
      <c r="AN476" s="94"/>
      <c r="AO476" s="94"/>
      <c r="AP476" s="94"/>
      <c r="AQ476" s="94"/>
      <c r="AR476" s="94"/>
      <c r="AS476" s="94"/>
      <c r="AT476" s="94"/>
      <c r="AU476" s="92"/>
      <c r="AV476" s="94"/>
      <c r="AW476" s="94"/>
      <c r="AX476" s="94"/>
      <c r="AY476" s="94"/>
      <c r="AZ476" s="94"/>
      <c r="BA476" s="94"/>
      <c r="BB476" s="94"/>
      <c r="BC476" s="94"/>
      <c r="BD476" s="94"/>
      <c r="BE476" s="94"/>
      <c r="BF476" s="94"/>
      <c r="BG476" s="94"/>
      <c r="BH476" s="94"/>
      <c r="BI476" s="94"/>
      <c r="BJ476" s="94"/>
      <c r="BK476" s="94"/>
      <c r="BL476" s="92"/>
      <c r="BM476" s="94"/>
      <c r="BN476" s="94"/>
      <c r="BO476" s="94"/>
      <c r="BP476" s="94"/>
      <c r="BQ476" s="92"/>
      <c r="BR476" s="92"/>
      <c r="BS476" s="92"/>
      <c r="BT476" s="92"/>
      <c r="BU476" s="92"/>
      <c r="BV476" s="92"/>
      <c r="BW476" s="92"/>
      <c r="BX476" s="92"/>
      <c r="BY476" s="92"/>
      <c r="BZ476" s="92"/>
    </row>
    <row r="477" spans="1:78" ht="12.9">
      <c r="A477" s="89"/>
      <c r="B477" s="89"/>
      <c r="C477" s="89"/>
      <c r="D477" s="89"/>
      <c r="E477" s="89"/>
      <c r="F477" s="89"/>
      <c r="G477" s="89"/>
      <c r="H477" s="105"/>
      <c r="I477" s="106"/>
      <c r="J477" s="106"/>
      <c r="K477" s="89"/>
      <c r="L477" s="89"/>
      <c r="M477" s="89"/>
      <c r="N477" s="107"/>
      <c r="O477" s="107"/>
      <c r="P477" s="89"/>
      <c r="Q477" s="89"/>
      <c r="R477" s="89"/>
      <c r="S477" s="89"/>
      <c r="T477" s="89"/>
      <c r="U477" s="89"/>
      <c r="V477" s="89"/>
      <c r="W477" s="89"/>
      <c r="X477" s="89"/>
      <c r="Y477" s="89"/>
      <c r="Z477" s="77"/>
      <c r="AA477" s="77"/>
      <c r="AB477" s="94"/>
      <c r="AC477" s="94"/>
      <c r="AD477" s="94"/>
      <c r="AE477" s="94"/>
      <c r="AF477" s="91"/>
      <c r="AG477" s="92"/>
      <c r="AH477" s="92"/>
      <c r="AI477" s="93"/>
      <c r="AJ477" s="94"/>
      <c r="AK477" s="92"/>
      <c r="AL477" s="94"/>
      <c r="AM477" s="94"/>
      <c r="AN477" s="94"/>
      <c r="AO477" s="94"/>
      <c r="AP477" s="94"/>
      <c r="AQ477" s="94"/>
      <c r="AR477" s="94"/>
      <c r="AS477" s="94"/>
      <c r="AT477" s="94"/>
      <c r="AU477" s="92"/>
      <c r="AV477" s="94"/>
      <c r="AW477" s="94"/>
      <c r="AX477" s="94"/>
      <c r="AY477" s="94"/>
      <c r="AZ477" s="94"/>
      <c r="BA477" s="94"/>
      <c r="BB477" s="94"/>
      <c r="BC477" s="94"/>
      <c r="BD477" s="94"/>
      <c r="BE477" s="94"/>
      <c r="BF477" s="94"/>
      <c r="BG477" s="94"/>
      <c r="BH477" s="94"/>
      <c r="BI477" s="94"/>
      <c r="BJ477" s="94"/>
      <c r="BK477" s="94"/>
      <c r="BL477" s="92"/>
      <c r="BM477" s="94"/>
      <c r="BN477" s="94"/>
      <c r="BO477" s="94"/>
      <c r="BP477" s="94"/>
      <c r="BQ477" s="92"/>
      <c r="BR477" s="92"/>
      <c r="BS477" s="92"/>
      <c r="BT477" s="92"/>
      <c r="BU477" s="92"/>
      <c r="BV477" s="92"/>
      <c r="BW477" s="92"/>
      <c r="BX477" s="92"/>
      <c r="BY477" s="92"/>
      <c r="BZ477" s="92"/>
    </row>
    <row r="478" spans="1:78" ht="12.9">
      <c r="A478" s="89"/>
      <c r="B478" s="89"/>
      <c r="C478" s="89"/>
      <c r="D478" s="89"/>
      <c r="E478" s="89"/>
      <c r="F478" s="89"/>
      <c r="G478" s="89"/>
      <c r="H478" s="105"/>
      <c r="I478" s="106"/>
      <c r="J478" s="106"/>
      <c r="K478" s="89"/>
      <c r="L478" s="89"/>
      <c r="M478" s="89"/>
      <c r="N478" s="107"/>
      <c r="O478" s="107"/>
      <c r="P478" s="89"/>
      <c r="Q478" s="89"/>
      <c r="R478" s="89"/>
      <c r="S478" s="89"/>
      <c r="T478" s="89"/>
      <c r="U478" s="89"/>
      <c r="V478" s="89"/>
      <c r="W478" s="89"/>
      <c r="X478" s="89"/>
      <c r="Y478" s="89"/>
      <c r="Z478" s="77"/>
      <c r="AA478" s="77"/>
      <c r="AB478" s="94"/>
      <c r="AC478" s="94"/>
      <c r="AD478" s="94"/>
      <c r="AE478" s="94"/>
      <c r="AF478" s="91"/>
      <c r="AG478" s="92"/>
      <c r="AH478" s="92"/>
      <c r="AI478" s="93"/>
      <c r="AJ478" s="94"/>
      <c r="AK478" s="92"/>
      <c r="AL478" s="94"/>
      <c r="AM478" s="94"/>
      <c r="AN478" s="94"/>
      <c r="AO478" s="94"/>
      <c r="AP478" s="94"/>
      <c r="AQ478" s="94"/>
      <c r="AR478" s="94"/>
      <c r="AS478" s="94"/>
      <c r="AT478" s="94"/>
      <c r="AU478" s="92"/>
      <c r="AV478" s="94"/>
      <c r="AW478" s="94"/>
      <c r="AX478" s="94"/>
      <c r="AY478" s="94"/>
      <c r="AZ478" s="94"/>
      <c r="BA478" s="94"/>
      <c r="BB478" s="94"/>
      <c r="BC478" s="94"/>
      <c r="BD478" s="94"/>
      <c r="BE478" s="94"/>
      <c r="BF478" s="94"/>
      <c r="BG478" s="94"/>
      <c r="BH478" s="94"/>
      <c r="BI478" s="94"/>
      <c r="BJ478" s="94"/>
      <c r="BK478" s="94"/>
      <c r="BL478" s="92"/>
      <c r="BM478" s="94"/>
      <c r="BN478" s="94"/>
      <c r="BO478" s="94"/>
      <c r="BP478" s="94"/>
      <c r="BQ478" s="92"/>
      <c r="BR478" s="92"/>
      <c r="BS478" s="92"/>
      <c r="BT478" s="92"/>
      <c r="BU478" s="92"/>
      <c r="BV478" s="92"/>
      <c r="BW478" s="92"/>
      <c r="BX478" s="92"/>
      <c r="BY478" s="92"/>
      <c r="BZ478" s="92"/>
    </row>
    <row r="479" spans="1:78" ht="12.9">
      <c r="A479" s="89"/>
      <c r="B479" s="89"/>
      <c r="C479" s="89"/>
      <c r="D479" s="89"/>
      <c r="E479" s="89"/>
      <c r="F479" s="89"/>
      <c r="G479" s="89"/>
      <c r="H479" s="105"/>
      <c r="I479" s="106"/>
      <c r="J479" s="106"/>
      <c r="K479" s="89"/>
      <c r="L479" s="89"/>
      <c r="M479" s="89"/>
      <c r="N479" s="107"/>
      <c r="O479" s="107"/>
      <c r="P479" s="89"/>
      <c r="Q479" s="89"/>
      <c r="R479" s="89"/>
      <c r="S479" s="89"/>
      <c r="T479" s="89"/>
      <c r="U479" s="89"/>
      <c r="V479" s="89"/>
      <c r="W479" s="89"/>
      <c r="X479" s="89"/>
      <c r="Y479" s="89"/>
      <c r="Z479" s="77"/>
      <c r="AA479" s="77"/>
      <c r="AB479" s="94"/>
      <c r="AC479" s="94"/>
      <c r="AD479" s="94"/>
      <c r="AE479" s="94"/>
      <c r="AF479" s="91"/>
      <c r="AG479" s="92"/>
      <c r="AH479" s="92"/>
      <c r="AI479" s="93"/>
      <c r="AJ479" s="94"/>
      <c r="AK479" s="92"/>
      <c r="AL479" s="94"/>
      <c r="AM479" s="94"/>
      <c r="AN479" s="94"/>
      <c r="AO479" s="94"/>
      <c r="AP479" s="94"/>
      <c r="AQ479" s="94"/>
      <c r="AR479" s="94"/>
      <c r="AS479" s="94"/>
      <c r="AT479" s="94"/>
      <c r="AU479" s="92"/>
      <c r="AV479" s="94"/>
      <c r="AW479" s="94"/>
      <c r="AX479" s="94"/>
      <c r="AY479" s="94"/>
      <c r="AZ479" s="94"/>
      <c r="BA479" s="94"/>
      <c r="BB479" s="94"/>
      <c r="BC479" s="94"/>
      <c r="BD479" s="94"/>
      <c r="BE479" s="94"/>
      <c r="BF479" s="94"/>
      <c r="BG479" s="94"/>
      <c r="BH479" s="94"/>
      <c r="BI479" s="94"/>
      <c r="BJ479" s="94"/>
      <c r="BK479" s="94"/>
      <c r="BL479" s="92"/>
      <c r="BM479" s="94"/>
      <c r="BN479" s="94"/>
      <c r="BO479" s="94"/>
      <c r="BP479" s="94"/>
      <c r="BQ479" s="92"/>
      <c r="BR479" s="92"/>
      <c r="BS479" s="92"/>
      <c r="BT479" s="92"/>
      <c r="BU479" s="92"/>
      <c r="BV479" s="92"/>
      <c r="BW479" s="92"/>
      <c r="BX479" s="92"/>
      <c r="BY479" s="92"/>
      <c r="BZ479" s="92"/>
    </row>
    <row r="480" spans="1:78" ht="12.9">
      <c r="A480" s="89"/>
      <c r="B480" s="89"/>
      <c r="C480" s="89"/>
      <c r="D480" s="89"/>
      <c r="E480" s="89"/>
      <c r="F480" s="89"/>
      <c r="G480" s="89"/>
      <c r="H480" s="105"/>
      <c r="I480" s="106"/>
      <c r="J480" s="106"/>
      <c r="K480" s="89"/>
      <c r="L480" s="89"/>
      <c r="M480" s="89"/>
      <c r="N480" s="107"/>
      <c r="O480" s="107"/>
      <c r="P480" s="89"/>
      <c r="Q480" s="89"/>
      <c r="R480" s="89"/>
      <c r="S480" s="89"/>
      <c r="T480" s="89"/>
      <c r="U480" s="89"/>
      <c r="V480" s="89"/>
      <c r="W480" s="89"/>
      <c r="X480" s="89"/>
      <c r="Y480" s="89"/>
      <c r="Z480" s="77"/>
      <c r="AA480" s="77"/>
      <c r="AB480" s="94"/>
      <c r="AC480" s="94"/>
      <c r="AD480" s="94"/>
      <c r="AE480" s="94"/>
      <c r="AF480" s="91"/>
      <c r="AG480" s="92"/>
      <c r="AH480" s="92"/>
      <c r="AI480" s="93"/>
      <c r="AJ480" s="94"/>
      <c r="AK480" s="92"/>
      <c r="AL480" s="94"/>
      <c r="AM480" s="94"/>
      <c r="AN480" s="94"/>
      <c r="AO480" s="94"/>
      <c r="AP480" s="94"/>
      <c r="AQ480" s="94"/>
      <c r="AR480" s="94"/>
      <c r="AS480" s="94"/>
      <c r="AT480" s="94"/>
      <c r="AU480" s="92"/>
      <c r="AV480" s="94"/>
      <c r="AW480" s="94"/>
      <c r="AX480" s="94"/>
      <c r="AY480" s="94"/>
      <c r="AZ480" s="94"/>
      <c r="BA480" s="94"/>
      <c r="BB480" s="94"/>
      <c r="BC480" s="94"/>
      <c r="BD480" s="94"/>
      <c r="BE480" s="94"/>
      <c r="BF480" s="94"/>
      <c r="BG480" s="94"/>
      <c r="BH480" s="94"/>
      <c r="BI480" s="94"/>
      <c r="BJ480" s="94"/>
      <c r="BK480" s="94"/>
      <c r="BL480" s="92"/>
      <c r="BM480" s="94"/>
      <c r="BN480" s="94"/>
      <c r="BO480" s="94"/>
      <c r="BP480" s="94"/>
      <c r="BQ480" s="92"/>
      <c r="BR480" s="92"/>
      <c r="BS480" s="92"/>
      <c r="BT480" s="92"/>
      <c r="BU480" s="92"/>
      <c r="BV480" s="92"/>
      <c r="BW480" s="92"/>
      <c r="BX480" s="92"/>
      <c r="BY480" s="92"/>
      <c r="BZ480" s="92"/>
    </row>
    <row r="481" spans="1:78" ht="12.9">
      <c r="A481" s="89"/>
      <c r="B481" s="89"/>
      <c r="C481" s="89"/>
      <c r="D481" s="89"/>
      <c r="E481" s="89"/>
      <c r="F481" s="89"/>
      <c r="G481" s="89"/>
      <c r="H481" s="105"/>
      <c r="I481" s="106"/>
      <c r="J481" s="106"/>
      <c r="K481" s="89"/>
      <c r="L481" s="89"/>
      <c r="M481" s="89"/>
      <c r="N481" s="107"/>
      <c r="O481" s="107"/>
      <c r="P481" s="89"/>
      <c r="Q481" s="89"/>
      <c r="R481" s="89"/>
      <c r="S481" s="89"/>
      <c r="T481" s="89"/>
      <c r="U481" s="89"/>
      <c r="V481" s="89"/>
      <c r="W481" s="89"/>
      <c r="X481" s="89"/>
      <c r="Y481" s="89"/>
      <c r="Z481" s="77"/>
      <c r="AA481" s="77"/>
      <c r="AB481" s="94"/>
      <c r="AC481" s="94"/>
      <c r="AD481" s="94"/>
      <c r="AE481" s="94"/>
      <c r="AF481" s="91"/>
      <c r="AG481" s="92"/>
      <c r="AH481" s="92"/>
      <c r="AI481" s="93"/>
      <c r="AJ481" s="94"/>
      <c r="AK481" s="92"/>
      <c r="AL481" s="94"/>
      <c r="AM481" s="94"/>
      <c r="AN481" s="94"/>
      <c r="AO481" s="94"/>
      <c r="AP481" s="94"/>
      <c r="AQ481" s="94"/>
      <c r="AR481" s="94"/>
      <c r="AS481" s="94"/>
      <c r="AT481" s="94"/>
      <c r="AU481" s="92"/>
      <c r="AV481" s="94"/>
      <c r="AW481" s="94"/>
      <c r="AX481" s="94"/>
      <c r="AY481" s="94"/>
      <c r="AZ481" s="94"/>
      <c r="BA481" s="94"/>
      <c r="BB481" s="94"/>
      <c r="BC481" s="94"/>
      <c r="BD481" s="94"/>
      <c r="BE481" s="94"/>
      <c r="BF481" s="94"/>
      <c r="BG481" s="94"/>
      <c r="BH481" s="94"/>
      <c r="BI481" s="94"/>
      <c r="BJ481" s="94"/>
      <c r="BK481" s="94"/>
      <c r="BL481" s="92"/>
      <c r="BM481" s="94"/>
      <c r="BN481" s="94"/>
      <c r="BO481" s="94"/>
      <c r="BP481" s="94"/>
      <c r="BQ481" s="92"/>
      <c r="BR481" s="92"/>
      <c r="BS481" s="92"/>
      <c r="BT481" s="92"/>
      <c r="BU481" s="92"/>
      <c r="BV481" s="92"/>
      <c r="BW481" s="92"/>
      <c r="BX481" s="92"/>
      <c r="BY481" s="92"/>
      <c r="BZ481" s="92"/>
    </row>
    <row r="482" spans="1:78" ht="12.9">
      <c r="A482" s="89"/>
      <c r="B482" s="89"/>
      <c r="C482" s="89"/>
      <c r="D482" s="89"/>
      <c r="E482" s="89"/>
      <c r="F482" s="89"/>
      <c r="G482" s="89"/>
      <c r="H482" s="105"/>
      <c r="I482" s="106"/>
      <c r="J482" s="106"/>
      <c r="K482" s="89"/>
      <c r="L482" s="89"/>
      <c r="M482" s="89"/>
      <c r="N482" s="107"/>
      <c r="O482" s="107"/>
      <c r="P482" s="89"/>
      <c r="Q482" s="89"/>
      <c r="R482" s="89"/>
      <c r="S482" s="89"/>
      <c r="T482" s="89"/>
      <c r="U482" s="89"/>
      <c r="V482" s="89"/>
      <c r="W482" s="89"/>
      <c r="X482" s="89"/>
      <c r="Y482" s="89"/>
      <c r="Z482" s="77"/>
      <c r="AA482" s="77"/>
      <c r="AB482" s="94"/>
      <c r="AC482" s="94"/>
      <c r="AD482" s="94"/>
      <c r="AE482" s="94"/>
      <c r="AF482" s="91"/>
      <c r="AG482" s="92"/>
      <c r="AH482" s="92"/>
      <c r="AI482" s="93"/>
      <c r="AJ482" s="94"/>
      <c r="AK482" s="92"/>
      <c r="AL482" s="94"/>
      <c r="AM482" s="94"/>
      <c r="AN482" s="94"/>
      <c r="AO482" s="94"/>
      <c r="AP482" s="94"/>
      <c r="AQ482" s="94"/>
      <c r="AR482" s="94"/>
      <c r="AS482" s="94"/>
      <c r="AT482" s="94"/>
      <c r="AU482" s="92"/>
      <c r="AV482" s="94"/>
      <c r="AW482" s="94"/>
      <c r="AX482" s="94"/>
      <c r="AY482" s="94"/>
      <c r="AZ482" s="94"/>
      <c r="BA482" s="94"/>
      <c r="BB482" s="94"/>
      <c r="BC482" s="94"/>
      <c r="BD482" s="94"/>
      <c r="BE482" s="94"/>
      <c r="BF482" s="94"/>
      <c r="BG482" s="94"/>
      <c r="BH482" s="94"/>
      <c r="BI482" s="94"/>
      <c r="BJ482" s="94"/>
      <c r="BK482" s="94"/>
      <c r="BL482" s="92"/>
      <c r="BM482" s="94"/>
      <c r="BN482" s="94"/>
      <c r="BO482" s="94"/>
      <c r="BP482" s="94"/>
      <c r="BQ482" s="92"/>
      <c r="BR482" s="92"/>
      <c r="BS482" s="92"/>
      <c r="BT482" s="92"/>
      <c r="BU482" s="92"/>
      <c r="BV482" s="92"/>
      <c r="BW482" s="92"/>
      <c r="BX482" s="92"/>
      <c r="BY482" s="92"/>
      <c r="BZ482" s="92"/>
    </row>
    <row r="483" spans="1:78" ht="12.9">
      <c r="A483" s="89"/>
      <c r="B483" s="89"/>
      <c r="C483" s="89"/>
      <c r="D483" s="89"/>
      <c r="E483" s="89"/>
      <c r="F483" s="89"/>
      <c r="G483" s="89"/>
      <c r="H483" s="105"/>
      <c r="I483" s="106"/>
      <c r="J483" s="106"/>
      <c r="K483" s="89"/>
      <c r="L483" s="89"/>
      <c r="M483" s="89"/>
      <c r="N483" s="107"/>
      <c r="O483" s="107"/>
      <c r="P483" s="89"/>
      <c r="Q483" s="89"/>
      <c r="R483" s="89"/>
      <c r="S483" s="89"/>
      <c r="T483" s="89"/>
      <c r="U483" s="89"/>
      <c r="V483" s="89"/>
      <c r="W483" s="89"/>
      <c r="X483" s="89"/>
      <c r="Y483" s="89"/>
      <c r="Z483" s="77"/>
      <c r="AA483" s="77"/>
      <c r="AB483" s="94"/>
      <c r="AC483" s="94"/>
      <c r="AD483" s="94"/>
      <c r="AE483" s="94"/>
      <c r="AF483" s="91"/>
      <c r="AG483" s="92"/>
      <c r="AH483" s="92"/>
      <c r="AI483" s="93"/>
      <c r="AJ483" s="94"/>
      <c r="AK483" s="92"/>
      <c r="AL483" s="94"/>
      <c r="AM483" s="94"/>
      <c r="AN483" s="94"/>
      <c r="AO483" s="94"/>
      <c r="AP483" s="94"/>
      <c r="AQ483" s="94"/>
      <c r="AR483" s="94"/>
      <c r="AS483" s="94"/>
      <c r="AT483" s="94"/>
      <c r="AU483" s="92"/>
      <c r="AV483" s="94"/>
      <c r="AW483" s="94"/>
      <c r="AX483" s="94"/>
      <c r="AY483" s="94"/>
      <c r="AZ483" s="94"/>
      <c r="BA483" s="94"/>
      <c r="BB483" s="94"/>
      <c r="BC483" s="94"/>
      <c r="BD483" s="94"/>
      <c r="BE483" s="94"/>
      <c r="BF483" s="94"/>
      <c r="BG483" s="94"/>
      <c r="BH483" s="94"/>
      <c r="BI483" s="94"/>
      <c r="BJ483" s="94"/>
      <c r="BK483" s="94"/>
      <c r="BL483" s="92"/>
      <c r="BM483" s="94"/>
      <c r="BN483" s="94"/>
      <c r="BO483" s="94"/>
      <c r="BP483" s="94"/>
      <c r="BQ483" s="92"/>
      <c r="BR483" s="92"/>
      <c r="BS483" s="92"/>
      <c r="BT483" s="92"/>
      <c r="BU483" s="92"/>
      <c r="BV483" s="92"/>
      <c r="BW483" s="92"/>
      <c r="BX483" s="92"/>
      <c r="BY483" s="92"/>
      <c r="BZ483" s="92"/>
    </row>
    <row r="484" spans="1:78" ht="12.9">
      <c r="A484" s="89"/>
      <c r="B484" s="89"/>
      <c r="C484" s="89"/>
      <c r="D484" s="89"/>
      <c r="E484" s="89"/>
      <c r="F484" s="89"/>
      <c r="G484" s="89"/>
      <c r="H484" s="105"/>
      <c r="I484" s="106"/>
      <c r="J484" s="106"/>
      <c r="K484" s="89"/>
      <c r="L484" s="89"/>
      <c r="M484" s="89"/>
      <c r="N484" s="107"/>
      <c r="O484" s="107"/>
      <c r="P484" s="89"/>
      <c r="Q484" s="89"/>
      <c r="R484" s="89"/>
      <c r="S484" s="89"/>
      <c r="T484" s="89"/>
      <c r="U484" s="89"/>
      <c r="V484" s="89"/>
      <c r="W484" s="89"/>
      <c r="X484" s="89"/>
      <c r="Y484" s="89"/>
      <c r="Z484" s="77"/>
      <c r="AA484" s="77"/>
      <c r="AB484" s="94"/>
      <c r="AC484" s="94"/>
      <c r="AD484" s="94"/>
      <c r="AE484" s="94"/>
      <c r="AF484" s="91"/>
      <c r="AG484" s="92"/>
      <c r="AH484" s="92"/>
      <c r="AI484" s="93"/>
      <c r="AJ484" s="94"/>
      <c r="AK484" s="92"/>
      <c r="AL484" s="94"/>
      <c r="AM484" s="94"/>
      <c r="AN484" s="94"/>
      <c r="AO484" s="94"/>
      <c r="AP484" s="94"/>
      <c r="AQ484" s="94"/>
      <c r="AR484" s="94"/>
      <c r="AS484" s="94"/>
      <c r="AT484" s="94"/>
      <c r="AU484" s="92"/>
      <c r="AV484" s="94"/>
      <c r="AW484" s="94"/>
      <c r="AX484" s="94"/>
      <c r="AY484" s="94"/>
      <c r="AZ484" s="94"/>
      <c r="BA484" s="94"/>
      <c r="BB484" s="94"/>
      <c r="BC484" s="94"/>
      <c r="BD484" s="94"/>
      <c r="BE484" s="94"/>
      <c r="BF484" s="94"/>
      <c r="BG484" s="94"/>
      <c r="BH484" s="94"/>
      <c r="BI484" s="94"/>
      <c r="BJ484" s="94"/>
      <c r="BK484" s="94"/>
      <c r="BL484" s="92"/>
      <c r="BM484" s="94"/>
      <c r="BN484" s="94"/>
      <c r="BO484" s="94"/>
      <c r="BP484" s="94"/>
      <c r="BQ484" s="92"/>
      <c r="BR484" s="92"/>
      <c r="BS484" s="92"/>
      <c r="BT484" s="92"/>
      <c r="BU484" s="92"/>
      <c r="BV484" s="92"/>
      <c r="BW484" s="92"/>
      <c r="BX484" s="92"/>
      <c r="BY484" s="92"/>
      <c r="BZ484" s="92"/>
    </row>
    <row r="485" spans="1:78" ht="12.9">
      <c r="A485" s="89"/>
      <c r="B485" s="89"/>
      <c r="C485" s="89"/>
      <c r="D485" s="89"/>
      <c r="E485" s="89"/>
      <c r="F485" s="89"/>
      <c r="G485" s="89"/>
      <c r="H485" s="105"/>
      <c r="I485" s="106"/>
      <c r="J485" s="106"/>
      <c r="K485" s="89"/>
      <c r="L485" s="89"/>
      <c r="M485" s="89"/>
      <c r="N485" s="107"/>
      <c r="O485" s="107"/>
      <c r="P485" s="89"/>
      <c r="Q485" s="89"/>
      <c r="R485" s="89"/>
      <c r="S485" s="89"/>
      <c r="T485" s="89"/>
      <c r="U485" s="89"/>
      <c r="V485" s="89"/>
      <c r="W485" s="89"/>
      <c r="X485" s="89"/>
      <c r="Y485" s="89"/>
      <c r="Z485" s="77"/>
      <c r="AA485" s="77"/>
      <c r="AB485" s="94"/>
      <c r="AC485" s="94"/>
      <c r="AD485" s="94"/>
      <c r="AE485" s="94"/>
      <c r="AF485" s="91"/>
      <c r="AG485" s="92"/>
      <c r="AH485" s="92"/>
      <c r="AI485" s="93"/>
      <c r="AJ485" s="94"/>
      <c r="AK485" s="92"/>
      <c r="AL485" s="94"/>
      <c r="AM485" s="94"/>
      <c r="AN485" s="94"/>
      <c r="AO485" s="94"/>
      <c r="AP485" s="94"/>
      <c r="AQ485" s="94"/>
      <c r="AR485" s="94"/>
      <c r="AS485" s="94"/>
      <c r="AT485" s="94"/>
      <c r="AU485" s="92"/>
      <c r="AV485" s="94"/>
      <c r="AW485" s="94"/>
      <c r="AX485" s="94"/>
      <c r="AY485" s="94"/>
      <c r="AZ485" s="94"/>
      <c r="BA485" s="94"/>
      <c r="BB485" s="94"/>
      <c r="BC485" s="94"/>
      <c r="BD485" s="94"/>
      <c r="BE485" s="94"/>
      <c r="BF485" s="94"/>
      <c r="BG485" s="94"/>
      <c r="BH485" s="94"/>
      <c r="BI485" s="94"/>
      <c r="BJ485" s="94"/>
      <c r="BK485" s="94"/>
      <c r="BL485" s="92"/>
      <c r="BM485" s="94"/>
      <c r="BN485" s="94"/>
      <c r="BO485" s="94"/>
      <c r="BP485" s="94"/>
      <c r="BQ485" s="92"/>
      <c r="BR485" s="92"/>
      <c r="BS485" s="92"/>
      <c r="BT485" s="92"/>
      <c r="BU485" s="92"/>
      <c r="BV485" s="92"/>
      <c r="BW485" s="92"/>
      <c r="BX485" s="92"/>
      <c r="BY485" s="92"/>
      <c r="BZ485" s="92"/>
    </row>
    <row r="486" spans="1:78" ht="12.9">
      <c r="A486" s="89"/>
      <c r="B486" s="89"/>
      <c r="C486" s="89"/>
      <c r="D486" s="89"/>
      <c r="E486" s="89"/>
      <c r="F486" s="89"/>
      <c r="G486" s="89"/>
      <c r="H486" s="105"/>
      <c r="I486" s="106"/>
      <c r="J486" s="106"/>
      <c r="K486" s="89"/>
      <c r="L486" s="89"/>
      <c r="M486" s="89"/>
      <c r="N486" s="107"/>
      <c r="O486" s="107"/>
      <c r="P486" s="89"/>
      <c r="Q486" s="89"/>
      <c r="R486" s="89"/>
      <c r="S486" s="89"/>
      <c r="T486" s="89"/>
      <c r="U486" s="89"/>
      <c r="V486" s="89"/>
      <c r="W486" s="89"/>
      <c r="X486" s="89"/>
      <c r="Y486" s="89"/>
      <c r="Z486" s="77"/>
      <c r="AA486" s="77"/>
      <c r="AB486" s="94"/>
      <c r="AC486" s="94"/>
      <c r="AD486" s="94"/>
      <c r="AE486" s="94"/>
      <c r="AF486" s="91"/>
      <c r="AG486" s="92"/>
      <c r="AH486" s="92"/>
      <c r="AI486" s="93"/>
      <c r="AJ486" s="94"/>
      <c r="AK486" s="92"/>
      <c r="AL486" s="94"/>
      <c r="AM486" s="94"/>
      <c r="AN486" s="94"/>
      <c r="AO486" s="94"/>
      <c r="AP486" s="94"/>
      <c r="AQ486" s="94"/>
      <c r="AR486" s="94"/>
      <c r="AS486" s="94"/>
      <c r="AT486" s="94"/>
      <c r="AU486" s="92"/>
      <c r="AV486" s="94"/>
      <c r="AW486" s="94"/>
      <c r="AX486" s="94"/>
      <c r="AY486" s="94"/>
      <c r="AZ486" s="94"/>
      <c r="BA486" s="94"/>
      <c r="BB486" s="94"/>
      <c r="BC486" s="94"/>
      <c r="BD486" s="94"/>
      <c r="BE486" s="94"/>
      <c r="BF486" s="94"/>
      <c r="BG486" s="94"/>
      <c r="BH486" s="94"/>
      <c r="BI486" s="94"/>
      <c r="BJ486" s="94"/>
      <c r="BK486" s="94"/>
      <c r="BL486" s="92"/>
      <c r="BM486" s="94"/>
      <c r="BN486" s="94"/>
      <c r="BO486" s="94"/>
      <c r="BP486" s="94"/>
      <c r="BQ486" s="92"/>
      <c r="BR486" s="92"/>
      <c r="BS486" s="92"/>
      <c r="BT486" s="92"/>
      <c r="BU486" s="92"/>
      <c r="BV486" s="92"/>
      <c r="BW486" s="92"/>
      <c r="BX486" s="92"/>
      <c r="BY486" s="92"/>
      <c r="BZ486" s="92"/>
    </row>
    <row r="487" spans="1:78" ht="12.9">
      <c r="A487" s="89"/>
      <c r="B487" s="89"/>
      <c r="C487" s="89"/>
      <c r="D487" s="89"/>
      <c r="E487" s="89"/>
      <c r="F487" s="89"/>
      <c r="G487" s="89"/>
      <c r="H487" s="105"/>
      <c r="I487" s="106"/>
      <c r="J487" s="106"/>
      <c r="K487" s="89"/>
      <c r="L487" s="89"/>
      <c r="M487" s="89"/>
      <c r="N487" s="107"/>
      <c r="O487" s="107"/>
      <c r="P487" s="89"/>
      <c r="Q487" s="89"/>
      <c r="R487" s="89"/>
      <c r="S487" s="89"/>
      <c r="T487" s="89"/>
      <c r="U487" s="89"/>
      <c r="V487" s="89"/>
      <c r="W487" s="89"/>
      <c r="X487" s="89"/>
      <c r="Y487" s="89"/>
      <c r="Z487" s="77"/>
      <c r="AA487" s="77"/>
      <c r="AB487" s="94"/>
      <c r="AC487" s="94"/>
      <c r="AD487" s="94"/>
      <c r="AE487" s="94"/>
      <c r="AF487" s="91"/>
      <c r="AG487" s="92"/>
      <c r="AH487" s="92"/>
      <c r="AI487" s="93"/>
      <c r="AJ487" s="94"/>
      <c r="AK487" s="92"/>
      <c r="AL487" s="94"/>
      <c r="AM487" s="94"/>
      <c r="AN487" s="94"/>
      <c r="AO487" s="94"/>
      <c r="AP487" s="94"/>
      <c r="AQ487" s="94"/>
      <c r="AR487" s="94"/>
      <c r="AS487" s="94"/>
      <c r="AT487" s="94"/>
      <c r="AU487" s="92"/>
      <c r="AV487" s="94"/>
      <c r="AW487" s="94"/>
      <c r="AX487" s="94"/>
      <c r="AY487" s="94"/>
      <c r="AZ487" s="94"/>
      <c r="BA487" s="94"/>
      <c r="BB487" s="94"/>
      <c r="BC487" s="94"/>
      <c r="BD487" s="94"/>
      <c r="BE487" s="94"/>
      <c r="BF487" s="94"/>
      <c r="BG487" s="94"/>
      <c r="BH487" s="94"/>
      <c r="BI487" s="94"/>
      <c r="BJ487" s="94"/>
      <c r="BK487" s="94"/>
      <c r="BL487" s="92"/>
      <c r="BM487" s="94"/>
      <c r="BN487" s="94"/>
      <c r="BO487" s="94"/>
      <c r="BP487" s="94"/>
      <c r="BQ487" s="92"/>
      <c r="BR487" s="92"/>
      <c r="BS487" s="92"/>
      <c r="BT487" s="92"/>
      <c r="BU487" s="92"/>
      <c r="BV487" s="92"/>
      <c r="BW487" s="92"/>
      <c r="BX487" s="92"/>
      <c r="BY487" s="92"/>
      <c r="BZ487" s="92"/>
    </row>
    <row r="488" spans="1:78" ht="12.9">
      <c r="A488" s="89"/>
      <c r="B488" s="89"/>
      <c r="C488" s="89"/>
      <c r="D488" s="89"/>
      <c r="E488" s="89"/>
      <c r="F488" s="89"/>
      <c r="G488" s="89"/>
      <c r="H488" s="105"/>
      <c r="I488" s="106"/>
      <c r="J488" s="106"/>
      <c r="K488" s="89"/>
      <c r="L488" s="89"/>
      <c r="M488" s="89"/>
      <c r="N488" s="107"/>
      <c r="O488" s="107"/>
      <c r="P488" s="89"/>
      <c r="Q488" s="89"/>
      <c r="R488" s="89"/>
      <c r="S488" s="89"/>
      <c r="T488" s="89"/>
      <c r="U488" s="89"/>
      <c r="V488" s="89"/>
      <c r="W488" s="89"/>
      <c r="X488" s="89"/>
      <c r="Y488" s="89"/>
      <c r="Z488" s="77"/>
      <c r="AA488" s="77"/>
      <c r="AB488" s="94"/>
      <c r="AC488" s="94"/>
      <c r="AD488" s="94"/>
      <c r="AE488" s="94"/>
      <c r="AF488" s="91"/>
      <c r="AG488" s="92"/>
      <c r="AH488" s="92"/>
      <c r="AI488" s="93"/>
      <c r="AJ488" s="94"/>
      <c r="AK488" s="92"/>
      <c r="AL488" s="94"/>
      <c r="AM488" s="94"/>
      <c r="AN488" s="94"/>
      <c r="AO488" s="94"/>
      <c r="AP488" s="94"/>
      <c r="AQ488" s="94"/>
      <c r="AR488" s="94"/>
      <c r="AS488" s="94"/>
      <c r="AT488" s="94"/>
      <c r="AU488" s="92"/>
      <c r="AV488" s="94"/>
      <c r="AW488" s="94"/>
      <c r="AX488" s="94"/>
      <c r="AY488" s="94"/>
      <c r="AZ488" s="94"/>
      <c r="BA488" s="94"/>
      <c r="BB488" s="94"/>
      <c r="BC488" s="94"/>
      <c r="BD488" s="94"/>
      <c r="BE488" s="94"/>
      <c r="BF488" s="94"/>
      <c r="BG488" s="94"/>
      <c r="BH488" s="94"/>
      <c r="BI488" s="94"/>
      <c r="BJ488" s="94"/>
      <c r="BK488" s="94"/>
      <c r="BL488" s="92"/>
      <c r="BM488" s="94"/>
      <c r="BN488" s="94"/>
      <c r="BO488" s="94"/>
      <c r="BP488" s="94"/>
      <c r="BQ488" s="92"/>
      <c r="BR488" s="92"/>
      <c r="BS488" s="92"/>
      <c r="BT488" s="92"/>
      <c r="BU488" s="92"/>
      <c r="BV488" s="92"/>
      <c r="BW488" s="92"/>
      <c r="BX488" s="92"/>
      <c r="BY488" s="92"/>
      <c r="BZ488" s="92"/>
    </row>
    <row r="489" spans="1:78" ht="12.9">
      <c r="A489" s="89"/>
      <c r="B489" s="89"/>
      <c r="C489" s="89"/>
      <c r="D489" s="89"/>
      <c r="E489" s="89"/>
      <c r="F489" s="89"/>
      <c r="G489" s="89"/>
      <c r="H489" s="105"/>
      <c r="I489" s="106"/>
      <c r="J489" s="106"/>
      <c r="K489" s="89"/>
      <c r="L489" s="89"/>
      <c r="M489" s="89"/>
      <c r="N489" s="107"/>
      <c r="O489" s="107"/>
      <c r="P489" s="89"/>
      <c r="Q489" s="89"/>
      <c r="R489" s="89"/>
      <c r="S489" s="89"/>
      <c r="T489" s="89"/>
      <c r="U489" s="89"/>
      <c r="V489" s="89"/>
      <c r="W489" s="89"/>
      <c r="X489" s="89"/>
      <c r="Y489" s="89"/>
      <c r="Z489" s="77"/>
      <c r="AA489" s="77"/>
      <c r="AB489" s="94"/>
      <c r="AC489" s="94"/>
      <c r="AD489" s="94"/>
      <c r="AE489" s="94"/>
      <c r="AF489" s="91"/>
      <c r="AG489" s="92"/>
      <c r="AH489" s="92"/>
      <c r="AI489" s="93"/>
      <c r="AJ489" s="94"/>
      <c r="AK489" s="92"/>
      <c r="AL489" s="94"/>
      <c r="AM489" s="94"/>
      <c r="AN489" s="94"/>
      <c r="AO489" s="94"/>
      <c r="AP489" s="94"/>
      <c r="AQ489" s="94"/>
      <c r="AR489" s="94"/>
      <c r="AS489" s="94"/>
      <c r="AT489" s="94"/>
      <c r="AU489" s="92"/>
      <c r="AV489" s="94"/>
      <c r="AW489" s="94"/>
      <c r="AX489" s="94"/>
      <c r="AY489" s="94"/>
      <c r="AZ489" s="94"/>
      <c r="BA489" s="94"/>
      <c r="BB489" s="94"/>
      <c r="BC489" s="94"/>
      <c r="BD489" s="94"/>
      <c r="BE489" s="94"/>
      <c r="BF489" s="94"/>
      <c r="BG489" s="94"/>
      <c r="BH489" s="94"/>
      <c r="BI489" s="94"/>
      <c r="BJ489" s="94"/>
      <c r="BK489" s="94"/>
      <c r="BL489" s="92"/>
      <c r="BM489" s="94"/>
      <c r="BN489" s="94"/>
      <c r="BO489" s="94"/>
      <c r="BP489" s="94"/>
      <c r="BQ489" s="92"/>
      <c r="BR489" s="92"/>
      <c r="BS489" s="92"/>
      <c r="BT489" s="92"/>
      <c r="BU489" s="92"/>
      <c r="BV489" s="92"/>
      <c r="BW489" s="92"/>
      <c r="BX489" s="92"/>
      <c r="BY489" s="92"/>
      <c r="BZ489" s="92"/>
    </row>
    <row r="490" spans="1:78" ht="12.9">
      <c r="A490" s="89"/>
      <c r="B490" s="89"/>
      <c r="C490" s="89"/>
      <c r="D490" s="89"/>
      <c r="E490" s="89"/>
      <c r="F490" s="89"/>
      <c r="G490" s="89"/>
      <c r="H490" s="105"/>
      <c r="I490" s="106"/>
      <c r="J490" s="106"/>
      <c r="K490" s="89"/>
      <c r="L490" s="89"/>
      <c r="M490" s="89"/>
      <c r="N490" s="107"/>
      <c r="O490" s="107"/>
      <c r="P490" s="89"/>
      <c r="Q490" s="89"/>
      <c r="R490" s="89"/>
      <c r="S490" s="89"/>
      <c r="T490" s="89"/>
      <c r="U490" s="89"/>
      <c r="V490" s="89"/>
      <c r="W490" s="89"/>
      <c r="X490" s="89"/>
      <c r="Y490" s="89"/>
      <c r="Z490" s="77"/>
      <c r="AA490" s="77"/>
      <c r="AB490" s="94"/>
      <c r="AC490" s="94"/>
      <c r="AD490" s="94"/>
      <c r="AE490" s="94"/>
      <c r="AF490" s="91"/>
      <c r="AG490" s="92"/>
      <c r="AH490" s="92"/>
      <c r="AI490" s="93"/>
      <c r="AJ490" s="94"/>
      <c r="AK490" s="92"/>
      <c r="AL490" s="94"/>
      <c r="AM490" s="94"/>
      <c r="AN490" s="94"/>
      <c r="AO490" s="94"/>
      <c r="AP490" s="94"/>
      <c r="AQ490" s="94"/>
      <c r="AR490" s="94"/>
      <c r="AS490" s="94"/>
      <c r="AT490" s="94"/>
      <c r="AU490" s="92"/>
      <c r="AV490" s="94"/>
      <c r="AW490" s="94"/>
      <c r="AX490" s="94"/>
      <c r="AY490" s="94"/>
      <c r="AZ490" s="94"/>
      <c r="BA490" s="94"/>
      <c r="BB490" s="94"/>
      <c r="BC490" s="94"/>
      <c r="BD490" s="94"/>
      <c r="BE490" s="94"/>
      <c r="BF490" s="94"/>
      <c r="BG490" s="94"/>
      <c r="BH490" s="94"/>
      <c r="BI490" s="94"/>
      <c r="BJ490" s="94"/>
      <c r="BK490" s="94"/>
      <c r="BL490" s="92"/>
      <c r="BM490" s="94"/>
      <c r="BN490" s="94"/>
      <c r="BO490" s="94"/>
      <c r="BP490" s="94"/>
      <c r="BQ490" s="92"/>
      <c r="BR490" s="92"/>
      <c r="BS490" s="92"/>
      <c r="BT490" s="92"/>
      <c r="BU490" s="92"/>
      <c r="BV490" s="92"/>
      <c r="BW490" s="92"/>
      <c r="BX490" s="92"/>
      <c r="BY490" s="92"/>
      <c r="BZ490" s="92"/>
    </row>
    <row r="491" spans="1:78" ht="12.9">
      <c r="A491" s="89"/>
      <c r="B491" s="89"/>
      <c r="C491" s="89"/>
      <c r="D491" s="89"/>
      <c r="E491" s="89"/>
      <c r="F491" s="89"/>
      <c r="G491" s="89"/>
      <c r="H491" s="105"/>
      <c r="I491" s="106"/>
      <c r="J491" s="106"/>
      <c r="K491" s="89"/>
      <c r="L491" s="89"/>
      <c r="M491" s="89"/>
      <c r="N491" s="107"/>
      <c r="O491" s="107"/>
      <c r="P491" s="89"/>
      <c r="Q491" s="89"/>
      <c r="R491" s="89"/>
      <c r="S491" s="89"/>
      <c r="T491" s="89"/>
      <c r="U491" s="89"/>
      <c r="V491" s="89"/>
      <c r="W491" s="89"/>
      <c r="X491" s="89"/>
      <c r="Y491" s="89"/>
      <c r="Z491" s="77"/>
      <c r="AA491" s="77"/>
      <c r="AB491" s="94"/>
      <c r="AC491" s="94"/>
      <c r="AD491" s="94"/>
      <c r="AE491" s="94"/>
      <c r="AF491" s="91"/>
      <c r="AG491" s="92"/>
      <c r="AH491" s="92"/>
      <c r="AI491" s="93"/>
      <c r="AJ491" s="94"/>
      <c r="AK491" s="92"/>
      <c r="AL491" s="94"/>
      <c r="AM491" s="94"/>
      <c r="AN491" s="94"/>
      <c r="AO491" s="94"/>
      <c r="AP491" s="94"/>
      <c r="AQ491" s="94"/>
      <c r="AR491" s="94"/>
      <c r="AS491" s="94"/>
      <c r="AT491" s="94"/>
      <c r="AU491" s="92"/>
      <c r="AV491" s="94"/>
      <c r="AW491" s="94"/>
      <c r="AX491" s="94"/>
      <c r="AY491" s="94"/>
      <c r="AZ491" s="94"/>
      <c r="BA491" s="94"/>
      <c r="BB491" s="94"/>
      <c r="BC491" s="94"/>
      <c r="BD491" s="94"/>
      <c r="BE491" s="94"/>
      <c r="BF491" s="94"/>
      <c r="BG491" s="94"/>
      <c r="BH491" s="94"/>
      <c r="BI491" s="94"/>
      <c r="BJ491" s="94"/>
      <c r="BK491" s="94"/>
      <c r="BL491" s="92"/>
      <c r="BM491" s="94"/>
      <c r="BN491" s="94"/>
      <c r="BO491" s="94"/>
      <c r="BP491" s="94"/>
      <c r="BQ491" s="92"/>
      <c r="BR491" s="92"/>
      <c r="BS491" s="92"/>
      <c r="BT491" s="92"/>
      <c r="BU491" s="92"/>
      <c r="BV491" s="92"/>
      <c r="BW491" s="92"/>
      <c r="BX491" s="92"/>
      <c r="BY491" s="92"/>
      <c r="BZ491" s="92"/>
    </row>
    <row r="492" spans="1:78" ht="12.9">
      <c r="A492" s="89"/>
      <c r="B492" s="89"/>
      <c r="C492" s="89"/>
      <c r="D492" s="89"/>
      <c r="E492" s="89"/>
      <c r="F492" s="89"/>
      <c r="G492" s="89"/>
      <c r="H492" s="105"/>
      <c r="I492" s="106"/>
      <c r="J492" s="106"/>
      <c r="K492" s="89"/>
      <c r="L492" s="89"/>
      <c r="M492" s="89"/>
      <c r="N492" s="107"/>
      <c r="O492" s="107"/>
      <c r="P492" s="89"/>
      <c r="Q492" s="89"/>
      <c r="R492" s="89"/>
      <c r="S492" s="89"/>
      <c r="T492" s="89"/>
      <c r="U492" s="89"/>
      <c r="V492" s="89"/>
      <c r="W492" s="89"/>
      <c r="X492" s="89"/>
      <c r="Y492" s="89"/>
      <c r="Z492" s="77"/>
      <c r="AA492" s="77"/>
      <c r="AB492" s="94"/>
      <c r="AC492" s="94"/>
      <c r="AD492" s="94"/>
      <c r="AE492" s="94"/>
      <c r="AF492" s="91"/>
      <c r="AG492" s="92"/>
      <c r="AH492" s="92"/>
      <c r="AI492" s="93"/>
      <c r="AJ492" s="94"/>
      <c r="AK492" s="92"/>
      <c r="AL492" s="94"/>
      <c r="AM492" s="94"/>
      <c r="AN492" s="94"/>
      <c r="AO492" s="94"/>
      <c r="AP492" s="94"/>
      <c r="AQ492" s="94"/>
      <c r="AR492" s="94"/>
      <c r="AS492" s="94"/>
      <c r="AT492" s="94"/>
      <c r="AU492" s="92"/>
      <c r="AV492" s="94"/>
      <c r="AW492" s="94"/>
      <c r="AX492" s="94"/>
      <c r="AY492" s="94"/>
      <c r="AZ492" s="94"/>
      <c r="BA492" s="94"/>
      <c r="BB492" s="94"/>
      <c r="BC492" s="94"/>
      <c r="BD492" s="94"/>
      <c r="BE492" s="94"/>
      <c r="BF492" s="94"/>
      <c r="BG492" s="94"/>
      <c r="BH492" s="94"/>
      <c r="BI492" s="94"/>
      <c r="BJ492" s="94"/>
      <c r="BK492" s="94"/>
      <c r="BL492" s="92"/>
      <c r="BM492" s="94"/>
      <c r="BN492" s="94"/>
      <c r="BO492" s="94"/>
      <c r="BP492" s="94"/>
      <c r="BQ492" s="92"/>
      <c r="BR492" s="92"/>
      <c r="BS492" s="92"/>
      <c r="BT492" s="92"/>
      <c r="BU492" s="92"/>
      <c r="BV492" s="92"/>
      <c r="BW492" s="92"/>
      <c r="BX492" s="92"/>
      <c r="BY492" s="92"/>
      <c r="BZ492" s="92"/>
    </row>
    <row r="493" spans="1:78" ht="12.9">
      <c r="A493" s="89"/>
      <c r="B493" s="89"/>
      <c r="C493" s="89"/>
      <c r="D493" s="89"/>
      <c r="E493" s="89"/>
      <c r="F493" s="89"/>
      <c r="G493" s="89"/>
      <c r="H493" s="105"/>
      <c r="I493" s="106"/>
      <c r="J493" s="106"/>
      <c r="K493" s="89"/>
      <c r="L493" s="89"/>
      <c r="M493" s="89"/>
      <c r="N493" s="107"/>
      <c r="O493" s="107"/>
      <c r="P493" s="89"/>
      <c r="Q493" s="89"/>
      <c r="R493" s="89"/>
      <c r="S493" s="89"/>
      <c r="T493" s="89"/>
      <c r="U493" s="89"/>
      <c r="V493" s="89"/>
      <c r="W493" s="89"/>
      <c r="X493" s="89"/>
      <c r="Y493" s="89"/>
      <c r="Z493" s="77"/>
      <c r="AA493" s="77"/>
      <c r="AB493" s="94"/>
      <c r="AC493" s="94"/>
      <c r="AD493" s="94"/>
      <c r="AE493" s="94"/>
      <c r="AF493" s="91"/>
      <c r="AG493" s="92"/>
      <c r="AH493" s="92"/>
      <c r="AI493" s="93"/>
      <c r="AJ493" s="94"/>
      <c r="AK493" s="92"/>
      <c r="AL493" s="94"/>
      <c r="AM493" s="94"/>
      <c r="AN493" s="94"/>
      <c r="AO493" s="94"/>
      <c r="AP493" s="94"/>
      <c r="AQ493" s="94"/>
      <c r="AR493" s="94"/>
      <c r="AS493" s="94"/>
      <c r="AT493" s="94"/>
      <c r="AU493" s="92"/>
      <c r="AV493" s="94"/>
      <c r="AW493" s="94"/>
      <c r="AX493" s="94"/>
      <c r="AY493" s="94"/>
      <c r="AZ493" s="94"/>
      <c r="BA493" s="94"/>
      <c r="BB493" s="94"/>
      <c r="BC493" s="94"/>
      <c r="BD493" s="94"/>
      <c r="BE493" s="94"/>
      <c r="BF493" s="94"/>
      <c r="BG493" s="94"/>
      <c r="BH493" s="94"/>
      <c r="BI493" s="94"/>
      <c r="BJ493" s="94"/>
      <c r="BK493" s="94"/>
      <c r="BL493" s="92"/>
      <c r="BM493" s="94"/>
      <c r="BN493" s="94"/>
      <c r="BO493" s="94"/>
      <c r="BP493" s="94"/>
      <c r="BQ493" s="92"/>
      <c r="BR493" s="92"/>
      <c r="BS493" s="92"/>
      <c r="BT493" s="92"/>
      <c r="BU493" s="92"/>
      <c r="BV493" s="92"/>
      <c r="BW493" s="92"/>
      <c r="BX493" s="92"/>
      <c r="BY493" s="92"/>
      <c r="BZ493" s="92"/>
    </row>
    <row r="494" spans="1:78" ht="12.9">
      <c r="A494" s="89"/>
      <c r="B494" s="89"/>
      <c r="C494" s="89"/>
      <c r="D494" s="89"/>
      <c r="E494" s="89"/>
      <c r="F494" s="89"/>
      <c r="G494" s="89"/>
      <c r="H494" s="105"/>
      <c r="I494" s="106"/>
      <c r="J494" s="106"/>
      <c r="K494" s="89"/>
      <c r="L494" s="89"/>
      <c r="M494" s="89"/>
      <c r="N494" s="107"/>
      <c r="O494" s="107"/>
      <c r="P494" s="89"/>
      <c r="Q494" s="89"/>
      <c r="R494" s="89"/>
      <c r="S494" s="89"/>
      <c r="T494" s="89"/>
      <c r="U494" s="89"/>
      <c r="V494" s="89"/>
      <c r="W494" s="89"/>
      <c r="X494" s="89"/>
      <c r="Y494" s="89"/>
      <c r="Z494" s="77"/>
      <c r="AA494" s="77"/>
      <c r="AB494" s="94"/>
      <c r="AC494" s="94"/>
      <c r="AD494" s="94"/>
      <c r="AE494" s="94"/>
      <c r="AF494" s="91"/>
      <c r="AG494" s="92"/>
      <c r="AH494" s="92"/>
      <c r="AI494" s="93"/>
      <c r="AJ494" s="94"/>
      <c r="AK494" s="92"/>
      <c r="AL494" s="94"/>
      <c r="AM494" s="94"/>
      <c r="AN494" s="94"/>
      <c r="AO494" s="94"/>
      <c r="AP494" s="94"/>
      <c r="AQ494" s="94"/>
      <c r="AR494" s="94"/>
      <c r="AS494" s="94"/>
      <c r="AT494" s="94"/>
      <c r="AU494" s="92"/>
      <c r="AV494" s="94"/>
      <c r="AW494" s="94"/>
      <c r="AX494" s="94"/>
      <c r="AY494" s="94"/>
      <c r="AZ494" s="94"/>
      <c r="BA494" s="94"/>
      <c r="BB494" s="94"/>
      <c r="BC494" s="94"/>
      <c r="BD494" s="94"/>
      <c r="BE494" s="94"/>
      <c r="BF494" s="94"/>
      <c r="BG494" s="94"/>
      <c r="BH494" s="94"/>
      <c r="BI494" s="94"/>
      <c r="BJ494" s="94"/>
      <c r="BK494" s="94"/>
      <c r="BL494" s="92"/>
      <c r="BM494" s="94"/>
      <c r="BN494" s="94"/>
      <c r="BO494" s="94"/>
      <c r="BP494" s="94"/>
      <c r="BQ494" s="92"/>
      <c r="BR494" s="92"/>
      <c r="BS494" s="92"/>
      <c r="BT494" s="92"/>
      <c r="BU494" s="92"/>
      <c r="BV494" s="92"/>
      <c r="BW494" s="92"/>
      <c r="BX494" s="92"/>
      <c r="BY494" s="92"/>
      <c r="BZ494" s="92"/>
    </row>
    <row r="495" spans="1:78" ht="12.9">
      <c r="A495" s="89"/>
      <c r="B495" s="89"/>
      <c r="C495" s="89"/>
      <c r="D495" s="89"/>
      <c r="E495" s="89"/>
      <c r="F495" s="89"/>
      <c r="G495" s="89"/>
      <c r="H495" s="105"/>
      <c r="I495" s="106"/>
      <c r="J495" s="106"/>
      <c r="K495" s="89"/>
      <c r="L495" s="89"/>
      <c r="M495" s="89"/>
      <c r="N495" s="107"/>
      <c r="O495" s="107"/>
      <c r="P495" s="89"/>
      <c r="Q495" s="89"/>
      <c r="R495" s="89"/>
      <c r="S495" s="89"/>
      <c r="T495" s="89"/>
      <c r="U495" s="89"/>
      <c r="V495" s="89"/>
      <c r="W495" s="89"/>
      <c r="X495" s="89"/>
      <c r="Y495" s="89"/>
      <c r="Z495" s="77"/>
      <c r="AA495" s="77"/>
      <c r="AB495" s="94"/>
      <c r="AC495" s="94"/>
      <c r="AD495" s="94"/>
      <c r="AE495" s="94"/>
      <c r="AF495" s="91"/>
      <c r="AG495" s="92"/>
      <c r="AH495" s="92"/>
      <c r="AI495" s="93"/>
      <c r="AJ495" s="94"/>
      <c r="AK495" s="92"/>
      <c r="AL495" s="94"/>
      <c r="AM495" s="94"/>
      <c r="AN495" s="94"/>
      <c r="AO495" s="94"/>
      <c r="AP495" s="94"/>
      <c r="AQ495" s="94"/>
      <c r="AR495" s="94"/>
      <c r="AS495" s="94"/>
      <c r="AT495" s="94"/>
      <c r="AU495" s="92"/>
      <c r="AV495" s="94"/>
      <c r="AW495" s="94"/>
      <c r="AX495" s="94"/>
      <c r="AY495" s="94"/>
      <c r="AZ495" s="94"/>
      <c r="BA495" s="94"/>
      <c r="BB495" s="94"/>
      <c r="BC495" s="94"/>
      <c r="BD495" s="94"/>
      <c r="BE495" s="94"/>
      <c r="BF495" s="94"/>
      <c r="BG495" s="94"/>
      <c r="BH495" s="94"/>
      <c r="BI495" s="94"/>
      <c r="BJ495" s="94"/>
      <c r="BK495" s="94"/>
      <c r="BL495" s="92"/>
      <c r="BM495" s="94"/>
      <c r="BN495" s="94"/>
      <c r="BO495" s="94"/>
      <c r="BP495" s="94"/>
      <c r="BQ495" s="92"/>
      <c r="BR495" s="92"/>
      <c r="BS495" s="92"/>
      <c r="BT495" s="92"/>
      <c r="BU495" s="92"/>
      <c r="BV495" s="92"/>
      <c r="BW495" s="92"/>
      <c r="BX495" s="92"/>
      <c r="BY495" s="92"/>
      <c r="BZ495" s="92"/>
    </row>
    <row r="496" spans="1:78" ht="12.9">
      <c r="A496" s="89"/>
      <c r="B496" s="89"/>
      <c r="C496" s="89"/>
      <c r="D496" s="89"/>
      <c r="E496" s="89"/>
      <c r="F496" s="89"/>
      <c r="G496" s="89"/>
      <c r="H496" s="105"/>
      <c r="I496" s="106"/>
      <c r="J496" s="106"/>
      <c r="K496" s="89"/>
      <c r="L496" s="89"/>
      <c r="M496" s="89"/>
      <c r="N496" s="107"/>
      <c r="O496" s="107"/>
      <c r="P496" s="89"/>
      <c r="Q496" s="89"/>
      <c r="R496" s="89"/>
      <c r="S496" s="89"/>
      <c r="T496" s="89"/>
      <c r="U496" s="89"/>
      <c r="V496" s="89"/>
      <c r="W496" s="89"/>
      <c r="X496" s="89"/>
      <c r="Y496" s="89"/>
      <c r="Z496" s="77"/>
      <c r="AA496" s="77"/>
      <c r="AB496" s="94"/>
      <c r="AC496" s="94"/>
      <c r="AD496" s="94"/>
      <c r="AE496" s="94"/>
      <c r="AF496" s="91"/>
      <c r="AG496" s="92"/>
      <c r="AH496" s="92"/>
      <c r="AI496" s="93"/>
      <c r="AJ496" s="94"/>
      <c r="AK496" s="92"/>
      <c r="AL496" s="94"/>
      <c r="AM496" s="94"/>
      <c r="AN496" s="94"/>
      <c r="AO496" s="94"/>
      <c r="AP496" s="94"/>
      <c r="AQ496" s="94"/>
      <c r="AR496" s="94"/>
      <c r="AS496" s="94"/>
      <c r="AT496" s="94"/>
      <c r="AU496" s="92"/>
      <c r="AV496" s="94"/>
      <c r="AW496" s="94"/>
      <c r="AX496" s="94"/>
      <c r="AY496" s="94"/>
      <c r="AZ496" s="94"/>
      <c r="BA496" s="94"/>
      <c r="BB496" s="94"/>
      <c r="BC496" s="94"/>
      <c r="BD496" s="94"/>
      <c r="BE496" s="94"/>
      <c r="BF496" s="94"/>
      <c r="BG496" s="94"/>
      <c r="BH496" s="94"/>
      <c r="BI496" s="94"/>
      <c r="BJ496" s="94"/>
      <c r="BK496" s="94"/>
      <c r="BL496" s="92"/>
      <c r="BM496" s="94"/>
      <c r="BN496" s="94"/>
      <c r="BO496" s="94"/>
      <c r="BP496" s="94"/>
      <c r="BQ496" s="92"/>
      <c r="BR496" s="92"/>
      <c r="BS496" s="92"/>
      <c r="BT496" s="92"/>
      <c r="BU496" s="92"/>
      <c r="BV496" s="92"/>
      <c r="BW496" s="92"/>
      <c r="BX496" s="92"/>
      <c r="BY496" s="92"/>
      <c r="BZ496" s="92"/>
    </row>
    <row r="497" spans="1:78" ht="12.9">
      <c r="A497" s="89"/>
      <c r="B497" s="89"/>
      <c r="C497" s="89"/>
      <c r="D497" s="89"/>
      <c r="E497" s="89"/>
      <c r="F497" s="89"/>
      <c r="G497" s="89"/>
      <c r="H497" s="105"/>
      <c r="I497" s="106"/>
      <c r="J497" s="106"/>
      <c r="K497" s="89"/>
      <c r="L497" s="89"/>
      <c r="M497" s="89"/>
      <c r="N497" s="107"/>
      <c r="O497" s="107"/>
      <c r="P497" s="89"/>
      <c r="Q497" s="89"/>
      <c r="R497" s="89"/>
      <c r="S497" s="89"/>
      <c r="T497" s="89"/>
      <c r="U497" s="89"/>
      <c r="V497" s="89"/>
      <c r="W497" s="89"/>
      <c r="X497" s="89"/>
      <c r="Y497" s="89"/>
      <c r="Z497" s="77"/>
      <c r="AA497" s="77"/>
      <c r="AB497" s="94"/>
      <c r="AC497" s="94"/>
      <c r="AD497" s="94"/>
      <c r="AE497" s="94"/>
      <c r="AF497" s="91"/>
      <c r="AG497" s="92"/>
      <c r="AH497" s="92"/>
      <c r="AI497" s="93"/>
      <c r="AJ497" s="94"/>
      <c r="AK497" s="92"/>
      <c r="AL497" s="94"/>
      <c r="AM497" s="94"/>
      <c r="AN497" s="94"/>
      <c r="AO497" s="94"/>
      <c r="AP497" s="94"/>
      <c r="AQ497" s="94"/>
      <c r="AR497" s="94"/>
      <c r="AS497" s="94"/>
      <c r="AT497" s="94"/>
      <c r="AU497" s="92"/>
      <c r="AV497" s="94"/>
      <c r="AW497" s="94"/>
      <c r="AX497" s="94"/>
      <c r="AY497" s="94"/>
      <c r="AZ497" s="94"/>
      <c r="BA497" s="94"/>
      <c r="BB497" s="94"/>
      <c r="BC497" s="94"/>
      <c r="BD497" s="94"/>
      <c r="BE497" s="94"/>
      <c r="BF497" s="94"/>
      <c r="BG497" s="94"/>
      <c r="BH497" s="94"/>
      <c r="BI497" s="94"/>
      <c r="BJ497" s="94"/>
      <c r="BK497" s="94"/>
      <c r="BL497" s="92"/>
      <c r="BM497" s="94"/>
      <c r="BN497" s="94"/>
      <c r="BO497" s="94"/>
      <c r="BP497" s="94"/>
      <c r="BQ497" s="92"/>
      <c r="BR497" s="92"/>
      <c r="BS497" s="92"/>
      <c r="BT497" s="92"/>
      <c r="BU497" s="92"/>
      <c r="BV497" s="92"/>
      <c r="BW497" s="92"/>
      <c r="BX497" s="92"/>
      <c r="BY497" s="92"/>
      <c r="BZ497" s="92"/>
    </row>
    <row r="498" spans="1:78" ht="12.9">
      <c r="A498" s="89"/>
      <c r="B498" s="89"/>
      <c r="C498" s="89"/>
      <c r="D498" s="89"/>
      <c r="E498" s="89"/>
      <c r="F498" s="89"/>
      <c r="G498" s="89"/>
      <c r="H498" s="105"/>
      <c r="I498" s="106"/>
      <c r="J498" s="106"/>
      <c r="K498" s="89"/>
      <c r="L498" s="89"/>
      <c r="M498" s="89"/>
      <c r="N498" s="107"/>
      <c r="O498" s="107"/>
      <c r="P498" s="89"/>
      <c r="Q498" s="89"/>
      <c r="R498" s="89"/>
      <c r="S498" s="89"/>
      <c r="T498" s="89"/>
      <c r="U498" s="89"/>
      <c r="V498" s="89"/>
      <c r="W498" s="89"/>
      <c r="X498" s="89"/>
      <c r="Y498" s="89"/>
      <c r="Z498" s="77"/>
      <c r="AA498" s="77"/>
      <c r="AB498" s="94"/>
      <c r="AC498" s="94"/>
      <c r="AD498" s="94"/>
      <c r="AE498" s="94"/>
      <c r="AF498" s="91"/>
      <c r="AG498" s="92"/>
      <c r="AH498" s="92"/>
      <c r="AI498" s="93"/>
      <c r="AJ498" s="94"/>
      <c r="AK498" s="92"/>
      <c r="AL498" s="94"/>
      <c r="AM498" s="94"/>
      <c r="AN498" s="94"/>
      <c r="AO498" s="94"/>
      <c r="AP498" s="94"/>
      <c r="AQ498" s="94"/>
      <c r="AR498" s="94"/>
      <c r="AS498" s="94"/>
      <c r="AT498" s="94"/>
      <c r="AU498" s="92"/>
      <c r="AV498" s="94"/>
      <c r="AW498" s="94"/>
      <c r="AX498" s="94"/>
      <c r="AY498" s="94"/>
      <c r="AZ498" s="94"/>
      <c r="BA498" s="94"/>
      <c r="BB498" s="94"/>
      <c r="BC498" s="94"/>
      <c r="BD498" s="94"/>
      <c r="BE498" s="94"/>
      <c r="BF498" s="94"/>
      <c r="BG498" s="94"/>
      <c r="BH498" s="94"/>
      <c r="BI498" s="94"/>
      <c r="BJ498" s="94"/>
      <c r="BK498" s="94"/>
      <c r="BL498" s="92"/>
      <c r="BM498" s="94"/>
      <c r="BN498" s="94"/>
      <c r="BO498" s="94"/>
      <c r="BP498" s="94"/>
      <c r="BQ498" s="92"/>
      <c r="BR498" s="92"/>
      <c r="BS498" s="92"/>
      <c r="BT498" s="92"/>
      <c r="BU498" s="92"/>
      <c r="BV498" s="92"/>
      <c r="BW498" s="92"/>
      <c r="BX498" s="92"/>
      <c r="BY498" s="92"/>
      <c r="BZ498" s="92"/>
    </row>
    <row r="499" spans="1:78" ht="12.9">
      <c r="A499" s="89"/>
      <c r="B499" s="89"/>
      <c r="C499" s="89"/>
      <c r="D499" s="89"/>
      <c r="E499" s="89"/>
      <c r="F499" s="89"/>
      <c r="G499" s="89"/>
      <c r="H499" s="105"/>
      <c r="I499" s="106"/>
      <c r="J499" s="106"/>
      <c r="K499" s="89"/>
      <c r="L499" s="89"/>
      <c r="M499" s="89"/>
      <c r="N499" s="107"/>
      <c r="O499" s="107"/>
      <c r="P499" s="89"/>
      <c r="Q499" s="89"/>
      <c r="R499" s="89"/>
      <c r="S499" s="89"/>
      <c r="T499" s="89"/>
      <c r="U499" s="89"/>
      <c r="V499" s="89"/>
      <c r="W499" s="89"/>
      <c r="X499" s="89"/>
      <c r="Y499" s="89"/>
      <c r="Z499" s="77"/>
      <c r="AA499" s="77"/>
      <c r="AB499" s="94"/>
      <c r="AC499" s="94"/>
      <c r="AD499" s="94"/>
      <c r="AE499" s="94"/>
      <c r="AF499" s="91"/>
      <c r="AG499" s="92"/>
      <c r="AH499" s="92"/>
      <c r="AI499" s="93"/>
      <c r="AJ499" s="94"/>
      <c r="AK499" s="92"/>
      <c r="AL499" s="94"/>
      <c r="AM499" s="94"/>
      <c r="AN499" s="94"/>
      <c r="AO499" s="94"/>
      <c r="AP499" s="94"/>
      <c r="AQ499" s="94"/>
      <c r="AR499" s="94"/>
      <c r="AS499" s="94"/>
      <c r="AT499" s="94"/>
      <c r="AU499" s="92"/>
      <c r="AV499" s="94"/>
      <c r="AW499" s="94"/>
      <c r="AX499" s="94"/>
      <c r="AY499" s="94"/>
      <c r="AZ499" s="94"/>
      <c r="BA499" s="94"/>
      <c r="BB499" s="94"/>
      <c r="BC499" s="94"/>
      <c r="BD499" s="94"/>
      <c r="BE499" s="94"/>
      <c r="BF499" s="94"/>
      <c r="BG499" s="94"/>
      <c r="BH499" s="94"/>
      <c r="BI499" s="94"/>
      <c r="BJ499" s="94"/>
      <c r="BK499" s="94"/>
      <c r="BL499" s="92"/>
      <c r="BM499" s="94"/>
      <c r="BN499" s="94"/>
      <c r="BO499" s="94"/>
      <c r="BP499" s="94"/>
      <c r="BQ499" s="92"/>
      <c r="BR499" s="92"/>
      <c r="BS499" s="92"/>
      <c r="BT499" s="92"/>
      <c r="BU499" s="92"/>
      <c r="BV499" s="92"/>
      <c r="BW499" s="92"/>
      <c r="BX499" s="92"/>
      <c r="BY499" s="92"/>
      <c r="BZ499" s="92"/>
    </row>
    <row r="500" spans="1:78" ht="12.9">
      <c r="A500" s="89"/>
      <c r="B500" s="89"/>
      <c r="C500" s="89"/>
      <c r="D500" s="89"/>
      <c r="E500" s="89"/>
      <c r="F500" s="89"/>
      <c r="G500" s="89"/>
      <c r="H500" s="105"/>
      <c r="I500" s="106"/>
      <c r="J500" s="106"/>
      <c r="K500" s="89"/>
      <c r="L500" s="89"/>
      <c r="M500" s="89"/>
      <c r="N500" s="107"/>
      <c r="O500" s="107"/>
      <c r="P500" s="89"/>
      <c r="Q500" s="89"/>
      <c r="R500" s="89"/>
      <c r="S500" s="89"/>
      <c r="T500" s="89"/>
      <c r="U500" s="89"/>
      <c r="V500" s="89"/>
      <c r="W500" s="89"/>
      <c r="X500" s="89"/>
      <c r="Y500" s="89"/>
      <c r="Z500" s="77"/>
      <c r="AA500" s="77"/>
      <c r="AB500" s="94"/>
      <c r="AC500" s="94"/>
      <c r="AD500" s="94"/>
      <c r="AE500" s="94"/>
      <c r="AF500" s="91"/>
      <c r="AG500" s="92"/>
      <c r="AH500" s="92"/>
      <c r="AI500" s="93"/>
      <c r="AJ500" s="94"/>
      <c r="AK500" s="92"/>
      <c r="AL500" s="94"/>
      <c r="AM500" s="94"/>
      <c r="AN500" s="94"/>
      <c r="AO500" s="94"/>
      <c r="AP500" s="94"/>
      <c r="AQ500" s="94"/>
      <c r="AR500" s="94"/>
      <c r="AS500" s="94"/>
      <c r="AT500" s="94"/>
      <c r="AU500" s="92"/>
      <c r="AV500" s="94"/>
      <c r="AW500" s="94"/>
      <c r="AX500" s="94"/>
      <c r="AY500" s="94"/>
      <c r="AZ500" s="94"/>
      <c r="BA500" s="94"/>
      <c r="BB500" s="94"/>
      <c r="BC500" s="94"/>
      <c r="BD500" s="94"/>
      <c r="BE500" s="94"/>
      <c r="BF500" s="94"/>
      <c r="BG500" s="94"/>
      <c r="BH500" s="94"/>
      <c r="BI500" s="94"/>
      <c r="BJ500" s="94"/>
      <c r="BK500" s="94"/>
      <c r="BL500" s="92"/>
      <c r="BM500" s="94"/>
      <c r="BN500" s="94"/>
      <c r="BO500" s="94"/>
      <c r="BP500" s="94"/>
      <c r="BQ500" s="92"/>
      <c r="BR500" s="92"/>
      <c r="BS500" s="92"/>
      <c r="BT500" s="92"/>
      <c r="BU500" s="92"/>
      <c r="BV500" s="92"/>
      <c r="BW500" s="92"/>
      <c r="BX500" s="92"/>
      <c r="BY500" s="92"/>
      <c r="BZ500" s="92"/>
    </row>
    <row r="501" spans="1:78" ht="12.9">
      <c r="A501" s="89"/>
      <c r="B501" s="89"/>
      <c r="C501" s="89"/>
      <c r="D501" s="89"/>
      <c r="E501" s="89"/>
      <c r="F501" s="89"/>
      <c r="G501" s="89"/>
      <c r="H501" s="105"/>
      <c r="I501" s="106"/>
      <c r="J501" s="106"/>
      <c r="K501" s="89"/>
      <c r="L501" s="89"/>
      <c r="M501" s="89"/>
      <c r="N501" s="107"/>
      <c r="O501" s="107"/>
      <c r="P501" s="89"/>
      <c r="Q501" s="89"/>
      <c r="R501" s="89"/>
      <c r="S501" s="89"/>
      <c r="T501" s="89"/>
      <c r="U501" s="89"/>
      <c r="V501" s="89"/>
      <c r="W501" s="89"/>
      <c r="X501" s="89"/>
      <c r="Y501" s="89"/>
      <c r="Z501" s="77"/>
      <c r="AA501" s="77"/>
      <c r="AB501" s="94"/>
      <c r="AC501" s="94"/>
      <c r="AD501" s="94"/>
      <c r="AE501" s="94"/>
      <c r="AF501" s="91"/>
      <c r="AG501" s="92"/>
      <c r="AH501" s="92"/>
      <c r="AI501" s="93"/>
      <c r="AJ501" s="94"/>
      <c r="AK501" s="92"/>
      <c r="AL501" s="94"/>
      <c r="AM501" s="94"/>
      <c r="AN501" s="94"/>
      <c r="AO501" s="94"/>
      <c r="AP501" s="94"/>
      <c r="AQ501" s="94"/>
      <c r="AR501" s="94"/>
      <c r="AS501" s="94"/>
      <c r="AT501" s="94"/>
      <c r="AU501" s="92"/>
      <c r="AV501" s="94"/>
      <c r="AW501" s="94"/>
      <c r="AX501" s="94"/>
      <c r="AY501" s="94"/>
      <c r="AZ501" s="94"/>
      <c r="BA501" s="94"/>
      <c r="BB501" s="94"/>
      <c r="BC501" s="94"/>
      <c r="BD501" s="94"/>
      <c r="BE501" s="94"/>
      <c r="BF501" s="94"/>
      <c r="BG501" s="94"/>
      <c r="BH501" s="94"/>
      <c r="BI501" s="94"/>
      <c r="BJ501" s="94"/>
      <c r="BK501" s="94"/>
      <c r="BL501" s="92"/>
      <c r="BM501" s="94"/>
      <c r="BN501" s="94"/>
      <c r="BO501" s="94"/>
      <c r="BP501" s="94"/>
      <c r="BQ501" s="92"/>
      <c r="BR501" s="92"/>
      <c r="BS501" s="92"/>
      <c r="BT501" s="92"/>
      <c r="BU501" s="92"/>
      <c r="BV501" s="92"/>
      <c r="BW501" s="92"/>
      <c r="BX501" s="92"/>
      <c r="BY501" s="92"/>
      <c r="BZ501" s="92"/>
    </row>
    <row r="502" spans="1:78" ht="12.9">
      <c r="A502" s="89"/>
      <c r="B502" s="89"/>
      <c r="C502" s="89"/>
      <c r="D502" s="89"/>
      <c r="E502" s="89"/>
      <c r="F502" s="89"/>
      <c r="G502" s="89"/>
      <c r="H502" s="105"/>
      <c r="I502" s="106"/>
      <c r="J502" s="106"/>
      <c r="K502" s="89"/>
      <c r="L502" s="89"/>
      <c r="M502" s="89"/>
      <c r="N502" s="107"/>
      <c r="O502" s="107"/>
      <c r="P502" s="89"/>
      <c r="Q502" s="89"/>
      <c r="R502" s="89"/>
      <c r="S502" s="89"/>
      <c r="T502" s="89"/>
      <c r="U502" s="89"/>
      <c r="V502" s="89"/>
      <c r="W502" s="89"/>
      <c r="X502" s="89"/>
      <c r="Y502" s="89"/>
      <c r="Z502" s="77"/>
      <c r="AA502" s="77"/>
      <c r="AB502" s="94"/>
      <c r="AC502" s="94"/>
      <c r="AD502" s="94"/>
      <c r="AE502" s="94"/>
      <c r="AF502" s="91"/>
      <c r="AG502" s="92"/>
      <c r="AH502" s="92"/>
      <c r="AI502" s="93"/>
      <c r="AJ502" s="94"/>
      <c r="AK502" s="92"/>
      <c r="AL502" s="94"/>
      <c r="AM502" s="94"/>
      <c r="AN502" s="94"/>
      <c r="AO502" s="94"/>
      <c r="AP502" s="94"/>
      <c r="AQ502" s="94"/>
      <c r="AR502" s="94"/>
      <c r="AS502" s="94"/>
      <c r="AT502" s="94"/>
      <c r="AU502" s="92"/>
      <c r="AV502" s="94"/>
      <c r="AW502" s="94"/>
      <c r="AX502" s="94"/>
      <c r="AY502" s="94"/>
      <c r="AZ502" s="94"/>
      <c r="BA502" s="94"/>
      <c r="BB502" s="94"/>
      <c r="BC502" s="94"/>
      <c r="BD502" s="94"/>
      <c r="BE502" s="94"/>
      <c r="BF502" s="94"/>
      <c r="BG502" s="94"/>
      <c r="BH502" s="94"/>
      <c r="BI502" s="94"/>
      <c r="BJ502" s="94"/>
      <c r="BK502" s="94"/>
      <c r="BL502" s="92"/>
      <c r="BM502" s="94"/>
      <c r="BN502" s="94"/>
      <c r="BO502" s="94"/>
      <c r="BP502" s="94"/>
      <c r="BQ502" s="92"/>
      <c r="BR502" s="92"/>
      <c r="BS502" s="92"/>
      <c r="BT502" s="92"/>
      <c r="BU502" s="92"/>
      <c r="BV502" s="92"/>
      <c r="BW502" s="92"/>
      <c r="BX502" s="92"/>
      <c r="BY502" s="92"/>
      <c r="BZ502" s="92"/>
    </row>
    <row r="503" spans="1:78" ht="12.9">
      <c r="A503" s="89"/>
      <c r="B503" s="89"/>
      <c r="C503" s="89"/>
      <c r="D503" s="89"/>
      <c r="E503" s="89"/>
      <c r="F503" s="89"/>
      <c r="G503" s="89"/>
      <c r="H503" s="105"/>
      <c r="I503" s="106"/>
      <c r="J503" s="106"/>
      <c r="K503" s="89"/>
      <c r="L503" s="89"/>
      <c r="M503" s="89"/>
      <c r="N503" s="107"/>
      <c r="O503" s="107"/>
      <c r="P503" s="89"/>
      <c r="Q503" s="89"/>
      <c r="R503" s="89"/>
      <c r="S503" s="89"/>
      <c r="T503" s="89"/>
      <c r="U503" s="89"/>
      <c r="V503" s="89"/>
      <c r="W503" s="89"/>
      <c r="X503" s="89"/>
      <c r="Y503" s="89"/>
      <c r="Z503" s="77"/>
      <c r="AA503" s="77"/>
      <c r="AB503" s="94"/>
      <c r="AC503" s="94"/>
      <c r="AD503" s="94"/>
      <c r="AE503" s="94"/>
      <c r="AF503" s="91"/>
      <c r="AG503" s="92"/>
      <c r="AH503" s="92"/>
      <c r="AI503" s="93"/>
      <c r="AJ503" s="94"/>
      <c r="AK503" s="92"/>
      <c r="AL503" s="94"/>
      <c r="AM503" s="94"/>
      <c r="AN503" s="94"/>
      <c r="AO503" s="94"/>
      <c r="AP503" s="94"/>
      <c r="AQ503" s="94"/>
      <c r="AR503" s="94"/>
      <c r="AS503" s="94"/>
      <c r="AT503" s="94"/>
      <c r="AU503" s="92"/>
      <c r="AV503" s="94"/>
      <c r="AW503" s="94"/>
      <c r="AX503" s="94"/>
      <c r="AY503" s="94"/>
      <c r="AZ503" s="94"/>
      <c r="BA503" s="94"/>
      <c r="BB503" s="94"/>
      <c r="BC503" s="94"/>
      <c r="BD503" s="94"/>
      <c r="BE503" s="94"/>
      <c r="BF503" s="94"/>
      <c r="BG503" s="94"/>
      <c r="BH503" s="94"/>
      <c r="BI503" s="94"/>
      <c r="BJ503" s="94"/>
      <c r="BK503" s="94"/>
      <c r="BL503" s="92"/>
      <c r="BM503" s="94"/>
      <c r="BN503" s="94"/>
      <c r="BO503" s="94"/>
      <c r="BP503" s="94"/>
      <c r="BQ503" s="92"/>
      <c r="BR503" s="92"/>
      <c r="BS503" s="92"/>
      <c r="BT503" s="92"/>
      <c r="BU503" s="92"/>
      <c r="BV503" s="92"/>
      <c r="BW503" s="92"/>
      <c r="BX503" s="92"/>
      <c r="BY503" s="92"/>
      <c r="BZ503" s="92"/>
    </row>
    <row r="504" spans="1:78" ht="12.9">
      <c r="A504" s="89"/>
      <c r="B504" s="89"/>
      <c r="C504" s="89"/>
      <c r="D504" s="89"/>
      <c r="E504" s="89"/>
      <c r="F504" s="89"/>
      <c r="G504" s="89"/>
      <c r="H504" s="105"/>
      <c r="I504" s="106"/>
      <c r="J504" s="106"/>
      <c r="K504" s="89"/>
      <c r="L504" s="89"/>
      <c r="M504" s="89"/>
      <c r="N504" s="107"/>
      <c r="O504" s="107"/>
      <c r="P504" s="89"/>
      <c r="Q504" s="89"/>
      <c r="R504" s="89"/>
      <c r="S504" s="89"/>
      <c r="T504" s="89"/>
      <c r="U504" s="89"/>
      <c r="V504" s="89"/>
      <c r="W504" s="89"/>
      <c r="X504" s="89"/>
      <c r="Y504" s="89"/>
      <c r="Z504" s="77"/>
      <c r="AA504" s="77"/>
      <c r="AB504" s="94"/>
      <c r="AC504" s="94"/>
      <c r="AD504" s="94"/>
      <c r="AE504" s="94"/>
      <c r="AF504" s="91"/>
      <c r="AG504" s="92"/>
      <c r="AH504" s="92"/>
      <c r="AI504" s="93"/>
      <c r="AJ504" s="94"/>
      <c r="AK504" s="92"/>
      <c r="AL504" s="94"/>
      <c r="AM504" s="94"/>
      <c r="AN504" s="94"/>
      <c r="AO504" s="94"/>
      <c r="AP504" s="94"/>
      <c r="AQ504" s="94"/>
      <c r="AR504" s="94"/>
      <c r="AS504" s="94"/>
      <c r="AT504" s="94"/>
      <c r="AU504" s="92"/>
      <c r="AV504" s="94"/>
      <c r="AW504" s="94"/>
      <c r="AX504" s="94"/>
      <c r="AY504" s="94"/>
      <c r="AZ504" s="94"/>
      <c r="BA504" s="94"/>
      <c r="BB504" s="94"/>
      <c r="BC504" s="94"/>
      <c r="BD504" s="94"/>
      <c r="BE504" s="94"/>
      <c r="BF504" s="94"/>
      <c r="BG504" s="94"/>
      <c r="BH504" s="94"/>
      <c r="BI504" s="94"/>
      <c r="BJ504" s="94"/>
      <c r="BK504" s="94"/>
      <c r="BL504" s="92"/>
      <c r="BM504" s="94"/>
      <c r="BN504" s="94"/>
      <c r="BO504" s="94"/>
      <c r="BP504" s="94"/>
      <c r="BQ504" s="92"/>
      <c r="BR504" s="92"/>
      <c r="BS504" s="92"/>
      <c r="BT504" s="92"/>
      <c r="BU504" s="92"/>
      <c r="BV504" s="92"/>
      <c r="BW504" s="92"/>
      <c r="BX504" s="92"/>
      <c r="BY504" s="92"/>
      <c r="BZ504" s="92"/>
    </row>
    <row r="505" spans="1:78" ht="12.9">
      <c r="A505" s="89"/>
      <c r="B505" s="89"/>
      <c r="C505" s="89"/>
      <c r="D505" s="89"/>
      <c r="E505" s="89"/>
      <c r="F505" s="89"/>
      <c r="G505" s="89"/>
      <c r="H505" s="105"/>
      <c r="I505" s="106"/>
      <c r="J505" s="106"/>
      <c r="K505" s="89"/>
      <c r="L505" s="89"/>
      <c r="M505" s="89"/>
      <c r="N505" s="107"/>
      <c r="O505" s="107"/>
      <c r="P505" s="89"/>
      <c r="Q505" s="89"/>
      <c r="R505" s="89"/>
      <c r="S505" s="89"/>
      <c r="T505" s="89"/>
      <c r="U505" s="89"/>
      <c r="V505" s="89"/>
      <c r="W505" s="89"/>
      <c r="X505" s="89"/>
      <c r="Y505" s="89"/>
      <c r="Z505" s="77"/>
      <c r="AA505" s="77"/>
      <c r="AB505" s="94"/>
      <c r="AC505" s="94"/>
      <c r="AD505" s="94"/>
      <c r="AE505" s="94"/>
      <c r="AF505" s="91"/>
      <c r="AG505" s="92"/>
      <c r="AH505" s="92"/>
      <c r="AI505" s="93"/>
      <c r="AJ505" s="94"/>
      <c r="AK505" s="92"/>
      <c r="AL505" s="94"/>
      <c r="AM505" s="94"/>
      <c r="AN505" s="94"/>
      <c r="AO505" s="94"/>
      <c r="AP505" s="94"/>
      <c r="AQ505" s="94"/>
      <c r="AR505" s="94"/>
      <c r="AS505" s="94"/>
      <c r="AT505" s="94"/>
      <c r="AU505" s="92"/>
      <c r="AV505" s="94"/>
      <c r="AW505" s="94"/>
      <c r="AX505" s="94"/>
      <c r="AY505" s="94"/>
      <c r="AZ505" s="94"/>
      <c r="BA505" s="94"/>
      <c r="BB505" s="94"/>
      <c r="BC505" s="94"/>
      <c r="BD505" s="94"/>
      <c r="BE505" s="94"/>
      <c r="BF505" s="94"/>
      <c r="BG505" s="94"/>
      <c r="BH505" s="94"/>
      <c r="BI505" s="94"/>
      <c r="BJ505" s="94"/>
      <c r="BK505" s="94"/>
      <c r="BL505" s="92"/>
      <c r="BM505" s="94"/>
      <c r="BN505" s="94"/>
      <c r="BO505" s="94"/>
      <c r="BP505" s="94"/>
      <c r="BQ505" s="92"/>
      <c r="BR505" s="92"/>
      <c r="BS505" s="92"/>
      <c r="BT505" s="92"/>
      <c r="BU505" s="92"/>
      <c r="BV505" s="92"/>
      <c r="BW505" s="92"/>
      <c r="BX505" s="92"/>
      <c r="BY505" s="92"/>
      <c r="BZ505" s="92"/>
    </row>
    <row r="506" spans="1:78" ht="12.9">
      <c r="A506" s="89"/>
      <c r="B506" s="89"/>
      <c r="C506" s="89"/>
      <c r="D506" s="89"/>
      <c r="E506" s="89"/>
      <c r="F506" s="89"/>
      <c r="G506" s="89"/>
      <c r="H506" s="105"/>
      <c r="I506" s="106"/>
      <c r="J506" s="106"/>
      <c r="K506" s="89"/>
      <c r="L506" s="89"/>
      <c r="M506" s="89"/>
      <c r="N506" s="107"/>
      <c r="O506" s="107"/>
      <c r="P506" s="89"/>
      <c r="Q506" s="89"/>
      <c r="R506" s="89"/>
      <c r="S506" s="89"/>
      <c r="T506" s="89"/>
      <c r="U506" s="89"/>
      <c r="V506" s="89"/>
      <c r="W506" s="89"/>
      <c r="X506" s="89"/>
      <c r="Y506" s="89"/>
      <c r="Z506" s="77"/>
      <c r="AA506" s="77"/>
      <c r="AB506" s="94"/>
      <c r="AC506" s="94"/>
      <c r="AD506" s="94"/>
      <c r="AE506" s="94"/>
      <c r="AF506" s="91"/>
      <c r="AG506" s="92"/>
      <c r="AH506" s="92"/>
      <c r="AI506" s="93"/>
      <c r="AJ506" s="94"/>
      <c r="AK506" s="92"/>
      <c r="AL506" s="94"/>
      <c r="AM506" s="94"/>
      <c r="AN506" s="94"/>
      <c r="AO506" s="94"/>
      <c r="AP506" s="94"/>
      <c r="AQ506" s="94"/>
      <c r="AR506" s="94"/>
      <c r="AS506" s="94"/>
      <c r="AT506" s="94"/>
      <c r="AU506" s="92"/>
      <c r="AV506" s="94"/>
      <c r="AW506" s="94"/>
      <c r="AX506" s="94"/>
      <c r="AY506" s="94"/>
      <c r="AZ506" s="94"/>
      <c r="BA506" s="94"/>
      <c r="BB506" s="94"/>
      <c r="BC506" s="94"/>
      <c r="BD506" s="94"/>
      <c r="BE506" s="94"/>
      <c r="BF506" s="94"/>
      <c r="BG506" s="94"/>
      <c r="BH506" s="94"/>
      <c r="BI506" s="94"/>
      <c r="BJ506" s="94"/>
      <c r="BK506" s="94"/>
      <c r="BL506" s="92"/>
      <c r="BM506" s="94"/>
      <c r="BN506" s="94"/>
      <c r="BO506" s="94"/>
      <c r="BP506" s="94"/>
      <c r="BQ506" s="92"/>
      <c r="BR506" s="92"/>
      <c r="BS506" s="92"/>
      <c r="BT506" s="92"/>
      <c r="BU506" s="92"/>
      <c r="BV506" s="92"/>
      <c r="BW506" s="92"/>
      <c r="BX506" s="92"/>
      <c r="BY506" s="92"/>
      <c r="BZ506" s="92"/>
    </row>
    <row r="507" spans="1:78" ht="12.9">
      <c r="A507" s="89"/>
      <c r="B507" s="89"/>
      <c r="C507" s="89"/>
      <c r="D507" s="89"/>
      <c r="E507" s="89"/>
      <c r="F507" s="89"/>
      <c r="G507" s="89"/>
      <c r="H507" s="105"/>
      <c r="I507" s="106"/>
      <c r="J507" s="106"/>
      <c r="K507" s="89"/>
      <c r="L507" s="89"/>
      <c r="M507" s="89"/>
      <c r="N507" s="107"/>
      <c r="O507" s="107"/>
      <c r="P507" s="89"/>
      <c r="Q507" s="89"/>
      <c r="R507" s="89"/>
      <c r="S507" s="89"/>
      <c r="T507" s="89"/>
      <c r="U507" s="89"/>
      <c r="V507" s="89"/>
      <c r="W507" s="89"/>
      <c r="X507" s="89"/>
      <c r="Y507" s="89"/>
      <c r="Z507" s="77"/>
      <c r="AA507" s="77"/>
      <c r="AB507" s="94"/>
      <c r="AC507" s="94"/>
      <c r="AD507" s="94"/>
      <c r="AE507" s="94"/>
      <c r="AF507" s="91"/>
      <c r="AG507" s="92"/>
      <c r="AH507" s="92"/>
      <c r="AI507" s="93"/>
      <c r="AJ507" s="94"/>
      <c r="AK507" s="92"/>
      <c r="AL507" s="94"/>
      <c r="AM507" s="94"/>
      <c r="AN507" s="94"/>
      <c r="AO507" s="94"/>
      <c r="AP507" s="94"/>
      <c r="AQ507" s="94"/>
      <c r="AR507" s="94"/>
      <c r="AS507" s="94"/>
      <c r="AT507" s="94"/>
      <c r="AU507" s="92"/>
      <c r="AV507" s="94"/>
      <c r="AW507" s="94"/>
      <c r="AX507" s="94"/>
      <c r="AY507" s="94"/>
      <c r="AZ507" s="94"/>
      <c r="BA507" s="94"/>
      <c r="BB507" s="94"/>
      <c r="BC507" s="94"/>
      <c r="BD507" s="94"/>
      <c r="BE507" s="94"/>
      <c r="BF507" s="94"/>
      <c r="BG507" s="94"/>
      <c r="BH507" s="94"/>
      <c r="BI507" s="94"/>
      <c r="BJ507" s="94"/>
      <c r="BK507" s="94"/>
      <c r="BL507" s="92"/>
      <c r="BM507" s="94"/>
      <c r="BN507" s="94"/>
      <c r="BO507" s="94"/>
      <c r="BP507" s="94"/>
      <c r="BQ507" s="92"/>
      <c r="BR507" s="92"/>
      <c r="BS507" s="92"/>
      <c r="BT507" s="92"/>
      <c r="BU507" s="92"/>
      <c r="BV507" s="92"/>
      <c r="BW507" s="92"/>
      <c r="BX507" s="92"/>
      <c r="BY507" s="92"/>
      <c r="BZ507" s="92"/>
    </row>
    <row r="508" spans="1:78" ht="12.9">
      <c r="A508" s="89"/>
      <c r="B508" s="89"/>
      <c r="C508" s="89"/>
      <c r="D508" s="89"/>
      <c r="E508" s="89"/>
      <c r="F508" s="89"/>
      <c r="G508" s="89"/>
      <c r="H508" s="105"/>
      <c r="I508" s="106"/>
      <c r="J508" s="106"/>
      <c r="K508" s="89"/>
      <c r="L508" s="89"/>
      <c r="M508" s="89"/>
      <c r="N508" s="107"/>
      <c r="O508" s="107"/>
      <c r="P508" s="89"/>
      <c r="Q508" s="89"/>
      <c r="R508" s="89"/>
      <c r="S508" s="89"/>
      <c r="T508" s="89"/>
      <c r="U508" s="89"/>
      <c r="V508" s="89"/>
      <c r="W508" s="89"/>
      <c r="X508" s="89"/>
      <c r="Y508" s="89"/>
      <c r="Z508" s="77"/>
      <c r="AA508" s="77"/>
      <c r="AB508" s="94"/>
      <c r="AC508" s="94"/>
      <c r="AD508" s="94"/>
      <c r="AE508" s="94"/>
      <c r="AF508" s="91"/>
      <c r="AG508" s="92"/>
      <c r="AH508" s="92"/>
      <c r="AI508" s="93"/>
      <c r="AJ508" s="94"/>
      <c r="AK508" s="92"/>
      <c r="AL508" s="94"/>
      <c r="AM508" s="94"/>
      <c r="AN508" s="94"/>
      <c r="AO508" s="94"/>
      <c r="AP508" s="94"/>
      <c r="AQ508" s="94"/>
      <c r="AR508" s="94"/>
      <c r="AS508" s="94"/>
      <c r="AT508" s="94"/>
      <c r="AU508" s="92"/>
      <c r="AV508" s="94"/>
      <c r="AW508" s="94"/>
      <c r="AX508" s="94"/>
      <c r="AY508" s="94"/>
      <c r="AZ508" s="94"/>
      <c r="BA508" s="94"/>
      <c r="BB508" s="94"/>
      <c r="BC508" s="94"/>
      <c r="BD508" s="94"/>
      <c r="BE508" s="94"/>
      <c r="BF508" s="94"/>
      <c r="BG508" s="94"/>
      <c r="BH508" s="94"/>
      <c r="BI508" s="94"/>
      <c r="BJ508" s="94"/>
      <c r="BK508" s="94"/>
      <c r="BL508" s="92"/>
      <c r="BM508" s="94"/>
      <c r="BN508" s="94"/>
      <c r="BO508" s="94"/>
      <c r="BP508" s="94"/>
      <c r="BQ508" s="92"/>
      <c r="BR508" s="92"/>
      <c r="BS508" s="92"/>
      <c r="BT508" s="92"/>
      <c r="BU508" s="92"/>
      <c r="BV508" s="92"/>
      <c r="BW508" s="92"/>
      <c r="BX508" s="92"/>
      <c r="BY508" s="92"/>
      <c r="BZ508" s="92"/>
    </row>
    <row r="509" spans="1:78" ht="12.9">
      <c r="A509" s="89"/>
      <c r="B509" s="89"/>
      <c r="C509" s="89"/>
      <c r="D509" s="89"/>
      <c r="E509" s="89"/>
      <c r="F509" s="89"/>
      <c r="G509" s="89"/>
      <c r="H509" s="105"/>
      <c r="I509" s="106"/>
      <c r="J509" s="106"/>
      <c r="K509" s="89"/>
      <c r="L509" s="89"/>
      <c r="M509" s="89"/>
      <c r="N509" s="107"/>
      <c r="O509" s="107"/>
      <c r="P509" s="89"/>
      <c r="Q509" s="89"/>
      <c r="R509" s="89"/>
      <c r="S509" s="89"/>
      <c r="T509" s="89"/>
      <c r="U509" s="89"/>
      <c r="V509" s="89"/>
      <c r="W509" s="89"/>
      <c r="X509" s="89"/>
      <c r="Y509" s="89"/>
      <c r="Z509" s="77"/>
      <c r="AA509" s="77"/>
      <c r="AB509" s="94"/>
      <c r="AC509" s="94"/>
      <c r="AD509" s="94"/>
      <c r="AE509" s="94"/>
      <c r="AF509" s="91"/>
      <c r="AG509" s="92"/>
      <c r="AH509" s="92"/>
      <c r="AI509" s="93"/>
      <c r="AJ509" s="94"/>
      <c r="AK509" s="92"/>
      <c r="AL509" s="94"/>
      <c r="AM509" s="94"/>
      <c r="AN509" s="94"/>
      <c r="AO509" s="94"/>
      <c r="AP509" s="94"/>
      <c r="AQ509" s="94"/>
      <c r="AR509" s="94"/>
      <c r="AS509" s="94"/>
      <c r="AT509" s="94"/>
      <c r="AU509" s="92"/>
      <c r="AV509" s="94"/>
      <c r="AW509" s="94"/>
      <c r="AX509" s="94"/>
      <c r="AY509" s="94"/>
      <c r="AZ509" s="94"/>
      <c r="BA509" s="94"/>
      <c r="BB509" s="94"/>
      <c r="BC509" s="94"/>
      <c r="BD509" s="94"/>
      <c r="BE509" s="94"/>
      <c r="BF509" s="94"/>
      <c r="BG509" s="94"/>
      <c r="BH509" s="94"/>
      <c r="BI509" s="94"/>
      <c r="BJ509" s="94"/>
      <c r="BK509" s="94"/>
      <c r="BL509" s="92"/>
      <c r="BM509" s="94"/>
      <c r="BN509" s="94"/>
      <c r="BO509" s="94"/>
      <c r="BP509" s="94"/>
      <c r="BQ509" s="92"/>
      <c r="BR509" s="92"/>
      <c r="BS509" s="92"/>
      <c r="BT509" s="92"/>
      <c r="BU509" s="92"/>
      <c r="BV509" s="92"/>
      <c r="BW509" s="92"/>
      <c r="BX509" s="92"/>
      <c r="BY509" s="92"/>
      <c r="BZ509" s="92"/>
    </row>
    <row r="510" spans="1:78" ht="12.9">
      <c r="A510" s="89"/>
      <c r="B510" s="89"/>
      <c r="C510" s="89"/>
      <c r="D510" s="89"/>
      <c r="E510" s="89"/>
      <c r="F510" s="89"/>
      <c r="G510" s="89"/>
      <c r="H510" s="105"/>
      <c r="I510" s="106"/>
      <c r="J510" s="106"/>
      <c r="K510" s="89"/>
      <c r="L510" s="89"/>
      <c r="M510" s="89"/>
      <c r="N510" s="107"/>
      <c r="O510" s="107"/>
      <c r="P510" s="89"/>
      <c r="Q510" s="89"/>
      <c r="R510" s="89"/>
      <c r="S510" s="89"/>
      <c r="T510" s="89"/>
      <c r="U510" s="89"/>
      <c r="V510" s="89"/>
      <c r="W510" s="89"/>
      <c r="X510" s="89"/>
      <c r="Y510" s="89"/>
      <c r="Z510" s="77"/>
      <c r="AA510" s="77"/>
      <c r="AB510" s="94"/>
      <c r="AC510" s="94"/>
      <c r="AD510" s="94"/>
      <c r="AE510" s="94"/>
      <c r="AF510" s="91"/>
      <c r="AG510" s="92"/>
      <c r="AH510" s="92"/>
      <c r="AI510" s="93"/>
      <c r="AJ510" s="94"/>
      <c r="AK510" s="92"/>
      <c r="AL510" s="94"/>
      <c r="AM510" s="94"/>
      <c r="AN510" s="94"/>
      <c r="AO510" s="94"/>
      <c r="AP510" s="94"/>
      <c r="AQ510" s="94"/>
      <c r="AR510" s="94"/>
      <c r="AS510" s="94"/>
      <c r="AT510" s="94"/>
      <c r="AU510" s="92"/>
      <c r="AV510" s="94"/>
      <c r="AW510" s="94"/>
      <c r="AX510" s="94"/>
      <c r="AY510" s="94"/>
      <c r="AZ510" s="94"/>
      <c r="BA510" s="94"/>
      <c r="BB510" s="94"/>
      <c r="BC510" s="94"/>
      <c r="BD510" s="94"/>
      <c r="BE510" s="94"/>
      <c r="BF510" s="94"/>
      <c r="BG510" s="94"/>
      <c r="BH510" s="94"/>
      <c r="BI510" s="94"/>
      <c r="BJ510" s="94"/>
      <c r="BK510" s="94"/>
      <c r="BL510" s="92"/>
      <c r="BM510" s="94"/>
      <c r="BN510" s="94"/>
      <c r="BO510" s="94"/>
      <c r="BP510" s="94"/>
      <c r="BQ510" s="92"/>
      <c r="BR510" s="92"/>
      <c r="BS510" s="92"/>
      <c r="BT510" s="92"/>
      <c r="BU510" s="92"/>
      <c r="BV510" s="92"/>
      <c r="BW510" s="92"/>
      <c r="BX510" s="92"/>
      <c r="BY510" s="92"/>
      <c r="BZ510" s="92"/>
    </row>
    <row r="511" spans="1:78" ht="12.9">
      <c r="A511" s="89"/>
      <c r="B511" s="89"/>
      <c r="C511" s="89"/>
      <c r="D511" s="89"/>
      <c r="E511" s="89"/>
      <c r="F511" s="89"/>
      <c r="G511" s="89"/>
      <c r="H511" s="105"/>
      <c r="I511" s="106"/>
      <c r="J511" s="106"/>
      <c r="K511" s="89"/>
      <c r="L511" s="89"/>
      <c r="M511" s="89"/>
      <c r="N511" s="107"/>
      <c r="O511" s="107"/>
      <c r="P511" s="89"/>
      <c r="Q511" s="89"/>
      <c r="R511" s="89"/>
      <c r="S511" s="89"/>
      <c r="T511" s="89"/>
      <c r="U511" s="89"/>
      <c r="V511" s="89"/>
      <c r="W511" s="89"/>
      <c r="X511" s="89"/>
      <c r="Y511" s="89"/>
      <c r="Z511" s="77"/>
      <c r="AA511" s="77"/>
      <c r="AB511" s="94"/>
      <c r="AC511" s="94"/>
      <c r="AD511" s="94"/>
      <c r="AE511" s="94"/>
      <c r="AF511" s="91"/>
      <c r="AG511" s="92"/>
      <c r="AH511" s="92"/>
      <c r="AI511" s="93"/>
      <c r="AJ511" s="94"/>
      <c r="AK511" s="92"/>
      <c r="AL511" s="94"/>
      <c r="AM511" s="94"/>
      <c r="AN511" s="94"/>
      <c r="AO511" s="94"/>
      <c r="AP511" s="94"/>
      <c r="AQ511" s="94"/>
      <c r="AR511" s="94"/>
      <c r="AS511" s="94"/>
      <c r="AT511" s="94"/>
      <c r="AU511" s="92"/>
      <c r="AV511" s="94"/>
      <c r="AW511" s="94"/>
      <c r="AX511" s="94"/>
      <c r="AY511" s="94"/>
      <c r="AZ511" s="94"/>
      <c r="BA511" s="94"/>
      <c r="BB511" s="94"/>
      <c r="BC511" s="94"/>
      <c r="BD511" s="94"/>
      <c r="BE511" s="94"/>
      <c r="BF511" s="94"/>
      <c r="BG511" s="94"/>
      <c r="BH511" s="94"/>
      <c r="BI511" s="94"/>
      <c r="BJ511" s="94"/>
      <c r="BK511" s="94"/>
      <c r="BL511" s="92"/>
      <c r="BM511" s="94"/>
      <c r="BN511" s="94"/>
      <c r="BO511" s="94"/>
      <c r="BP511" s="94"/>
      <c r="BQ511" s="92"/>
      <c r="BR511" s="92"/>
      <c r="BS511" s="92"/>
      <c r="BT511" s="92"/>
      <c r="BU511" s="92"/>
      <c r="BV511" s="92"/>
      <c r="BW511" s="92"/>
      <c r="BX511" s="92"/>
      <c r="BY511" s="92"/>
      <c r="BZ511" s="92"/>
    </row>
    <row r="512" spans="1:78" ht="12.9">
      <c r="A512" s="89"/>
      <c r="B512" s="89"/>
      <c r="C512" s="89"/>
      <c r="D512" s="89"/>
      <c r="E512" s="89"/>
      <c r="F512" s="89"/>
      <c r="G512" s="89"/>
      <c r="H512" s="105"/>
      <c r="I512" s="106"/>
      <c r="J512" s="106"/>
      <c r="K512" s="89"/>
      <c r="L512" s="89"/>
      <c r="M512" s="89"/>
      <c r="N512" s="107"/>
      <c r="O512" s="107"/>
      <c r="P512" s="89"/>
      <c r="Q512" s="89"/>
      <c r="R512" s="89"/>
      <c r="S512" s="89"/>
      <c r="T512" s="89"/>
      <c r="U512" s="89"/>
      <c r="V512" s="89"/>
      <c r="W512" s="89"/>
      <c r="X512" s="89"/>
      <c r="Y512" s="89"/>
      <c r="Z512" s="77"/>
      <c r="AA512" s="77"/>
      <c r="AB512" s="94"/>
      <c r="AC512" s="94"/>
      <c r="AD512" s="94"/>
      <c r="AE512" s="94"/>
      <c r="AF512" s="91"/>
      <c r="AG512" s="92"/>
      <c r="AH512" s="92"/>
      <c r="AI512" s="93"/>
      <c r="AJ512" s="94"/>
      <c r="AK512" s="92"/>
      <c r="AL512" s="94"/>
      <c r="AM512" s="94"/>
      <c r="AN512" s="94"/>
      <c r="AO512" s="94"/>
      <c r="AP512" s="94"/>
      <c r="AQ512" s="94"/>
      <c r="AR512" s="94"/>
      <c r="AS512" s="94"/>
      <c r="AT512" s="94"/>
      <c r="AU512" s="92"/>
      <c r="AV512" s="94"/>
      <c r="AW512" s="94"/>
      <c r="AX512" s="94"/>
      <c r="AY512" s="94"/>
      <c r="AZ512" s="94"/>
      <c r="BA512" s="94"/>
      <c r="BB512" s="94"/>
      <c r="BC512" s="94"/>
      <c r="BD512" s="94"/>
      <c r="BE512" s="94"/>
      <c r="BF512" s="94"/>
      <c r="BG512" s="94"/>
      <c r="BH512" s="94"/>
      <c r="BI512" s="94"/>
      <c r="BJ512" s="94"/>
      <c r="BK512" s="94"/>
      <c r="BL512" s="92"/>
      <c r="BM512" s="94"/>
      <c r="BN512" s="94"/>
      <c r="BO512" s="94"/>
      <c r="BP512" s="94"/>
      <c r="BQ512" s="92"/>
      <c r="BR512" s="92"/>
      <c r="BS512" s="92"/>
      <c r="BT512" s="92"/>
      <c r="BU512" s="92"/>
      <c r="BV512" s="92"/>
      <c r="BW512" s="92"/>
      <c r="BX512" s="92"/>
      <c r="BY512" s="92"/>
      <c r="BZ512" s="92"/>
    </row>
    <row r="513" spans="1:78" ht="12.9">
      <c r="A513" s="89"/>
      <c r="B513" s="89"/>
      <c r="C513" s="89"/>
      <c r="D513" s="89"/>
      <c r="E513" s="89"/>
      <c r="F513" s="89"/>
      <c r="G513" s="89"/>
      <c r="H513" s="105"/>
      <c r="I513" s="106"/>
      <c r="J513" s="106"/>
      <c r="K513" s="89"/>
      <c r="L513" s="89"/>
      <c r="M513" s="89"/>
      <c r="N513" s="107"/>
      <c r="O513" s="107"/>
      <c r="P513" s="89"/>
      <c r="Q513" s="89"/>
      <c r="R513" s="89"/>
      <c r="S513" s="89"/>
      <c r="T513" s="89"/>
      <c r="U513" s="89"/>
      <c r="V513" s="89"/>
      <c r="W513" s="89"/>
      <c r="X513" s="89"/>
      <c r="Y513" s="89"/>
      <c r="Z513" s="77"/>
      <c r="AA513" s="77"/>
      <c r="AB513" s="94"/>
      <c r="AC513" s="94"/>
      <c r="AD513" s="94"/>
      <c r="AE513" s="94"/>
      <c r="AF513" s="91"/>
      <c r="AG513" s="92"/>
      <c r="AH513" s="92"/>
      <c r="AI513" s="93"/>
      <c r="AJ513" s="94"/>
      <c r="AK513" s="92"/>
      <c r="AL513" s="94"/>
      <c r="AM513" s="94"/>
      <c r="AN513" s="94"/>
      <c r="AO513" s="94"/>
      <c r="AP513" s="94"/>
      <c r="AQ513" s="94"/>
      <c r="AR513" s="94"/>
      <c r="AS513" s="94"/>
      <c r="AT513" s="94"/>
      <c r="AU513" s="92"/>
      <c r="AV513" s="94"/>
      <c r="AW513" s="94"/>
      <c r="AX513" s="94"/>
      <c r="AY513" s="94"/>
      <c r="AZ513" s="94"/>
      <c r="BA513" s="94"/>
      <c r="BB513" s="94"/>
      <c r="BC513" s="94"/>
      <c r="BD513" s="94"/>
      <c r="BE513" s="94"/>
      <c r="BF513" s="94"/>
      <c r="BG513" s="94"/>
      <c r="BH513" s="94"/>
      <c r="BI513" s="94"/>
      <c r="BJ513" s="94"/>
      <c r="BK513" s="94"/>
      <c r="BL513" s="92"/>
      <c r="BM513" s="94"/>
      <c r="BN513" s="94"/>
      <c r="BO513" s="94"/>
      <c r="BP513" s="94"/>
      <c r="BQ513" s="92"/>
      <c r="BR513" s="92"/>
      <c r="BS513" s="92"/>
      <c r="BT513" s="92"/>
      <c r="BU513" s="92"/>
      <c r="BV513" s="92"/>
      <c r="BW513" s="92"/>
      <c r="BX513" s="92"/>
      <c r="BY513" s="92"/>
      <c r="BZ513" s="92"/>
    </row>
    <row r="514" spans="1:78" ht="12.9">
      <c r="A514" s="89"/>
      <c r="B514" s="89"/>
      <c r="C514" s="89"/>
      <c r="D514" s="89"/>
      <c r="E514" s="89"/>
      <c r="F514" s="89"/>
      <c r="G514" s="89"/>
      <c r="H514" s="105"/>
      <c r="I514" s="106"/>
      <c r="J514" s="106"/>
      <c r="K514" s="89"/>
      <c r="L514" s="89"/>
      <c r="M514" s="89"/>
      <c r="N514" s="107"/>
      <c r="O514" s="107"/>
      <c r="P514" s="89"/>
      <c r="Q514" s="89"/>
      <c r="R514" s="89"/>
      <c r="S514" s="89"/>
      <c r="T514" s="89"/>
      <c r="U514" s="89"/>
      <c r="V514" s="89"/>
      <c r="W514" s="89"/>
      <c r="X514" s="89"/>
      <c r="Y514" s="89"/>
      <c r="Z514" s="77"/>
      <c r="AA514" s="77"/>
      <c r="AB514" s="94"/>
      <c r="AC514" s="94"/>
      <c r="AD514" s="94"/>
      <c r="AE514" s="94"/>
      <c r="AF514" s="91"/>
      <c r="AG514" s="92"/>
      <c r="AH514" s="92"/>
      <c r="AI514" s="93"/>
      <c r="AJ514" s="94"/>
      <c r="AK514" s="92"/>
      <c r="AL514" s="94"/>
      <c r="AM514" s="94"/>
      <c r="AN514" s="94"/>
      <c r="AO514" s="94"/>
      <c r="AP514" s="94"/>
      <c r="AQ514" s="94"/>
      <c r="AR514" s="94"/>
      <c r="AS514" s="94"/>
      <c r="AT514" s="94"/>
      <c r="AU514" s="92"/>
      <c r="AV514" s="94"/>
      <c r="AW514" s="94"/>
      <c r="AX514" s="94"/>
      <c r="AY514" s="94"/>
      <c r="AZ514" s="94"/>
      <c r="BA514" s="94"/>
      <c r="BB514" s="94"/>
      <c r="BC514" s="94"/>
      <c r="BD514" s="94"/>
      <c r="BE514" s="94"/>
      <c r="BF514" s="94"/>
      <c r="BG514" s="94"/>
      <c r="BH514" s="94"/>
      <c r="BI514" s="94"/>
      <c r="BJ514" s="94"/>
      <c r="BK514" s="94"/>
      <c r="BL514" s="92"/>
      <c r="BM514" s="94"/>
      <c r="BN514" s="94"/>
      <c r="BO514" s="94"/>
      <c r="BP514" s="94"/>
      <c r="BQ514" s="92"/>
      <c r="BR514" s="92"/>
      <c r="BS514" s="92"/>
      <c r="BT514" s="92"/>
      <c r="BU514" s="92"/>
      <c r="BV514" s="92"/>
      <c r="BW514" s="92"/>
      <c r="BX514" s="92"/>
      <c r="BY514" s="92"/>
      <c r="BZ514" s="92"/>
    </row>
    <row r="515" spans="1:78" ht="12.9">
      <c r="A515" s="89"/>
      <c r="B515" s="89"/>
      <c r="C515" s="89"/>
      <c r="D515" s="89"/>
      <c r="E515" s="89"/>
      <c r="F515" s="89"/>
      <c r="G515" s="89"/>
      <c r="H515" s="105"/>
      <c r="I515" s="106"/>
      <c r="J515" s="106"/>
      <c r="K515" s="89"/>
      <c r="L515" s="89"/>
      <c r="M515" s="89"/>
      <c r="N515" s="107"/>
      <c r="O515" s="107"/>
      <c r="P515" s="89"/>
      <c r="Q515" s="89"/>
      <c r="R515" s="89"/>
      <c r="S515" s="89"/>
      <c r="T515" s="89"/>
      <c r="U515" s="89"/>
      <c r="V515" s="89"/>
      <c r="W515" s="89"/>
      <c r="X515" s="89"/>
      <c r="Y515" s="89"/>
      <c r="Z515" s="77"/>
      <c r="AA515" s="77"/>
      <c r="AB515" s="94"/>
      <c r="AC515" s="94"/>
      <c r="AD515" s="94"/>
      <c r="AE515" s="94"/>
      <c r="AF515" s="91"/>
      <c r="AG515" s="92"/>
      <c r="AH515" s="92"/>
      <c r="AI515" s="93"/>
      <c r="AJ515" s="94"/>
      <c r="AK515" s="92"/>
      <c r="AL515" s="94"/>
      <c r="AM515" s="94"/>
      <c r="AN515" s="94"/>
      <c r="AO515" s="94"/>
      <c r="AP515" s="94"/>
      <c r="AQ515" s="94"/>
      <c r="AR515" s="94"/>
      <c r="AS515" s="94"/>
      <c r="AT515" s="94"/>
      <c r="AU515" s="92"/>
      <c r="AV515" s="94"/>
      <c r="AW515" s="94"/>
      <c r="AX515" s="94"/>
      <c r="AY515" s="94"/>
      <c r="AZ515" s="94"/>
      <c r="BA515" s="94"/>
      <c r="BB515" s="94"/>
      <c r="BC515" s="94"/>
      <c r="BD515" s="94"/>
      <c r="BE515" s="94"/>
      <c r="BF515" s="94"/>
      <c r="BG515" s="94"/>
      <c r="BH515" s="94"/>
      <c r="BI515" s="94"/>
      <c r="BJ515" s="94"/>
      <c r="BK515" s="94"/>
      <c r="BL515" s="92"/>
      <c r="BM515" s="94"/>
      <c r="BN515" s="94"/>
      <c r="BO515" s="94"/>
      <c r="BP515" s="94"/>
      <c r="BQ515" s="92"/>
      <c r="BR515" s="92"/>
      <c r="BS515" s="92"/>
      <c r="BT515" s="92"/>
      <c r="BU515" s="92"/>
      <c r="BV515" s="92"/>
      <c r="BW515" s="92"/>
      <c r="BX515" s="92"/>
      <c r="BY515" s="92"/>
      <c r="BZ515" s="92"/>
    </row>
    <row r="516" spans="1:78" ht="12.9">
      <c r="A516" s="89"/>
      <c r="B516" s="89"/>
      <c r="C516" s="89"/>
      <c r="D516" s="89"/>
      <c r="E516" s="89"/>
      <c r="F516" s="89"/>
      <c r="G516" s="89"/>
      <c r="H516" s="105"/>
      <c r="I516" s="106"/>
      <c r="J516" s="106"/>
      <c r="K516" s="89"/>
      <c r="L516" s="89"/>
      <c r="M516" s="89"/>
      <c r="N516" s="107"/>
      <c r="O516" s="107"/>
      <c r="P516" s="89"/>
      <c r="Q516" s="89"/>
      <c r="R516" s="89"/>
      <c r="S516" s="89"/>
      <c r="T516" s="89"/>
      <c r="U516" s="89"/>
      <c r="V516" s="89"/>
      <c r="W516" s="89"/>
      <c r="X516" s="89"/>
      <c r="Y516" s="89"/>
      <c r="Z516" s="77"/>
      <c r="AA516" s="77"/>
      <c r="AB516" s="94"/>
      <c r="AC516" s="94"/>
      <c r="AD516" s="94"/>
      <c r="AE516" s="94"/>
      <c r="AF516" s="91"/>
      <c r="AG516" s="92"/>
      <c r="AH516" s="92"/>
      <c r="AI516" s="93"/>
      <c r="AJ516" s="94"/>
      <c r="AK516" s="92"/>
      <c r="AL516" s="94"/>
      <c r="AM516" s="94"/>
      <c r="AN516" s="94"/>
      <c r="AO516" s="94"/>
      <c r="AP516" s="94"/>
      <c r="AQ516" s="94"/>
      <c r="AR516" s="94"/>
      <c r="AS516" s="94"/>
      <c r="AT516" s="94"/>
      <c r="AU516" s="92"/>
      <c r="AV516" s="94"/>
      <c r="AW516" s="94"/>
      <c r="AX516" s="94"/>
      <c r="AY516" s="94"/>
      <c r="AZ516" s="94"/>
      <c r="BA516" s="94"/>
      <c r="BB516" s="94"/>
      <c r="BC516" s="94"/>
      <c r="BD516" s="94"/>
      <c r="BE516" s="94"/>
      <c r="BF516" s="94"/>
      <c r="BG516" s="94"/>
      <c r="BH516" s="94"/>
      <c r="BI516" s="94"/>
      <c r="BJ516" s="94"/>
      <c r="BK516" s="94"/>
      <c r="BL516" s="92"/>
      <c r="BM516" s="94"/>
      <c r="BN516" s="94"/>
      <c r="BO516" s="94"/>
      <c r="BP516" s="94"/>
      <c r="BQ516" s="92"/>
      <c r="BR516" s="92"/>
      <c r="BS516" s="92"/>
      <c r="BT516" s="92"/>
      <c r="BU516" s="92"/>
      <c r="BV516" s="92"/>
      <c r="BW516" s="92"/>
      <c r="BX516" s="92"/>
      <c r="BY516" s="92"/>
      <c r="BZ516" s="92"/>
    </row>
    <row r="517" spans="1:78" ht="12.9">
      <c r="A517" s="89"/>
      <c r="B517" s="89"/>
      <c r="C517" s="89"/>
      <c r="D517" s="89"/>
      <c r="E517" s="89"/>
      <c r="F517" s="89"/>
      <c r="G517" s="89"/>
      <c r="H517" s="105"/>
      <c r="I517" s="106"/>
      <c r="J517" s="106"/>
      <c r="K517" s="89"/>
      <c r="L517" s="89"/>
      <c r="M517" s="89"/>
      <c r="N517" s="107"/>
      <c r="O517" s="107"/>
      <c r="P517" s="89"/>
      <c r="Q517" s="89"/>
      <c r="R517" s="89"/>
      <c r="S517" s="89"/>
      <c r="T517" s="89"/>
      <c r="U517" s="89"/>
      <c r="V517" s="89"/>
      <c r="W517" s="89"/>
      <c r="X517" s="89"/>
      <c r="Y517" s="89"/>
      <c r="Z517" s="77"/>
      <c r="AA517" s="77"/>
      <c r="AB517" s="94"/>
      <c r="AC517" s="94"/>
      <c r="AD517" s="94"/>
      <c r="AE517" s="94"/>
      <c r="AF517" s="91"/>
      <c r="AG517" s="92"/>
      <c r="AH517" s="92"/>
      <c r="AI517" s="93"/>
      <c r="AJ517" s="94"/>
      <c r="AK517" s="92"/>
      <c r="AL517" s="94"/>
      <c r="AM517" s="94"/>
      <c r="AN517" s="94"/>
      <c r="AO517" s="94"/>
      <c r="AP517" s="94"/>
      <c r="AQ517" s="94"/>
      <c r="AR517" s="94"/>
      <c r="AS517" s="94"/>
      <c r="AT517" s="94"/>
      <c r="AU517" s="92"/>
      <c r="AV517" s="94"/>
      <c r="AW517" s="94"/>
      <c r="AX517" s="94"/>
      <c r="AY517" s="94"/>
      <c r="AZ517" s="94"/>
      <c r="BA517" s="94"/>
      <c r="BB517" s="94"/>
      <c r="BC517" s="94"/>
      <c r="BD517" s="94"/>
      <c r="BE517" s="94"/>
      <c r="BF517" s="94"/>
      <c r="BG517" s="94"/>
      <c r="BH517" s="94"/>
      <c r="BI517" s="94"/>
      <c r="BJ517" s="94"/>
      <c r="BK517" s="94"/>
      <c r="BL517" s="92"/>
      <c r="BM517" s="94"/>
      <c r="BN517" s="94"/>
      <c r="BO517" s="94"/>
      <c r="BP517" s="94"/>
      <c r="BQ517" s="92"/>
      <c r="BR517" s="92"/>
      <c r="BS517" s="92"/>
      <c r="BT517" s="92"/>
      <c r="BU517" s="92"/>
      <c r="BV517" s="92"/>
      <c r="BW517" s="92"/>
      <c r="BX517" s="92"/>
      <c r="BY517" s="92"/>
      <c r="BZ517" s="92"/>
    </row>
    <row r="518" spans="1:78" ht="12.9">
      <c r="A518" s="89"/>
      <c r="B518" s="89"/>
      <c r="C518" s="89"/>
      <c r="D518" s="89"/>
      <c r="E518" s="89"/>
      <c r="F518" s="89"/>
      <c r="G518" s="89"/>
      <c r="H518" s="105"/>
      <c r="I518" s="106"/>
      <c r="J518" s="106"/>
      <c r="K518" s="89"/>
      <c r="L518" s="89"/>
      <c r="M518" s="89"/>
      <c r="N518" s="107"/>
      <c r="O518" s="107"/>
      <c r="P518" s="89"/>
      <c r="Q518" s="89"/>
      <c r="R518" s="89"/>
      <c r="S518" s="89"/>
      <c r="T518" s="89"/>
      <c r="U518" s="89"/>
      <c r="V518" s="89"/>
      <c r="W518" s="89"/>
      <c r="X518" s="89"/>
      <c r="Y518" s="89"/>
      <c r="Z518" s="77"/>
      <c r="AA518" s="77"/>
      <c r="AB518" s="94"/>
      <c r="AC518" s="94"/>
      <c r="AD518" s="94"/>
      <c r="AE518" s="94"/>
      <c r="AF518" s="91"/>
      <c r="AG518" s="92"/>
      <c r="AH518" s="92"/>
      <c r="AI518" s="93"/>
      <c r="AJ518" s="94"/>
      <c r="AK518" s="92"/>
      <c r="AL518" s="94"/>
      <c r="AM518" s="94"/>
      <c r="AN518" s="94"/>
      <c r="AO518" s="94"/>
      <c r="AP518" s="94"/>
      <c r="AQ518" s="94"/>
      <c r="AR518" s="94"/>
      <c r="AS518" s="94"/>
      <c r="AT518" s="94"/>
      <c r="AU518" s="92"/>
      <c r="AV518" s="94"/>
      <c r="AW518" s="94"/>
      <c r="AX518" s="94"/>
      <c r="AY518" s="94"/>
      <c r="AZ518" s="94"/>
      <c r="BA518" s="94"/>
      <c r="BB518" s="94"/>
      <c r="BC518" s="94"/>
      <c r="BD518" s="94"/>
      <c r="BE518" s="94"/>
      <c r="BF518" s="94"/>
      <c r="BG518" s="94"/>
      <c r="BH518" s="94"/>
      <c r="BI518" s="94"/>
      <c r="BJ518" s="94"/>
      <c r="BK518" s="94"/>
      <c r="BL518" s="92"/>
      <c r="BM518" s="94"/>
      <c r="BN518" s="94"/>
      <c r="BO518" s="94"/>
      <c r="BP518" s="94"/>
      <c r="BQ518" s="92"/>
      <c r="BR518" s="92"/>
      <c r="BS518" s="92"/>
      <c r="BT518" s="92"/>
      <c r="BU518" s="92"/>
      <c r="BV518" s="92"/>
      <c r="BW518" s="92"/>
      <c r="BX518" s="92"/>
      <c r="BY518" s="92"/>
      <c r="BZ518" s="92"/>
    </row>
    <row r="519" spans="1:78" ht="12.9">
      <c r="A519" s="89"/>
      <c r="B519" s="89"/>
      <c r="C519" s="89"/>
      <c r="D519" s="89"/>
      <c r="E519" s="89"/>
      <c r="F519" s="89"/>
      <c r="G519" s="89"/>
      <c r="H519" s="105"/>
      <c r="I519" s="106"/>
      <c r="J519" s="106"/>
      <c r="K519" s="89"/>
      <c r="L519" s="89"/>
      <c r="M519" s="89"/>
      <c r="N519" s="107"/>
      <c r="O519" s="107"/>
      <c r="P519" s="89"/>
      <c r="Q519" s="89"/>
      <c r="R519" s="89"/>
      <c r="S519" s="89"/>
      <c r="T519" s="89"/>
      <c r="U519" s="89"/>
      <c r="V519" s="89"/>
      <c r="W519" s="89"/>
      <c r="X519" s="89"/>
      <c r="Y519" s="89"/>
      <c r="Z519" s="77"/>
      <c r="AA519" s="77"/>
      <c r="AB519" s="94"/>
      <c r="AC519" s="94"/>
      <c r="AD519" s="94"/>
      <c r="AE519" s="94"/>
      <c r="AF519" s="91"/>
      <c r="AG519" s="92"/>
      <c r="AH519" s="92"/>
      <c r="AI519" s="93"/>
      <c r="AJ519" s="94"/>
      <c r="AK519" s="92"/>
      <c r="AL519" s="94"/>
      <c r="AM519" s="94"/>
      <c r="AN519" s="94"/>
      <c r="AO519" s="94"/>
      <c r="AP519" s="94"/>
      <c r="AQ519" s="94"/>
      <c r="AR519" s="94"/>
      <c r="AS519" s="94"/>
      <c r="AT519" s="94"/>
      <c r="AU519" s="92"/>
      <c r="AV519" s="94"/>
      <c r="AW519" s="94"/>
      <c r="AX519" s="94"/>
      <c r="AY519" s="94"/>
      <c r="AZ519" s="94"/>
      <c r="BA519" s="94"/>
      <c r="BB519" s="94"/>
      <c r="BC519" s="94"/>
      <c r="BD519" s="94"/>
      <c r="BE519" s="94"/>
      <c r="BF519" s="94"/>
      <c r="BG519" s="94"/>
      <c r="BH519" s="94"/>
      <c r="BI519" s="94"/>
      <c r="BJ519" s="94"/>
      <c r="BK519" s="94"/>
      <c r="BL519" s="92"/>
      <c r="BM519" s="94"/>
      <c r="BN519" s="94"/>
      <c r="BO519" s="94"/>
      <c r="BP519" s="94"/>
      <c r="BQ519" s="92"/>
      <c r="BR519" s="92"/>
      <c r="BS519" s="92"/>
      <c r="BT519" s="92"/>
      <c r="BU519" s="92"/>
      <c r="BV519" s="92"/>
      <c r="BW519" s="92"/>
      <c r="BX519" s="92"/>
      <c r="BY519" s="92"/>
      <c r="BZ519" s="92"/>
    </row>
    <row r="520" spans="1:78" ht="12.9">
      <c r="A520" s="89"/>
      <c r="B520" s="89"/>
      <c r="C520" s="89"/>
      <c r="D520" s="89"/>
      <c r="E520" s="89"/>
      <c r="F520" s="89"/>
      <c r="G520" s="89"/>
      <c r="H520" s="105"/>
      <c r="I520" s="106"/>
      <c r="J520" s="106"/>
      <c r="K520" s="89"/>
      <c r="L520" s="89"/>
      <c r="M520" s="89"/>
      <c r="N520" s="107"/>
      <c r="O520" s="107"/>
      <c r="P520" s="89"/>
      <c r="Q520" s="89"/>
      <c r="R520" s="89"/>
      <c r="S520" s="89"/>
      <c r="T520" s="89"/>
      <c r="U520" s="89"/>
      <c r="V520" s="89"/>
      <c r="W520" s="89"/>
      <c r="X520" s="89"/>
      <c r="Y520" s="89"/>
      <c r="Z520" s="77"/>
      <c r="AA520" s="77"/>
      <c r="AB520" s="94"/>
      <c r="AC520" s="94"/>
      <c r="AD520" s="94"/>
      <c r="AE520" s="94"/>
      <c r="AF520" s="91"/>
      <c r="AG520" s="92"/>
      <c r="AH520" s="92"/>
      <c r="AI520" s="93"/>
      <c r="AJ520" s="94"/>
      <c r="AK520" s="92"/>
      <c r="AL520" s="94"/>
      <c r="AM520" s="94"/>
      <c r="AN520" s="94"/>
      <c r="AO520" s="94"/>
      <c r="AP520" s="94"/>
      <c r="AQ520" s="94"/>
      <c r="AR520" s="94"/>
      <c r="AS520" s="94"/>
      <c r="AT520" s="94"/>
      <c r="AU520" s="92"/>
      <c r="AV520" s="94"/>
      <c r="AW520" s="94"/>
      <c r="AX520" s="94"/>
      <c r="AY520" s="94"/>
      <c r="AZ520" s="94"/>
      <c r="BA520" s="94"/>
      <c r="BB520" s="94"/>
      <c r="BC520" s="94"/>
      <c r="BD520" s="94"/>
      <c r="BE520" s="94"/>
      <c r="BF520" s="94"/>
      <c r="BG520" s="94"/>
      <c r="BH520" s="94"/>
      <c r="BI520" s="94"/>
      <c r="BJ520" s="94"/>
      <c r="BK520" s="94"/>
      <c r="BL520" s="92"/>
      <c r="BM520" s="94"/>
      <c r="BN520" s="94"/>
      <c r="BO520" s="94"/>
      <c r="BP520" s="94"/>
      <c r="BQ520" s="92"/>
      <c r="BR520" s="92"/>
      <c r="BS520" s="92"/>
      <c r="BT520" s="92"/>
      <c r="BU520" s="92"/>
      <c r="BV520" s="92"/>
      <c r="BW520" s="92"/>
      <c r="BX520" s="92"/>
      <c r="BY520" s="92"/>
      <c r="BZ520" s="92"/>
    </row>
    <row r="521" spans="1:78" ht="12.9">
      <c r="A521" s="89"/>
      <c r="B521" s="89"/>
      <c r="C521" s="89"/>
      <c r="D521" s="89"/>
      <c r="E521" s="89"/>
      <c r="F521" s="89"/>
      <c r="G521" s="89"/>
      <c r="H521" s="105"/>
      <c r="I521" s="106"/>
      <c r="J521" s="106"/>
      <c r="K521" s="89"/>
      <c r="L521" s="89"/>
      <c r="M521" s="89"/>
      <c r="N521" s="107"/>
      <c r="O521" s="107"/>
      <c r="P521" s="89"/>
      <c r="Q521" s="89"/>
      <c r="R521" s="89"/>
      <c r="S521" s="89"/>
      <c r="T521" s="89"/>
      <c r="U521" s="89"/>
      <c r="V521" s="89"/>
      <c r="W521" s="89"/>
      <c r="X521" s="89"/>
      <c r="Y521" s="89"/>
      <c r="Z521" s="77"/>
      <c r="AA521" s="77"/>
      <c r="AB521" s="94"/>
      <c r="AC521" s="94"/>
      <c r="AD521" s="94"/>
      <c r="AE521" s="94"/>
      <c r="AF521" s="91"/>
      <c r="AG521" s="92"/>
      <c r="AH521" s="92"/>
      <c r="AI521" s="93"/>
      <c r="AJ521" s="94"/>
      <c r="AK521" s="92"/>
      <c r="AL521" s="94"/>
      <c r="AM521" s="94"/>
      <c r="AN521" s="94"/>
      <c r="AO521" s="94"/>
      <c r="AP521" s="94"/>
      <c r="AQ521" s="94"/>
      <c r="AR521" s="94"/>
      <c r="AS521" s="94"/>
      <c r="AT521" s="94"/>
      <c r="AU521" s="92"/>
      <c r="AV521" s="94"/>
      <c r="AW521" s="94"/>
      <c r="AX521" s="94"/>
      <c r="AY521" s="94"/>
      <c r="AZ521" s="94"/>
      <c r="BA521" s="94"/>
      <c r="BB521" s="94"/>
      <c r="BC521" s="94"/>
      <c r="BD521" s="94"/>
      <c r="BE521" s="94"/>
      <c r="BF521" s="94"/>
      <c r="BG521" s="94"/>
      <c r="BH521" s="94"/>
      <c r="BI521" s="94"/>
      <c r="BJ521" s="94"/>
      <c r="BK521" s="94"/>
      <c r="BL521" s="92"/>
      <c r="BM521" s="94"/>
      <c r="BN521" s="94"/>
      <c r="BO521" s="94"/>
      <c r="BP521" s="94"/>
      <c r="BQ521" s="92"/>
      <c r="BR521" s="92"/>
      <c r="BS521" s="92"/>
      <c r="BT521" s="92"/>
      <c r="BU521" s="92"/>
      <c r="BV521" s="92"/>
      <c r="BW521" s="92"/>
      <c r="BX521" s="92"/>
      <c r="BY521" s="92"/>
      <c r="BZ521" s="92"/>
    </row>
    <row r="522" spans="1:78" ht="12.9">
      <c r="A522" s="89"/>
      <c r="B522" s="89"/>
      <c r="C522" s="89"/>
      <c r="D522" s="89"/>
      <c r="E522" s="89"/>
      <c r="F522" s="89"/>
      <c r="G522" s="89"/>
      <c r="H522" s="105"/>
      <c r="I522" s="106"/>
      <c r="J522" s="106"/>
      <c r="K522" s="89"/>
      <c r="L522" s="89"/>
      <c r="M522" s="89"/>
      <c r="N522" s="107"/>
      <c r="O522" s="107"/>
      <c r="P522" s="89"/>
      <c r="Q522" s="89"/>
      <c r="R522" s="89"/>
      <c r="S522" s="89"/>
      <c r="T522" s="89"/>
      <c r="U522" s="89"/>
      <c r="V522" s="89"/>
      <c r="W522" s="89"/>
      <c r="X522" s="89"/>
      <c r="Y522" s="89"/>
      <c r="Z522" s="77"/>
      <c r="AA522" s="77"/>
      <c r="AB522" s="94"/>
      <c r="AC522" s="94"/>
      <c r="AD522" s="94"/>
      <c r="AE522" s="94"/>
      <c r="AF522" s="91"/>
      <c r="AG522" s="92"/>
      <c r="AH522" s="92"/>
      <c r="AI522" s="93"/>
      <c r="AJ522" s="94"/>
      <c r="AK522" s="92"/>
      <c r="AL522" s="94"/>
      <c r="AM522" s="94"/>
      <c r="AN522" s="94"/>
      <c r="AO522" s="94"/>
      <c r="AP522" s="94"/>
      <c r="AQ522" s="94"/>
      <c r="AR522" s="94"/>
      <c r="AS522" s="94"/>
      <c r="AT522" s="94"/>
      <c r="AU522" s="92"/>
      <c r="AV522" s="94"/>
      <c r="AW522" s="94"/>
      <c r="AX522" s="94"/>
      <c r="AY522" s="94"/>
      <c r="AZ522" s="94"/>
      <c r="BA522" s="94"/>
      <c r="BB522" s="94"/>
      <c r="BC522" s="94"/>
      <c r="BD522" s="94"/>
      <c r="BE522" s="94"/>
      <c r="BF522" s="94"/>
      <c r="BG522" s="94"/>
      <c r="BH522" s="94"/>
      <c r="BI522" s="94"/>
      <c r="BJ522" s="94"/>
      <c r="BK522" s="94"/>
      <c r="BL522" s="92"/>
      <c r="BM522" s="94"/>
      <c r="BN522" s="94"/>
      <c r="BO522" s="94"/>
      <c r="BP522" s="94"/>
      <c r="BQ522" s="92"/>
      <c r="BR522" s="92"/>
      <c r="BS522" s="92"/>
      <c r="BT522" s="92"/>
      <c r="BU522" s="92"/>
      <c r="BV522" s="92"/>
      <c r="BW522" s="92"/>
      <c r="BX522" s="92"/>
      <c r="BY522" s="92"/>
      <c r="BZ522" s="92"/>
    </row>
    <row r="523" spans="1:78" ht="12.9">
      <c r="A523" s="89"/>
      <c r="B523" s="89"/>
      <c r="C523" s="89"/>
      <c r="D523" s="89"/>
      <c r="E523" s="89"/>
      <c r="F523" s="89"/>
      <c r="G523" s="89"/>
      <c r="H523" s="105"/>
      <c r="I523" s="106"/>
      <c r="J523" s="106"/>
      <c r="K523" s="89"/>
      <c r="L523" s="89"/>
      <c r="M523" s="89"/>
      <c r="N523" s="107"/>
      <c r="O523" s="107"/>
      <c r="P523" s="89"/>
      <c r="Q523" s="89"/>
      <c r="R523" s="89"/>
      <c r="S523" s="89"/>
      <c r="T523" s="89"/>
      <c r="U523" s="89"/>
      <c r="V523" s="89"/>
      <c r="W523" s="89"/>
      <c r="X523" s="89"/>
      <c r="Y523" s="89"/>
      <c r="Z523" s="77"/>
      <c r="AA523" s="77"/>
      <c r="AB523" s="94"/>
      <c r="AC523" s="94"/>
      <c r="AD523" s="94"/>
      <c r="AE523" s="94"/>
      <c r="AF523" s="91"/>
      <c r="AG523" s="92"/>
      <c r="AH523" s="92"/>
      <c r="AI523" s="93"/>
      <c r="AJ523" s="94"/>
      <c r="AK523" s="92"/>
      <c r="AL523" s="94"/>
      <c r="AM523" s="94"/>
      <c r="AN523" s="94"/>
      <c r="AO523" s="94"/>
      <c r="AP523" s="94"/>
      <c r="AQ523" s="94"/>
      <c r="AR523" s="94"/>
      <c r="AS523" s="94"/>
      <c r="AT523" s="94"/>
      <c r="AU523" s="92"/>
      <c r="AV523" s="94"/>
      <c r="AW523" s="94"/>
      <c r="AX523" s="94"/>
      <c r="AY523" s="94"/>
      <c r="AZ523" s="94"/>
      <c r="BA523" s="94"/>
      <c r="BB523" s="94"/>
      <c r="BC523" s="94"/>
      <c r="BD523" s="94"/>
      <c r="BE523" s="94"/>
      <c r="BF523" s="94"/>
      <c r="BG523" s="94"/>
      <c r="BH523" s="94"/>
      <c r="BI523" s="94"/>
      <c r="BJ523" s="94"/>
      <c r="BK523" s="94"/>
      <c r="BL523" s="92"/>
      <c r="BM523" s="94"/>
      <c r="BN523" s="94"/>
      <c r="BO523" s="94"/>
      <c r="BP523" s="94"/>
      <c r="BQ523" s="92"/>
      <c r="BR523" s="92"/>
      <c r="BS523" s="92"/>
      <c r="BT523" s="92"/>
      <c r="BU523" s="92"/>
      <c r="BV523" s="92"/>
      <c r="BW523" s="92"/>
      <c r="BX523" s="92"/>
      <c r="BY523" s="92"/>
      <c r="BZ523" s="92"/>
    </row>
    <row r="524" spans="1:78" ht="12.9">
      <c r="A524" s="89"/>
      <c r="B524" s="89"/>
      <c r="C524" s="89"/>
      <c r="D524" s="89"/>
      <c r="E524" s="89"/>
      <c r="F524" s="89"/>
      <c r="G524" s="89"/>
      <c r="H524" s="105"/>
      <c r="I524" s="106"/>
      <c r="J524" s="106"/>
      <c r="K524" s="89"/>
      <c r="L524" s="89"/>
      <c r="M524" s="89"/>
      <c r="N524" s="107"/>
      <c r="O524" s="107"/>
      <c r="P524" s="89"/>
      <c r="Q524" s="89"/>
      <c r="R524" s="89"/>
      <c r="S524" s="89"/>
      <c r="T524" s="89"/>
      <c r="U524" s="89"/>
      <c r="V524" s="89"/>
      <c r="W524" s="89"/>
      <c r="X524" s="89"/>
      <c r="Y524" s="89"/>
      <c r="Z524" s="77"/>
      <c r="AA524" s="77"/>
      <c r="AB524" s="94"/>
      <c r="AC524" s="94"/>
      <c r="AD524" s="94"/>
      <c r="AE524" s="94"/>
      <c r="AF524" s="91"/>
      <c r="AG524" s="92"/>
      <c r="AH524" s="92"/>
      <c r="AI524" s="93"/>
      <c r="AJ524" s="94"/>
      <c r="AK524" s="92"/>
      <c r="AL524" s="94"/>
      <c r="AM524" s="94"/>
      <c r="AN524" s="94"/>
      <c r="AO524" s="94"/>
      <c r="AP524" s="94"/>
      <c r="AQ524" s="94"/>
      <c r="AR524" s="94"/>
      <c r="AS524" s="94"/>
      <c r="AT524" s="94"/>
      <c r="AU524" s="92"/>
      <c r="AV524" s="94"/>
      <c r="AW524" s="94"/>
      <c r="AX524" s="94"/>
      <c r="AY524" s="94"/>
      <c r="AZ524" s="94"/>
      <c r="BA524" s="94"/>
      <c r="BB524" s="94"/>
      <c r="BC524" s="94"/>
      <c r="BD524" s="94"/>
      <c r="BE524" s="94"/>
      <c r="BF524" s="94"/>
      <c r="BG524" s="94"/>
      <c r="BH524" s="94"/>
      <c r="BI524" s="94"/>
      <c r="BJ524" s="94"/>
      <c r="BK524" s="94"/>
      <c r="BL524" s="92"/>
      <c r="BM524" s="94"/>
      <c r="BN524" s="94"/>
      <c r="BO524" s="94"/>
      <c r="BP524" s="94"/>
      <c r="BQ524" s="92"/>
      <c r="BR524" s="92"/>
      <c r="BS524" s="92"/>
      <c r="BT524" s="92"/>
      <c r="BU524" s="92"/>
      <c r="BV524" s="92"/>
      <c r="BW524" s="92"/>
      <c r="BX524" s="92"/>
      <c r="BY524" s="92"/>
      <c r="BZ524" s="92"/>
    </row>
    <row r="525" spans="1:78" ht="12.9">
      <c r="A525" s="89"/>
      <c r="B525" s="89"/>
      <c r="C525" s="89"/>
      <c r="D525" s="89"/>
      <c r="E525" s="89"/>
      <c r="F525" s="89"/>
      <c r="G525" s="89"/>
      <c r="H525" s="105"/>
      <c r="I525" s="106"/>
      <c r="J525" s="106"/>
      <c r="K525" s="89"/>
      <c r="L525" s="89"/>
      <c r="M525" s="89"/>
      <c r="N525" s="107"/>
      <c r="O525" s="107"/>
      <c r="P525" s="89"/>
      <c r="Q525" s="89"/>
      <c r="R525" s="89"/>
      <c r="S525" s="89"/>
      <c r="T525" s="89"/>
      <c r="U525" s="89"/>
      <c r="V525" s="89"/>
      <c r="W525" s="89"/>
      <c r="X525" s="89"/>
      <c r="Y525" s="89"/>
      <c r="Z525" s="77"/>
      <c r="AA525" s="77"/>
      <c r="AB525" s="94"/>
      <c r="AC525" s="94"/>
      <c r="AD525" s="94"/>
      <c r="AE525" s="94"/>
      <c r="AF525" s="91"/>
      <c r="AG525" s="92"/>
      <c r="AH525" s="92"/>
      <c r="AI525" s="93"/>
      <c r="AJ525" s="94"/>
      <c r="AK525" s="92"/>
      <c r="AL525" s="94"/>
      <c r="AM525" s="94"/>
      <c r="AN525" s="94"/>
      <c r="AO525" s="94"/>
      <c r="AP525" s="94"/>
      <c r="AQ525" s="94"/>
      <c r="AR525" s="94"/>
      <c r="AS525" s="94"/>
      <c r="AT525" s="94"/>
      <c r="AU525" s="92"/>
      <c r="AV525" s="94"/>
      <c r="AW525" s="94"/>
      <c r="AX525" s="94"/>
      <c r="AY525" s="94"/>
      <c r="AZ525" s="94"/>
      <c r="BA525" s="94"/>
      <c r="BB525" s="94"/>
      <c r="BC525" s="94"/>
      <c r="BD525" s="94"/>
      <c r="BE525" s="94"/>
      <c r="BF525" s="94"/>
      <c r="BG525" s="94"/>
      <c r="BH525" s="94"/>
      <c r="BI525" s="94"/>
      <c r="BJ525" s="94"/>
      <c r="BK525" s="94"/>
      <c r="BL525" s="92"/>
      <c r="BM525" s="94"/>
      <c r="BN525" s="94"/>
      <c r="BO525" s="94"/>
      <c r="BP525" s="94"/>
      <c r="BQ525" s="92"/>
      <c r="BR525" s="92"/>
      <c r="BS525" s="92"/>
      <c r="BT525" s="92"/>
      <c r="BU525" s="92"/>
      <c r="BV525" s="92"/>
      <c r="BW525" s="92"/>
      <c r="BX525" s="92"/>
      <c r="BY525" s="92"/>
      <c r="BZ525" s="92"/>
    </row>
    <row r="526" spans="1:78" ht="12.9">
      <c r="A526" s="89"/>
      <c r="B526" s="89"/>
      <c r="C526" s="89"/>
      <c r="D526" s="89"/>
      <c r="E526" s="89"/>
      <c r="F526" s="89"/>
      <c r="G526" s="89"/>
      <c r="H526" s="105"/>
      <c r="I526" s="106"/>
      <c r="J526" s="106"/>
      <c r="K526" s="89"/>
      <c r="L526" s="89"/>
      <c r="M526" s="89"/>
      <c r="N526" s="107"/>
      <c r="O526" s="107"/>
      <c r="P526" s="89"/>
      <c r="Q526" s="89"/>
      <c r="R526" s="89"/>
      <c r="S526" s="89"/>
      <c r="T526" s="89"/>
      <c r="U526" s="89"/>
      <c r="V526" s="89"/>
      <c r="W526" s="89"/>
      <c r="X526" s="89"/>
      <c r="Y526" s="89"/>
      <c r="Z526" s="77"/>
      <c r="AA526" s="77"/>
      <c r="AB526" s="94"/>
      <c r="AC526" s="94"/>
      <c r="AD526" s="94"/>
      <c r="AE526" s="94"/>
      <c r="AF526" s="91"/>
      <c r="AG526" s="92"/>
      <c r="AH526" s="92"/>
      <c r="AI526" s="93"/>
      <c r="AJ526" s="94"/>
      <c r="AK526" s="92"/>
      <c r="AL526" s="94"/>
      <c r="AM526" s="94"/>
      <c r="AN526" s="94"/>
      <c r="AO526" s="94"/>
      <c r="AP526" s="94"/>
      <c r="AQ526" s="94"/>
      <c r="AR526" s="94"/>
      <c r="AS526" s="94"/>
      <c r="AT526" s="94"/>
      <c r="AU526" s="92"/>
      <c r="AV526" s="94"/>
      <c r="AW526" s="94"/>
      <c r="AX526" s="94"/>
      <c r="AY526" s="94"/>
      <c r="AZ526" s="94"/>
      <c r="BA526" s="94"/>
      <c r="BB526" s="94"/>
      <c r="BC526" s="94"/>
      <c r="BD526" s="94"/>
      <c r="BE526" s="94"/>
      <c r="BF526" s="94"/>
      <c r="BG526" s="94"/>
      <c r="BH526" s="94"/>
      <c r="BI526" s="94"/>
      <c r="BJ526" s="94"/>
      <c r="BK526" s="94"/>
      <c r="BL526" s="92"/>
      <c r="BM526" s="94"/>
      <c r="BN526" s="94"/>
      <c r="BO526" s="94"/>
      <c r="BP526" s="94"/>
      <c r="BQ526" s="92"/>
      <c r="BR526" s="92"/>
      <c r="BS526" s="92"/>
      <c r="BT526" s="92"/>
      <c r="BU526" s="92"/>
      <c r="BV526" s="92"/>
      <c r="BW526" s="92"/>
      <c r="BX526" s="92"/>
      <c r="BY526" s="92"/>
      <c r="BZ526" s="92"/>
    </row>
    <row r="527" spans="1:78" ht="12.9">
      <c r="A527" s="89"/>
      <c r="B527" s="89"/>
      <c r="C527" s="89"/>
      <c r="D527" s="89"/>
      <c r="E527" s="89"/>
      <c r="F527" s="89"/>
      <c r="G527" s="89"/>
      <c r="H527" s="105"/>
      <c r="I527" s="106"/>
      <c r="J527" s="106"/>
      <c r="K527" s="89"/>
      <c r="L527" s="89"/>
      <c r="M527" s="89"/>
      <c r="N527" s="107"/>
      <c r="O527" s="107"/>
      <c r="P527" s="89"/>
      <c r="Q527" s="89"/>
      <c r="R527" s="89"/>
      <c r="S527" s="89"/>
      <c r="T527" s="89"/>
      <c r="U527" s="89"/>
      <c r="V527" s="89"/>
      <c r="W527" s="89"/>
      <c r="X527" s="89"/>
      <c r="Y527" s="89"/>
      <c r="Z527" s="77"/>
      <c r="AA527" s="77"/>
      <c r="AB527" s="94"/>
      <c r="AC527" s="94"/>
      <c r="AD527" s="94"/>
      <c r="AE527" s="94"/>
      <c r="AF527" s="91"/>
      <c r="AG527" s="92"/>
      <c r="AH527" s="92"/>
      <c r="AI527" s="93"/>
      <c r="AJ527" s="94"/>
      <c r="AK527" s="92"/>
      <c r="AL527" s="94"/>
      <c r="AM527" s="94"/>
      <c r="AN527" s="94"/>
      <c r="AO527" s="94"/>
      <c r="AP527" s="94"/>
      <c r="AQ527" s="94"/>
      <c r="AR527" s="94"/>
      <c r="AS527" s="94"/>
      <c r="AT527" s="94"/>
      <c r="AU527" s="92"/>
      <c r="AV527" s="94"/>
      <c r="AW527" s="94"/>
      <c r="AX527" s="94"/>
      <c r="AY527" s="94"/>
      <c r="AZ527" s="94"/>
      <c r="BA527" s="94"/>
      <c r="BB527" s="94"/>
      <c r="BC527" s="94"/>
      <c r="BD527" s="94"/>
      <c r="BE527" s="94"/>
      <c r="BF527" s="94"/>
      <c r="BG527" s="94"/>
      <c r="BH527" s="94"/>
      <c r="BI527" s="94"/>
      <c r="BJ527" s="94"/>
      <c r="BK527" s="94"/>
      <c r="BL527" s="92"/>
      <c r="BM527" s="94"/>
      <c r="BN527" s="94"/>
      <c r="BO527" s="94"/>
      <c r="BP527" s="94"/>
      <c r="BQ527" s="92"/>
      <c r="BR527" s="92"/>
      <c r="BS527" s="92"/>
      <c r="BT527" s="92"/>
      <c r="BU527" s="92"/>
      <c r="BV527" s="92"/>
      <c r="BW527" s="92"/>
      <c r="BX527" s="92"/>
      <c r="BY527" s="92"/>
      <c r="BZ527" s="92"/>
    </row>
    <row r="528" spans="1:78" ht="12.9">
      <c r="A528" s="89"/>
      <c r="B528" s="89"/>
      <c r="C528" s="89"/>
      <c r="D528" s="89"/>
      <c r="E528" s="89"/>
      <c r="F528" s="89"/>
      <c r="G528" s="89"/>
      <c r="H528" s="105"/>
      <c r="I528" s="106"/>
      <c r="J528" s="106"/>
      <c r="K528" s="89"/>
      <c r="L528" s="89"/>
      <c r="M528" s="89"/>
      <c r="N528" s="107"/>
      <c r="O528" s="107"/>
      <c r="P528" s="89"/>
      <c r="Q528" s="89"/>
      <c r="R528" s="89"/>
      <c r="S528" s="89"/>
      <c r="T528" s="89"/>
      <c r="U528" s="89"/>
      <c r="V528" s="89"/>
      <c r="W528" s="89"/>
      <c r="X528" s="89"/>
      <c r="Y528" s="89"/>
      <c r="Z528" s="77"/>
      <c r="AA528" s="77"/>
      <c r="AB528" s="94"/>
      <c r="AC528" s="94"/>
      <c r="AD528" s="94"/>
      <c r="AE528" s="94"/>
      <c r="AF528" s="91"/>
      <c r="AG528" s="92"/>
      <c r="AH528" s="92"/>
      <c r="AI528" s="93"/>
      <c r="AJ528" s="94"/>
      <c r="AK528" s="92"/>
      <c r="AL528" s="94"/>
      <c r="AM528" s="94"/>
      <c r="AN528" s="94"/>
      <c r="AO528" s="94"/>
      <c r="AP528" s="94"/>
      <c r="AQ528" s="94"/>
      <c r="AR528" s="94"/>
      <c r="AS528" s="94"/>
      <c r="AT528" s="94"/>
      <c r="AU528" s="92"/>
      <c r="AV528" s="94"/>
      <c r="AW528" s="94"/>
      <c r="AX528" s="94"/>
      <c r="AY528" s="94"/>
      <c r="AZ528" s="94"/>
      <c r="BA528" s="94"/>
      <c r="BB528" s="94"/>
      <c r="BC528" s="94"/>
      <c r="BD528" s="94"/>
      <c r="BE528" s="94"/>
      <c r="BF528" s="94"/>
      <c r="BG528" s="94"/>
      <c r="BH528" s="94"/>
      <c r="BI528" s="94"/>
      <c r="BJ528" s="94"/>
      <c r="BK528" s="94"/>
      <c r="BL528" s="92"/>
      <c r="BM528" s="94"/>
      <c r="BN528" s="94"/>
      <c r="BO528" s="94"/>
      <c r="BP528" s="94"/>
      <c r="BQ528" s="92"/>
      <c r="BR528" s="92"/>
      <c r="BS528" s="92"/>
      <c r="BT528" s="92"/>
      <c r="BU528" s="92"/>
      <c r="BV528" s="92"/>
      <c r="BW528" s="92"/>
      <c r="BX528" s="92"/>
      <c r="BY528" s="92"/>
      <c r="BZ528" s="92"/>
    </row>
    <row r="529" spans="1:78" ht="12.9">
      <c r="A529" s="89"/>
      <c r="B529" s="89"/>
      <c r="C529" s="89"/>
      <c r="D529" s="89"/>
      <c r="E529" s="89"/>
      <c r="F529" s="89"/>
      <c r="G529" s="89"/>
      <c r="H529" s="105"/>
      <c r="I529" s="106"/>
      <c r="J529" s="106"/>
      <c r="K529" s="89"/>
      <c r="L529" s="89"/>
      <c r="M529" s="89"/>
      <c r="N529" s="107"/>
      <c r="O529" s="107"/>
      <c r="P529" s="89"/>
      <c r="Q529" s="89"/>
      <c r="R529" s="89"/>
      <c r="S529" s="89"/>
      <c r="T529" s="89"/>
      <c r="U529" s="89"/>
      <c r="V529" s="89"/>
      <c r="W529" s="89"/>
      <c r="X529" s="89"/>
      <c r="Y529" s="89"/>
      <c r="Z529" s="77"/>
      <c r="AA529" s="77"/>
      <c r="AB529" s="94"/>
      <c r="AC529" s="94"/>
      <c r="AD529" s="94"/>
      <c r="AE529" s="94"/>
      <c r="AF529" s="91"/>
      <c r="AG529" s="92"/>
      <c r="AH529" s="92"/>
      <c r="AI529" s="93"/>
      <c r="AJ529" s="94"/>
      <c r="AK529" s="92"/>
      <c r="AL529" s="94"/>
      <c r="AM529" s="94"/>
      <c r="AN529" s="94"/>
      <c r="AO529" s="94"/>
      <c r="AP529" s="94"/>
      <c r="AQ529" s="94"/>
      <c r="AR529" s="94"/>
      <c r="AS529" s="94"/>
      <c r="AT529" s="94"/>
      <c r="AU529" s="92"/>
      <c r="AV529" s="94"/>
      <c r="AW529" s="94"/>
      <c r="AX529" s="94"/>
      <c r="AY529" s="94"/>
      <c r="AZ529" s="94"/>
      <c r="BA529" s="94"/>
      <c r="BB529" s="94"/>
      <c r="BC529" s="94"/>
      <c r="BD529" s="94"/>
      <c r="BE529" s="94"/>
      <c r="BF529" s="94"/>
      <c r="BG529" s="94"/>
      <c r="BH529" s="94"/>
      <c r="BI529" s="94"/>
      <c r="BJ529" s="94"/>
      <c r="BK529" s="94"/>
      <c r="BL529" s="92"/>
      <c r="BM529" s="94"/>
      <c r="BN529" s="94"/>
      <c r="BO529" s="94"/>
      <c r="BP529" s="94"/>
      <c r="BQ529" s="92"/>
      <c r="BR529" s="92"/>
      <c r="BS529" s="92"/>
      <c r="BT529" s="92"/>
      <c r="BU529" s="92"/>
      <c r="BV529" s="92"/>
      <c r="BW529" s="92"/>
      <c r="BX529" s="92"/>
      <c r="BY529" s="92"/>
      <c r="BZ529" s="92"/>
    </row>
    <row r="530" spans="1:78" ht="12.9">
      <c r="A530" s="89"/>
      <c r="B530" s="89"/>
      <c r="C530" s="89"/>
      <c r="D530" s="89"/>
      <c r="E530" s="89"/>
      <c r="F530" s="89"/>
      <c r="G530" s="89"/>
      <c r="H530" s="105"/>
      <c r="I530" s="106"/>
      <c r="J530" s="106"/>
      <c r="K530" s="89"/>
      <c r="L530" s="89"/>
      <c r="M530" s="89"/>
      <c r="N530" s="107"/>
      <c r="O530" s="107"/>
      <c r="P530" s="89"/>
      <c r="Q530" s="89"/>
      <c r="R530" s="89"/>
      <c r="S530" s="89"/>
      <c r="T530" s="89"/>
      <c r="U530" s="89"/>
      <c r="V530" s="89"/>
      <c r="W530" s="89"/>
      <c r="X530" s="89"/>
      <c r="Y530" s="89"/>
      <c r="Z530" s="77"/>
      <c r="AA530" s="77"/>
      <c r="AB530" s="94"/>
      <c r="AC530" s="94"/>
      <c r="AD530" s="94"/>
      <c r="AE530" s="94"/>
      <c r="AF530" s="91"/>
      <c r="AG530" s="92"/>
      <c r="AH530" s="92"/>
      <c r="AI530" s="93"/>
      <c r="AJ530" s="94"/>
      <c r="AK530" s="92"/>
      <c r="AL530" s="94"/>
      <c r="AM530" s="94"/>
      <c r="AN530" s="94"/>
      <c r="AO530" s="94"/>
      <c r="AP530" s="94"/>
      <c r="AQ530" s="94"/>
      <c r="AR530" s="94"/>
      <c r="AS530" s="94"/>
      <c r="AT530" s="94"/>
      <c r="AU530" s="92"/>
      <c r="AV530" s="94"/>
      <c r="AW530" s="94"/>
      <c r="AX530" s="94"/>
      <c r="AY530" s="94"/>
      <c r="AZ530" s="94"/>
      <c r="BA530" s="94"/>
      <c r="BB530" s="94"/>
      <c r="BC530" s="94"/>
      <c r="BD530" s="94"/>
      <c r="BE530" s="94"/>
      <c r="BF530" s="94"/>
      <c r="BG530" s="94"/>
      <c r="BH530" s="94"/>
      <c r="BI530" s="94"/>
      <c r="BJ530" s="94"/>
      <c r="BK530" s="94"/>
      <c r="BL530" s="92"/>
      <c r="BM530" s="94"/>
      <c r="BN530" s="94"/>
      <c r="BO530" s="94"/>
      <c r="BP530" s="94"/>
      <c r="BQ530" s="92"/>
      <c r="BR530" s="92"/>
      <c r="BS530" s="92"/>
      <c r="BT530" s="92"/>
      <c r="BU530" s="92"/>
      <c r="BV530" s="92"/>
      <c r="BW530" s="92"/>
      <c r="BX530" s="92"/>
      <c r="BY530" s="92"/>
      <c r="BZ530" s="92"/>
    </row>
    <row r="531" spans="1:78" ht="12.9">
      <c r="A531" s="89"/>
      <c r="B531" s="89"/>
      <c r="C531" s="89"/>
      <c r="D531" s="89"/>
      <c r="E531" s="89"/>
      <c r="F531" s="89"/>
      <c r="G531" s="89"/>
      <c r="H531" s="105"/>
      <c r="I531" s="106"/>
      <c r="J531" s="106"/>
      <c r="K531" s="89"/>
      <c r="L531" s="89"/>
      <c r="M531" s="89"/>
      <c r="N531" s="107"/>
      <c r="O531" s="107"/>
      <c r="P531" s="89"/>
      <c r="Q531" s="89"/>
      <c r="R531" s="89"/>
      <c r="S531" s="89"/>
      <c r="T531" s="89"/>
      <c r="U531" s="89"/>
      <c r="V531" s="89"/>
      <c r="W531" s="89"/>
      <c r="X531" s="89"/>
      <c r="Y531" s="89"/>
      <c r="Z531" s="77"/>
      <c r="AA531" s="77"/>
      <c r="AB531" s="94"/>
      <c r="AC531" s="94"/>
      <c r="AD531" s="94"/>
      <c r="AE531" s="94"/>
      <c r="AF531" s="91"/>
      <c r="AG531" s="92"/>
      <c r="AH531" s="92"/>
      <c r="AI531" s="93"/>
      <c r="AJ531" s="94"/>
      <c r="AK531" s="92"/>
      <c r="AL531" s="94"/>
      <c r="AM531" s="94"/>
      <c r="AN531" s="94"/>
      <c r="AO531" s="94"/>
      <c r="AP531" s="94"/>
      <c r="AQ531" s="94"/>
      <c r="AR531" s="94"/>
      <c r="AS531" s="94"/>
      <c r="AT531" s="94"/>
      <c r="AU531" s="92"/>
      <c r="AV531" s="94"/>
      <c r="AW531" s="94"/>
      <c r="AX531" s="94"/>
      <c r="AY531" s="94"/>
      <c r="AZ531" s="94"/>
      <c r="BA531" s="94"/>
      <c r="BB531" s="94"/>
      <c r="BC531" s="94"/>
      <c r="BD531" s="94"/>
      <c r="BE531" s="94"/>
      <c r="BF531" s="94"/>
      <c r="BG531" s="94"/>
      <c r="BH531" s="94"/>
      <c r="BI531" s="94"/>
      <c r="BJ531" s="94"/>
      <c r="BK531" s="94"/>
      <c r="BL531" s="92"/>
      <c r="BM531" s="94"/>
      <c r="BN531" s="94"/>
      <c r="BO531" s="94"/>
      <c r="BP531" s="94"/>
      <c r="BQ531" s="92"/>
      <c r="BR531" s="92"/>
      <c r="BS531" s="92"/>
      <c r="BT531" s="92"/>
      <c r="BU531" s="92"/>
      <c r="BV531" s="92"/>
      <c r="BW531" s="92"/>
      <c r="BX531" s="92"/>
      <c r="BY531" s="92"/>
      <c r="BZ531" s="92"/>
    </row>
    <row r="532" spans="1:78" ht="12.9">
      <c r="A532" s="89"/>
      <c r="B532" s="89"/>
      <c r="C532" s="89"/>
      <c r="D532" s="89"/>
      <c r="E532" s="89"/>
      <c r="F532" s="89"/>
      <c r="G532" s="89"/>
      <c r="H532" s="105"/>
      <c r="I532" s="106"/>
      <c r="J532" s="106"/>
      <c r="K532" s="89"/>
      <c r="L532" s="89"/>
      <c r="M532" s="89"/>
      <c r="N532" s="107"/>
      <c r="O532" s="107"/>
      <c r="P532" s="89"/>
      <c r="Q532" s="89"/>
      <c r="R532" s="89"/>
      <c r="S532" s="89"/>
      <c r="T532" s="89"/>
      <c r="U532" s="89"/>
      <c r="V532" s="89"/>
      <c r="W532" s="89"/>
      <c r="X532" s="89"/>
      <c r="Y532" s="89"/>
      <c r="Z532" s="77"/>
      <c r="AA532" s="77"/>
      <c r="AB532" s="94"/>
      <c r="AC532" s="94"/>
      <c r="AD532" s="94"/>
      <c r="AE532" s="94"/>
      <c r="AF532" s="91"/>
      <c r="AG532" s="92"/>
      <c r="AH532" s="92"/>
      <c r="AI532" s="93"/>
      <c r="AJ532" s="94"/>
      <c r="AK532" s="92"/>
      <c r="AL532" s="94"/>
      <c r="AM532" s="94"/>
      <c r="AN532" s="94"/>
      <c r="AO532" s="94"/>
      <c r="AP532" s="94"/>
      <c r="AQ532" s="94"/>
      <c r="AR532" s="94"/>
      <c r="AS532" s="94"/>
      <c r="AT532" s="94"/>
      <c r="AU532" s="92"/>
      <c r="AV532" s="94"/>
      <c r="AW532" s="94"/>
      <c r="AX532" s="94"/>
      <c r="AY532" s="94"/>
      <c r="AZ532" s="94"/>
      <c r="BA532" s="94"/>
      <c r="BB532" s="94"/>
      <c r="BC532" s="94"/>
      <c r="BD532" s="94"/>
      <c r="BE532" s="94"/>
      <c r="BF532" s="94"/>
      <c r="BG532" s="94"/>
      <c r="BH532" s="94"/>
      <c r="BI532" s="94"/>
      <c r="BJ532" s="94"/>
      <c r="BK532" s="94"/>
      <c r="BL532" s="92"/>
      <c r="BM532" s="94"/>
      <c r="BN532" s="94"/>
      <c r="BO532" s="94"/>
      <c r="BP532" s="94"/>
      <c r="BQ532" s="92"/>
      <c r="BR532" s="92"/>
      <c r="BS532" s="92"/>
      <c r="BT532" s="92"/>
      <c r="BU532" s="92"/>
      <c r="BV532" s="92"/>
      <c r="BW532" s="92"/>
      <c r="BX532" s="92"/>
      <c r="BY532" s="92"/>
      <c r="BZ532" s="92"/>
    </row>
    <row r="533" spans="1:78" ht="12.9">
      <c r="A533" s="89"/>
      <c r="B533" s="89"/>
      <c r="C533" s="89"/>
      <c r="D533" s="89"/>
      <c r="E533" s="89"/>
      <c r="F533" s="89"/>
      <c r="G533" s="89"/>
      <c r="H533" s="105"/>
      <c r="I533" s="106"/>
      <c r="J533" s="106"/>
      <c r="K533" s="89"/>
      <c r="L533" s="89"/>
      <c r="M533" s="89"/>
      <c r="N533" s="107"/>
      <c r="O533" s="107"/>
      <c r="P533" s="89"/>
      <c r="Q533" s="89"/>
      <c r="R533" s="89"/>
      <c r="S533" s="89"/>
      <c r="T533" s="89"/>
      <c r="U533" s="89"/>
      <c r="V533" s="89"/>
      <c r="W533" s="89"/>
      <c r="X533" s="89"/>
      <c r="Y533" s="89"/>
      <c r="Z533" s="77"/>
      <c r="AA533" s="77"/>
      <c r="AB533" s="94"/>
      <c r="AC533" s="94"/>
      <c r="AD533" s="94"/>
      <c r="AE533" s="94"/>
      <c r="AF533" s="91"/>
      <c r="AG533" s="92"/>
      <c r="AH533" s="92"/>
      <c r="AI533" s="93"/>
      <c r="AJ533" s="94"/>
      <c r="AK533" s="92"/>
      <c r="AL533" s="94"/>
      <c r="AM533" s="94"/>
      <c r="AN533" s="94"/>
      <c r="AO533" s="94"/>
      <c r="AP533" s="94"/>
      <c r="AQ533" s="94"/>
      <c r="AR533" s="94"/>
      <c r="AS533" s="94"/>
      <c r="AT533" s="94"/>
      <c r="AU533" s="92"/>
      <c r="AV533" s="94"/>
      <c r="AW533" s="94"/>
      <c r="AX533" s="94"/>
      <c r="AY533" s="94"/>
      <c r="AZ533" s="94"/>
      <c r="BA533" s="94"/>
      <c r="BB533" s="94"/>
      <c r="BC533" s="94"/>
      <c r="BD533" s="94"/>
      <c r="BE533" s="94"/>
      <c r="BF533" s="94"/>
      <c r="BG533" s="94"/>
      <c r="BH533" s="94"/>
      <c r="BI533" s="94"/>
      <c r="BJ533" s="94"/>
      <c r="BK533" s="94"/>
      <c r="BL533" s="92"/>
      <c r="BM533" s="94"/>
      <c r="BN533" s="94"/>
      <c r="BO533" s="94"/>
      <c r="BP533" s="94"/>
      <c r="BQ533" s="92"/>
      <c r="BR533" s="92"/>
      <c r="BS533" s="92"/>
      <c r="BT533" s="92"/>
      <c r="BU533" s="92"/>
      <c r="BV533" s="92"/>
      <c r="BW533" s="92"/>
      <c r="BX533" s="92"/>
      <c r="BY533" s="92"/>
      <c r="BZ533" s="92"/>
    </row>
    <row r="534" spans="1:78" ht="12.9">
      <c r="A534" s="89"/>
      <c r="B534" s="89"/>
      <c r="C534" s="89"/>
      <c r="D534" s="89"/>
      <c r="E534" s="89"/>
      <c r="F534" s="89"/>
      <c r="G534" s="89"/>
      <c r="H534" s="105"/>
      <c r="I534" s="106"/>
      <c r="J534" s="106"/>
      <c r="K534" s="89"/>
      <c r="L534" s="89"/>
      <c r="M534" s="89"/>
      <c r="N534" s="107"/>
      <c r="O534" s="107"/>
      <c r="P534" s="89"/>
      <c r="Q534" s="89"/>
      <c r="R534" s="89"/>
      <c r="S534" s="89"/>
      <c r="T534" s="89"/>
      <c r="U534" s="89"/>
      <c r="V534" s="89"/>
      <c r="W534" s="89"/>
      <c r="X534" s="89"/>
      <c r="Y534" s="89"/>
      <c r="Z534" s="77"/>
      <c r="AA534" s="77"/>
      <c r="AB534" s="94"/>
      <c r="AC534" s="94"/>
      <c r="AD534" s="94"/>
      <c r="AE534" s="94"/>
      <c r="AF534" s="91"/>
      <c r="AG534" s="92"/>
      <c r="AH534" s="92"/>
      <c r="AI534" s="93"/>
      <c r="AJ534" s="94"/>
      <c r="AK534" s="92"/>
      <c r="AL534" s="94"/>
      <c r="AM534" s="94"/>
      <c r="AN534" s="94"/>
      <c r="AO534" s="94"/>
      <c r="AP534" s="94"/>
      <c r="AQ534" s="94"/>
      <c r="AR534" s="94"/>
      <c r="AS534" s="94"/>
      <c r="AT534" s="94"/>
      <c r="AU534" s="92"/>
      <c r="AV534" s="94"/>
      <c r="AW534" s="94"/>
      <c r="AX534" s="94"/>
      <c r="AY534" s="94"/>
      <c r="AZ534" s="94"/>
      <c r="BA534" s="94"/>
      <c r="BB534" s="94"/>
      <c r="BC534" s="94"/>
      <c r="BD534" s="94"/>
      <c r="BE534" s="94"/>
      <c r="BF534" s="94"/>
      <c r="BG534" s="94"/>
      <c r="BH534" s="94"/>
      <c r="BI534" s="94"/>
      <c r="BJ534" s="94"/>
      <c r="BK534" s="94"/>
      <c r="BL534" s="92"/>
      <c r="BM534" s="94"/>
      <c r="BN534" s="94"/>
      <c r="BO534" s="94"/>
      <c r="BP534" s="94"/>
      <c r="BQ534" s="92"/>
      <c r="BR534" s="92"/>
      <c r="BS534" s="92"/>
      <c r="BT534" s="92"/>
      <c r="BU534" s="92"/>
      <c r="BV534" s="92"/>
      <c r="BW534" s="92"/>
      <c r="BX534" s="92"/>
      <c r="BY534" s="92"/>
      <c r="BZ534" s="92"/>
    </row>
    <row r="535" spans="1:78" ht="12.9">
      <c r="A535" s="89"/>
      <c r="B535" s="89"/>
      <c r="C535" s="89"/>
      <c r="D535" s="89"/>
      <c r="E535" s="89"/>
      <c r="F535" s="89"/>
      <c r="G535" s="89"/>
      <c r="H535" s="105"/>
      <c r="I535" s="106"/>
      <c r="J535" s="106"/>
      <c r="K535" s="89"/>
      <c r="L535" s="89"/>
      <c r="M535" s="89"/>
      <c r="N535" s="107"/>
      <c r="O535" s="107"/>
      <c r="P535" s="89"/>
      <c r="Q535" s="89"/>
      <c r="R535" s="89"/>
      <c r="S535" s="89"/>
      <c r="T535" s="89"/>
      <c r="U535" s="89"/>
      <c r="V535" s="89"/>
      <c r="W535" s="89"/>
      <c r="X535" s="89"/>
      <c r="Y535" s="89"/>
      <c r="Z535" s="77"/>
      <c r="AA535" s="77"/>
      <c r="AB535" s="94"/>
      <c r="AC535" s="94"/>
      <c r="AD535" s="94"/>
      <c r="AE535" s="94"/>
      <c r="AF535" s="91"/>
      <c r="AG535" s="92"/>
      <c r="AH535" s="92"/>
      <c r="AI535" s="93"/>
      <c r="AJ535" s="94"/>
      <c r="AK535" s="92"/>
      <c r="AL535" s="94"/>
      <c r="AM535" s="94"/>
      <c r="AN535" s="94"/>
      <c r="AO535" s="94"/>
      <c r="AP535" s="94"/>
      <c r="AQ535" s="94"/>
      <c r="AR535" s="94"/>
      <c r="AS535" s="94"/>
      <c r="AT535" s="94"/>
      <c r="AU535" s="92"/>
      <c r="AV535" s="94"/>
      <c r="AW535" s="94"/>
      <c r="AX535" s="94"/>
      <c r="AY535" s="94"/>
      <c r="AZ535" s="94"/>
      <c r="BA535" s="94"/>
      <c r="BB535" s="94"/>
      <c r="BC535" s="94"/>
      <c r="BD535" s="94"/>
      <c r="BE535" s="94"/>
      <c r="BF535" s="94"/>
      <c r="BG535" s="94"/>
      <c r="BH535" s="94"/>
      <c r="BI535" s="94"/>
      <c r="BJ535" s="94"/>
      <c r="BK535" s="94"/>
      <c r="BL535" s="92"/>
      <c r="BM535" s="94"/>
      <c r="BN535" s="94"/>
      <c r="BO535" s="94"/>
      <c r="BP535" s="94"/>
      <c r="BQ535" s="92"/>
      <c r="BR535" s="92"/>
      <c r="BS535" s="92"/>
      <c r="BT535" s="92"/>
      <c r="BU535" s="92"/>
      <c r="BV535" s="92"/>
      <c r="BW535" s="92"/>
      <c r="BX535" s="92"/>
      <c r="BY535" s="92"/>
      <c r="BZ535" s="92"/>
    </row>
    <row r="536" spans="1:78" ht="12.9">
      <c r="A536" s="89"/>
      <c r="B536" s="89"/>
      <c r="C536" s="89"/>
      <c r="D536" s="89"/>
      <c r="E536" s="89"/>
      <c r="F536" s="89"/>
      <c r="G536" s="89"/>
      <c r="H536" s="105"/>
      <c r="I536" s="106"/>
      <c r="J536" s="106"/>
      <c r="K536" s="89"/>
      <c r="L536" s="89"/>
      <c r="M536" s="89"/>
      <c r="N536" s="107"/>
      <c r="O536" s="107"/>
      <c r="P536" s="89"/>
      <c r="Q536" s="89"/>
      <c r="R536" s="89"/>
      <c r="S536" s="89"/>
      <c r="T536" s="89"/>
      <c r="U536" s="89"/>
      <c r="V536" s="89"/>
      <c r="W536" s="89"/>
      <c r="X536" s="89"/>
      <c r="Y536" s="89"/>
      <c r="Z536" s="77"/>
      <c r="AA536" s="77"/>
      <c r="AB536" s="94"/>
      <c r="AC536" s="94"/>
      <c r="AD536" s="94"/>
      <c r="AE536" s="94"/>
      <c r="AF536" s="91"/>
      <c r="AG536" s="92"/>
      <c r="AH536" s="92"/>
      <c r="AI536" s="93"/>
      <c r="AJ536" s="94"/>
      <c r="AK536" s="92"/>
      <c r="AL536" s="94"/>
      <c r="AM536" s="94"/>
      <c r="AN536" s="94"/>
      <c r="AO536" s="94"/>
      <c r="AP536" s="94"/>
      <c r="AQ536" s="94"/>
      <c r="AR536" s="94"/>
      <c r="AS536" s="94"/>
      <c r="AT536" s="94"/>
      <c r="AU536" s="92"/>
      <c r="AV536" s="94"/>
      <c r="AW536" s="94"/>
      <c r="AX536" s="94"/>
      <c r="AY536" s="94"/>
      <c r="AZ536" s="94"/>
      <c r="BA536" s="94"/>
      <c r="BB536" s="94"/>
      <c r="BC536" s="94"/>
      <c r="BD536" s="94"/>
      <c r="BE536" s="94"/>
      <c r="BF536" s="94"/>
      <c r="BG536" s="94"/>
      <c r="BH536" s="94"/>
      <c r="BI536" s="94"/>
      <c r="BJ536" s="94"/>
      <c r="BK536" s="94"/>
      <c r="BL536" s="92"/>
      <c r="BM536" s="94"/>
      <c r="BN536" s="94"/>
      <c r="BO536" s="94"/>
      <c r="BP536" s="94"/>
      <c r="BQ536" s="92"/>
      <c r="BR536" s="92"/>
      <c r="BS536" s="92"/>
      <c r="BT536" s="92"/>
      <c r="BU536" s="92"/>
      <c r="BV536" s="92"/>
      <c r="BW536" s="92"/>
      <c r="BX536" s="92"/>
      <c r="BY536" s="92"/>
      <c r="BZ536" s="92"/>
    </row>
    <row r="537" spans="1:78" ht="12.9">
      <c r="A537" s="89"/>
      <c r="B537" s="89"/>
      <c r="C537" s="89"/>
      <c r="D537" s="89"/>
      <c r="E537" s="89"/>
      <c r="F537" s="89"/>
      <c r="G537" s="89"/>
      <c r="H537" s="105"/>
      <c r="I537" s="106"/>
      <c r="J537" s="106"/>
      <c r="K537" s="89"/>
      <c r="L537" s="89"/>
      <c r="M537" s="89"/>
      <c r="N537" s="107"/>
      <c r="O537" s="107"/>
      <c r="P537" s="89"/>
      <c r="Q537" s="89"/>
      <c r="R537" s="89"/>
      <c r="S537" s="89"/>
      <c r="T537" s="89"/>
      <c r="U537" s="89"/>
      <c r="V537" s="89"/>
      <c r="W537" s="89"/>
      <c r="X537" s="89"/>
      <c r="Y537" s="89"/>
      <c r="Z537" s="77"/>
      <c r="AA537" s="77"/>
      <c r="AB537" s="94"/>
      <c r="AC537" s="94"/>
      <c r="AD537" s="94"/>
      <c r="AE537" s="94"/>
      <c r="AF537" s="91"/>
      <c r="AG537" s="92"/>
      <c r="AH537" s="92"/>
      <c r="AI537" s="93"/>
      <c r="AJ537" s="94"/>
      <c r="AK537" s="92"/>
      <c r="AL537" s="94"/>
      <c r="AM537" s="94"/>
      <c r="AN537" s="94"/>
      <c r="AO537" s="94"/>
      <c r="AP537" s="94"/>
      <c r="AQ537" s="94"/>
      <c r="AR537" s="94"/>
      <c r="AS537" s="94"/>
      <c r="AT537" s="94"/>
      <c r="AU537" s="92"/>
      <c r="AV537" s="94"/>
      <c r="AW537" s="94"/>
      <c r="AX537" s="94"/>
      <c r="AY537" s="94"/>
      <c r="AZ537" s="94"/>
      <c r="BA537" s="94"/>
      <c r="BB537" s="94"/>
      <c r="BC537" s="94"/>
      <c r="BD537" s="94"/>
      <c r="BE537" s="94"/>
      <c r="BF537" s="94"/>
      <c r="BG537" s="94"/>
      <c r="BH537" s="94"/>
      <c r="BI537" s="94"/>
      <c r="BJ537" s="94"/>
      <c r="BK537" s="94"/>
      <c r="BL537" s="92"/>
      <c r="BM537" s="94"/>
      <c r="BN537" s="94"/>
      <c r="BO537" s="94"/>
      <c r="BP537" s="94"/>
      <c r="BQ537" s="92"/>
      <c r="BR537" s="92"/>
      <c r="BS537" s="92"/>
      <c r="BT537" s="92"/>
      <c r="BU537" s="92"/>
      <c r="BV537" s="92"/>
      <c r="BW537" s="92"/>
      <c r="BX537" s="92"/>
      <c r="BY537" s="92"/>
      <c r="BZ537" s="92"/>
    </row>
    <row r="538" spans="1:78" ht="12.9">
      <c r="A538" s="89"/>
      <c r="B538" s="89"/>
      <c r="C538" s="89"/>
      <c r="D538" s="89"/>
      <c r="E538" s="89"/>
      <c r="F538" s="89"/>
      <c r="G538" s="89"/>
      <c r="H538" s="105"/>
      <c r="I538" s="106"/>
      <c r="J538" s="106"/>
      <c r="K538" s="89"/>
      <c r="L538" s="89"/>
      <c r="M538" s="89"/>
      <c r="N538" s="107"/>
      <c r="O538" s="107"/>
      <c r="P538" s="89"/>
      <c r="Q538" s="89"/>
      <c r="R538" s="89"/>
      <c r="S538" s="89"/>
      <c r="T538" s="89"/>
      <c r="U538" s="89"/>
      <c r="V538" s="89"/>
      <c r="W538" s="89"/>
      <c r="X538" s="89"/>
      <c r="Y538" s="89"/>
      <c r="Z538" s="77"/>
      <c r="AA538" s="77"/>
      <c r="AB538" s="94"/>
      <c r="AC538" s="94"/>
      <c r="AD538" s="94"/>
      <c r="AE538" s="94"/>
      <c r="AF538" s="91"/>
      <c r="AG538" s="92"/>
      <c r="AH538" s="92"/>
      <c r="AI538" s="93"/>
      <c r="AJ538" s="94"/>
      <c r="AK538" s="92"/>
      <c r="AL538" s="94"/>
      <c r="AM538" s="94"/>
      <c r="AN538" s="94"/>
      <c r="AO538" s="94"/>
      <c r="AP538" s="94"/>
      <c r="AQ538" s="94"/>
      <c r="AR538" s="94"/>
      <c r="AS538" s="94"/>
      <c r="AT538" s="94"/>
      <c r="AU538" s="92"/>
      <c r="AV538" s="94"/>
      <c r="AW538" s="94"/>
      <c r="AX538" s="94"/>
      <c r="AY538" s="94"/>
      <c r="AZ538" s="94"/>
      <c r="BA538" s="94"/>
      <c r="BB538" s="94"/>
      <c r="BC538" s="94"/>
      <c r="BD538" s="94"/>
      <c r="BE538" s="94"/>
      <c r="BF538" s="94"/>
      <c r="BG538" s="94"/>
      <c r="BH538" s="94"/>
      <c r="BI538" s="94"/>
      <c r="BJ538" s="94"/>
      <c r="BK538" s="94"/>
      <c r="BL538" s="92"/>
      <c r="BM538" s="94"/>
      <c r="BN538" s="94"/>
      <c r="BO538" s="94"/>
      <c r="BP538" s="94"/>
      <c r="BQ538" s="92"/>
      <c r="BR538" s="92"/>
      <c r="BS538" s="92"/>
      <c r="BT538" s="92"/>
      <c r="BU538" s="92"/>
      <c r="BV538" s="92"/>
      <c r="BW538" s="92"/>
      <c r="BX538" s="92"/>
      <c r="BY538" s="92"/>
      <c r="BZ538" s="92"/>
    </row>
    <row r="539" spans="1:78" ht="12.9">
      <c r="A539" s="89"/>
      <c r="B539" s="89"/>
      <c r="C539" s="89"/>
      <c r="D539" s="89"/>
      <c r="E539" s="89"/>
      <c r="F539" s="89"/>
      <c r="G539" s="89"/>
      <c r="H539" s="105"/>
      <c r="I539" s="106"/>
      <c r="J539" s="106"/>
      <c r="K539" s="89"/>
      <c r="L539" s="89"/>
      <c r="M539" s="89"/>
      <c r="N539" s="107"/>
      <c r="O539" s="107"/>
      <c r="P539" s="89"/>
      <c r="Q539" s="89"/>
      <c r="R539" s="89"/>
      <c r="S539" s="89"/>
      <c r="T539" s="89"/>
      <c r="U539" s="89"/>
      <c r="V539" s="89"/>
      <c r="W539" s="89"/>
      <c r="X539" s="89"/>
      <c r="Y539" s="89"/>
      <c r="Z539" s="77"/>
      <c r="AA539" s="77"/>
      <c r="AB539" s="94"/>
      <c r="AC539" s="94"/>
      <c r="AD539" s="94"/>
      <c r="AE539" s="94"/>
      <c r="AF539" s="91"/>
      <c r="AG539" s="92"/>
      <c r="AH539" s="92"/>
      <c r="AI539" s="93"/>
      <c r="AJ539" s="94"/>
      <c r="AK539" s="92"/>
      <c r="AL539" s="94"/>
      <c r="AM539" s="94"/>
      <c r="AN539" s="94"/>
      <c r="AO539" s="94"/>
      <c r="AP539" s="94"/>
      <c r="AQ539" s="94"/>
      <c r="AR539" s="94"/>
      <c r="AS539" s="94"/>
      <c r="AT539" s="94"/>
      <c r="AU539" s="92"/>
      <c r="AV539" s="94"/>
      <c r="AW539" s="94"/>
      <c r="AX539" s="94"/>
      <c r="AY539" s="94"/>
      <c r="AZ539" s="94"/>
      <c r="BA539" s="94"/>
      <c r="BB539" s="94"/>
      <c r="BC539" s="94"/>
      <c r="BD539" s="94"/>
      <c r="BE539" s="94"/>
      <c r="BF539" s="94"/>
      <c r="BG539" s="94"/>
      <c r="BH539" s="94"/>
      <c r="BI539" s="94"/>
      <c r="BJ539" s="94"/>
      <c r="BK539" s="94"/>
      <c r="BL539" s="92"/>
      <c r="BM539" s="94"/>
      <c r="BN539" s="94"/>
      <c r="BO539" s="94"/>
      <c r="BP539" s="94"/>
      <c r="BQ539" s="92"/>
      <c r="BR539" s="92"/>
      <c r="BS539" s="92"/>
      <c r="BT539" s="92"/>
      <c r="BU539" s="92"/>
      <c r="BV539" s="92"/>
      <c r="BW539" s="92"/>
      <c r="BX539" s="92"/>
      <c r="BY539" s="92"/>
      <c r="BZ539" s="92"/>
    </row>
    <row r="540" spans="1:78" ht="12.9">
      <c r="A540" s="89"/>
      <c r="B540" s="89"/>
      <c r="C540" s="89"/>
      <c r="D540" s="89"/>
      <c r="E540" s="89"/>
      <c r="F540" s="89"/>
      <c r="G540" s="89"/>
      <c r="H540" s="105"/>
      <c r="I540" s="106"/>
      <c r="J540" s="106"/>
      <c r="K540" s="89"/>
      <c r="L540" s="89"/>
      <c r="M540" s="89"/>
      <c r="N540" s="107"/>
      <c r="O540" s="107"/>
      <c r="P540" s="89"/>
      <c r="Q540" s="89"/>
      <c r="R540" s="89"/>
      <c r="S540" s="89"/>
      <c r="T540" s="89"/>
      <c r="U540" s="89"/>
      <c r="V540" s="89"/>
      <c r="W540" s="89"/>
      <c r="X540" s="89"/>
      <c r="Y540" s="89"/>
      <c r="Z540" s="77"/>
      <c r="AA540" s="77"/>
      <c r="AB540" s="94"/>
      <c r="AC540" s="94"/>
      <c r="AD540" s="94"/>
      <c r="AE540" s="94"/>
      <c r="AF540" s="91"/>
      <c r="AG540" s="92"/>
      <c r="AH540" s="92"/>
      <c r="AI540" s="93"/>
      <c r="AJ540" s="94"/>
      <c r="AK540" s="92"/>
      <c r="AL540" s="94"/>
      <c r="AM540" s="94"/>
      <c r="AN540" s="94"/>
      <c r="AO540" s="94"/>
      <c r="AP540" s="94"/>
      <c r="AQ540" s="94"/>
      <c r="AR540" s="94"/>
      <c r="AS540" s="94"/>
      <c r="AT540" s="94"/>
      <c r="AU540" s="92"/>
      <c r="AV540" s="94"/>
      <c r="AW540" s="94"/>
      <c r="AX540" s="94"/>
      <c r="AY540" s="94"/>
      <c r="AZ540" s="94"/>
      <c r="BA540" s="94"/>
      <c r="BB540" s="94"/>
      <c r="BC540" s="94"/>
      <c r="BD540" s="94"/>
      <c r="BE540" s="94"/>
      <c r="BF540" s="94"/>
      <c r="BG540" s="94"/>
      <c r="BH540" s="94"/>
      <c r="BI540" s="94"/>
      <c r="BJ540" s="94"/>
      <c r="BK540" s="94"/>
      <c r="BL540" s="92"/>
      <c r="BM540" s="94"/>
      <c r="BN540" s="94"/>
      <c r="BO540" s="94"/>
      <c r="BP540" s="94"/>
      <c r="BQ540" s="92"/>
      <c r="BR540" s="92"/>
      <c r="BS540" s="92"/>
      <c r="BT540" s="92"/>
      <c r="BU540" s="92"/>
      <c r="BV540" s="92"/>
      <c r="BW540" s="92"/>
      <c r="BX540" s="92"/>
      <c r="BY540" s="92"/>
      <c r="BZ540" s="92"/>
    </row>
    <row r="541" spans="1:78" ht="12.9">
      <c r="A541" s="89"/>
      <c r="B541" s="89"/>
      <c r="C541" s="89"/>
      <c r="D541" s="89"/>
      <c r="E541" s="89"/>
      <c r="F541" s="89"/>
      <c r="G541" s="89"/>
      <c r="H541" s="105"/>
      <c r="I541" s="106"/>
      <c r="J541" s="106"/>
      <c r="K541" s="89"/>
      <c r="L541" s="89"/>
      <c r="M541" s="89"/>
      <c r="N541" s="107"/>
      <c r="O541" s="107"/>
      <c r="P541" s="89"/>
      <c r="Q541" s="89"/>
      <c r="R541" s="89"/>
      <c r="S541" s="89"/>
      <c r="T541" s="89"/>
      <c r="U541" s="89"/>
      <c r="V541" s="89"/>
      <c r="W541" s="89"/>
      <c r="X541" s="89"/>
      <c r="Y541" s="89"/>
      <c r="Z541" s="77"/>
      <c r="AA541" s="77"/>
      <c r="AB541" s="94"/>
      <c r="AC541" s="94"/>
      <c r="AD541" s="94"/>
      <c r="AE541" s="94"/>
      <c r="AF541" s="91"/>
      <c r="AG541" s="92"/>
      <c r="AH541" s="92"/>
      <c r="AI541" s="93"/>
      <c r="AJ541" s="94"/>
      <c r="AK541" s="92"/>
      <c r="AL541" s="94"/>
      <c r="AM541" s="94"/>
      <c r="AN541" s="94"/>
      <c r="AO541" s="94"/>
      <c r="AP541" s="94"/>
      <c r="AQ541" s="94"/>
      <c r="AR541" s="94"/>
      <c r="AS541" s="94"/>
      <c r="AT541" s="94"/>
      <c r="AU541" s="92"/>
      <c r="AV541" s="94"/>
      <c r="AW541" s="94"/>
      <c r="AX541" s="94"/>
      <c r="AY541" s="94"/>
      <c r="AZ541" s="94"/>
      <c r="BA541" s="94"/>
      <c r="BB541" s="94"/>
      <c r="BC541" s="94"/>
      <c r="BD541" s="94"/>
      <c r="BE541" s="94"/>
      <c r="BF541" s="94"/>
      <c r="BG541" s="94"/>
      <c r="BH541" s="94"/>
      <c r="BI541" s="94"/>
      <c r="BJ541" s="94"/>
      <c r="BK541" s="94"/>
      <c r="BL541" s="92"/>
      <c r="BM541" s="94"/>
      <c r="BN541" s="94"/>
      <c r="BO541" s="94"/>
      <c r="BP541" s="94"/>
      <c r="BQ541" s="92"/>
      <c r="BR541" s="92"/>
      <c r="BS541" s="92"/>
      <c r="BT541" s="92"/>
      <c r="BU541" s="92"/>
      <c r="BV541" s="92"/>
      <c r="BW541" s="92"/>
      <c r="BX541" s="92"/>
      <c r="BY541" s="92"/>
      <c r="BZ541" s="92"/>
    </row>
    <row r="542" spans="1:78" ht="12.9">
      <c r="A542" s="89"/>
      <c r="B542" s="89"/>
      <c r="C542" s="89"/>
      <c r="D542" s="89"/>
      <c r="E542" s="89"/>
      <c r="F542" s="89"/>
      <c r="G542" s="89"/>
      <c r="H542" s="105"/>
      <c r="I542" s="106"/>
      <c r="J542" s="106"/>
      <c r="K542" s="89"/>
      <c r="L542" s="89"/>
      <c r="M542" s="89"/>
      <c r="N542" s="107"/>
      <c r="O542" s="107"/>
      <c r="P542" s="89"/>
      <c r="Q542" s="89"/>
      <c r="R542" s="89"/>
      <c r="S542" s="89"/>
      <c r="T542" s="89"/>
      <c r="U542" s="89"/>
      <c r="V542" s="89"/>
      <c r="W542" s="89"/>
      <c r="X542" s="89"/>
      <c r="Y542" s="89"/>
      <c r="Z542" s="77"/>
      <c r="AA542" s="77"/>
      <c r="AB542" s="94"/>
      <c r="AC542" s="94"/>
      <c r="AD542" s="94"/>
      <c r="AE542" s="94"/>
      <c r="AF542" s="91"/>
      <c r="AG542" s="92"/>
      <c r="AH542" s="92"/>
      <c r="AI542" s="93"/>
      <c r="AJ542" s="94"/>
      <c r="AK542" s="92"/>
      <c r="AL542" s="94"/>
      <c r="AM542" s="94"/>
      <c r="AN542" s="94"/>
      <c r="AO542" s="94"/>
      <c r="AP542" s="94"/>
      <c r="AQ542" s="94"/>
      <c r="AR542" s="94"/>
      <c r="AS542" s="94"/>
      <c r="AT542" s="94"/>
      <c r="AU542" s="92"/>
      <c r="AV542" s="94"/>
      <c r="AW542" s="94"/>
      <c r="AX542" s="94"/>
      <c r="AY542" s="94"/>
      <c r="AZ542" s="94"/>
      <c r="BA542" s="94"/>
      <c r="BB542" s="94"/>
      <c r="BC542" s="94"/>
      <c r="BD542" s="94"/>
      <c r="BE542" s="94"/>
      <c r="BF542" s="94"/>
      <c r="BG542" s="94"/>
      <c r="BH542" s="94"/>
      <c r="BI542" s="94"/>
      <c r="BJ542" s="94"/>
      <c r="BK542" s="94"/>
      <c r="BL542" s="92"/>
      <c r="BM542" s="94"/>
      <c r="BN542" s="94"/>
      <c r="BO542" s="94"/>
      <c r="BP542" s="94"/>
      <c r="BQ542" s="92"/>
      <c r="BR542" s="92"/>
      <c r="BS542" s="92"/>
      <c r="BT542" s="92"/>
      <c r="BU542" s="92"/>
      <c r="BV542" s="92"/>
      <c r="BW542" s="92"/>
      <c r="BX542" s="92"/>
      <c r="BY542" s="92"/>
      <c r="BZ542" s="92"/>
    </row>
    <row r="543" spans="1:78" ht="12.9">
      <c r="A543" s="89"/>
      <c r="B543" s="89"/>
      <c r="C543" s="89"/>
      <c r="D543" s="89"/>
      <c r="E543" s="89"/>
      <c r="F543" s="89"/>
      <c r="G543" s="89"/>
      <c r="H543" s="105"/>
      <c r="I543" s="106"/>
      <c r="J543" s="106"/>
      <c r="K543" s="89"/>
      <c r="L543" s="89"/>
      <c r="M543" s="89"/>
      <c r="N543" s="107"/>
      <c r="O543" s="107"/>
      <c r="P543" s="89"/>
      <c r="Q543" s="89"/>
      <c r="R543" s="89"/>
      <c r="S543" s="89"/>
      <c r="T543" s="89"/>
      <c r="U543" s="89"/>
      <c r="V543" s="89"/>
      <c r="W543" s="89"/>
      <c r="X543" s="89"/>
      <c r="Y543" s="89"/>
      <c r="Z543" s="77"/>
      <c r="AA543" s="77"/>
      <c r="AB543" s="94"/>
      <c r="AC543" s="94"/>
      <c r="AD543" s="94"/>
      <c r="AE543" s="94"/>
      <c r="AF543" s="91"/>
      <c r="AG543" s="92"/>
      <c r="AH543" s="92"/>
      <c r="AI543" s="93"/>
      <c r="AJ543" s="94"/>
      <c r="AK543" s="92"/>
      <c r="AL543" s="94"/>
      <c r="AM543" s="94"/>
      <c r="AN543" s="94"/>
      <c r="AO543" s="94"/>
      <c r="AP543" s="94"/>
      <c r="AQ543" s="94"/>
      <c r="AR543" s="94"/>
      <c r="AS543" s="94"/>
      <c r="AT543" s="94"/>
      <c r="AU543" s="92"/>
      <c r="AV543" s="94"/>
      <c r="AW543" s="94"/>
      <c r="AX543" s="94"/>
      <c r="AY543" s="94"/>
      <c r="AZ543" s="94"/>
      <c r="BA543" s="94"/>
      <c r="BB543" s="94"/>
      <c r="BC543" s="94"/>
      <c r="BD543" s="94"/>
      <c r="BE543" s="94"/>
      <c r="BF543" s="94"/>
      <c r="BG543" s="94"/>
      <c r="BH543" s="94"/>
      <c r="BI543" s="94"/>
      <c r="BJ543" s="94"/>
      <c r="BK543" s="94"/>
      <c r="BL543" s="92"/>
      <c r="BM543" s="94"/>
      <c r="BN543" s="94"/>
      <c r="BO543" s="94"/>
      <c r="BP543" s="94"/>
      <c r="BQ543" s="92"/>
      <c r="BR543" s="92"/>
      <c r="BS543" s="92"/>
      <c r="BT543" s="92"/>
      <c r="BU543" s="92"/>
      <c r="BV543" s="92"/>
      <c r="BW543" s="92"/>
      <c r="BX543" s="92"/>
      <c r="BY543" s="92"/>
      <c r="BZ543" s="92"/>
    </row>
    <row r="544" spans="1:78" ht="12.9">
      <c r="A544" s="89"/>
      <c r="B544" s="89"/>
      <c r="C544" s="89"/>
      <c r="D544" s="89"/>
      <c r="E544" s="89"/>
      <c r="F544" s="89"/>
      <c r="G544" s="89"/>
      <c r="H544" s="105"/>
      <c r="I544" s="106"/>
      <c r="J544" s="106"/>
      <c r="K544" s="89"/>
      <c r="L544" s="89"/>
      <c r="M544" s="89"/>
      <c r="N544" s="107"/>
      <c r="O544" s="107"/>
      <c r="P544" s="89"/>
      <c r="Q544" s="89"/>
      <c r="R544" s="89"/>
      <c r="S544" s="89"/>
      <c r="T544" s="89"/>
      <c r="U544" s="89"/>
      <c r="V544" s="89"/>
      <c r="W544" s="89"/>
      <c r="X544" s="89"/>
      <c r="Y544" s="89"/>
      <c r="Z544" s="77"/>
      <c r="AA544" s="77"/>
      <c r="AB544" s="94"/>
      <c r="AC544" s="94"/>
      <c r="AD544" s="94"/>
      <c r="AE544" s="94"/>
      <c r="AF544" s="91"/>
      <c r="AG544" s="92"/>
      <c r="AH544" s="92"/>
      <c r="AI544" s="93"/>
      <c r="AJ544" s="94"/>
      <c r="AK544" s="92"/>
      <c r="AL544" s="94"/>
      <c r="AM544" s="94"/>
      <c r="AN544" s="94"/>
      <c r="AO544" s="94"/>
      <c r="AP544" s="94"/>
      <c r="AQ544" s="94"/>
      <c r="AR544" s="94"/>
      <c r="AS544" s="94"/>
      <c r="AT544" s="94"/>
      <c r="AU544" s="92"/>
      <c r="AV544" s="94"/>
      <c r="AW544" s="94"/>
      <c r="AX544" s="94"/>
      <c r="AY544" s="94"/>
      <c r="AZ544" s="94"/>
      <c r="BA544" s="94"/>
      <c r="BB544" s="94"/>
      <c r="BC544" s="94"/>
      <c r="BD544" s="94"/>
      <c r="BE544" s="94"/>
      <c r="BF544" s="94"/>
      <c r="BG544" s="94"/>
      <c r="BH544" s="94"/>
      <c r="BI544" s="94"/>
      <c r="BJ544" s="94"/>
      <c r="BK544" s="94"/>
      <c r="BL544" s="92"/>
      <c r="BM544" s="94"/>
      <c r="BN544" s="94"/>
      <c r="BO544" s="94"/>
      <c r="BP544" s="94"/>
      <c r="BQ544" s="92"/>
      <c r="BR544" s="92"/>
      <c r="BS544" s="92"/>
      <c r="BT544" s="92"/>
      <c r="BU544" s="92"/>
      <c r="BV544" s="92"/>
      <c r="BW544" s="92"/>
      <c r="BX544" s="92"/>
      <c r="BY544" s="92"/>
      <c r="BZ544" s="92"/>
    </row>
    <row r="545" spans="1:78" ht="12.9">
      <c r="A545" s="89"/>
      <c r="B545" s="89"/>
      <c r="C545" s="89"/>
      <c r="D545" s="89"/>
      <c r="E545" s="89"/>
      <c r="F545" s="89"/>
      <c r="G545" s="89"/>
      <c r="H545" s="105"/>
      <c r="I545" s="106"/>
      <c r="J545" s="106"/>
      <c r="K545" s="89"/>
      <c r="L545" s="89"/>
      <c r="M545" s="89"/>
      <c r="N545" s="107"/>
      <c r="O545" s="107"/>
      <c r="P545" s="89"/>
      <c r="Q545" s="89"/>
      <c r="R545" s="89"/>
      <c r="S545" s="89"/>
      <c r="T545" s="89"/>
      <c r="U545" s="89"/>
      <c r="V545" s="89"/>
      <c r="W545" s="89"/>
      <c r="X545" s="89"/>
      <c r="Y545" s="89"/>
      <c r="Z545" s="77"/>
      <c r="AA545" s="77"/>
      <c r="AB545" s="94"/>
      <c r="AC545" s="94"/>
      <c r="AD545" s="94"/>
      <c r="AE545" s="94"/>
      <c r="AF545" s="91"/>
      <c r="AG545" s="92"/>
      <c r="AH545" s="92"/>
      <c r="AI545" s="93"/>
      <c r="AJ545" s="94"/>
      <c r="AK545" s="92"/>
      <c r="AL545" s="94"/>
      <c r="AM545" s="94"/>
      <c r="AN545" s="94"/>
      <c r="AO545" s="94"/>
      <c r="AP545" s="94"/>
      <c r="AQ545" s="94"/>
      <c r="AR545" s="94"/>
      <c r="AS545" s="94"/>
      <c r="AT545" s="94"/>
      <c r="AU545" s="92"/>
      <c r="AV545" s="94"/>
      <c r="AW545" s="94"/>
      <c r="AX545" s="94"/>
      <c r="AY545" s="94"/>
      <c r="AZ545" s="94"/>
      <c r="BA545" s="94"/>
      <c r="BB545" s="94"/>
      <c r="BC545" s="94"/>
      <c r="BD545" s="94"/>
      <c r="BE545" s="94"/>
      <c r="BF545" s="94"/>
      <c r="BG545" s="94"/>
      <c r="BH545" s="94"/>
      <c r="BI545" s="94"/>
      <c r="BJ545" s="94"/>
      <c r="BK545" s="94"/>
      <c r="BL545" s="92"/>
      <c r="BM545" s="94"/>
      <c r="BN545" s="94"/>
      <c r="BO545" s="94"/>
      <c r="BP545" s="94"/>
      <c r="BQ545" s="92"/>
      <c r="BR545" s="92"/>
      <c r="BS545" s="92"/>
      <c r="BT545" s="92"/>
      <c r="BU545" s="92"/>
      <c r="BV545" s="92"/>
      <c r="BW545" s="92"/>
      <c r="BX545" s="92"/>
      <c r="BY545" s="92"/>
      <c r="BZ545" s="92"/>
    </row>
    <row r="546" spans="1:78" ht="12.9">
      <c r="A546" s="89"/>
      <c r="B546" s="89"/>
      <c r="C546" s="89"/>
      <c r="D546" s="89"/>
      <c r="E546" s="89"/>
      <c r="F546" s="89"/>
      <c r="G546" s="89"/>
      <c r="H546" s="105"/>
      <c r="I546" s="106"/>
      <c r="J546" s="106"/>
      <c r="K546" s="89"/>
      <c r="L546" s="89"/>
      <c r="M546" s="89"/>
      <c r="N546" s="107"/>
      <c r="O546" s="107"/>
      <c r="P546" s="89"/>
      <c r="Q546" s="89"/>
      <c r="R546" s="89"/>
      <c r="S546" s="89"/>
      <c r="T546" s="89"/>
      <c r="U546" s="89"/>
      <c r="V546" s="89"/>
      <c r="W546" s="89"/>
      <c r="X546" s="89"/>
      <c r="Y546" s="89"/>
      <c r="Z546" s="77"/>
      <c r="AA546" s="77"/>
      <c r="AB546" s="94"/>
      <c r="AC546" s="94"/>
      <c r="AD546" s="94"/>
      <c r="AE546" s="94"/>
      <c r="AF546" s="91"/>
      <c r="AG546" s="92"/>
      <c r="AH546" s="92"/>
      <c r="AI546" s="93"/>
      <c r="AJ546" s="94"/>
      <c r="AK546" s="92"/>
      <c r="AL546" s="94"/>
      <c r="AM546" s="94"/>
      <c r="AN546" s="94"/>
      <c r="AO546" s="94"/>
      <c r="AP546" s="94"/>
      <c r="AQ546" s="94"/>
      <c r="AR546" s="94"/>
      <c r="AS546" s="94"/>
      <c r="AT546" s="94"/>
      <c r="AU546" s="92"/>
      <c r="AV546" s="94"/>
      <c r="AW546" s="94"/>
      <c r="AX546" s="94"/>
      <c r="AY546" s="94"/>
      <c r="AZ546" s="94"/>
      <c r="BA546" s="94"/>
      <c r="BB546" s="94"/>
      <c r="BC546" s="94"/>
      <c r="BD546" s="94"/>
      <c r="BE546" s="94"/>
      <c r="BF546" s="94"/>
      <c r="BG546" s="94"/>
      <c r="BH546" s="94"/>
      <c r="BI546" s="94"/>
      <c r="BJ546" s="94"/>
      <c r="BK546" s="94"/>
      <c r="BL546" s="92"/>
      <c r="BM546" s="94"/>
      <c r="BN546" s="94"/>
      <c r="BO546" s="94"/>
      <c r="BP546" s="94"/>
      <c r="BQ546" s="92"/>
      <c r="BR546" s="92"/>
      <c r="BS546" s="92"/>
      <c r="BT546" s="92"/>
      <c r="BU546" s="92"/>
      <c r="BV546" s="92"/>
      <c r="BW546" s="92"/>
      <c r="BX546" s="92"/>
      <c r="BY546" s="92"/>
      <c r="BZ546" s="92"/>
    </row>
    <row r="547" spans="1:78" ht="12.9">
      <c r="A547" s="89"/>
      <c r="B547" s="89"/>
      <c r="C547" s="89"/>
      <c r="D547" s="89"/>
      <c r="E547" s="89"/>
      <c r="F547" s="89"/>
      <c r="G547" s="89"/>
      <c r="H547" s="105"/>
      <c r="I547" s="106"/>
      <c r="J547" s="106"/>
      <c r="K547" s="89"/>
      <c r="L547" s="89"/>
      <c r="M547" s="89"/>
      <c r="N547" s="107"/>
      <c r="O547" s="107"/>
      <c r="P547" s="89"/>
      <c r="Q547" s="89"/>
      <c r="R547" s="89"/>
      <c r="S547" s="89"/>
      <c r="T547" s="89"/>
      <c r="U547" s="89"/>
      <c r="V547" s="89"/>
      <c r="W547" s="89"/>
      <c r="X547" s="89"/>
      <c r="Y547" s="89"/>
      <c r="Z547" s="77"/>
      <c r="AA547" s="77"/>
      <c r="AB547" s="94"/>
      <c r="AC547" s="94"/>
      <c r="AD547" s="94"/>
      <c r="AE547" s="94"/>
      <c r="AF547" s="91"/>
      <c r="AG547" s="92"/>
      <c r="AH547" s="92"/>
      <c r="AI547" s="93"/>
      <c r="AJ547" s="94"/>
      <c r="AK547" s="92"/>
      <c r="AL547" s="94"/>
      <c r="AM547" s="94"/>
      <c r="AN547" s="94"/>
      <c r="AO547" s="94"/>
      <c r="AP547" s="94"/>
      <c r="AQ547" s="94"/>
      <c r="AR547" s="94"/>
      <c r="AS547" s="94"/>
      <c r="AT547" s="94"/>
      <c r="AU547" s="92"/>
      <c r="AV547" s="94"/>
      <c r="AW547" s="94"/>
      <c r="AX547" s="94"/>
      <c r="AY547" s="94"/>
      <c r="AZ547" s="94"/>
      <c r="BA547" s="94"/>
      <c r="BB547" s="94"/>
      <c r="BC547" s="94"/>
      <c r="BD547" s="94"/>
      <c r="BE547" s="94"/>
      <c r="BF547" s="94"/>
      <c r="BG547" s="94"/>
      <c r="BH547" s="94"/>
      <c r="BI547" s="94"/>
      <c r="BJ547" s="94"/>
      <c r="BK547" s="94"/>
      <c r="BL547" s="92"/>
      <c r="BM547" s="94"/>
      <c r="BN547" s="94"/>
      <c r="BO547" s="94"/>
      <c r="BP547" s="94"/>
      <c r="BQ547" s="92"/>
      <c r="BR547" s="92"/>
      <c r="BS547" s="92"/>
      <c r="BT547" s="92"/>
      <c r="BU547" s="92"/>
      <c r="BV547" s="92"/>
      <c r="BW547" s="92"/>
      <c r="BX547" s="92"/>
      <c r="BY547" s="92"/>
      <c r="BZ547" s="92"/>
    </row>
    <row r="548" spans="1:78" ht="12.9">
      <c r="A548" s="89"/>
      <c r="B548" s="89"/>
      <c r="C548" s="89"/>
      <c r="D548" s="89"/>
      <c r="E548" s="89"/>
      <c r="F548" s="89"/>
      <c r="G548" s="89"/>
      <c r="H548" s="105"/>
      <c r="I548" s="106"/>
      <c r="J548" s="106"/>
      <c r="K548" s="89"/>
      <c r="L548" s="89"/>
      <c r="M548" s="89"/>
      <c r="N548" s="107"/>
      <c r="O548" s="107"/>
      <c r="P548" s="89"/>
      <c r="Q548" s="89"/>
      <c r="R548" s="89"/>
      <c r="S548" s="89"/>
      <c r="T548" s="89"/>
      <c r="U548" s="89"/>
      <c r="V548" s="89"/>
      <c r="W548" s="89"/>
      <c r="X548" s="89"/>
      <c r="Y548" s="89"/>
      <c r="Z548" s="77"/>
      <c r="AA548" s="77"/>
      <c r="AB548" s="94"/>
      <c r="AC548" s="94"/>
      <c r="AD548" s="94"/>
      <c r="AE548" s="94"/>
      <c r="AF548" s="91"/>
      <c r="AG548" s="92"/>
      <c r="AH548" s="92"/>
      <c r="AI548" s="93"/>
      <c r="AJ548" s="94"/>
      <c r="AK548" s="92"/>
      <c r="AL548" s="94"/>
      <c r="AM548" s="94"/>
      <c r="AN548" s="94"/>
      <c r="AO548" s="94"/>
      <c r="AP548" s="94"/>
      <c r="AQ548" s="94"/>
      <c r="AR548" s="94"/>
      <c r="AS548" s="94"/>
      <c r="AT548" s="94"/>
      <c r="AU548" s="92"/>
      <c r="AV548" s="94"/>
      <c r="AW548" s="94"/>
      <c r="AX548" s="94"/>
      <c r="AY548" s="94"/>
      <c r="AZ548" s="94"/>
      <c r="BA548" s="94"/>
      <c r="BB548" s="94"/>
      <c r="BC548" s="94"/>
      <c r="BD548" s="94"/>
      <c r="BE548" s="94"/>
      <c r="BF548" s="94"/>
      <c r="BG548" s="94"/>
      <c r="BH548" s="94"/>
      <c r="BI548" s="94"/>
      <c r="BJ548" s="94"/>
      <c r="BK548" s="94"/>
      <c r="BL548" s="92"/>
      <c r="BM548" s="94"/>
      <c r="BN548" s="94"/>
      <c r="BO548" s="94"/>
      <c r="BP548" s="94"/>
      <c r="BQ548" s="92"/>
      <c r="BR548" s="92"/>
      <c r="BS548" s="92"/>
      <c r="BT548" s="92"/>
      <c r="BU548" s="92"/>
      <c r="BV548" s="92"/>
      <c r="BW548" s="92"/>
      <c r="BX548" s="92"/>
      <c r="BY548" s="92"/>
      <c r="BZ548" s="92"/>
    </row>
    <row r="549" spans="1:78" ht="12.9">
      <c r="A549" s="89"/>
      <c r="B549" s="89"/>
      <c r="C549" s="89"/>
      <c r="D549" s="89"/>
      <c r="E549" s="89"/>
      <c r="F549" s="89"/>
      <c r="G549" s="89"/>
      <c r="H549" s="105"/>
      <c r="I549" s="106"/>
      <c r="J549" s="106"/>
      <c r="K549" s="89"/>
      <c r="L549" s="89"/>
      <c r="M549" s="89"/>
      <c r="N549" s="107"/>
      <c r="O549" s="107"/>
      <c r="P549" s="89"/>
      <c r="Q549" s="89"/>
      <c r="R549" s="89"/>
      <c r="S549" s="89"/>
      <c r="T549" s="89"/>
      <c r="U549" s="89"/>
      <c r="V549" s="89"/>
      <c r="W549" s="89"/>
      <c r="X549" s="89"/>
      <c r="Y549" s="89"/>
      <c r="Z549" s="77"/>
      <c r="AA549" s="77"/>
      <c r="AB549" s="94"/>
      <c r="AC549" s="94"/>
      <c r="AD549" s="94"/>
      <c r="AE549" s="94"/>
      <c r="AF549" s="91"/>
      <c r="AG549" s="92"/>
      <c r="AH549" s="92"/>
      <c r="AI549" s="93"/>
      <c r="AJ549" s="94"/>
      <c r="AK549" s="92"/>
      <c r="AL549" s="94"/>
      <c r="AM549" s="94"/>
      <c r="AN549" s="94"/>
      <c r="AO549" s="94"/>
      <c r="AP549" s="94"/>
      <c r="AQ549" s="94"/>
      <c r="AR549" s="94"/>
      <c r="AS549" s="94"/>
      <c r="AT549" s="94"/>
      <c r="AU549" s="92"/>
      <c r="AV549" s="94"/>
      <c r="AW549" s="94"/>
      <c r="AX549" s="94"/>
      <c r="AY549" s="94"/>
      <c r="AZ549" s="94"/>
      <c r="BA549" s="94"/>
      <c r="BB549" s="94"/>
      <c r="BC549" s="94"/>
      <c r="BD549" s="94"/>
      <c r="BE549" s="94"/>
      <c r="BF549" s="94"/>
      <c r="BG549" s="94"/>
      <c r="BH549" s="94"/>
      <c r="BI549" s="94"/>
      <c r="BJ549" s="94"/>
      <c r="BK549" s="94"/>
      <c r="BL549" s="92"/>
      <c r="BM549" s="94"/>
      <c r="BN549" s="94"/>
      <c r="BO549" s="94"/>
      <c r="BP549" s="94"/>
      <c r="BQ549" s="92"/>
      <c r="BR549" s="92"/>
      <c r="BS549" s="92"/>
      <c r="BT549" s="92"/>
      <c r="BU549" s="92"/>
      <c r="BV549" s="92"/>
      <c r="BW549" s="92"/>
      <c r="BX549" s="92"/>
      <c r="BY549" s="92"/>
      <c r="BZ549" s="92"/>
    </row>
    <row r="550" spans="1:78" ht="12.9">
      <c r="A550" s="89"/>
      <c r="B550" s="89"/>
      <c r="C550" s="89"/>
      <c r="D550" s="89"/>
      <c r="E550" s="89"/>
      <c r="F550" s="89"/>
      <c r="G550" s="89"/>
      <c r="H550" s="105"/>
      <c r="I550" s="106"/>
      <c r="J550" s="106"/>
      <c r="K550" s="89"/>
      <c r="L550" s="89"/>
      <c r="M550" s="89"/>
      <c r="N550" s="107"/>
      <c r="O550" s="107"/>
      <c r="P550" s="89"/>
      <c r="Q550" s="89"/>
      <c r="R550" s="89"/>
      <c r="S550" s="89"/>
      <c r="T550" s="89"/>
      <c r="U550" s="89"/>
      <c r="V550" s="89"/>
      <c r="W550" s="89"/>
      <c r="X550" s="89"/>
      <c r="Y550" s="89"/>
      <c r="Z550" s="77"/>
      <c r="AA550" s="77"/>
      <c r="AB550" s="94"/>
      <c r="AC550" s="94"/>
      <c r="AD550" s="94"/>
      <c r="AE550" s="94"/>
      <c r="AF550" s="91"/>
      <c r="AG550" s="92"/>
      <c r="AH550" s="92"/>
      <c r="AI550" s="93"/>
      <c r="AJ550" s="94"/>
      <c r="AK550" s="92"/>
      <c r="AL550" s="94"/>
      <c r="AM550" s="94"/>
      <c r="AN550" s="94"/>
      <c r="AO550" s="94"/>
      <c r="AP550" s="94"/>
      <c r="AQ550" s="94"/>
      <c r="AR550" s="94"/>
      <c r="AS550" s="94"/>
      <c r="AT550" s="94"/>
      <c r="AU550" s="92"/>
      <c r="AV550" s="94"/>
      <c r="AW550" s="94"/>
      <c r="AX550" s="94"/>
      <c r="AY550" s="94"/>
      <c r="AZ550" s="94"/>
      <c r="BA550" s="94"/>
      <c r="BB550" s="94"/>
      <c r="BC550" s="94"/>
      <c r="BD550" s="94"/>
      <c r="BE550" s="94"/>
      <c r="BF550" s="94"/>
      <c r="BG550" s="94"/>
      <c r="BH550" s="94"/>
      <c r="BI550" s="94"/>
      <c r="BJ550" s="94"/>
      <c r="BK550" s="94"/>
      <c r="BL550" s="92"/>
      <c r="BM550" s="94"/>
      <c r="BN550" s="94"/>
      <c r="BO550" s="94"/>
      <c r="BP550" s="94"/>
      <c r="BQ550" s="92"/>
      <c r="BR550" s="92"/>
      <c r="BS550" s="92"/>
      <c r="BT550" s="92"/>
      <c r="BU550" s="92"/>
      <c r="BV550" s="92"/>
      <c r="BW550" s="92"/>
      <c r="BX550" s="92"/>
      <c r="BY550" s="92"/>
      <c r="BZ550" s="92"/>
    </row>
    <row r="551" spans="1:78" ht="12.9">
      <c r="A551" s="89"/>
      <c r="B551" s="89"/>
      <c r="C551" s="89"/>
      <c r="D551" s="89"/>
      <c r="E551" s="89"/>
      <c r="F551" s="89"/>
      <c r="G551" s="89"/>
      <c r="H551" s="105"/>
      <c r="I551" s="106"/>
      <c r="J551" s="106"/>
      <c r="K551" s="89"/>
      <c r="L551" s="89"/>
      <c r="M551" s="89"/>
      <c r="N551" s="107"/>
      <c r="O551" s="107"/>
      <c r="P551" s="89"/>
      <c r="Q551" s="89"/>
      <c r="R551" s="89"/>
      <c r="S551" s="89"/>
      <c r="T551" s="89"/>
      <c r="U551" s="89"/>
      <c r="V551" s="89"/>
      <c r="W551" s="89"/>
      <c r="X551" s="89"/>
      <c r="Y551" s="89"/>
      <c r="Z551" s="77"/>
      <c r="AA551" s="77"/>
      <c r="AB551" s="94"/>
      <c r="AC551" s="94"/>
      <c r="AD551" s="94"/>
      <c r="AE551" s="94"/>
      <c r="AF551" s="91"/>
      <c r="AG551" s="92"/>
      <c r="AH551" s="92"/>
      <c r="AI551" s="93"/>
      <c r="AJ551" s="94"/>
      <c r="AK551" s="92"/>
      <c r="AL551" s="94"/>
      <c r="AM551" s="94"/>
      <c r="AN551" s="94"/>
      <c r="AO551" s="94"/>
      <c r="AP551" s="94"/>
      <c r="AQ551" s="94"/>
      <c r="AR551" s="94"/>
      <c r="AS551" s="94"/>
      <c r="AT551" s="94"/>
      <c r="AU551" s="92"/>
      <c r="AV551" s="94"/>
      <c r="AW551" s="94"/>
      <c r="AX551" s="94"/>
      <c r="AY551" s="94"/>
      <c r="AZ551" s="94"/>
      <c r="BA551" s="94"/>
      <c r="BB551" s="94"/>
      <c r="BC551" s="94"/>
      <c r="BD551" s="94"/>
      <c r="BE551" s="94"/>
      <c r="BF551" s="94"/>
      <c r="BG551" s="94"/>
      <c r="BH551" s="94"/>
      <c r="BI551" s="94"/>
      <c r="BJ551" s="94"/>
      <c r="BK551" s="94"/>
      <c r="BL551" s="92"/>
      <c r="BM551" s="94"/>
      <c r="BN551" s="94"/>
      <c r="BO551" s="94"/>
      <c r="BP551" s="94"/>
      <c r="BQ551" s="92"/>
      <c r="BR551" s="92"/>
      <c r="BS551" s="92"/>
      <c r="BT551" s="92"/>
      <c r="BU551" s="92"/>
      <c r="BV551" s="92"/>
      <c r="BW551" s="92"/>
      <c r="BX551" s="92"/>
      <c r="BY551" s="92"/>
      <c r="BZ551" s="92"/>
    </row>
    <row r="552" spans="1:78" ht="12.9">
      <c r="A552" s="89"/>
      <c r="B552" s="89"/>
      <c r="C552" s="89"/>
      <c r="D552" s="89"/>
      <c r="E552" s="89"/>
      <c r="F552" s="89"/>
      <c r="G552" s="89"/>
      <c r="H552" s="105"/>
      <c r="I552" s="106"/>
      <c r="J552" s="106"/>
      <c r="K552" s="89"/>
      <c r="L552" s="89"/>
      <c r="M552" s="89"/>
      <c r="N552" s="107"/>
      <c r="O552" s="107"/>
      <c r="P552" s="89"/>
      <c r="Q552" s="89"/>
      <c r="R552" s="89"/>
      <c r="S552" s="89"/>
      <c r="T552" s="89"/>
      <c r="U552" s="89"/>
      <c r="V552" s="89"/>
      <c r="W552" s="89"/>
      <c r="X552" s="89"/>
      <c r="Y552" s="89"/>
      <c r="Z552" s="77"/>
      <c r="AA552" s="77"/>
      <c r="AB552" s="94"/>
      <c r="AC552" s="94"/>
      <c r="AD552" s="94"/>
      <c r="AE552" s="94"/>
      <c r="AF552" s="91"/>
      <c r="AG552" s="92"/>
      <c r="AH552" s="92"/>
      <c r="AI552" s="93"/>
      <c r="AJ552" s="94"/>
      <c r="AK552" s="92"/>
      <c r="AL552" s="94"/>
      <c r="AM552" s="94"/>
      <c r="AN552" s="94"/>
      <c r="AO552" s="94"/>
      <c r="AP552" s="94"/>
      <c r="AQ552" s="94"/>
      <c r="AR552" s="94"/>
      <c r="AS552" s="94"/>
      <c r="AT552" s="94"/>
      <c r="AU552" s="92"/>
      <c r="AV552" s="94"/>
      <c r="AW552" s="94"/>
      <c r="AX552" s="94"/>
      <c r="AY552" s="94"/>
      <c r="AZ552" s="94"/>
      <c r="BA552" s="94"/>
      <c r="BB552" s="94"/>
      <c r="BC552" s="94"/>
      <c r="BD552" s="94"/>
      <c r="BE552" s="94"/>
      <c r="BF552" s="94"/>
      <c r="BG552" s="94"/>
      <c r="BH552" s="94"/>
      <c r="BI552" s="94"/>
      <c r="BJ552" s="94"/>
      <c r="BK552" s="94"/>
      <c r="BL552" s="92"/>
      <c r="BM552" s="94"/>
      <c r="BN552" s="94"/>
      <c r="BO552" s="94"/>
      <c r="BP552" s="94"/>
      <c r="BQ552" s="92"/>
      <c r="BR552" s="92"/>
      <c r="BS552" s="92"/>
      <c r="BT552" s="92"/>
      <c r="BU552" s="92"/>
      <c r="BV552" s="92"/>
      <c r="BW552" s="92"/>
      <c r="BX552" s="92"/>
      <c r="BY552" s="92"/>
      <c r="BZ552" s="92"/>
    </row>
    <row r="553" spans="1:78" ht="12.9">
      <c r="A553" s="89"/>
      <c r="B553" s="89"/>
      <c r="C553" s="89"/>
      <c r="D553" s="89"/>
      <c r="E553" s="89"/>
      <c r="F553" s="89"/>
      <c r="G553" s="89"/>
      <c r="H553" s="105"/>
      <c r="I553" s="106"/>
      <c r="J553" s="106"/>
      <c r="K553" s="89"/>
      <c r="L553" s="89"/>
      <c r="M553" s="89"/>
      <c r="N553" s="107"/>
      <c r="O553" s="107"/>
      <c r="P553" s="89"/>
      <c r="Q553" s="89"/>
      <c r="R553" s="89"/>
      <c r="S553" s="89"/>
      <c r="T553" s="89"/>
      <c r="U553" s="89"/>
      <c r="V553" s="89"/>
      <c r="W553" s="89"/>
      <c r="X553" s="89"/>
      <c r="Y553" s="89"/>
      <c r="Z553" s="77"/>
      <c r="AA553" s="77"/>
      <c r="AB553" s="94"/>
      <c r="AC553" s="94"/>
      <c r="AD553" s="94"/>
      <c r="AE553" s="94"/>
      <c r="AF553" s="91"/>
      <c r="AG553" s="92"/>
      <c r="AH553" s="92"/>
      <c r="AI553" s="93"/>
      <c r="AJ553" s="94"/>
      <c r="AK553" s="92"/>
      <c r="AL553" s="94"/>
      <c r="AM553" s="94"/>
      <c r="AN553" s="94"/>
      <c r="AO553" s="94"/>
      <c r="AP553" s="94"/>
      <c r="AQ553" s="94"/>
      <c r="AR553" s="94"/>
      <c r="AS553" s="94"/>
      <c r="AT553" s="94"/>
      <c r="AU553" s="92"/>
      <c r="AV553" s="94"/>
      <c r="AW553" s="94"/>
      <c r="AX553" s="94"/>
      <c r="AY553" s="94"/>
      <c r="AZ553" s="94"/>
      <c r="BA553" s="94"/>
      <c r="BB553" s="94"/>
      <c r="BC553" s="94"/>
      <c r="BD553" s="94"/>
      <c r="BE553" s="94"/>
      <c r="BF553" s="94"/>
      <c r="BG553" s="94"/>
      <c r="BH553" s="94"/>
      <c r="BI553" s="94"/>
      <c r="BJ553" s="94"/>
      <c r="BK553" s="94"/>
      <c r="BL553" s="92"/>
      <c r="BM553" s="94"/>
      <c r="BN553" s="94"/>
      <c r="BO553" s="94"/>
      <c r="BP553" s="94"/>
      <c r="BQ553" s="92"/>
      <c r="BR553" s="92"/>
      <c r="BS553" s="92"/>
      <c r="BT553" s="92"/>
      <c r="BU553" s="92"/>
      <c r="BV553" s="92"/>
      <c r="BW553" s="92"/>
      <c r="BX553" s="92"/>
      <c r="BY553" s="92"/>
      <c r="BZ553" s="92"/>
    </row>
    <row r="554" spans="1:78" ht="12.9">
      <c r="A554" s="89"/>
      <c r="B554" s="89"/>
      <c r="C554" s="89"/>
      <c r="D554" s="89"/>
      <c r="E554" s="89"/>
      <c r="F554" s="89"/>
      <c r="G554" s="89"/>
      <c r="H554" s="105"/>
      <c r="I554" s="106"/>
      <c r="J554" s="106"/>
      <c r="K554" s="89"/>
      <c r="L554" s="89"/>
      <c r="M554" s="89"/>
      <c r="N554" s="107"/>
      <c r="O554" s="107"/>
      <c r="P554" s="89"/>
      <c r="Q554" s="89"/>
      <c r="R554" s="89"/>
      <c r="S554" s="89"/>
      <c r="T554" s="89"/>
      <c r="U554" s="89"/>
      <c r="V554" s="89"/>
      <c r="W554" s="89"/>
      <c r="X554" s="89"/>
      <c r="Y554" s="89"/>
      <c r="Z554" s="77"/>
      <c r="AA554" s="77"/>
      <c r="AB554" s="94"/>
      <c r="AC554" s="94"/>
      <c r="AD554" s="94"/>
      <c r="AE554" s="94"/>
      <c r="AF554" s="91"/>
      <c r="AG554" s="92"/>
      <c r="AH554" s="92"/>
      <c r="AI554" s="93"/>
      <c r="AJ554" s="94"/>
      <c r="AK554" s="92"/>
      <c r="AL554" s="94"/>
      <c r="AM554" s="94"/>
      <c r="AN554" s="94"/>
      <c r="AO554" s="94"/>
      <c r="AP554" s="94"/>
      <c r="AQ554" s="94"/>
      <c r="AR554" s="94"/>
      <c r="AS554" s="94"/>
      <c r="AT554" s="94"/>
      <c r="AU554" s="92"/>
      <c r="AV554" s="94"/>
      <c r="AW554" s="94"/>
      <c r="AX554" s="94"/>
      <c r="AY554" s="94"/>
      <c r="AZ554" s="94"/>
      <c r="BA554" s="94"/>
      <c r="BB554" s="94"/>
      <c r="BC554" s="94"/>
      <c r="BD554" s="94"/>
      <c r="BE554" s="94"/>
      <c r="BF554" s="94"/>
      <c r="BG554" s="94"/>
      <c r="BH554" s="94"/>
      <c r="BI554" s="94"/>
      <c r="BJ554" s="94"/>
      <c r="BK554" s="94"/>
      <c r="BL554" s="92"/>
      <c r="BM554" s="94"/>
      <c r="BN554" s="94"/>
      <c r="BO554" s="94"/>
      <c r="BP554" s="94"/>
      <c r="BQ554" s="92"/>
      <c r="BR554" s="92"/>
      <c r="BS554" s="92"/>
      <c r="BT554" s="92"/>
      <c r="BU554" s="92"/>
      <c r="BV554" s="92"/>
      <c r="BW554" s="92"/>
      <c r="BX554" s="92"/>
      <c r="BY554" s="92"/>
      <c r="BZ554" s="92"/>
    </row>
    <row r="555" spans="1:78" ht="12.9">
      <c r="A555" s="89"/>
      <c r="B555" s="89"/>
      <c r="C555" s="89"/>
      <c r="D555" s="89"/>
      <c r="E555" s="89"/>
      <c r="F555" s="89"/>
      <c r="G555" s="89"/>
      <c r="H555" s="105"/>
      <c r="I555" s="106"/>
      <c r="J555" s="106"/>
      <c r="K555" s="89"/>
      <c r="L555" s="89"/>
      <c r="M555" s="89"/>
      <c r="N555" s="107"/>
      <c r="O555" s="107"/>
      <c r="P555" s="89"/>
      <c r="Q555" s="89"/>
      <c r="R555" s="89"/>
      <c r="S555" s="89"/>
      <c r="T555" s="89"/>
      <c r="U555" s="89"/>
      <c r="V555" s="89"/>
      <c r="W555" s="89"/>
      <c r="X555" s="89"/>
      <c r="Y555" s="89"/>
      <c r="Z555" s="77"/>
      <c r="AA555" s="77"/>
      <c r="AB555" s="94"/>
      <c r="AC555" s="94"/>
      <c r="AD555" s="94"/>
      <c r="AE555" s="94"/>
      <c r="AF555" s="91"/>
      <c r="AG555" s="92"/>
      <c r="AH555" s="92"/>
      <c r="AI555" s="93"/>
      <c r="AJ555" s="94"/>
      <c r="AK555" s="92"/>
      <c r="AL555" s="94"/>
      <c r="AM555" s="94"/>
      <c r="AN555" s="94"/>
      <c r="AO555" s="94"/>
      <c r="AP555" s="94"/>
      <c r="AQ555" s="94"/>
      <c r="AR555" s="94"/>
      <c r="AS555" s="94"/>
      <c r="AT555" s="94"/>
      <c r="AU555" s="92"/>
      <c r="AV555" s="94"/>
      <c r="AW555" s="94"/>
      <c r="AX555" s="94"/>
      <c r="AY555" s="94"/>
      <c r="AZ555" s="94"/>
      <c r="BA555" s="94"/>
      <c r="BB555" s="94"/>
      <c r="BC555" s="94"/>
      <c r="BD555" s="94"/>
      <c r="BE555" s="94"/>
      <c r="BF555" s="94"/>
      <c r="BG555" s="94"/>
      <c r="BH555" s="94"/>
      <c r="BI555" s="94"/>
      <c r="BJ555" s="94"/>
      <c r="BK555" s="94"/>
      <c r="BL555" s="92"/>
      <c r="BM555" s="94"/>
      <c r="BN555" s="94"/>
      <c r="BO555" s="94"/>
      <c r="BP555" s="94"/>
      <c r="BQ555" s="92"/>
      <c r="BR555" s="92"/>
      <c r="BS555" s="92"/>
      <c r="BT555" s="92"/>
      <c r="BU555" s="92"/>
      <c r="BV555" s="92"/>
      <c r="BW555" s="92"/>
      <c r="BX555" s="92"/>
      <c r="BY555" s="92"/>
      <c r="BZ555" s="92"/>
    </row>
    <row r="556" spans="1:78" ht="12.9">
      <c r="A556" s="89"/>
      <c r="B556" s="89"/>
      <c r="C556" s="89"/>
      <c r="D556" s="89"/>
      <c r="E556" s="89"/>
      <c r="F556" s="89"/>
      <c r="G556" s="89"/>
      <c r="H556" s="105"/>
      <c r="I556" s="106"/>
      <c r="J556" s="106"/>
      <c r="K556" s="89"/>
      <c r="L556" s="89"/>
      <c r="M556" s="89"/>
      <c r="N556" s="107"/>
      <c r="O556" s="107"/>
      <c r="P556" s="89"/>
      <c r="Q556" s="89"/>
      <c r="R556" s="89"/>
      <c r="S556" s="89"/>
      <c r="T556" s="89"/>
      <c r="U556" s="89"/>
      <c r="V556" s="89"/>
      <c r="W556" s="89"/>
      <c r="X556" s="89"/>
      <c r="Y556" s="89"/>
      <c r="Z556" s="77"/>
      <c r="AA556" s="77"/>
      <c r="AB556" s="94"/>
      <c r="AC556" s="94"/>
      <c r="AD556" s="94"/>
      <c r="AE556" s="94"/>
      <c r="AF556" s="91"/>
      <c r="AG556" s="92"/>
      <c r="AH556" s="92"/>
      <c r="AI556" s="93"/>
      <c r="AJ556" s="94"/>
      <c r="AK556" s="92"/>
      <c r="AL556" s="94"/>
      <c r="AM556" s="94"/>
      <c r="AN556" s="94"/>
      <c r="AO556" s="94"/>
      <c r="AP556" s="94"/>
      <c r="AQ556" s="94"/>
      <c r="AR556" s="94"/>
      <c r="AS556" s="94"/>
      <c r="AT556" s="94"/>
      <c r="AU556" s="92"/>
      <c r="AV556" s="94"/>
      <c r="AW556" s="94"/>
      <c r="AX556" s="94"/>
      <c r="AY556" s="94"/>
      <c r="AZ556" s="94"/>
      <c r="BA556" s="94"/>
      <c r="BB556" s="94"/>
      <c r="BC556" s="94"/>
      <c r="BD556" s="94"/>
      <c r="BE556" s="94"/>
      <c r="BF556" s="94"/>
      <c r="BG556" s="94"/>
      <c r="BH556" s="94"/>
      <c r="BI556" s="94"/>
      <c r="BJ556" s="94"/>
      <c r="BK556" s="94"/>
      <c r="BL556" s="92"/>
      <c r="BM556" s="94"/>
      <c r="BN556" s="94"/>
      <c r="BO556" s="94"/>
      <c r="BP556" s="94"/>
      <c r="BQ556" s="92"/>
      <c r="BR556" s="92"/>
      <c r="BS556" s="92"/>
      <c r="BT556" s="92"/>
      <c r="BU556" s="92"/>
      <c r="BV556" s="92"/>
      <c r="BW556" s="92"/>
      <c r="BX556" s="92"/>
      <c r="BY556" s="92"/>
      <c r="BZ556" s="92"/>
    </row>
    <row r="557" spans="1:78" ht="12.9">
      <c r="A557" s="89"/>
      <c r="B557" s="89"/>
      <c r="C557" s="89"/>
      <c r="D557" s="89"/>
      <c r="E557" s="89"/>
      <c r="F557" s="89"/>
      <c r="G557" s="89"/>
      <c r="H557" s="105"/>
      <c r="I557" s="106"/>
      <c r="J557" s="106"/>
      <c r="K557" s="89"/>
      <c r="L557" s="89"/>
      <c r="M557" s="89"/>
      <c r="N557" s="107"/>
      <c r="O557" s="107"/>
      <c r="P557" s="89"/>
      <c r="Q557" s="89"/>
      <c r="R557" s="89"/>
      <c r="S557" s="89"/>
      <c r="T557" s="89"/>
      <c r="U557" s="89"/>
      <c r="V557" s="89"/>
      <c r="W557" s="89"/>
      <c r="X557" s="89"/>
      <c r="Y557" s="89"/>
      <c r="Z557" s="77"/>
      <c r="AA557" s="77"/>
      <c r="AB557" s="94"/>
      <c r="AC557" s="94"/>
      <c r="AD557" s="94"/>
      <c r="AE557" s="94"/>
      <c r="AF557" s="91"/>
      <c r="AG557" s="92"/>
      <c r="AH557" s="92"/>
      <c r="AI557" s="93"/>
      <c r="AJ557" s="94"/>
      <c r="AK557" s="92"/>
      <c r="AL557" s="94"/>
      <c r="AM557" s="94"/>
      <c r="AN557" s="94"/>
      <c r="AO557" s="94"/>
      <c r="AP557" s="94"/>
      <c r="AQ557" s="94"/>
      <c r="AR557" s="94"/>
      <c r="AS557" s="94"/>
      <c r="AT557" s="94"/>
      <c r="AU557" s="92"/>
      <c r="AV557" s="94"/>
      <c r="AW557" s="94"/>
      <c r="AX557" s="94"/>
      <c r="AY557" s="94"/>
      <c r="AZ557" s="94"/>
      <c r="BA557" s="94"/>
      <c r="BB557" s="94"/>
      <c r="BC557" s="94"/>
      <c r="BD557" s="94"/>
      <c r="BE557" s="94"/>
      <c r="BF557" s="94"/>
      <c r="BG557" s="94"/>
      <c r="BH557" s="94"/>
      <c r="BI557" s="94"/>
      <c r="BJ557" s="94"/>
      <c r="BK557" s="94"/>
      <c r="BL557" s="92"/>
      <c r="BM557" s="94"/>
      <c r="BN557" s="94"/>
      <c r="BO557" s="94"/>
      <c r="BP557" s="94"/>
      <c r="BQ557" s="92"/>
      <c r="BR557" s="92"/>
      <c r="BS557" s="92"/>
      <c r="BT557" s="92"/>
      <c r="BU557" s="92"/>
      <c r="BV557" s="92"/>
      <c r="BW557" s="92"/>
      <c r="BX557" s="92"/>
      <c r="BY557" s="92"/>
      <c r="BZ557" s="92"/>
    </row>
    <row r="558" spans="1:78" ht="12.9">
      <c r="A558" s="89"/>
      <c r="B558" s="89"/>
      <c r="C558" s="89"/>
      <c r="D558" s="89"/>
      <c r="E558" s="89"/>
      <c r="F558" s="89"/>
      <c r="G558" s="89"/>
      <c r="H558" s="105"/>
      <c r="I558" s="106"/>
      <c r="J558" s="106"/>
      <c r="K558" s="89"/>
      <c r="L558" s="89"/>
      <c r="M558" s="89"/>
      <c r="N558" s="107"/>
      <c r="O558" s="107"/>
      <c r="P558" s="89"/>
      <c r="Q558" s="89"/>
      <c r="R558" s="89"/>
      <c r="S558" s="89"/>
      <c r="T558" s="89"/>
      <c r="U558" s="89"/>
      <c r="V558" s="89"/>
      <c r="W558" s="89"/>
      <c r="X558" s="89"/>
      <c r="Y558" s="89"/>
      <c r="Z558" s="77"/>
      <c r="AA558" s="77"/>
      <c r="AB558" s="94"/>
      <c r="AC558" s="94"/>
      <c r="AD558" s="94"/>
      <c r="AE558" s="94"/>
      <c r="AF558" s="91"/>
      <c r="AG558" s="92"/>
      <c r="AH558" s="92"/>
      <c r="AI558" s="93"/>
      <c r="AJ558" s="94"/>
      <c r="AK558" s="92"/>
      <c r="AL558" s="94"/>
      <c r="AM558" s="94"/>
      <c r="AN558" s="94"/>
      <c r="AO558" s="94"/>
      <c r="AP558" s="94"/>
      <c r="AQ558" s="94"/>
      <c r="AR558" s="94"/>
      <c r="AS558" s="94"/>
      <c r="AT558" s="94"/>
      <c r="AU558" s="92"/>
      <c r="AV558" s="94"/>
      <c r="AW558" s="94"/>
      <c r="AX558" s="94"/>
      <c r="AY558" s="94"/>
      <c r="AZ558" s="94"/>
      <c r="BA558" s="94"/>
      <c r="BB558" s="94"/>
      <c r="BC558" s="94"/>
      <c r="BD558" s="94"/>
      <c r="BE558" s="94"/>
      <c r="BF558" s="94"/>
      <c r="BG558" s="94"/>
      <c r="BH558" s="94"/>
      <c r="BI558" s="94"/>
      <c r="BJ558" s="94"/>
      <c r="BK558" s="94"/>
      <c r="BL558" s="92"/>
      <c r="BM558" s="94"/>
      <c r="BN558" s="94"/>
      <c r="BO558" s="94"/>
      <c r="BP558" s="94"/>
      <c r="BQ558" s="92"/>
      <c r="BR558" s="92"/>
      <c r="BS558" s="92"/>
      <c r="BT558" s="92"/>
      <c r="BU558" s="92"/>
      <c r="BV558" s="92"/>
      <c r="BW558" s="92"/>
      <c r="BX558" s="92"/>
      <c r="BY558" s="92"/>
      <c r="BZ558" s="92"/>
    </row>
    <row r="559" spans="1:78" ht="12.9">
      <c r="A559" s="89"/>
      <c r="B559" s="89"/>
      <c r="C559" s="89"/>
      <c r="D559" s="89"/>
      <c r="E559" s="89"/>
      <c r="F559" s="89"/>
      <c r="G559" s="89"/>
      <c r="H559" s="105"/>
      <c r="I559" s="106"/>
      <c r="J559" s="106"/>
      <c r="K559" s="89"/>
      <c r="L559" s="89"/>
      <c r="M559" s="89"/>
      <c r="N559" s="107"/>
      <c r="O559" s="107"/>
      <c r="P559" s="89"/>
      <c r="Q559" s="89"/>
      <c r="R559" s="89"/>
      <c r="S559" s="89"/>
      <c r="T559" s="89"/>
      <c r="U559" s="89"/>
      <c r="V559" s="89"/>
      <c r="W559" s="89"/>
      <c r="X559" s="89"/>
      <c r="Y559" s="89"/>
      <c r="Z559" s="77"/>
      <c r="AA559" s="77"/>
      <c r="AB559" s="94"/>
      <c r="AC559" s="94"/>
      <c r="AD559" s="94"/>
      <c r="AE559" s="94"/>
      <c r="AF559" s="91"/>
      <c r="AG559" s="92"/>
      <c r="AH559" s="92"/>
      <c r="AI559" s="93"/>
      <c r="AJ559" s="94"/>
      <c r="AK559" s="92"/>
      <c r="AL559" s="94"/>
      <c r="AM559" s="94"/>
      <c r="AN559" s="94"/>
      <c r="AO559" s="94"/>
      <c r="AP559" s="94"/>
      <c r="AQ559" s="94"/>
      <c r="AR559" s="94"/>
      <c r="AS559" s="94"/>
      <c r="AT559" s="94"/>
      <c r="AU559" s="92"/>
      <c r="AV559" s="94"/>
      <c r="AW559" s="94"/>
      <c r="AX559" s="94"/>
      <c r="AY559" s="94"/>
      <c r="AZ559" s="94"/>
      <c r="BA559" s="94"/>
      <c r="BB559" s="94"/>
      <c r="BC559" s="94"/>
      <c r="BD559" s="94"/>
      <c r="BE559" s="94"/>
      <c r="BF559" s="94"/>
      <c r="BG559" s="94"/>
      <c r="BH559" s="94"/>
      <c r="BI559" s="94"/>
      <c r="BJ559" s="94"/>
      <c r="BK559" s="94"/>
      <c r="BL559" s="92"/>
      <c r="BM559" s="94"/>
      <c r="BN559" s="94"/>
      <c r="BO559" s="94"/>
      <c r="BP559" s="94"/>
      <c r="BQ559" s="92"/>
      <c r="BR559" s="92"/>
      <c r="BS559" s="92"/>
      <c r="BT559" s="92"/>
      <c r="BU559" s="92"/>
      <c r="BV559" s="92"/>
      <c r="BW559" s="92"/>
      <c r="BX559" s="92"/>
      <c r="BY559" s="92"/>
      <c r="BZ559" s="92"/>
    </row>
    <row r="560" spans="1:78" ht="12.9">
      <c r="A560" s="89"/>
      <c r="B560" s="89"/>
      <c r="C560" s="89"/>
      <c r="D560" s="89"/>
      <c r="E560" s="89"/>
      <c r="F560" s="89"/>
      <c r="G560" s="89"/>
      <c r="H560" s="105"/>
      <c r="I560" s="106"/>
      <c r="J560" s="106"/>
      <c r="K560" s="89"/>
      <c r="L560" s="89"/>
      <c r="M560" s="89"/>
      <c r="N560" s="107"/>
      <c r="O560" s="107"/>
      <c r="P560" s="89"/>
      <c r="Q560" s="89"/>
      <c r="R560" s="89"/>
      <c r="S560" s="89"/>
      <c r="T560" s="89"/>
      <c r="U560" s="89"/>
      <c r="V560" s="89"/>
      <c r="W560" s="89"/>
      <c r="X560" s="89"/>
      <c r="Y560" s="89"/>
      <c r="Z560" s="77"/>
      <c r="AA560" s="77"/>
      <c r="AB560" s="94"/>
      <c r="AC560" s="94"/>
      <c r="AD560" s="94"/>
      <c r="AE560" s="94"/>
      <c r="AF560" s="91"/>
      <c r="AG560" s="92"/>
      <c r="AH560" s="92"/>
      <c r="AI560" s="93"/>
      <c r="AJ560" s="94"/>
      <c r="AK560" s="92"/>
      <c r="AL560" s="94"/>
      <c r="AM560" s="94"/>
      <c r="AN560" s="94"/>
      <c r="AO560" s="94"/>
      <c r="AP560" s="94"/>
      <c r="AQ560" s="94"/>
      <c r="AR560" s="94"/>
      <c r="AS560" s="94"/>
      <c r="AT560" s="94"/>
      <c r="AU560" s="92"/>
      <c r="AV560" s="94"/>
      <c r="AW560" s="94"/>
      <c r="AX560" s="94"/>
      <c r="AY560" s="94"/>
      <c r="AZ560" s="94"/>
      <c r="BA560" s="94"/>
      <c r="BB560" s="94"/>
      <c r="BC560" s="94"/>
      <c r="BD560" s="94"/>
      <c r="BE560" s="94"/>
      <c r="BF560" s="94"/>
      <c r="BG560" s="94"/>
      <c r="BH560" s="94"/>
      <c r="BI560" s="94"/>
      <c r="BJ560" s="94"/>
      <c r="BK560" s="94"/>
      <c r="BL560" s="92"/>
      <c r="BM560" s="94"/>
      <c r="BN560" s="94"/>
      <c r="BO560" s="94"/>
      <c r="BP560" s="94"/>
      <c r="BQ560" s="92"/>
      <c r="BR560" s="92"/>
      <c r="BS560" s="92"/>
      <c r="BT560" s="92"/>
      <c r="BU560" s="92"/>
      <c r="BV560" s="92"/>
      <c r="BW560" s="92"/>
      <c r="BX560" s="92"/>
      <c r="BY560" s="92"/>
      <c r="BZ560" s="92"/>
    </row>
    <row r="561" spans="1:78" ht="12.9">
      <c r="A561" s="89"/>
      <c r="B561" s="89"/>
      <c r="C561" s="89"/>
      <c r="D561" s="89"/>
      <c r="E561" s="89"/>
      <c r="F561" s="89"/>
      <c r="G561" s="89"/>
      <c r="H561" s="105"/>
      <c r="I561" s="106"/>
      <c r="J561" s="106"/>
      <c r="K561" s="89"/>
      <c r="L561" s="89"/>
      <c r="M561" s="89"/>
      <c r="N561" s="107"/>
      <c r="O561" s="107"/>
      <c r="P561" s="89"/>
      <c r="Q561" s="89"/>
      <c r="R561" s="89"/>
      <c r="S561" s="89"/>
      <c r="T561" s="89"/>
      <c r="U561" s="89"/>
      <c r="V561" s="89"/>
      <c r="W561" s="89"/>
      <c r="X561" s="89"/>
      <c r="Y561" s="89"/>
      <c r="Z561" s="77"/>
      <c r="AA561" s="77"/>
      <c r="AB561" s="94"/>
      <c r="AC561" s="94"/>
      <c r="AD561" s="94"/>
      <c r="AE561" s="94"/>
      <c r="AF561" s="91"/>
      <c r="AG561" s="92"/>
      <c r="AH561" s="92"/>
      <c r="AI561" s="93"/>
      <c r="AJ561" s="94"/>
      <c r="AK561" s="92"/>
      <c r="AL561" s="94"/>
      <c r="AM561" s="94"/>
      <c r="AN561" s="94"/>
      <c r="AO561" s="94"/>
      <c r="AP561" s="94"/>
      <c r="AQ561" s="94"/>
      <c r="AR561" s="94"/>
      <c r="AS561" s="94"/>
      <c r="AT561" s="94"/>
      <c r="AU561" s="92"/>
      <c r="AV561" s="94"/>
      <c r="AW561" s="94"/>
      <c r="AX561" s="94"/>
      <c r="AY561" s="94"/>
      <c r="AZ561" s="94"/>
      <c r="BA561" s="94"/>
      <c r="BB561" s="94"/>
      <c r="BC561" s="94"/>
      <c r="BD561" s="94"/>
      <c r="BE561" s="94"/>
      <c r="BF561" s="94"/>
      <c r="BG561" s="94"/>
      <c r="BH561" s="94"/>
      <c r="BI561" s="94"/>
      <c r="BJ561" s="94"/>
      <c r="BK561" s="94"/>
      <c r="BL561" s="92"/>
      <c r="BM561" s="94"/>
      <c r="BN561" s="94"/>
      <c r="BO561" s="94"/>
      <c r="BP561" s="94"/>
      <c r="BQ561" s="92"/>
      <c r="BR561" s="92"/>
      <c r="BS561" s="92"/>
      <c r="BT561" s="92"/>
      <c r="BU561" s="92"/>
      <c r="BV561" s="92"/>
      <c r="BW561" s="92"/>
      <c r="BX561" s="92"/>
      <c r="BY561" s="92"/>
      <c r="BZ561" s="92"/>
    </row>
    <row r="562" spans="1:78" ht="12.9">
      <c r="A562" s="89"/>
      <c r="B562" s="89"/>
      <c r="C562" s="89"/>
      <c r="D562" s="89"/>
      <c r="E562" s="89"/>
      <c r="F562" s="89"/>
      <c r="G562" s="89"/>
      <c r="H562" s="105"/>
      <c r="I562" s="106"/>
      <c r="J562" s="106"/>
      <c r="K562" s="89"/>
      <c r="L562" s="89"/>
      <c r="M562" s="89"/>
      <c r="N562" s="107"/>
      <c r="O562" s="107"/>
      <c r="P562" s="89"/>
      <c r="Q562" s="89"/>
      <c r="R562" s="89"/>
      <c r="S562" s="89"/>
      <c r="T562" s="89"/>
      <c r="U562" s="89"/>
      <c r="V562" s="89"/>
      <c r="W562" s="89"/>
      <c r="X562" s="89"/>
      <c r="Y562" s="89"/>
      <c r="Z562" s="77"/>
      <c r="AA562" s="77"/>
      <c r="AB562" s="94"/>
      <c r="AC562" s="94"/>
      <c r="AD562" s="94"/>
      <c r="AE562" s="94"/>
      <c r="AF562" s="91"/>
      <c r="AG562" s="92"/>
      <c r="AH562" s="92"/>
      <c r="AI562" s="93"/>
      <c r="AJ562" s="94"/>
      <c r="AK562" s="92"/>
      <c r="AL562" s="94"/>
      <c r="AM562" s="94"/>
      <c r="AN562" s="94"/>
      <c r="AO562" s="94"/>
      <c r="AP562" s="94"/>
      <c r="AQ562" s="94"/>
      <c r="AR562" s="94"/>
      <c r="AS562" s="94"/>
      <c r="AT562" s="94"/>
      <c r="AU562" s="92"/>
      <c r="AV562" s="94"/>
      <c r="AW562" s="94"/>
      <c r="AX562" s="94"/>
      <c r="AY562" s="94"/>
      <c r="AZ562" s="94"/>
      <c r="BA562" s="94"/>
      <c r="BB562" s="94"/>
      <c r="BC562" s="94"/>
      <c r="BD562" s="94"/>
      <c r="BE562" s="94"/>
      <c r="BF562" s="94"/>
      <c r="BG562" s="94"/>
      <c r="BH562" s="94"/>
      <c r="BI562" s="94"/>
      <c r="BJ562" s="94"/>
      <c r="BK562" s="94"/>
      <c r="BL562" s="92"/>
      <c r="BM562" s="94"/>
      <c r="BN562" s="94"/>
      <c r="BO562" s="94"/>
      <c r="BP562" s="94"/>
      <c r="BQ562" s="92"/>
      <c r="BR562" s="92"/>
      <c r="BS562" s="92"/>
      <c r="BT562" s="92"/>
      <c r="BU562" s="92"/>
      <c r="BV562" s="92"/>
      <c r="BW562" s="92"/>
      <c r="BX562" s="92"/>
      <c r="BY562" s="92"/>
      <c r="BZ562" s="92"/>
    </row>
    <row r="563" spans="1:78" ht="12.9">
      <c r="A563" s="89"/>
      <c r="B563" s="89"/>
      <c r="C563" s="89"/>
      <c r="D563" s="89"/>
      <c r="E563" s="89"/>
      <c r="F563" s="89"/>
      <c r="G563" s="89"/>
      <c r="H563" s="105"/>
      <c r="I563" s="106"/>
      <c r="J563" s="106"/>
      <c r="K563" s="89"/>
      <c r="L563" s="89"/>
      <c r="M563" s="89"/>
      <c r="N563" s="107"/>
      <c r="O563" s="107"/>
      <c r="P563" s="89"/>
      <c r="Q563" s="89"/>
      <c r="R563" s="89"/>
      <c r="S563" s="89"/>
      <c r="T563" s="89"/>
      <c r="U563" s="89"/>
      <c r="V563" s="89"/>
      <c r="W563" s="89"/>
      <c r="X563" s="89"/>
      <c r="Y563" s="89"/>
      <c r="Z563" s="77"/>
      <c r="AA563" s="77"/>
      <c r="AB563" s="94"/>
      <c r="AC563" s="94"/>
      <c r="AD563" s="94"/>
      <c r="AE563" s="94"/>
      <c r="AF563" s="91"/>
      <c r="AG563" s="92"/>
      <c r="AH563" s="92"/>
      <c r="AI563" s="93"/>
      <c r="AJ563" s="94"/>
      <c r="AK563" s="92"/>
      <c r="AL563" s="94"/>
      <c r="AM563" s="94"/>
      <c r="AN563" s="94"/>
      <c r="AO563" s="94"/>
      <c r="AP563" s="94"/>
      <c r="AQ563" s="94"/>
      <c r="AR563" s="94"/>
      <c r="AS563" s="94"/>
      <c r="AT563" s="94"/>
      <c r="AU563" s="92"/>
      <c r="AV563" s="94"/>
      <c r="AW563" s="94"/>
      <c r="AX563" s="94"/>
      <c r="AY563" s="94"/>
      <c r="AZ563" s="94"/>
      <c r="BA563" s="94"/>
      <c r="BB563" s="94"/>
      <c r="BC563" s="94"/>
      <c r="BD563" s="94"/>
      <c r="BE563" s="94"/>
      <c r="BF563" s="94"/>
      <c r="BG563" s="94"/>
      <c r="BH563" s="94"/>
      <c r="BI563" s="94"/>
      <c r="BJ563" s="94"/>
      <c r="BK563" s="94"/>
      <c r="BL563" s="92"/>
      <c r="BM563" s="94"/>
      <c r="BN563" s="94"/>
      <c r="BO563" s="94"/>
      <c r="BP563" s="94"/>
      <c r="BQ563" s="92"/>
      <c r="BR563" s="92"/>
      <c r="BS563" s="92"/>
      <c r="BT563" s="92"/>
      <c r="BU563" s="92"/>
      <c r="BV563" s="92"/>
      <c r="BW563" s="92"/>
      <c r="BX563" s="92"/>
      <c r="BY563" s="92"/>
      <c r="BZ563" s="92"/>
    </row>
    <row r="564" spans="1:78" ht="12.9">
      <c r="A564" s="89"/>
      <c r="B564" s="89"/>
      <c r="C564" s="89"/>
      <c r="D564" s="89"/>
      <c r="E564" s="89"/>
      <c r="F564" s="89"/>
      <c r="G564" s="89"/>
      <c r="H564" s="105"/>
      <c r="I564" s="106"/>
      <c r="J564" s="106"/>
      <c r="K564" s="89"/>
      <c r="L564" s="89"/>
      <c r="M564" s="89"/>
      <c r="N564" s="107"/>
      <c r="O564" s="107"/>
      <c r="P564" s="89"/>
      <c r="Q564" s="89"/>
      <c r="R564" s="89"/>
      <c r="S564" s="89"/>
      <c r="T564" s="89"/>
      <c r="U564" s="89"/>
      <c r="V564" s="89"/>
      <c r="W564" s="89"/>
      <c r="X564" s="89"/>
      <c r="Y564" s="89"/>
      <c r="Z564" s="77"/>
      <c r="AA564" s="77"/>
      <c r="AB564" s="94"/>
      <c r="AC564" s="94"/>
      <c r="AD564" s="94"/>
      <c r="AE564" s="94"/>
      <c r="AF564" s="91"/>
      <c r="AG564" s="92"/>
      <c r="AH564" s="92"/>
      <c r="AI564" s="93"/>
      <c r="AJ564" s="94"/>
      <c r="AK564" s="92"/>
      <c r="AL564" s="94"/>
      <c r="AM564" s="94"/>
      <c r="AN564" s="94"/>
      <c r="AO564" s="94"/>
      <c r="AP564" s="94"/>
      <c r="AQ564" s="94"/>
      <c r="AR564" s="94"/>
      <c r="AS564" s="94"/>
      <c r="AT564" s="94"/>
      <c r="AU564" s="92"/>
      <c r="AV564" s="94"/>
      <c r="AW564" s="94"/>
      <c r="AX564" s="94"/>
      <c r="AY564" s="94"/>
      <c r="AZ564" s="94"/>
      <c r="BA564" s="94"/>
      <c r="BB564" s="94"/>
      <c r="BC564" s="94"/>
      <c r="BD564" s="94"/>
      <c r="BE564" s="94"/>
      <c r="BF564" s="94"/>
      <c r="BG564" s="94"/>
      <c r="BH564" s="94"/>
      <c r="BI564" s="94"/>
      <c r="BJ564" s="94"/>
      <c r="BK564" s="94"/>
      <c r="BL564" s="92"/>
      <c r="BM564" s="94"/>
      <c r="BN564" s="94"/>
      <c r="BO564" s="94"/>
      <c r="BP564" s="94"/>
      <c r="BQ564" s="92"/>
      <c r="BR564" s="92"/>
      <c r="BS564" s="92"/>
      <c r="BT564" s="92"/>
      <c r="BU564" s="92"/>
      <c r="BV564" s="92"/>
      <c r="BW564" s="92"/>
      <c r="BX564" s="92"/>
      <c r="BY564" s="92"/>
      <c r="BZ564" s="92"/>
    </row>
    <row r="565" spans="1:78" ht="12.9">
      <c r="A565" s="89"/>
      <c r="B565" s="89"/>
      <c r="C565" s="89"/>
      <c r="D565" s="89"/>
      <c r="E565" s="89"/>
      <c r="F565" s="89"/>
      <c r="G565" s="89"/>
      <c r="H565" s="105"/>
      <c r="I565" s="106"/>
      <c r="J565" s="106"/>
      <c r="K565" s="89"/>
      <c r="L565" s="89"/>
      <c r="M565" s="89"/>
      <c r="N565" s="107"/>
      <c r="O565" s="107"/>
      <c r="P565" s="89"/>
      <c r="Q565" s="89"/>
      <c r="R565" s="89"/>
      <c r="S565" s="89"/>
      <c r="T565" s="89"/>
      <c r="U565" s="89"/>
      <c r="V565" s="89"/>
      <c r="W565" s="89"/>
      <c r="X565" s="89"/>
      <c r="Y565" s="89"/>
      <c r="Z565" s="77"/>
      <c r="AA565" s="77"/>
      <c r="AB565" s="94"/>
      <c r="AC565" s="94"/>
      <c r="AD565" s="94"/>
      <c r="AE565" s="94"/>
      <c r="AF565" s="91"/>
      <c r="AG565" s="92"/>
      <c r="AH565" s="92"/>
      <c r="AI565" s="93"/>
      <c r="AJ565" s="94"/>
      <c r="AK565" s="92"/>
      <c r="AL565" s="94"/>
      <c r="AM565" s="94"/>
      <c r="AN565" s="94"/>
      <c r="AO565" s="94"/>
      <c r="AP565" s="94"/>
      <c r="AQ565" s="94"/>
      <c r="AR565" s="94"/>
      <c r="AS565" s="94"/>
      <c r="AT565" s="94"/>
      <c r="AU565" s="92"/>
      <c r="AV565" s="94"/>
      <c r="AW565" s="94"/>
      <c r="AX565" s="94"/>
      <c r="AY565" s="94"/>
      <c r="AZ565" s="94"/>
      <c r="BA565" s="94"/>
      <c r="BB565" s="94"/>
      <c r="BC565" s="94"/>
      <c r="BD565" s="94"/>
      <c r="BE565" s="94"/>
      <c r="BF565" s="94"/>
      <c r="BG565" s="94"/>
      <c r="BH565" s="94"/>
      <c r="BI565" s="94"/>
      <c r="BJ565" s="94"/>
      <c r="BK565" s="94"/>
      <c r="BL565" s="92"/>
      <c r="BM565" s="94"/>
      <c r="BN565" s="94"/>
      <c r="BO565" s="94"/>
      <c r="BP565" s="94"/>
      <c r="BQ565" s="92"/>
      <c r="BR565" s="92"/>
      <c r="BS565" s="92"/>
      <c r="BT565" s="92"/>
      <c r="BU565" s="92"/>
      <c r="BV565" s="92"/>
      <c r="BW565" s="92"/>
      <c r="BX565" s="92"/>
      <c r="BY565" s="92"/>
      <c r="BZ565" s="92"/>
    </row>
    <row r="566" spans="1:78" ht="12.9">
      <c r="A566" s="89"/>
      <c r="B566" s="89"/>
      <c r="C566" s="89"/>
      <c r="D566" s="89"/>
      <c r="E566" s="89"/>
      <c r="F566" s="89"/>
      <c r="G566" s="89"/>
      <c r="H566" s="105"/>
      <c r="I566" s="106"/>
      <c r="J566" s="106"/>
      <c r="K566" s="89"/>
      <c r="L566" s="89"/>
      <c r="M566" s="89"/>
      <c r="N566" s="107"/>
      <c r="O566" s="107"/>
      <c r="P566" s="89"/>
      <c r="Q566" s="89"/>
      <c r="R566" s="89"/>
      <c r="S566" s="89"/>
      <c r="T566" s="89"/>
      <c r="U566" s="89"/>
      <c r="V566" s="89"/>
      <c r="W566" s="89"/>
      <c r="X566" s="89"/>
      <c r="Y566" s="89"/>
      <c r="Z566" s="77"/>
      <c r="AA566" s="77"/>
      <c r="AB566" s="94"/>
      <c r="AC566" s="94"/>
      <c r="AD566" s="94"/>
      <c r="AE566" s="94"/>
      <c r="AF566" s="91"/>
      <c r="AG566" s="92"/>
      <c r="AH566" s="92"/>
      <c r="AI566" s="93"/>
      <c r="AJ566" s="94"/>
      <c r="AK566" s="92"/>
      <c r="AL566" s="94"/>
      <c r="AM566" s="94"/>
      <c r="AN566" s="94"/>
      <c r="AO566" s="94"/>
      <c r="AP566" s="94"/>
      <c r="AQ566" s="94"/>
      <c r="AR566" s="94"/>
      <c r="AS566" s="94"/>
      <c r="AT566" s="94"/>
      <c r="AU566" s="92"/>
      <c r="AV566" s="94"/>
      <c r="AW566" s="94"/>
      <c r="AX566" s="94"/>
      <c r="AY566" s="94"/>
      <c r="AZ566" s="94"/>
      <c r="BA566" s="94"/>
      <c r="BB566" s="94"/>
      <c r="BC566" s="94"/>
      <c r="BD566" s="94"/>
      <c r="BE566" s="94"/>
      <c r="BF566" s="94"/>
      <c r="BG566" s="94"/>
      <c r="BH566" s="94"/>
      <c r="BI566" s="94"/>
      <c r="BJ566" s="94"/>
      <c r="BK566" s="94"/>
      <c r="BL566" s="92"/>
      <c r="BM566" s="94"/>
      <c r="BN566" s="94"/>
      <c r="BO566" s="94"/>
      <c r="BP566" s="94"/>
      <c r="BQ566" s="92"/>
      <c r="BR566" s="92"/>
      <c r="BS566" s="92"/>
      <c r="BT566" s="92"/>
      <c r="BU566" s="92"/>
      <c r="BV566" s="92"/>
      <c r="BW566" s="92"/>
      <c r="BX566" s="92"/>
      <c r="BY566" s="92"/>
      <c r="BZ566" s="92"/>
    </row>
    <row r="567" spans="1:78" ht="12.9">
      <c r="A567" s="89"/>
      <c r="B567" s="89"/>
      <c r="C567" s="89"/>
      <c r="D567" s="89"/>
      <c r="E567" s="89"/>
      <c r="F567" s="89"/>
      <c r="G567" s="89"/>
      <c r="H567" s="105"/>
      <c r="I567" s="106"/>
      <c r="J567" s="106"/>
      <c r="K567" s="89"/>
      <c r="L567" s="89"/>
      <c r="M567" s="89"/>
      <c r="N567" s="107"/>
      <c r="O567" s="107"/>
      <c r="P567" s="89"/>
      <c r="Q567" s="89"/>
      <c r="R567" s="89"/>
      <c r="S567" s="89"/>
      <c r="T567" s="89"/>
      <c r="U567" s="89"/>
      <c r="V567" s="89"/>
      <c r="W567" s="89"/>
      <c r="X567" s="89"/>
      <c r="Y567" s="89"/>
      <c r="Z567" s="77"/>
      <c r="AA567" s="77"/>
      <c r="AB567" s="94"/>
      <c r="AC567" s="94"/>
      <c r="AD567" s="94"/>
      <c r="AE567" s="94"/>
      <c r="AF567" s="91"/>
      <c r="AG567" s="92"/>
      <c r="AH567" s="92"/>
      <c r="AI567" s="93"/>
      <c r="AJ567" s="94"/>
      <c r="AK567" s="92"/>
      <c r="AL567" s="94"/>
      <c r="AM567" s="94"/>
      <c r="AN567" s="94"/>
      <c r="AO567" s="94"/>
      <c r="AP567" s="94"/>
      <c r="AQ567" s="94"/>
      <c r="AR567" s="94"/>
      <c r="AS567" s="94"/>
      <c r="AT567" s="94"/>
      <c r="AU567" s="92"/>
      <c r="AV567" s="94"/>
      <c r="AW567" s="94"/>
      <c r="AX567" s="94"/>
      <c r="AY567" s="94"/>
      <c r="AZ567" s="94"/>
      <c r="BA567" s="94"/>
      <c r="BB567" s="94"/>
      <c r="BC567" s="94"/>
      <c r="BD567" s="94"/>
      <c r="BE567" s="94"/>
      <c r="BF567" s="94"/>
      <c r="BG567" s="94"/>
      <c r="BH567" s="94"/>
      <c r="BI567" s="94"/>
      <c r="BJ567" s="94"/>
      <c r="BK567" s="94"/>
      <c r="BL567" s="92"/>
      <c r="BM567" s="94"/>
      <c r="BN567" s="94"/>
      <c r="BO567" s="94"/>
      <c r="BP567" s="94"/>
      <c r="BQ567" s="92"/>
      <c r="BR567" s="92"/>
      <c r="BS567" s="92"/>
      <c r="BT567" s="92"/>
      <c r="BU567" s="92"/>
      <c r="BV567" s="92"/>
      <c r="BW567" s="92"/>
      <c r="BX567" s="92"/>
      <c r="BY567" s="92"/>
      <c r="BZ567" s="92"/>
    </row>
    <row r="568" spans="1:78" ht="12.9">
      <c r="A568" s="89"/>
      <c r="B568" s="89"/>
      <c r="C568" s="89"/>
      <c r="D568" s="89"/>
      <c r="E568" s="89"/>
      <c r="F568" s="89"/>
      <c r="G568" s="89"/>
      <c r="H568" s="105"/>
      <c r="I568" s="106"/>
      <c r="J568" s="106"/>
      <c r="K568" s="89"/>
      <c r="L568" s="89"/>
      <c r="M568" s="89"/>
      <c r="N568" s="107"/>
      <c r="O568" s="107"/>
      <c r="P568" s="89"/>
      <c r="Q568" s="89"/>
      <c r="R568" s="89"/>
      <c r="S568" s="89"/>
      <c r="T568" s="89"/>
      <c r="U568" s="89"/>
      <c r="V568" s="89"/>
      <c r="W568" s="89"/>
      <c r="X568" s="89"/>
      <c r="Y568" s="89"/>
      <c r="Z568" s="77"/>
      <c r="AA568" s="77"/>
      <c r="AB568" s="94"/>
      <c r="AC568" s="94"/>
      <c r="AD568" s="94"/>
      <c r="AE568" s="94"/>
      <c r="AF568" s="91"/>
      <c r="AG568" s="92"/>
      <c r="AH568" s="92"/>
      <c r="AI568" s="93"/>
      <c r="AJ568" s="94"/>
      <c r="AK568" s="92"/>
      <c r="AL568" s="94"/>
      <c r="AM568" s="94"/>
      <c r="AN568" s="94"/>
      <c r="AO568" s="94"/>
      <c r="AP568" s="94"/>
      <c r="AQ568" s="94"/>
      <c r="AR568" s="94"/>
      <c r="AS568" s="94"/>
      <c r="AT568" s="94"/>
      <c r="AU568" s="92"/>
      <c r="AV568" s="94"/>
      <c r="AW568" s="94"/>
      <c r="AX568" s="94"/>
      <c r="AY568" s="94"/>
      <c r="AZ568" s="94"/>
      <c r="BA568" s="94"/>
      <c r="BB568" s="94"/>
      <c r="BC568" s="94"/>
      <c r="BD568" s="94"/>
      <c r="BE568" s="94"/>
      <c r="BF568" s="94"/>
      <c r="BG568" s="94"/>
      <c r="BH568" s="94"/>
      <c r="BI568" s="94"/>
      <c r="BJ568" s="94"/>
      <c r="BK568" s="94"/>
      <c r="BL568" s="92"/>
      <c r="BM568" s="94"/>
      <c r="BN568" s="94"/>
      <c r="BO568" s="94"/>
      <c r="BP568" s="94"/>
      <c r="BQ568" s="92"/>
      <c r="BR568" s="92"/>
      <c r="BS568" s="92"/>
      <c r="BT568" s="92"/>
      <c r="BU568" s="92"/>
      <c r="BV568" s="92"/>
      <c r="BW568" s="92"/>
      <c r="BX568" s="92"/>
      <c r="BY568" s="92"/>
      <c r="BZ568" s="92"/>
    </row>
    <row r="569" spans="1:78" ht="12.9">
      <c r="A569" s="89"/>
      <c r="B569" s="89"/>
      <c r="C569" s="89"/>
      <c r="D569" s="89"/>
      <c r="E569" s="89"/>
      <c r="F569" s="89"/>
      <c r="G569" s="89"/>
      <c r="H569" s="105"/>
      <c r="I569" s="106"/>
      <c r="J569" s="106"/>
      <c r="K569" s="89"/>
      <c r="L569" s="89"/>
      <c r="M569" s="89"/>
      <c r="N569" s="107"/>
      <c r="O569" s="107"/>
      <c r="P569" s="89"/>
      <c r="Q569" s="89"/>
      <c r="R569" s="89"/>
      <c r="S569" s="89"/>
      <c r="T569" s="89"/>
      <c r="U569" s="89"/>
      <c r="V569" s="89"/>
      <c r="W569" s="89"/>
      <c r="X569" s="89"/>
      <c r="Y569" s="89"/>
      <c r="Z569" s="77"/>
      <c r="AA569" s="77"/>
      <c r="AB569" s="94"/>
      <c r="AC569" s="94"/>
      <c r="AD569" s="94"/>
      <c r="AE569" s="94"/>
      <c r="AF569" s="91"/>
      <c r="AG569" s="92"/>
      <c r="AH569" s="92"/>
      <c r="AI569" s="93"/>
      <c r="AJ569" s="94"/>
      <c r="AK569" s="92"/>
      <c r="AL569" s="94"/>
      <c r="AM569" s="94"/>
      <c r="AN569" s="94"/>
      <c r="AO569" s="94"/>
      <c r="AP569" s="94"/>
      <c r="AQ569" s="94"/>
      <c r="AR569" s="94"/>
      <c r="AS569" s="94"/>
      <c r="AT569" s="94"/>
      <c r="AU569" s="92"/>
      <c r="AV569" s="94"/>
      <c r="AW569" s="94"/>
      <c r="AX569" s="94"/>
      <c r="AY569" s="94"/>
      <c r="AZ569" s="94"/>
      <c r="BA569" s="94"/>
      <c r="BB569" s="94"/>
      <c r="BC569" s="94"/>
      <c r="BD569" s="94"/>
      <c r="BE569" s="94"/>
      <c r="BF569" s="94"/>
      <c r="BG569" s="94"/>
      <c r="BH569" s="94"/>
      <c r="BI569" s="94"/>
      <c r="BJ569" s="94"/>
      <c r="BK569" s="94"/>
      <c r="BL569" s="92"/>
      <c r="BM569" s="94"/>
      <c r="BN569" s="94"/>
      <c r="BO569" s="94"/>
      <c r="BP569" s="94"/>
      <c r="BQ569" s="92"/>
      <c r="BR569" s="92"/>
      <c r="BS569" s="92"/>
      <c r="BT569" s="92"/>
      <c r="BU569" s="92"/>
      <c r="BV569" s="92"/>
      <c r="BW569" s="92"/>
      <c r="BX569" s="92"/>
      <c r="BY569" s="92"/>
      <c r="BZ569" s="92"/>
    </row>
    <row r="570" spans="1:78" ht="12.9">
      <c r="A570" s="89"/>
      <c r="B570" s="89"/>
      <c r="C570" s="89"/>
      <c r="D570" s="89"/>
      <c r="E570" s="89"/>
      <c r="F570" s="89"/>
      <c r="G570" s="89"/>
      <c r="H570" s="105"/>
      <c r="I570" s="106"/>
      <c r="J570" s="106"/>
      <c r="K570" s="89"/>
      <c r="L570" s="89"/>
      <c r="M570" s="89"/>
      <c r="N570" s="107"/>
      <c r="O570" s="107"/>
      <c r="P570" s="89"/>
      <c r="Q570" s="89"/>
      <c r="R570" s="89"/>
      <c r="S570" s="89"/>
      <c r="T570" s="89"/>
      <c r="U570" s="89"/>
      <c r="V570" s="89"/>
      <c r="W570" s="89"/>
      <c r="X570" s="89"/>
      <c r="Y570" s="89"/>
      <c r="Z570" s="77"/>
      <c r="AA570" s="77"/>
      <c r="AB570" s="94"/>
      <c r="AC570" s="94"/>
      <c r="AD570" s="94"/>
      <c r="AE570" s="94"/>
      <c r="AF570" s="91"/>
      <c r="AG570" s="92"/>
      <c r="AH570" s="92"/>
      <c r="AI570" s="93"/>
      <c r="AJ570" s="94"/>
      <c r="AK570" s="92"/>
      <c r="AL570" s="94"/>
      <c r="AM570" s="94"/>
      <c r="AN570" s="94"/>
      <c r="AO570" s="94"/>
      <c r="AP570" s="94"/>
      <c r="AQ570" s="94"/>
      <c r="AR570" s="94"/>
      <c r="AS570" s="94"/>
      <c r="AT570" s="94"/>
      <c r="AU570" s="92"/>
      <c r="AV570" s="94"/>
      <c r="AW570" s="94"/>
      <c r="AX570" s="94"/>
      <c r="AY570" s="94"/>
      <c r="AZ570" s="94"/>
      <c r="BA570" s="94"/>
      <c r="BB570" s="94"/>
      <c r="BC570" s="94"/>
      <c r="BD570" s="94"/>
      <c r="BE570" s="94"/>
      <c r="BF570" s="94"/>
      <c r="BG570" s="94"/>
      <c r="BH570" s="94"/>
      <c r="BI570" s="94"/>
      <c r="BJ570" s="94"/>
      <c r="BK570" s="94"/>
      <c r="BL570" s="92"/>
      <c r="BM570" s="94"/>
      <c r="BN570" s="94"/>
      <c r="BO570" s="94"/>
      <c r="BP570" s="94"/>
      <c r="BQ570" s="92"/>
      <c r="BR570" s="92"/>
      <c r="BS570" s="92"/>
      <c r="BT570" s="92"/>
      <c r="BU570" s="92"/>
      <c r="BV570" s="92"/>
      <c r="BW570" s="92"/>
      <c r="BX570" s="92"/>
      <c r="BY570" s="92"/>
      <c r="BZ570" s="92"/>
    </row>
    <row r="571" spans="1:78" ht="12.9">
      <c r="A571" s="89"/>
      <c r="B571" s="89"/>
      <c r="C571" s="89"/>
      <c r="D571" s="89"/>
      <c r="E571" s="89"/>
      <c r="F571" s="89"/>
      <c r="G571" s="89"/>
      <c r="H571" s="105"/>
      <c r="I571" s="106"/>
      <c r="J571" s="106"/>
      <c r="K571" s="89"/>
      <c r="L571" s="89"/>
      <c r="M571" s="89"/>
      <c r="N571" s="107"/>
      <c r="O571" s="107"/>
      <c r="P571" s="89"/>
      <c r="Q571" s="89"/>
      <c r="R571" s="89"/>
      <c r="S571" s="89"/>
      <c r="T571" s="89"/>
      <c r="U571" s="89"/>
      <c r="V571" s="89"/>
      <c r="W571" s="89"/>
      <c r="X571" s="89"/>
      <c r="Y571" s="89"/>
      <c r="Z571" s="77"/>
      <c r="AA571" s="77"/>
      <c r="AB571" s="94"/>
      <c r="AC571" s="94"/>
      <c r="AD571" s="94"/>
      <c r="AE571" s="94"/>
      <c r="AF571" s="91"/>
      <c r="AG571" s="92"/>
      <c r="AH571" s="92"/>
      <c r="AI571" s="93"/>
      <c r="AJ571" s="94"/>
      <c r="AK571" s="92"/>
      <c r="AL571" s="94"/>
      <c r="AM571" s="94"/>
      <c r="AN571" s="94"/>
      <c r="AO571" s="94"/>
      <c r="AP571" s="94"/>
      <c r="AQ571" s="94"/>
      <c r="AR571" s="94"/>
      <c r="AS571" s="94"/>
      <c r="AT571" s="94"/>
      <c r="AU571" s="92"/>
      <c r="AV571" s="94"/>
      <c r="AW571" s="94"/>
      <c r="AX571" s="94"/>
      <c r="AY571" s="94"/>
      <c r="AZ571" s="94"/>
      <c r="BA571" s="94"/>
      <c r="BB571" s="94"/>
      <c r="BC571" s="94"/>
      <c r="BD571" s="94"/>
      <c r="BE571" s="94"/>
      <c r="BF571" s="94"/>
      <c r="BG571" s="94"/>
      <c r="BH571" s="94"/>
      <c r="BI571" s="94"/>
      <c r="BJ571" s="94"/>
      <c r="BK571" s="94"/>
      <c r="BL571" s="92"/>
      <c r="BM571" s="94"/>
      <c r="BN571" s="94"/>
      <c r="BO571" s="94"/>
      <c r="BP571" s="94"/>
      <c r="BQ571" s="92"/>
      <c r="BR571" s="92"/>
      <c r="BS571" s="92"/>
      <c r="BT571" s="92"/>
      <c r="BU571" s="92"/>
      <c r="BV571" s="92"/>
      <c r="BW571" s="92"/>
      <c r="BX571" s="92"/>
      <c r="BY571" s="92"/>
      <c r="BZ571" s="92"/>
    </row>
    <row r="572" spans="1:78" ht="12.9">
      <c r="A572" s="89"/>
      <c r="B572" s="89"/>
      <c r="C572" s="89"/>
      <c r="D572" s="89"/>
      <c r="E572" s="89"/>
      <c r="F572" s="89"/>
      <c r="G572" s="89"/>
      <c r="H572" s="105"/>
      <c r="I572" s="106"/>
      <c r="J572" s="106"/>
      <c r="K572" s="89"/>
      <c r="L572" s="89"/>
      <c r="M572" s="89"/>
      <c r="N572" s="107"/>
      <c r="O572" s="107"/>
      <c r="P572" s="89"/>
      <c r="Q572" s="89"/>
      <c r="R572" s="89"/>
      <c r="S572" s="89"/>
      <c r="T572" s="89"/>
      <c r="U572" s="89"/>
      <c r="V572" s="89"/>
      <c r="W572" s="89"/>
      <c r="X572" s="89"/>
      <c r="Y572" s="89"/>
      <c r="Z572" s="77"/>
      <c r="AA572" s="77"/>
      <c r="AB572" s="94"/>
      <c r="AC572" s="94"/>
      <c r="AD572" s="94"/>
      <c r="AE572" s="94"/>
      <c r="AF572" s="91"/>
      <c r="AG572" s="92"/>
      <c r="AH572" s="92"/>
      <c r="AI572" s="93"/>
      <c r="AJ572" s="94"/>
      <c r="AK572" s="92"/>
      <c r="AL572" s="94"/>
      <c r="AM572" s="94"/>
      <c r="AN572" s="94"/>
      <c r="AO572" s="94"/>
      <c r="AP572" s="94"/>
      <c r="AQ572" s="94"/>
      <c r="AR572" s="94"/>
      <c r="AS572" s="94"/>
      <c r="AT572" s="94"/>
      <c r="AU572" s="92"/>
      <c r="AV572" s="94"/>
      <c r="AW572" s="94"/>
      <c r="AX572" s="94"/>
      <c r="AY572" s="94"/>
      <c r="AZ572" s="94"/>
      <c r="BA572" s="94"/>
      <c r="BB572" s="94"/>
      <c r="BC572" s="94"/>
      <c r="BD572" s="94"/>
      <c r="BE572" s="94"/>
      <c r="BF572" s="94"/>
      <c r="BG572" s="94"/>
      <c r="BH572" s="94"/>
      <c r="BI572" s="94"/>
      <c r="BJ572" s="94"/>
      <c r="BK572" s="94"/>
      <c r="BL572" s="92"/>
      <c r="BM572" s="94"/>
      <c r="BN572" s="94"/>
      <c r="BO572" s="94"/>
      <c r="BP572" s="94"/>
      <c r="BQ572" s="92"/>
      <c r="BR572" s="92"/>
      <c r="BS572" s="92"/>
      <c r="BT572" s="92"/>
      <c r="BU572" s="92"/>
      <c r="BV572" s="92"/>
      <c r="BW572" s="92"/>
      <c r="BX572" s="92"/>
      <c r="BY572" s="92"/>
      <c r="BZ572" s="92"/>
    </row>
    <row r="573" spans="1:78" ht="12.9">
      <c r="A573" s="89"/>
      <c r="B573" s="89"/>
      <c r="C573" s="89"/>
      <c r="D573" s="89"/>
      <c r="E573" s="89"/>
      <c r="F573" s="89"/>
      <c r="G573" s="89"/>
      <c r="H573" s="105"/>
      <c r="I573" s="106"/>
      <c r="J573" s="106"/>
      <c r="K573" s="89"/>
      <c r="L573" s="89"/>
      <c r="M573" s="89"/>
      <c r="N573" s="107"/>
      <c r="O573" s="107"/>
      <c r="P573" s="89"/>
      <c r="Q573" s="89"/>
      <c r="R573" s="89"/>
      <c r="S573" s="89"/>
      <c r="T573" s="89"/>
      <c r="U573" s="89"/>
      <c r="V573" s="89"/>
      <c r="W573" s="89"/>
      <c r="X573" s="89"/>
      <c r="Y573" s="89"/>
      <c r="Z573" s="77"/>
      <c r="AA573" s="77"/>
      <c r="AB573" s="94"/>
      <c r="AC573" s="94"/>
      <c r="AD573" s="94"/>
      <c r="AE573" s="94"/>
      <c r="AF573" s="91"/>
      <c r="AG573" s="92"/>
      <c r="AH573" s="92"/>
      <c r="AI573" s="93"/>
      <c r="AJ573" s="94"/>
      <c r="AK573" s="92"/>
      <c r="AL573" s="94"/>
      <c r="AM573" s="94"/>
      <c r="AN573" s="94"/>
      <c r="AO573" s="94"/>
      <c r="AP573" s="94"/>
      <c r="AQ573" s="94"/>
      <c r="AR573" s="94"/>
      <c r="AS573" s="94"/>
      <c r="AT573" s="94"/>
      <c r="AU573" s="92"/>
      <c r="AV573" s="94"/>
      <c r="AW573" s="94"/>
      <c r="AX573" s="94"/>
      <c r="AY573" s="94"/>
      <c r="AZ573" s="94"/>
      <c r="BA573" s="94"/>
      <c r="BB573" s="94"/>
      <c r="BC573" s="94"/>
      <c r="BD573" s="94"/>
      <c r="BE573" s="94"/>
      <c r="BF573" s="94"/>
      <c r="BG573" s="94"/>
      <c r="BH573" s="94"/>
      <c r="BI573" s="94"/>
      <c r="BJ573" s="94"/>
      <c r="BK573" s="94"/>
      <c r="BL573" s="92"/>
      <c r="BM573" s="94"/>
      <c r="BN573" s="94"/>
      <c r="BO573" s="94"/>
      <c r="BP573" s="94"/>
      <c r="BQ573" s="92"/>
      <c r="BR573" s="92"/>
      <c r="BS573" s="92"/>
      <c r="BT573" s="92"/>
      <c r="BU573" s="92"/>
      <c r="BV573" s="92"/>
      <c r="BW573" s="92"/>
      <c r="BX573" s="92"/>
      <c r="BY573" s="92"/>
      <c r="BZ573" s="92"/>
    </row>
    <row r="574" spans="1:78" ht="12.9">
      <c r="A574" s="89"/>
      <c r="B574" s="89"/>
      <c r="C574" s="89"/>
      <c r="D574" s="89"/>
      <c r="E574" s="89"/>
      <c r="F574" s="89"/>
      <c r="G574" s="89"/>
      <c r="H574" s="105"/>
      <c r="I574" s="106"/>
      <c r="J574" s="106"/>
      <c r="K574" s="89"/>
      <c r="L574" s="89"/>
      <c r="M574" s="89"/>
      <c r="N574" s="107"/>
      <c r="O574" s="107"/>
      <c r="P574" s="89"/>
      <c r="Q574" s="89"/>
      <c r="R574" s="89"/>
      <c r="S574" s="89"/>
      <c r="T574" s="89"/>
      <c r="U574" s="89"/>
      <c r="V574" s="89"/>
      <c r="W574" s="89"/>
      <c r="X574" s="89"/>
      <c r="Y574" s="89"/>
      <c r="Z574" s="77"/>
      <c r="AA574" s="77"/>
      <c r="AB574" s="94"/>
      <c r="AC574" s="94"/>
      <c r="AD574" s="94"/>
      <c r="AE574" s="94"/>
      <c r="AF574" s="91"/>
      <c r="AG574" s="92"/>
      <c r="AH574" s="92"/>
      <c r="AI574" s="93"/>
      <c r="AJ574" s="94"/>
      <c r="AK574" s="92"/>
      <c r="AL574" s="94"/>
      <c r="AM574" s="94"/>
      <c r="AN574" s="94"/>
      <c r="AO574" s="94"/>
      <c r="AP574" s="94"/>
      <c r="AQ574" s="94"/>
      <c r="AR574" s="94"/>
      <c r="AS574" s="94"/>
      <c r="AT574" s="94"/>
      <c r="AU574" s="92"/>
      <c r="AV574" s="94"/>
      <c r="AW574" s="94"/>
      <c r="AX574" s="94"/>
      <c r="AY574" s="94"/>
      <c r="AZ574" s="94"/>
      <c r="BA574" s="94"/>
      <c r="BB574" s="94"/>
      <c r="BC574" s="94"/>
      <c r="BD574" s="94"/>
      <c r="BE574" s="94"/>
      <c r="BF574" s="94"/>
      <c r="BG574" s="94"/>
      <c r="BH574" s="94"/>
      <c r="BI574" s="94"/>
      <c r="BJ574" s="94"/>
      <c r="BK574" s="94"/>
      <c r="BL574" s="92"/>
      <c r="BM574" s="94"/>
      <c r="BN574" s="94"/>
      <c r="BO574" s="94"/>
      <c r="BP574" s="94"/>
      <c r="BQ574" s="92"/>
      <c r="BR574" s="92"/>
      <c r="BS574" s="92"/>
      <c r="BT574" s="92"/>
      <c r="BU574" s="92"/>
      <c r="BV574" s="92"/>
      <c r="BW574" s="92"/>
      <c r="BX574" s="92"/>
      <c r="BY574" s="92"/>
      <c r="BZ574" s="92"/>
    </row>
    <row r="575" spans="1:78" ht="12.9">
      <c r="A575" s="89"/>
      <c r="B575" s="89"/>
      <c r="C575" s="89"/>
      <c r="D575" s="89"/>
      <c r="E575" s="89"/>
      <c r="F575" s="89"/>
      <c r="G575" s="89"/>
      <c r="H575" s="105"/>
      <c r="I575" s="106"/>
      <c r="J575" s="106"/>
      <c r="K575" s="89"/>
      <c r="L575" s="89"/>
      <c r="M575" s="89"/>
      <c r="N575" s="107"/>
      <c r="O575" s="107"/>
      <c r="P575" s="89"/>
      <c r="Q575" s="89"/>
      <c r="R575" s="89"/>
      <c r="S575" s="89"/>
      <c r="T575" s="89"/>
      <c r="U575" s="89"/>
      <c r="V575" s="89"/>
      <c r="W575" s="89"/>
      <c r="X575" s="89"/>
      <c r="Y575" s="89"/>
      <c r="Z575" s="77"/>
      <c r="AA575" s="77"/>
      <c r="AB575" s="94"/>
      <c r="AC575" s="94"/>
      <c r="AD575" s="94"/>
      <c r="AE575" s="94"/>
      <c r="AF575" s="91"/>
      <c r="AG575" s="92"/>
      <c r="AH575" s="92"/>
      <c r="AI575" s="93"/>
      <c r="AJ575" s="94"/>
      <c r="AK575" s="92"/>
      <c r="AL575" s="94"/>
      <c r="AM575" s="94"/>
      <c r="AN575" s="94"/>
      <c r="AO575" s="94"/>
      <c r="AP575" s="94"/>
      <c r="AQ575" s="94"/>
      <c r="AR575" s="94"/>
      <c r="AS575" s="94"/>
      <c r="AT575" s="94"/>
      <c r="AU575" s="92"/>
      <c r="AV575" s="94"/>
      <c r="AW575" s="94"/>
      <c r="AX575" s="94"/>
      <c r="AY575" s="94"/>
      <c r="AZ575" s="94"/>
      <c r="BA575" s="94"/>
      <c r="BB575" s="94"/>
      <c r="BC575" s="94"/>
      <c r="BD575" s="94"/>
      <c r="BE575" s="94"/>
      <c r="BF575" s="94"/>
      <c r="BG575" s="94"/>
      <c r="BH575" s="94"/>
      <c r="BI575" s="94"/>
      <c r="BJ575" s="94"/>
      <c r="BK575" s="94"/>
      <c r="BL575" s="92"/>
      <c r="BM575" s="94"/>
      <c r="BN575" s="94"/>
      <c r="BO575" s="94"/>
      <c r="BP575" s="94"/>
      <c r="BQ575" s="92"/>
      <c r="BR575" s="92"/>
      <c r="BS575" s="92"/>
      <c r="BT575" s="92"/>
      <c r="BU575" s="92"/>
      <c r="BV575" s="92"/>
      <c r="BW575" s="92"/>
      <c r="BX575" s="92"/>
      <c r="BY575" s="92"/>
      <c r="BZ575" s="92"/>
    </row>
    <row r="576" spans="1:78" ht="12.9">
      <c r="A576" s="89"/>
      <c r="B576" s="89"/>
      <c r="C576" s="89"/>
      <c r="D576" s="89"/>
      <c r="E576" s="89"/>
      <c r="F576" s="89"/>
      <c r="G576" s="89"/>
      <c r="H576" s="105"/>
      <c r="I576" s="106"/>
      <c r="J576" s="106"/>
      <c r="K576" s="89"/>
      <c r="L576" s="89"/>
      <c r="M576" s="89"/>
      <c r="N576" s="107"/>
      <c r="O576" s="107"/>
      <c r="P576" s="89"/>
      <c r="Q576" s="89"/>
      <c r="R576" s="89"/>
      <c r="S576" s="89"/>
      <c r="T576" s="89"/>
      <c r="U576" s="89"/>
      <c r="V576" s="89"/>
      <c r="W576" s="89"/>
      <c r="X576" s="89"/>
      <c r="Y576" s="89"/>
      <c r="Z576" s="77"/>
      <c r="AA576" s="77"/>
      <c r="AB576" s="94"/>
      <c r="AC576" s="94"/>
      <c r="AD576" s="94"/>
      <c r="AE576" s="94"/>
      <c r="AF576" s="91"/>
      <c r="AG576" s="92"/>
      <c r="AH576" s="92"/>
      <c r="AI576" s="93"/>
      <c r="AJ576" s="94"/>
      <c r="AK576" s="92"/>
      <c r="AL576" s="94"/>
      <c r="AM576" s="94"/>
      <c r="AN576" s="94"/>
      <c r="AO576" s="94"/>
      <c r="AP576" s="94"/>
      <c r="AQ576" s="94"/>
      <c r="AR576" s="94"/>
      <c r="AS576" s="94"/>
      <c r="AT576" s="94"/>
      <c r="AU576" s="92"/>
      <c r="AV576" s="94"/>
      <c r="AW576" s="94"/>
      <c r="AX576" s="94"/>
      <c r="AY576" s="94"/>
      <c r="AZ576" s="94"/>
      <c r="BA576" s="94"/>
      <c r="BB576" s="94"/>
      <c r="BC576" s="94"/>
      <c r="BD576" s="94"/>
      <c r="BE576" s="94"/>
      <c r="BF576" s="94"/>
      <c r="BG576" s="94"/>
      <c r="BH576" s="94"/>
      <c r="BI576" s="94"/>
      <c r="BJ576" s="94"/>
      <c r="BK576" s="94"/>
      <c r="BL576" s="92"/>
      <c r="BM576" s="94"/>
      <c r="BN576" s="94"/>
      <c r="BO576" s="94"/>
      <c r="BP576" s="94"/>
      <c r="BQ576" s="92"/>
      <c r="BR576" s="92"/>
      <c r="BS576" s="92"/>
      <c r="BT576" s="92"/>
      <c r="BU576" s="92"/>
      <c r="BV576" s="92"/>
      <c r="BW576" s="92"/>
      <c r="BX576" s="92"/>
      <c r="BY576" s="92"/>
      <c r="BZ576" s="92"/>
    </row>
    <row r="577" spans="1:78" ht="12.9">
      <c r="A577" s="89"/>
      <c r="B577" s="89"/>
      <c r="C577" s="89"/>
      <c r="D577" s="89"/>
      <c r="E577" s="89"/>
      <c r="F577" s="89"/>
      <c r="G577" s="89"/>
      <c r="H577" s="105"/>
      <c r="I577" s="106"/>
      <c r="J577" s="106"/>
      <c r="K577" s="89"/>
      <c r="L577" s="89"/>
      <c r="M577" s="89"/>
      <c r="N577" s="107"/>
      <c r="O577" s="107"/>
      <c r="P577" s="89"/>
      <c r="Q577" s="89"/>
      <c r="R577" s="89"/>
      <c r="S577" s="89"/>
      <c r="T577" s="89"/>
      <c r="U577" s="89"/>
      <c r="V577" s="89"/>
      <c r="W577" s="89"/>
      <c r="X577" s="89"/>
      <c r="Y577" s="89"/>
      <c r="Z577" s="77"/>
      <c r="AA577" s="77"/>
      <c r="AB577" s="94"/>
      <c r="AC577" s="94"/>
      <c r="AD577" s="94"/>
      <c r="AE577" s="94"/>
      <c r="AF577" s="91"/>
      <c r="AG577" s="92"/>
      <c r="AH577" s="92"/>
      <c r="AI577" s="93"/>
      <c r="AJ577" s="94"/>
      <c r="AK577" s="92"/>
      <c r="AL577" s="94"/>
      <c r="AM577" s="94"/>
      <c r="AN577" s="94"/>
      <c r="AO577" s="94"/>
      <c r="AP577" s="94"/>
      <c r="AQ577" s="94"/>
      <c r="AR577" s="94"/>
      <c r="AS577" s="94"/>
      <c r="AT577" s="94"/>
      <c r="AU577" s="92"/>
      <c r="AV577" s="94"/>
      <c r="AW577" s="94"/>
      <c r="AX577" s="94"/>
      <c r="AY577" s="94"/>
      <c r="AZ577" s="94"/>
      <c r="BA577" s="94"/>
      <c r="BB577" s="94"/>
      <c r="BC577" s="94"/>
      <c r="BD577" s="94"/>
      <c r="BE577" s="94"/>
      <c r="BF577" s="94"/>
      <c r="BG577" s="94"/>
      <c r="BH577" s="94"/>
      <c r="BI577" s="94"/>
      <c r="BJ577" s="94"/>
      <c r="BK577" s="94"/>
      <c r="BL577" s="92"/>
      <c r="BM577" s="94"/>
      <c r="BN577" s="94"/>
      <c r="BO577" s="94"/>
      <c r="BP577" s="94"/>
      <c r="BQ577" s="92"/>
      <c r="BR577" s="92"/>
      <c r="BS577" s="92"/>
      <c r="BT577" s="92"/>
      <c r="BU577" s="92"/>
      <c r="BV577" s="92"/>
      <c r="BW577" s="92"/>
      <c r="BX577" s="92"/>
      <c r="BY577" s="92"/>
      <c r="BZ577" s="92"/>
    </row>
    <row r="578" spans="1:78" ht="12.9">
      <c r="A578" s="89"/>
      <c r="B578" s="89"/>
      <c r="C578" s="89"/>
      <c r="D578" s="89"/>
      <c r="E578" s="89"/>
      <c r="F578" s="89"/>
      <c r="G578" s="89"/>
      <c r="H578" s="105"/>
      <c r="I578" s="106"/>
      <c r="J578" s="106"/>
      <c r="K578" s="89"/>
      <c r="L578" s="89"/>
      <c r="M578" s="89"/>
      <c r="N578" s="107"/>
      <c r="O578" s="107"/>
      <c r="P578" s="89"/>
      <c r="Q578" s="89"/>
      <c r="R578" s="89"/>
      <c r="S578" s="89"/>
      <c r="T578" s="89"/>
      <c r="U578" s="89"/>
      <c r="V578" s="89"/>
      <c r="W578" s="89"/>
      <c r="X578" s="89"/>
      <c r="Y578" s="89"/>
      <c r="Z578" s="77"/>
      <c r="AA578" s="77"/>
      <c r="AB578" s="94"/>
      <c r="AC578" s="94"/>
      <c r="AD578" s="94"/>
      <c r="AE578" s="94"/>
      <c r="AF578" s="91"/>
      <c r="AG578" s="92"/>
      <c r="AH578" s="92"/>
      <c r="AI578" s="93"/>
      <c r="AJ578" s="94"/>
      <c r="AK578" s="92"/>
      <c r="AL578" s="94"/>
      <c r="AM578" s="94"/>
      <c r="AN578" s="94"/>
      <c r="AO578" s="94"/>
      <c r="AP578" s="94"/>
      <c r="AQ578" s="94"/>
      <c r="AR578" s="94"/>
      <c r="AS578" s="94"/>
      <c r="AT578" s="94"/>
      <c r="AU578" s="92"/>
      <c r="AV578" s="94"/>
      <c r="AW578" s="94"/>
      <c r="AX578" s="94"/>
      <c r="AY578" s="94"/>
      <c r="AZ578" s="94"/>
      <c r="BA578" s="94"/>
      <c r="BB578" s="94"/>
      <c r="BC578" s="94"/>
      <c r="BD578" s="94"/>
      <c r="BE578" s="94"/>
      <c r="BF578" s="94"/>
      <c r="BG578" s="94"/>
      <c r="BH578" s="94"/>
      <c r="BI578" s="94"/>
      <c r="BJ578" s="94"/>
      <c r="BK578" s="94"/>
      <c r="BL578" s="92"/>
      <c r="BM578" s="94"/>
      <c r="BN578" s="94"/>
      <c r="BO578" s="94"/>
      <c r="BP578" s="94"/>
      <c r="BQ578" s="92"/>
      <c r="BR578" s="92"/>
      <c r="BS578" s="92"/>
      <c r="BT578" s="92"/>
      <c r="BU578" s="92"/>
      <c r="BV578" s="92"/>
      <c r="BW578" s="92"/>
      <c r="BX578" s="92"/>
      <c r="BY578" s="92"/>
      <c r="BZ578" s="92"/>
    </row>
    <row r="579" spans="1:78" ht="12.9">
      <c r="A579" s="89"/>
      <c r="B579" s="89"/>
      <c r="C579" s="89"/>
      <c r="D579" s="89"/>
      <c r="E579" s="89"/>
      <c r="F579" s="89"/>
      <c r="G579" s="89"/>
      <c r="H579" s="105"/>
      <c r="I579" s="106"/>
      <c r="J579" s="106"/>
      <c r="K579" s="89"/>
      <c r="L579" s="89"/>
      <c r="M579" s="89"/>
      <c r="N579" s="107"/>
      <c r="O579" s="107"/>
      <c r="P579" s="89"/>
      <c r="Q579" s="89"/>
      <c r="R579" s="89"/>
      <c r="S579" s="89"/>
      <c r="T579" s="89"/>
      <c r="U579" s="89"/>
      <c r="V579" s="89"/>
      <c r="W579" s="89"/>
      <c r="X579" s="89"/>
      <c r="Y579" s="89"/>
      <c r="Z579" s="77"/>
      <c r="AA579" s="77"/>
      <c r="AB579" s="94"/>
      <c r="AC579" s="94"/>
      <c r="AD579" s="94"/>
      <c r="AE579" s="94"/>
      <c r="AF579" s="91"/>
      <c r="AG579" s="92"/>
      <c r="AH579" s="92"/>
      <c r="AI579" s="93"/>
      <c r="AJ579" s="94"/>
      <c r="AK579" s="92"/>
      <c r="AL579" s="94"/>
      <c r="AM579" s="94"/>
      <c r="AN579" s="94"/>
      <c r="AO579" s="94"/>
      <c r="AP579" s="94"/>
      <c r="AQ579" s="94"/>
      <c r="AR579" s="94"/>
      <c r="AS579" s="94"/>
      <c r="AT579" s="94"/>
      <c r="AU579" s="92"/>
      <c r="AV579" s="94"/>
      <c r="AW579" s="94"/>
      <c r="AX579" s="94"/>
      <c r="AY579" s="94"/>
      <c r="AZ579" s="94"/>
      <c r="BA579" s="94"/>
      <c r="BB579" s="94"/>
      <c r="BC579" s="94"/>
      <c r="BD579" s="94"/>
      <c r="BE579" s="94"/>
      <c r="BF579" s="94"/>
      <c r="BG579" s="94"/>
      <c r="BH579" s="94"/>
      <c r="BI579" s="94"/>
      <c r="BJ579" s="94"/>
      <c r="BK579" s="94"/>
      <c r="BL579" s="92"/>
      <c r="BM579" s="94"/>
      <c r="BN579" s="94"/>
      <c r="BO579" s="94"/>
      <c r="BP579" s="94"/>
      <c r="BQ579" s="92"/>
      <c r="BR579" s="92"/>
      <c r="BS579" s="92"/>
      <c r="BT579" s="92"/>
      <c r="BU579" s="92"/>
      <c r="BV579" s="92"/>
      <c r="BW579" s="92"/>
      <c r="BX579" s="92"/>
      <c r="BY579" s="92"/>
      <c r="BZ579" s="92"/>
    </row>
    <row r="580" spans="1:78" ht="12.9">
      <c r="A580" s="89"/>
      <c r="B580" s="89"/>
      <c r="C580" s="89"/>
      <c r="D580" s="89"/>
      <c r="E580" s="89"/>
      <c r="F580" s="89"/>
      <c r="G580" s="89"/>
      <c r="H580" s="105"/>
      <c r="I580" s="106"/>
      <c r="J580" s="106"/>
      <c r="K580" s="89"/>
      <c r="L580" s="89"/>
      <c r="M580" s="89"/>
      <c r="N580" s="107"/>
      <c r="O580" s="107"/>
      <c r="P580" s="89"/>
      <c r="Q580" s="89"/>
      <c r="R580" s="89"/>
      <c r="S580" s="89"/>
      <c r="T580" s="89"/>
      <c r="U580" s="89"/>
      <c r="V580" s="89"/>
      <c r="W580" s="89"/>
      <c r="X580" s="89"/>
      <c r="Y580" s="89"/>
      <c r="Z580" s="77"/>
      <c r="AA580" s="77"/>
      <c r="AB580" s="94"/>
      <c r="AC580" s="94"/>
      <c r="AD580" s="94"/>
      <c r="AE580" s="94"/>
      <c r="AF580" s="91"/>
      <c r="AG580" s="92"/>
      <c r="AH580" s="92"/>
      <c r="AI580" s="93"/>
      <c r="AJ580" s="94"/>
      <c r="AK580" s="92"/>
      <c r="AL580" s="94"/>
      <c r="AM580" s="94"/>
      <c r="AN580" s="94"/>
      <c r="AO580" s="94"/>
      <c r="AP580" s="94"/>
      <c r="AQ580" s="94"/>
      <c r="AR580" s="94"/>
      <c r="AS580" s="94"/>
      <c r="AT580" s="94"/>
      <c r="AU580" s="92"/>
      <c r="AV580" s="94"/>
      <c r="AW580" s="94"/>
      <c r="AX580" s="94"/>
      <c r="AY580" s="94"/>
      <c r="AZ580" s="94"/>
      <c r="BA580" s="94"/>
      <c r="BB580" s="94"/>
      <c r="BC580" s="94"/>
      <c r="BD580" s="94"/>
      <c r="BE580" s="94"/>
      <c r="BF580" s="94"/>
      <c r="BG580" s="94"/>
      <c r="BH580" s="94"/>
      <c r="BI580" s="94"/>
      <c r="BJ580" s="94"/>
      <c r="BK580" s="94"/>
      <c r="BL580" s="92"/>
      <c r="BM580" s="94"/>
      <c r="BN580" s="94"/>
      <c r="BO580" s="94"/>
      <c r="BP580" s="94"/>
      <c r="BQ580" s="92"/>
      <c r="BR580" s="92"/>
      <c r="BS580" s="92"/>
      <c r="BT580" s="92"/>
      <c r="BU580" s="92"/>
      <c r="BV580" s="92"/>
      <c r="BW580" s="92"/>
      <c r="BX580" s="92"/>
      <c r="BY580" s="92"/>
      <c r="BZ580" s="92"/>
    </row>
    <row r="581" spans="1:78" ht="12.9">
      <c r="A581" s="89"/>
      <c r="B581" s="89"/>
      <c r="C581" s="89"/>
      <c r="D581" s="89"/>
      <c r="E581" s="89"/>
      <c r="F581" s="89"/>
      <c r="G581" s="89"/>
      <c r="H581" s="105"/>
      <c r="I581" s="106"/>
      <c r="J581" s="106"/>
      <c r="K581" s="89"/>
      <c r="L581" s="89"/>
      <c r="M581" s="89"/>
      <c r="N581" s="107"/>
      <c r="O581" s="107"/>
      <c r="P581" s="89"/>
      <c r="Q581" s="89"/>
      <c r="R581" s="89"/>
      <c r="S581" s="89"/>
      <c r="T581" s="89"/>
      <c r="U581" s="89"/>
      <c r="V581" s="89"/>
      <c r="W581" s="89"/>
      <c r="X581" s="89"/>
      <c r="Y581" s="89"/>
      <c r="Z581" s="77"/>
      <c r="AA581" s="77"/>
      <c r="AB581" s="94"/>
      <c r="AC581" s="94"/>
      <c r="AD581" s="94"/>
      <c r="AE581" s="94"/>
      <c r="AF581" s="91"/>
      <c r="AG581" s="92"/>
      <c r="AH581" s="92"/>
      <c r="AI581" s="93"/>
      <c r="AJ581" s="94"/>
      <c r="AK581" s="92"/>
      <c r="AL581" s="94"/>
      <c r="AM581" s="94"/>
      <c r="AN581" s="94"/>
      <c r="AO581" s="94"/>
      <c r="AP581" s="94"/>
      <c r="AQ581" s="94"/>
      <c r="AR581" s="94"/>
      <c r="AS581" s="94"/>
      <c r="AT581" s="94"/>
      <c r="AU581" s="92"/>
      <c r="AV581" s="94"/>
      <c r="AW581" s="94"/>
      <c r="AX581" s="94"/>
      <c r="AY581" s="94"/>
      <c r="AZ581" s="94"/>
      <c r="BA581" s="94"/>
      <c r="BB581" s="94"/>
      <c r="BC581" s="94"/>
      <c r="BD581" s="94"/>
      <c r="BE581" s="94"/>
      <c r="BF581" s="94"/>
      <c r="BG581" s="94"/>
      <c r="BH581" s="94"/>
      <c r="BI581" s="94"/>
      <c r="BJ581" s="94"/>
      <c r="BK581" s="94"/>
      <c r="BL581" s="92"/>
      <c r="BM581" s="94"/>
      <c r="BN581" s="94"/>
      <c r="BO581" s="94"/>
      <c r="BP581" s="94"/>
      <c r="BQ581" s="92"/>
      <c r="BR581" s="92"/>
      <c r="BS581" s="92"/>
      <c r="BT581" s="92"/>
      <c r="BU581" s="92"/>
      <c r="BV581" s="92"/>
      <c r="BW581" s="92"/>
      <c r="BX581" s="92"/>
      <c r="BY581" s="92"/>
      <c r="BZ581" s="92"/>
    </row>
    <row r="582" spans="1:78" ht="12.9">
      <c r="A582" s="89"/>
      <c r="B582" s="89"/>
      <c r="C582" s="89"/>
      <c r="D582" s="89"/>
      <c r="E582" s="89"/>
      <c r="F582" s="89"/>
      <c r="G582" s="89"/>
      <c r="H582" s="105"/>
      <c r="I582" s="106"/>
      <c r="J582" s="106"/>
      <c r="K582" s="89"/>
      <c r="L582" s="89"/>
      <c r="M582" s="89"/>
      <c r="N582" s="107"/>
      <c r="O582" s="107"/>
      <c r="P582" s="89"/>
      <c r="Q582" s="89"/>
      <c r="R582" s="89"/>
      <c r="S582" s="89"/>
      <c r="T582" s="89"/>
      <c r="U582" s="89"/>
      <c r="V582" s="89"/>
      <c r="W582" s="89"/>
      <c r="X582" s="89"/>
      <c r="Y582" s="89"/>
      <c r="Z582" s="77"/>
      <c r="AA582" s="77"/>
      <c r="AB582" s="94"/>
      <c r="AC582" s="94"/>
      <c r="AD582" s="94"/>
      <c r="AE582" s="94"/>
      <c r="AF582" s="91"/>
      <c r="AG582" s="92"/>
      <c r="AH582" s="92"/>
      <c r="AI582" s="93"/>
      <c r="AJ582" s="94"/>
      <c r="AK582" s="92"/>
      <c r="AL582" s="94"/>
      <c r="AM582" s="94"/>
      <c r="AN582" s="94"/>
      <c r="AO582" s="94"/>
      <c r="AP582" s="94"/>
      <c r="AQ582" s="94"/>
      <c r="AR582" s="94"/>
      <c r="AS582" s="94"/>
      <c r="AT582" s="94"/>
      <c r="AU582" s="92"/>
      <c r="AV582" s="94"/>
      <c r="AW582" s="94"/>
      <c r="AX582" s="94"/>
      <c r="AY582" s="94"/>
      <c r="AZ582" s="94"/>
      <c r="BA582" s="94"/>
      <c r="BB582" s="94"/>
      <c r="BC582" s="94"/>
      <c r="BD582" s="94"/>
      <c r="BE582" s="94"/>
      <c r="BF582" s="94"/>
      <c r="BG582" s="94"/>
      <c r="BH582" s="94"/>
      <c r="BI582" s="94"/>
      <c r="BJ582" s="94"/>
      <c r="BK582" s="94"/>
      <c r="BL582" s="92"/>
      <c r="BM582" s="94"/>
      <c r="BN582" s="94"/>
      <c r="BO582" s="94"/>
      <c r="BP582" s="94"/>
      <c r="BQ582" s="92"/>
      <c r="BR582" s="92"/>
      <c r="BS582" s="92"/>
      <c r="BT582" s="92"/>
      <c r="BU582" s="92"/>
      <c r="BV582" s="92"/>
      <c r="BW582" s="92"/>
      <c r="BX582" s="92"/>
      <c r="BY582" s="92"/>
      <c r="BZ582" s="92"/>
    </row>
    <row r="583" spans="1:78" ht="12.9">
      <c r="A583" s="89"/>
      <c r="B583" s="89"/>
      <c r="C583" s="89"/>
      <c r="D583" s="89"/>
      <c r="E583" s="89"/>
      <c r="F583" s="89"/>
      <c r="G583" s="89"/>
      <c r="H583" s="105"/>
      <c r="I583" s="106"/>
      <c r="J583" s="106"/>
      <c r="K583" s="89"/>
      <c r="L583" s="89"/>
      <c r="M583" s="89"/>
      <c r="N583" s="107"/>
      <c r="O583" s="107"/>
      <c r="P583" s="89"/>
      <c r="Q583" s="89"/>
      <c r="R583" s="89"/>
      <c r="S583" s="89"/>
      <c r="T583" s="89"/>
      <c r="U583" s="89"/>
      <c r="V583" s="89"/>
      <c r="W583" s="89"/>
      <c r="X583" s="89"/>
      <c r="Y583" s="89"/>
      <c r="Z583" s="77"/>
      <c r="AA583" s="77"/>
      <c r="AB583" s="94"/>
      <c r="AC583" s="94"/>
      <c r="AD583" s="94"/>
      <c r="AE583" s="94"/>
      <c r="AF583" s="91"/>
      <c r="AG583" s="92"/>
      <c r="AH583" s="92"/>
      <c r="AI583" s="93"/>
      <c r="AJ583" s="94"/>
      <c r="AK583" s="92"/>
      <c r="AL583" s="94"/>
      <c r="AM583" s="94"/>
      <c r="AN583" s="94"/>
      <c r="AO583" s="94"/>
      <c r="AP583" s="94"/>
      <c r="AQ583" s="94"/>
      <c r="AR583" s="94"/>
      <c r="AS583" s="94"/>
      <c r="AT583" s="94"/>
      <c r="AU583" s="92"/>
      <c r="AV583" s="94"/>
      <c r="AW583" s="94"/>
      <c r="AX583" s="94"/>
      <c r="AY583" s="94"/>
      <c r="AZ583" s="94"/>
      <c r="BA583" s="94"/>
      <c r="BB583" s="94"/>
      <c r="BC583" s="94"/>
      <c r="BD583" s="94"/>
      <c r="BE583" s="94"/>
      <c r="BF583" s="94"/>
      <c r="BG583" s="94"/>
      <c r="BH583" s="94"/>
      <c r="BI583" s="94"/>
      <c r="BJ583" s="94"/>
      <c r="BK583" s="94"/>
      <c r="BL583" s="92"/>
      <c r="BM583" s="94"/>
      <c r="BN583" s="94"/>
      <c r="BO583" s="94"/>
      <c r="BP583" s="94"/>
      <c r="BQ583" s="92"/>
      <c r="BR583" s="92"/>
      <c r="BS583" s="92"/>
      <c r="BT583" s="92"/>
      <c r="BU583" s="92"/>
      <c r="BV583" s="92"/>
      <c r="BW583" s="92"/>
      <c r="BX583" s="92"/>
      <c r="BY583" s="92"/>
      <c r="BZ583" s="92"/>
    </row>
    <row r="584" spans="1:78" ht="12.9">
      <c r="A584" s="89"/>
      <c r="B584" s="89"/>
      <c r="C584" s="89"/>
      <c r="D584" s="89"/>
      <c r="E584" s="89"/>
      <c r="F584" s="89"/>
      <c r="G584" s="89"/>
      <c r="H584" s="105"/>
      <c r="I584" s="106"/>
      <c r="J584" s="106"/>
      <c r="K584" s="89"/>
      <c r="L584" s="89"/>
      <c r="M584" s="89"/>
      <c r="N584" s="107"/>
      <c r="O584" s="107"/>
      <c r="P584" s="89"/>
      <c r="Q584" s="89"/>
      <c r="R584" s="89"/>
      <c r="S584" s="89"/>
      <c r="T584" s="89"/>
      <c r="U584" s="89"/>
      <c r="V584" s="89"/>
      <c r="W584" s="89"/>
      <c r="X584" s="89"/>
      <c r="Y584" s="89"/>
      <c r="Z584" s="77"/>
      <c r="AA584" s="77"/>
      <c r="AB584" s="94"/>
      <c r="AC584" s="94"/>
      <c r="AD584" s="94"/>
      <c r="AE584" s="94"/>
      <c r="AF584" s="91"/>
      <c r="AG584" s="92"/>
      <c r="AH584" s="92"/>
      <c r="AI584" s="93"/>
      <c r="AJ584" s="94"/>
      <c r="AK584" s="92"/>
      <c r="AL584" s="94"/>
      <c r="AM584" s="94"/>
      <c r="AN584" s="94"/>
      <c r="AO584" s="94"/>
      <c r="AP584" s="94"/>
      <c r="AQ584" s="94"/>
      <c r="AR584" s="94"/>
      <c r="AS584" s="94"/>
      <c r="AT584" s="94"/>
      <c r="AU584" s="92"/>
      <c r="AV584" s="94"/>
      <c r="AW584" s="94"/>
      <c r="AX584" s="94"/>
      <c r="AY584" s="94"/>
      <c r="AZ584" s="94"/>
      <c r="BA584" s="94"/>
      <c r="BB584" s="94"/>
      <c r="BC584" s="94"/>
      <c r="BD584" s="94"/>
      <c r="BE584" s="94"/>
      <c r="BF584" s="94"/>
      <c r="BG584" s="94"/>
      <c r="BH584" s="94"/>
      <c r="BI584" s="94"/>
      <c r="BJ584" s="94"/>
      <c r="BK584" s="94"/>
      <c r="BL584" s="92"/>
      <c r="BM584" s="94"/>
      <c r="BN584" s="94"/>
      <c r="BO584" s="94"/>
      <c r="BP584" s="94"/>
      <c r="BQ584" s="92"/>
      <c r="BR584" s="92"/>
      <c r="BS584" s="92"/>
      <c r="BT584" s="92"/>
      <c r="BU584" s="92"/>
      <c r="BV584" s="92"/>
      <c r="BW584" s="92"/>
      <c r="BX584" s="92"/>
      <c r="BY584" s="92"/>
      <c r="BZ584" s="92"/>
    </row>
    <row r="585" spans="1:78" ht="12.9">
      <c r="A585" s="89"/>
      <c r="B585" s="89"/>
      <c r="C585" s="89"/>
      <c r="D585" s="89"/>
      <c r="E585" s="89"/>
      <c r="F585" s="89"/>
      <c r="G585" s="89"/>
      <c r="H585" s="105"/>
      <c r="I585" s="106"/>
      <c r="J585" s="106"/>
      <c r="K585" s="89"/>
      <c r="L585" s="89"/>
      <c r="M585" s="89"/>
      <c r="N585" s="107"/>
      <c r="O585" s="107"/>
      <c r="P585" s="89"/>
      <c r="Q585" s="89"/>
      <c r="R585" s="89"/>
      <c r="S585" s="89"/>
      <c r="T585" s="89"/>
      <c r="U585" s="89"/>
      <c r="V585" s="89"/>
      <c r="W585" s="89"/>
      <c r="X585" s="89"/>
      <c r="Y585" s="89"/>
      <c r="Z585" s="77"/>
      <c r="AA585" s="77"/>
      <c r="AB585" s="94"/>
      <c r="AC585" s="94"/>
      <c r="AD585" s="94"/>
      <c r="AE585" s="94"/>
      <c r="AF585" s="91"/>
      <c r="AG585" s="92"/>
      <c r="AH585" s="92"/>
      <c r="AI585" s="93"/>
      <c r="AJ585" s="94"/>
      <c r="AK585" s="92"/>
      <c r="AL585" s="94"/>
      <c r="AM585" s="94"/>
      <c r="AN585" s="94"/>
      <c r="AO585" s="94"/>
      <c r="AP585" s="94"/>
      <c r="AQ585" s="94"/>
      <c r="AR585" s="94"/>
      <c r="AS585" s="94"/>
      <c r="AT585" s="94"/>
      <c r="AU585" s="92"/>
      <c r="AV585" s="94"/>
      <c r="AW585" s="94"/>
      <c r="AX585" s="94"/>
      <c r="AY585" s="94"/>
      <c r="AZ585" s="94"/>
      <c r="BA585" s="94"/>
      <c r="BB585" s="94"/>
      <c r="BC585" s="94"/>
      <c r="BD585" s="94"/>
      <c r="BE585" s="94"/>
      <c r="BF585" s="94"/>
      <c r="BG585" s="94"/>
      <c r="BH585" s="94"/>
      <c r="BI585" s="94"/>
      <c r="BJ585" s="94"/>
      <c r="BK585" s="94"/>
      <c r="BL585" s="92"/>
      <c r="BM585" s="94"/>
      <c r="BN585" s="94"/>
      <c r="BO585" s="94"/>
      <c r="BP585" s="94"/>
      <c r="BQ585" s="92"/>
      <c r="BR585" s="92"/>
      <c r="BS585" s="92"/>
      <c r="BT585" s="92"/>
      <c r="BU585" s="92"/>
      <c r="BV585" s="92"/>
      <c r="BW585" s="92"/>
      <c r="BX585" s="92"/>
      <c r="BY585" s="92"/>
      <c r="BZ585" s="92"/>
    </row>
    <row r="586" spans="1:78" ht="12.9">
      <c r="A586" s="89"/>
      <c r="B586" s="89"/>
      <c r="C586" s="89"/>
      <c r="D586" s="89"/>
      <c r="E586" s="89"/>
      <c r="F586" s="89"/>
      <c r="G586" s="89"/>
      <c r="H586" s="105"/>
      <c r="I586" s="106"/>
      <c r="J586" s="106"/>
      <c r="K586" s="89"/>
      <c r="L586" s="89"/>
      <c r="M586" s="89"/>
      <c r="N586" s="107"/>
      <c r="O586" s="107"/>
      <c r="P586" s="89"/>
      <c r="Q586" s="89"/>
      <c r="R586" s="89"/>
      <c r="S586" s="89"/>
      <c r="T586" s="89"/>
      <c r="U586" s="89"/>
      <c r="V586" s="89"/>
      <c r="W586" s="89"/>
      <c r="X586" s="89"/>
      <c r="Y586" s="89"/>
      <c r="Z586" s="77"/>
      <c r="AA586" s="77"/>
      <c r="AB586" s="94"/>
      <c r="AC586" s="94"/>
      <c r="AD586" s="94"/>
      <c r="AE586" s="94"/>
      <c r="AF586" s="91"/>
      <c r="AG586" s="92"/>
      <c r="AH586" s="92"/>
      <c r="AI586" s="93"/>
      <c r="AJ586" s="94"/>
      <c r="AK586" s="92"/>
      <c r="AL586" s="94"/>
      <c r="AM586" s="94"/>
      <c r="AN586" s="94"/>
      <c r="AO586" s="94"/>
      <c r="AP586" s="94"/>
      <c r="AQ586" s="94"/>
      <c r="AR586" s="94"/>
      <c r="AS586" s="94"/>
      <c r="AT586" s="94"/>
      <c r="AU586" s="92"/>
      <c r="AV586" s="94"/>
      <c r="AW586" s="94"/>
      <c r="AX586" s="94"/>
      <c r="AY586" s="94"/>
      <c r="AZ586" s="94"/>
      <c r="BA586" s="94"/>
      <c r="BB586" s="94"/>
      <c r="BC586" s="94"/>
      <c r="BD586" s="94"/>
      <c r="BE586" s="94"/>
      <c r="BF586" s="94"/>
      <c r="BG586" s="94"/>
      <c r="BH586" s="94"/>
      <c r="BI586" s="94"/>
      <c r="BJ586" s="94"/>
      <c r="BK586" s="94"/>
      <c r="BL586" s="92"/>
      <c r="BM586" s="94"/>
      <c r="BN586" s="94"/>
      <c r="BO586" s="94"/>
      <c r="BP586" s="94"/>
      <c r="BQ586" s="92"/>
      <c r="BR586" s="92"/>
      <c r="BS586" s="92"/>
      <c r="BT586" s="92"/>
      <c r="BU586" s="92"/>
      <c r="BV586" s="92"/>
      <c r="BW586" s="92"/>
      <c r="BX586" s="92"/>
      <c r="BY586" s="92"/>
      <c r="BZ586" s="92"/>
    </row>
    <row r="587" spans="1:78" ht="12.9">
      <c r="A587" s="89"/>
      <c r="B587" s="89"/>
      <c r="C587" s="89"/>
      <c r="D587" s="89"/>
      <c r="E587" s="89"/>
      <c r="F587" s="89"/>
      <c r="G587" s="89"/>
      <c r="H587" s="105"/>
      <c r="I587" s="106"/>
      <c r="J587" s="106"/>
      <c r="K587" s="89"/>
      <c r="L587" s="89"/>
      <c r="M587" s="89"/>
      <c r="N587" s="107"/>
      <c r="O587" s="107"/>
      <c r="P587" s="89"/>
      <c r="Q587" s="89"/>
      <c r="R587" s="89"/>
      <c r="S587" s="89"/>
      <c r="T587" s="89"/>
      <c r="U587" s="89"/>
      <c r="V587" s="89"/>
      <c r="W587" s="89"/>
      <c r="X587" s="89"/>
      <c r="Y587" s="89"/>
      <c r="Z587" s="77"/>
      <c r="AA587" s="77"/>
      <c r="AB587" s="94"/>
      <c r="AC587" s="94"/>
      <c r="AD587" s="94"/>
      <c r="AE587" s="94"/>
      <c r="AF587" s="91"/>
      <c r="AG587" s="92"/>
      <c r="AH587" s="92"/>
      <c r="AI587" s="93"/>
      <c r="AJ587" s="94"/>
      <c r="AK587" s="92"/>
      <c r="AL587" s="94"/>
      <c r="AM587" s="94"/>
      <c r="AN587" s="94"/>
      <c r="AO587" s="94"/>
      <c r="AP587" s="94"/>
      <c r="AQ587" s="94"/>
      <c r="AR587" s="94"/>
      <c r="AS587" s="94"/>
      <c r="AT587" s="94"/>
      <c r="AU587" s="92"/>
      <c r="AV587" s="94"/>
      <c r="AW587" s="94"/>
      <c r="AX587" s="94"/>
      <c r="AY587" s="94"/>
      <c r="AZ587" s="94"/>
      <c r="BA587" s="94"/>
      <c r="BB587" s="94"/>
      <c r="BC587" s="94"/>
      <c r="BD587" s="94"/>
      <c r="BE587" s="94"/>
      <c r="BF587" s="94"/>
      <c r="BG587" s="94"/>
      <c r="BH587" s="94"/>
      <c r="BI587" s="94"/>
      <c r="BJ587" s="94"/>
      <c r="BK587" s="94"/>
      <c r="BL587" s="92"/>
      <c r="BM587" s="94"/>
      <c r="BN587" s="94"/>
      <c r="BO587" s="94"/>
      <c r="BP587" s="94"/>
      <c r="BQ587" s="92"/>
      <c r="BR587" s="92"/>
      <c r="BS587" s="92"/>
      <c r="BT587" s="92"/>
      <c r="BU587" s="92"/>
      <c r="BV587" s="92"/>
      <c r="BW587" s="92"/>
      <c r="BX587" s="92"/>
      <c r="BY587" s="92"/>
      <c r="BZ587" s="92"/>
    </row>
    <row r="588" spans="1:78" ht="12.9">
      <c r="A588" s="89"/>
      <c r="B588" s="89"/>
      <c r="C588" s="89"/>
      <c r="D588" s="89"/>
      <c r="E588" s="89"/>
      <c r="F588" s="89"/>
      <c r="G588" s="89"/>
      <c r="H588" s="105"/>
      <c r="I588" s="106"/>
      <c r="J588" s="106"/>
      <c r="K588" s="89"/>
      <c r="L588" s="89"/>
      <c r="M588" s="89"/>
      <c r="N588" s="107"/>
      <c r="O588" s="107"/>
      <c r="P588" s="89"/>
      <c r="Q588" s="89"/>
      <c r="R588" s="89"/>
      <c r="S588" s="89"/>
      <c r="T588" s="89"/>
      <c r="U588" s="89"/>
      <c r="V588" s="89"/>
      <c r="W588" s="89"/>
      <c r="X588" s="89"/>
      <c r="Y588" s="89"/>
      <c r="Z588" s="77"/>
      <c r="AA588" s="77"/>
      <c r="AB588" s="94"/>
      <c r="AC588" s="94"/>
      <c r="AD588" s="94"/>
      <c r="AE588" s="94"/>
      <c r="AF588" s="91"/>
      <c r="AG588" s="92"/>
      <c r="AH588" s="92"/>
      <c r="AI588" s="93"/>
      <c r="AJ588" s="94"/>
      <c r="AK588" s="92"/>
      <c r="AL588" s="94"/>
      <c r="AM588" s="94"/>
      <c r="AN588" s="94"/>
      <c r="AO588" s="94"/>
      <c r="AP588" s="94"/>
      <c r="AQ588" s="94"/>
      <c r="AR588" s="94"/>
      <c r="AS588" s="94"/>
      <c r="AT588" s="94"/>
      <c r="AU588" s="92"/>
      <c r="AV588" s="94"/>
      <c r="AW588" s="94"/>
      <c r="AX588" s="94"/>
      <c r="AY588" s="94"/>
      <c r="AZ588" s="94"/>
      <c r="BA588" s="94"/>
      <c r="BB588" s="94"/>
      <c r="BC588" s="94"/>
      <c r="BD588" s="94"/>
      <c r="BE588" s="94"/>
      <c r="BF588" s="94"/>
      <c r="BG588" s="94"/>
      <c r="BH588" s="94"/>
      <c r="BI588" s="94"/>
      <c r="BJ588" s="94"/>
      <c r="BK588" s="94"/>
      <c r="BL588" s="92"/>
      <c r="BM588" s="94"/>
      <c r="BN588" s="94"/>
      <c r="BO588" s="94"/>
      <c r="BP588" s="94"/>
      <c r="BQ588" s="92"/>
      <c r="BR588" s="92"/>
      <c r="BS588" s="92"/>
      <c r="BT588" s="92"/>
      <c r="BU588" s="92"/>
      <c r="BV588" s="92"/>
      <c r="BW588" s="92"/>
      <c r="BX588" s="92"/>
      <c r="BY588" s="92"/>
      <c r="BZ588" s="92"/>
    </row>
    <row r="589" spans="1:78" ht="12.9">
      <c r="A589" s="89"/>
      <c r="B589" s="89"/>
      <c r="C589" s="89"/>
      <c r="D589" s="89"/>
      <c r="E589" s="89"/>
      <c r="F589" s="89"/>
      <c r="G589" s="89"/>
      <c r="H589" s="105"/>
      <c r="I589" s="106"/>
      <c r="J589" s="106"/>
      <c r="K589" s="89"/>
      <c r="L589" s="89"/>
      <c r="M589" s="89"/>
      <c r="N589" s="107"/>
      <c r="O589" s="107"/>
      <c r="P589" s="89"/>
      <c r="Q589" s="89"/>
      <c r="R589" s="89"/>
      <c r="S589" s="89"/>
      <c r="T589" s="89"/>
      <c r="U589" s="89"/>
      <c r="V589" s="89"/>
      <c r="W589" s="89"/>
      <c r="X589" s="89"/>
      <c r="Y589" s="89"/>
      <c r="Z589" s="77"/>
      <c r="AA589" s="77"/>
      <c r="AB589" s="94"/>
      <c r="AC589" s="94"/>
      <c r="AD589" s="94"/>
      <c r="AE589" s="94"/>
      <c r="AF589" s="91"/>
      <c r="AG589" s="92"/>
      <c r="AH589" s="92"/>
      <c r="AI589" s="93"/>
      <c r="AJ589" s="94"/>
      <c r="AK589" s="92"/>
      <c r="AL589" s="94"/>
      <c r="AM589" s="94"/>
      <c r="AN589" s="94"/>
      <c r="AO589" s="94"/>
      <c r="AP589" s="94"/>
      <c r="AQ589" s="94"/>
      <c r="AR589" s="94"/>
      <c r="AS589" s="94"/>
      <c r="AT589" s="94"/>
      <c r="AU589" s="92"/>
      <c r="AV589" s="94"/>
      <c r="AW589" s="94"/>
      <c r="AX589" s="94"/>
      <c r="AY589" s="94"/>
      <c r="AZ589" s="94"/>
      <c r="BA589" s="94"/>
      <c r="BB589" s="94"/>
      <c r="BC589" s="94"/>
      <c r="BD589" s="94"/>
      <c r="BE589" s="94"/>
      <c r="BF589" s="94"/>
      <c r="BG589" s="94"/>
      <c r="BH589" s="94"/>
      <c r="BI589" s="94"/>
      <c r="BJ589" s="94"/>
      <c r="BK589" s="94"/>
      <c r="BL589" s="92"/>
      <c r="BM589" s="94"/>
      <c r="BN589" s="94"/>
      <c r="BO589" s="94"/>
      <c r="BP589" s="94"/>
      <c r="BQ589" s="92"/>
      <c r="BR589" s="92"/>
      <c r="BS589" s="92"/>
      <c r="BT589" s="92"/>
      <c r="BU589" s="92"/>
      <c r="BV589" s="92"/>
      <c r="BW589" s="92"/>
      <c r="BX589" s="92"/>
      <c r="BY589" s="92"/>
      <c r="BZ589" s="92"/>
    </row>
    <row r="590" spans="1:78" ht="12.9">
      <c r="A590" s="89"/>
      <c r="B590" s="89"/>
      <c r="C590" s="89"/>
      <c r="D590" s="89"/>
      <c r="E590" s="89"/>
      <c r="F590" s="89"/>
      <c r="G590" s="89"/>
      <c r="H590" s="105"/>
      <c r="I590" s="106"/>
      <c r="J590" s="106"/>
      <c r="K590" s="89"/>
      <c r="L590" s="89"/>
      <c r="M590" s="89"/>
      <c r="N590" s="107"/>
      <c r="O590" s="107"/>
      <c r="P590" s="89"/>
      <c r="Q590" s="89"/>
      <c r="R590" s="89"/>
      <c r="S590" s="89"/>
      <c r="T590" s="89"/>
      <c r="U590" s="89"/>
      <c r="V590" s="89"/>
      <c r="W590" s="89"/>
      <c r="X590" s="89"/>
      <c r="Y590" s="89"/>
      <c r="Z590" s="77"/>
      <c r="AA590" s="77"/>
      <c r="AB590" s="94"/>
      <c r="AC590" s="94"/>
      <c r="AD590" s="94"/>
      <c r="AE590" s="94"/>
      <c r="AF590" s="91"/>
      <c r="AG590" s="92"/>
      <c r="AH590" s="92"/>
      <c r="AI590" s="93"/>
      <c r="AJ590" s="94"/>
      <c r="AK590" s="92"/>
      <c r="AL590" s="94"/>
      <c r="AM590" s="94"/>
      <c r="AN590" s="94"/>
      <c r="AO590" s="94"/>
      <c r="AP590" s="94"/>
      <c r="AQ590" s="94"/>
      <c r="AR590" s="94"/>
      <c r="AS590" s="94"/>
      <c r="AT590" s="94"/>
      <c r="AU590" s="92"/>
      <c r="AV590" s="94"/>
      <c r="AW590" s="94"/>
      <c r="AX590" s="94"/>
      <c r="AY590" s="94"/>
      <c r="AZ590" s="94"/>
      <c r="BA590" s="94"/>
      <c r="BB590" s="94"/>
      <c r="BC590" s="94"/>
      <c r="BD590" s="94"/>
      <c r="BE590" s="94"/>
      <c r="BF590" s="94"/>
      <c r="BG590" s="94"/>
      <c r="BH590" s="94"/>
      <c r="BI590" s="94"/>
      <c r="BJ590" s="94"/>
      <c r="BK590" s="94"/>
      <c r="BL590" s="92"/>
      <c r="BM590" s="94"/>
      <c r="BN590" s="94"/>
      <c r="BO590" s="94"/>
      <c r="BP590" s="94"/>
      <c r="BQ590" s="92"/>
      <c r="BR590" s="92"/>
      <c r="BS590" s="92"/>
      <c r="BT590" s="92"/>
      <c r="BU590" s="92"/>
      <c r="BV590" s="92"/>
      <c r="BW590" s="92"/>
      <c r="BX590" s="92"/>
      <c r="BY590" s="92"/>
      <c r="BZ590" s="92"/>
    </row>
    <row r="591" spans="1:78" ht="12.9">
      <c r="A591" s="89"/>
      <c r="B591" s="89"/>
      <c r="C591" s="89"/>
      <c r="D591" s="89"/>
      <c r="E591" s="89"/>
      <c r="F591" s="89"/>
      <c r="G591" s="89"/>
      <c r="H591" s="105"/>
      <c r="I591" s="106"/>
      <c r="J591" s="106"/>
      <c r="K591" s="89"/>
      <c r="L591" s="89"/>
      <c r="M591" s="89"/>
      <c r="N591" s="107"/>
      <c r="O591" s="107"/>
      <c r="P591" s="89"/>
      <c r="Q591" s="89"/>
      <c r="R591" s="89"/>
      <c r="S591" s="89"/>
      <c r="T591" s="89"/>
      <c r="U591" s="89"/>
      <c r="V591" s="89"/>
      <c r="W591" s="89"/>
      <c r="X591" s="89"/>
      <c r="Y591" s="89"/>
      <c r="Z591" s="77"/>
      <c r="AA591" s="77"/>
      <c r="AB591" s="94"/>
      <c r="AC591" s="94"/>
      <c r="AD591" s="94"/>
      <c r="AE591" s="94"/>
      <c r="AF591" s="91"/>
      <c r="AG591" s="92"/>
      <c r="AH591" s="92"/>
      <c r="AI591" s="93"/>
      <c r="AJ591" s="94"/>
      <c r="AK591" s="92"/>
      <c r="AL591" s="94"/>
      <c r="AM591" s="94"/>
      <c r="AN591" s="94"/>
      <c r="AO591" s="94"/>
      <c r="AP591" s="94"/>
      <c r="AQ591" s="94"/>
      <c r="AR591" s="94"/>
      <c r="AS591" s="94"/>
      <c r="AT591" s="94"/>
      <c r="AU591" s="92"/>
      <c r="AV591" s="94"/>
      <c r="AW591" s="94"/>
      <c r="AX591" s="94"/>
      <c r="AY591" s="94"/>
      <c r="AZ591" s="94"/>
      <c r="BA591" s="94"/>
      <c r="BB591" s="94"/>
      <c r="BC591" s="94"/>
      <c r="BD591" s="94"/>
      <c r="BE591" s="94"/>
      <c r="BF591" s="94"/>
      <c r="BG591" s="94"/>
      <c r="BH591" s="94"/>
      <c r="BI591" s="94"/>
      <c r="BJ591" s="94"/>
      <c r="BK591" s="94"/>
      <c r="BL591" s="92"/>
      <c r="BM591" s="94"/>
      <c r="BN591" s="94"/>
      <c r="BO591" s="94"/>
      <c r="BP591" s="94"/>
      <c r="BQ591" s="92"/>
      <c r="BR591" s="92"/>
      <c r="BS591" s="92"/>
      <c r="BT591" s="92"/>
      <c r="BU591" s="92"/>
      <c r="BV591" s="92"/>
      <c r="BW591" s="92"/>
      <c r="BX591" s="92"/>
      <c r="BY591" s="92"/>
      <c r="BZ591" s="92"/>
    </row>
    <row r="592" spans="1:78" ht="12.9">
      <c r="A592" s="89"/>
      <c r="B592" s="89"/>
      <c r="C592" s="89"/>
      <c r="D592" s="89"/>
      <c r="E592" s="89"/>
      <c r="F592" s="89"/>
      <c r="G592" s="89"/>
      <c r="H592" s="105"/>
      <c r="I592" s="106"/>
      <c r="J592" s="106"/>
      <c r="K592" s="89"/>
      <c r="L592" s="89"/>
      <c r="M592" s="89"/>
      <c r="N592" s="107"/>
      <c r="O592" s="107"/>
      <c r="P592" s="89"/>
      <c r="Q592" s="89"/>
      <c r="R592" s="89"/>
      <c r="S592" s="89"/>
      <c r="T592" s="89"/>
      <c r="U592" s="89"/>
      <c r="V592" s="89"/>
      <c r="W592" s="89"/>
      <c r="X592" s="89"/>
      <c r="Y592" s="89"/>
      <c r="Z592" s="77"/>
      <c r="AA592" s="77"/>
      <c r="AB592" s="94"/>
      <c r="AC592" s="94"/>
      <c r="AD592" s="94"/>
      <c r="AE592" s="94"/>
      <c r="AF592" s="91"/>
      <c r="AG592" s="92"/>
      <c r="AH592" s="92"/>
      <c r="AI592" s="93"/>
      <c r="AJ592" s="94"/>
      <c r="AK592" s="92"/>
      <c r="AL592" s="94"/>
      <c r="AM592" s="94"/>
      <c r="AN592" s="94"/>
      <c r="AO592" s="94"/>
      <c r="AP592" s="94"/>
      <c r="AQ592" s="94"/>
      <c r="AR592" s="94"/>
      <c r="AS592" s="94"/>
      <c r="AT592" s="94"/>
      <c r="AU592" s="92"/>
      <c r="AV592" s="94"/>
      <c r="AW592" s="94"/>
      <c r="AX592" s="94"/>
      <c r="AY592" s="94"/>
      <c r="AZ592" s="94"/>
      <c r="BA592" s="94"/>
      <c r="BB592" s="94"/>
      <c r="BC592" s="94"/>
      <c r="BD592" s="94"/>
      <c r="BE592" s="94"/>
      <c r="BF592" s="94"/>
      <c r="BG592" s="94"/>
      <c r="BH592" s="94"/>
      <c r="BI592" s="94"/>
      <c r="BJ592" s="94"/>
      <c r="BK592" s="94"/>
      <c r="BL592" s="92"/>
      <c r="BM592" s="94"/>
      <c r="BN592" s="94"/>
      <c r="BO592" s="94"/>
      <c r="BP592" s="94"/>
      <c r="BQ592" s="92"/>
      <c r="BR592" s="92"/>
      <c r="BS592" s="92"/>
      <c r="BT592" s="92"/>
      <c r="BU592" s="92"/>
      <c r="BV592" s="92"/>
      <c r="BW592" s="92"/>
      <c r="BX592" s="92"/>
      <c r="BY592" s="92"/>
      <c r="BZ592" s="92"/>
    </row>
    <row r="593" spans="1:78" ht="12.9">
      <c r="A593" s="89"/>
      <c r="B593" s="89"/>
      <c r="C593" s="89"/>
      <c r="D593" s="89"/>
      <c r="E593" s="89"/>
      <c r="F593" s="89"/>
      <c r="G593" s="89"/>
      <c r="H593" s="105"/>
      <c r="I593" s="106"/>
      <c r="J593" s="106"/>
      <c r="K593" s="89"/>
      <c r="L593" s="89"/>
      <c r="M593" s="89"/>
      <c r="N593" s="107"/>
      <c r="O593" s="107"/>
      <c r="P593" s="89"/>
      <c r="Q593" s="89"/>
      <c r="R593" s="89"/>
      <c r="S593" s="89"/>
      <c r="T593" s="89"/>
      <c r="U593" s="89"/>
      <c r="V593" s="89"/>
      <c r="W593" s="89"/>
      <c r="X593" s="89"/>
      <c r="Y593" s="89"/>
      <c r="Z593" s="77"/>
      <c r="AA593" s="77"/>
      <c r="AB593" s="94"/>
      <c r="AC593" s="94"/>
      <c r="AD593" s="94"/>
      <c r="AE593" s="94"/>
      <c r="AF593" s="91"/>
      <c r="AG593" s="92"/>
      <c r="AH593" s="92"/>
      <c r="AI593" s="93"/>
      <c r="AJ593" s="94"/>
      <c r="AK593" s="92"/>
      <c r="AL593" s="94"/>
      <c r="AM593" s="94"/>
      <c r="AN593" s="94"/>
      <c r="AO593" s="94"/>
      <c r="AP593" s="94"/>
      <c r="AQ593" s="94"/>
      <c r="AR593" s="94"/>
      <c r="AS593" s="94"/>
      <c r="AT593" s="94"/>
      <c r="AU593" s="92"/>
      <c r="AV593" s="94"/>
      <c r="AW593" s="94"/>
      <c r="AX593" s="94"/>
      <c r="AY593" s="94"/>
      <c r="AZ593" s="94"/>
      <c r="BA593" s="94"/>
      <c r="BB593" s="94"/>
      <c r="BC593" s="94"/>
      <c r="BD593" s="94"/>
      <c r="BE593" s="94"/>
      <c r="BF593" s="94"/>
      <c r="BG593" s="94"/>
      <c r="BH593" s="94"/>
      <c r="BI593" s="94"/>
      <c r="BJ593" s="94"/>
      <c r="BK593" s="94"/>
      <c r="BL593" s="92"/>
      <c r="BM593" s="94"/>
      <c r="BN593" s="94"/>
      <c r="BO593" s="94"/>
      <c r="BP593" s="94"/>
      <c r="BQ593" s="92"/>
      <c r="BR593" s="92"/>
      <c r="BS593" s="92"/>
      <c r="BT593" s="92"/>
      <c r="BU593" s="92"/>
      <c r="BV593" s="92"/>
      <c r="BW593" s="92"/>
      <c r="BX593" s="92"/>
      <c r="BY593" s="92"/>
      <c r="BZ593" s="92"/>
    </row>
    <row r="594" spans="1:78" ht="12.9">
      <c r="A594" s="89"/>
      <c r="B594" s="89"/>
      <c r="C594" s="89"/>
      <c r="D594" s="89"/>
      <c r="E594" s="89"/>
      <c r="F594" s="89"/>
      <c r="G594" s="89"/>
      <c r="H594" s="105"/>
      <c r="I594" s="106"/>
      <c r="J594" s="106"/>
      <c r="K594" s="89"/>
      <c r="L594" s="89"/>
      <c r="M594" s="89"/>
      <c r="N594" s="107"/>
      <c r="O594" s="107"/>
      <c r="P594" s="89"/>
      <c r="Q594" s="89"/>
      <c r="R594" s="89"/>
      <c r="S594" s="89"/>
      <c r="T594" s="89"/>
      <c r="U594" s="89"/>
      <c r="V594" s="89"/>
      <c r="W594" s="89"/>
      <c r="X594" s="89"/>
      <c r="Y594" s="89"/>
      <c r="Z594" s="77"/>
      <c r="AA594" s="77"/>
      <c r="AB594" s="94"/>
      <c r="AC594" s="94"/>
      <c r="AD594" s="94"/>
      <c r="AE594" s="94"/>
      <c r="AF594" s="91"/>
      <c r="AG594" s="92"/>
      <c r="AH594" s="92"/>
      <c r="AI594" s="93"/>
      <c r="AJ594" s="94"/>
      <c r="AK594" s="92"/>
      <c r="AL594" s="94"/>
      <c r="AM594" s="94"/>
      <c r="AN594" s="94"/>
      <c r="AO594" s="94"/>
      <c r="AP594" s="94"/>
      <c r="AQ594" s="94"/>
      <c r="AR594" s="94"/>
      <c r="AS594" s="94"/>
      <c r="AT594" s="94"/>
      <c r="AU594" s="92"/>
      <c r="AV594" s="94"/>
      <c r="AW594" s="94"/>
      <c r="AX594" s="94"/>
      <c r="AY594" s="94"/>
      <c r="AZ594" s="94"/>
      <c r="BA594" s="94"/>
      <c r="BB594" s="94"/>
      <c r="BC594" s="94"/>
      <c r="BD594" s="94"/>
      <c r="BE594" s="94"/>
      <c r="BF594" s="94"/>
      <c r="BG594" s="94"/>
      <c r="BH594" s="94"/>
      <c r="BI594" s="94"/>
      <c r="BJ594" s="94"/>
      <c r="BK594" s="94"/>
      <c r="BL594" s="92"/>
      <c r="BM594" s="94"/>
      <c r="BN594" s="94"/>
      <c r="BO594" s="94"/>
      <c r="BP594" s="94"/>
      <c r="BQ594" s="92"/>
      <c r="BR594" s="92"/>
      <c r="BS594" s="92"/>
      <c r="BT594" s="92"/>
      <c r="BU594" s="92"/>
      <c r="BV594" s="92"/>
      <c r="BW594" s="92"/>
      <c r="BX594" s="92"/>
      <c r="BY594" s="92"/>
      <c r="BZ594" s="92"/>
    </row>
    <row r="595" spans="1:78" ht="12.9">
      <c r="A595" s="89"/>
      <c r="B595" s="89"/>
      <c r="C595" s="89"/>
      <c r="D595" s="89"/>
      <c r="E595" s="89"/>
      <c r="F595" s="89"/>
      <c r="G595" s="89"/>
      <c r="H595" s="105"/>
      <c r="I595" s="106"/>
      <c r="J595" s="106"/>
      <c r="K595" s="89"/>
      <c r="L595" s="89"/>
      <c r="M595" s="89"/>
      <c r="N595" s="107"/>
      <c r="O595" s="107"/>
      <c r="P595" s="89"/>
      <c r="Q595" s="89"/>
      <c r="R595" s="89"/>
      <c r="S595" s="89"/>
      <c r="T595" s="89"/>
      <c r="U595" s="89"/>
      <c r="V595" s="89"/>
      <c r="W595" s="89"/>
      <c r="X595" s="89"/>
      <c r="Y595" s="89"/>
      <c r="Z595" s="77"/>
      <c r="AA595" s="77"/>
      <c r="AB595" s="94"/>
      <c r="AC595" s="94"/>
      <c r="AD595" s="94"/>
      <c r="AE595" s="94"/>
      <c r="AF595" s="91"/>
      <c r="AG595" s="92"/>
      <c r="AH595" s="92"/>
      <c r="AI595" s="93"/>
      <c r="AJ595" s="94"/>
      <c r="AK595" s="92"/>
      <c r="AL595" s="94"/>
      <c r="AM595" s="94"/>
      <c r="AN595" s="94"/>
      <c r="AO595" s="94"/>
      <c r="AP595" s="94"/>
      <c r="AQ595" s="94"/>
      <c r="AR595" s="94"/>
      <c r="AS595" s="94"/>
      <c r="AT595" s="94"/>
      <c r="AU595" s="92"/>
      <c r="AV595" s="94"/>
      <c r="AW595" s="94"/>
      <c r="AX595" s="94"/>
      <c r="AY595" s="94"/>
      <c r="AZ595" s="94"/>
      <c r="BA595" s="94"/>
      <c r="BB595" s="94"/>
      <c r="BC595" s="94"/>
      <c r="BD595" s="94"/>
      <c r="BE595" s="94"/>
      <c r="BF595" s="94"/>
      <c r="BG595" s="94"/>
      <c r="BH595" s="94"/>
      <c r="BI595" s="94"/>
      <c r="BJ595" s="94"/>
      <c r="BK595" s="94"/>
      <c r="BL595" s="92"/>
      <c r="BM595" s="94"/>
      <c r="BN595" s="94"/>
      <c r="BO595" s="94"/>
      <c r="BP595" s="94"/>
      <c r="BQ595" s="92"/>
      <c r="BR595" s="92"/>
      <c r="BS595" s="92"/>
      <c r="BT595" s="92"/>
      <c r="BU595" s="92"/>
      <c r="BV595" s="92"/>
      <c r="BW595" s="92"/>
      <c r="BX595" s="92"/>
      <c r="BY595" s="92"/>
      <c r="BZ595" s="92"/>
    </row>
    <row r="596" spans="1:78" ht="12.9">
      <c r="A596" s="89"/>
      <c r="B596" s="89"/>
      <c r="C596" s="89"/>
      <c r="D596" s="89"/>
      <c r="E596" s="89"/>
      <c r="F596" s="89"/>
      <c r="G596" s="89"/>
      <c r="H596" s="105"/>
      <c r="I596" s="106"/>
      <c r="J596" s="106"/>
      <c r="K596" s="89"/>
      <c r="L596" s="89"/>
      <c r="M596" s="89"/>
      <c r="N596" s="107"/>
      <c r="O596" s="107"/>
      <c r="P596" s="89"/>
      <c r="Q596" s="89"/>
      <c r="R596" s="89"/>
      <c r="S596" s="89"/>
      <c r="T596" s="89"/>
      <c r="U596" s="89"/>
      <c r="V596" s="89"/>
      <c r="W596" s="89"/>
      <c r="X596" s="89"/>
      <c r="Y596" s="89"/>
      <c r="Z596" s="77"/>
      <c r="AA596" s="77"/>
      <c r="AB596" s="94"/>
      <c r="AC596" s="94"/>
      <c r="AD596" s="94"/>
      <c r="AE596" s="94"/>
      <c r="AF596" s="91"/>
      <c r="AG596" s="92"/>
      <c r="AH596" s="92"/>
      <c r="AI596" s="93"/>
      <c r="AJ596" s="94"/>
      <c r="AK596" s="92"/>
      <c r="AL596" s="94"/>
      <c r="AM596" s="94"/>
      <c r="AN596" s="94"/>
      <c r="AO596" s="94"/>
      <c r="AP596" s="94"/>
      <c r="AQ596" s="94"/>
      <c r="AR596" s="94"/>
      <c r="AS596" s="94"/>
      <c r="AT596" s="94"/>
      <c r="AU596" s="92"/>
      <c r="AV596" s="94"/>
      <c r="AW596" s="94"/>
      <c r="AX596" s="94"/>
      <c r="AY596" s="94"/>
      <c r="AZ596" s="94"/>
      <c r="BA596" s="94"/>
      <c r="BB596" s="94"/>
      <c r="BC596" s="94"/>
      <c r="BD596" s="94"/>
      <c r="BE596" s="94"/>
      <c r="BF596" s="94"/>
      <c r="BG596" s="94"/>
      <c r="BH596" s="94"/>
      <c r="BI596" s="94"/>
      <c r="BJ596" s="94"/>
      <c r="BK596" s="94"/>
      <c r="BL596" s="92"/>
      <c r="BM596" s="94"/>
      <c r="BN596" s="94"/>
      <c r="BO596" s="94"/>
      <c r="BP596" s="94"/>
      <c r="BQ596" s="92"/>
      <c r="BR596" s="92"/>
      <c r="BS596" s="92"/>
      <c r="BT596" s="92"/>
      <c r="BU596" s="92"/>
      <c r="BV596" s="92"/>
      <c r="BW596" s="92"/>
      <c r="BX596" s="92"/>
      <c r="BY596" s="92"/>
      <c r="BZ596" s="92"/>
    </row>
    <row r="597" spans="1:78" ht="12.9">
      <c r="A597" s="89"/>
      <c r="B597" s="89"/>
      <c r="C597" s="89"/>
      <c r="D597" s="89"/>
      <c r="E597" s="89"/>
      <c r="F597" s="89"/>
      <c r="G597" s="89"/>
      <c r="H597" s="105"/>
      <c r="I597" s="106"/>
      <c r="J597" s="106"/>
      <c r="K597" s="89"/>
      <c r="L597" s="89"/>
      <c r="M597" s="89"/>
      <c r="N597" s="107"/>
      <c r="O597" s="107"/>
      <c r="P597" s="89"/>
      <c r="Q597" s="89"/>
      <c r="R597" s="89"/>
      <c r="S597" s="89"/>
      <c r="T597" s="89"/>
      <c r="U597" s="89"/>
      <c r="V597" s="89"/>
      <c r="W597" s="89"/>
      <c r="X597" s="89"/>
      <c r="Y597" s="89"/>
      <c r="Z597" s="77"/>
      <c r="AA597" s="77"/>
      <c r="AB597" s="94"/>
      <c r="AC597" s="94"/>
      <c r="AD597" s="94"/>
      <c r="AE597" s="94"/>
      <c r="AF597" s="91"/>
      <c r="AG597" s="92"/>
      <c r="AH597" s="92"/>
      <c r="AI597" s="93"/>
      <c r="AJ597" s="94"/>
      <c r="AK597" s="92"/>
      <c r="AL597" s="94"/>
      <c r="AM597" s="94"/>
      <c r="AN597" s="94"/>
      <c r="AO597" s="94"/>
      <c r="AP597" s="94"/>
      <c r="AQ597" s="94"/>
      <c r="AR597" s="94"/>
      <c r="AS597" s="94"/>
      <c r="AT597" s="94"/>
      <c r="AU597" s="92"/>
      <c r="AV597" s="94"/>
      <c r="AW597" s="94"/>
      <c r="AX597" s="94"/>
      <c r="AY597" s="94"/>
      <c r="AZ597" s="94"/>
      <c r="BA597" s="94"/>
      <c r="BB597" s="94"/>
      <c r="BC597" s="94"/>
      <c r="BD597" s="94"/>
      <c r="BE597" s="94"/>
      <c r="BF597" s="94"/>
      <c r="BG597" s="94"/>
      <c r="BH597" s="94"/>
      <c r="BI597" s="94"/>
      <c r="BJ597" s="94"/>
      <c r="BK597" s="94"/>
      <c r="BL597" s="92"/>
      <c r="BM597" s="94"/>
      <c r="BN597" s="94"/>
      <c r="BO597" s="94"/>
      <c r="BP597" s="94"/>
      <c r="BQ597" s="92"/>
      <c r="BR597" s="92"/>
      <c r="BS597" s="92"/>
      <c r="BT597" s="92"/>
      <c r="BU597" s="92"/>
      <c r="BV597" s="92"/>
      <c r="BW597" s="92"/>
      <c r="BX597" s="92"/>
      <c r="BY597" s="92"/>
      <c r="BZ597" s="92"/>
    </row>
    <row r="598" spans="1:78" ht="12.9">
      <c r="A598" s="89"/>
      <c r="B598" s="89"/>
      <c r="C598" s="89"/>
      <c r="D598" s="89"/>
      <c r="E598" s="89"/>
      <c r="F598" s="89"/>
      <c r="G598" s="89"/>
      <c r="H598" s="105"/>
      <c r="I598" s="106"/>
      <c r="J598" s="106"/>
      <c r="K598" s="89"/>
      <c r="L598" s="89"/>
      <c r="M598" s="89"/>
      <c r="N598" s="107"/>
      <c r="O598" s="107"/>
      <c r="P598" s="89"/>
      <c r="Q598" s="89"/>
      <c r="R598" s="89"/>
      <c r="S598" s="89"/>
      <c r="T598" s="89"/>
      <c r="U598" s="89"/>
      <c r="V598" s="89"/>
      <c r="W598" s="89"/>
      <c r="X598" s="89"/>
      <c r="Y598" s="89"/>
      <c r="Z598" s="77"/>
      <c r="AA598" s="77"/>
      <c r="AB598" s="94"/>
      <c r="AC598" s="94"/>
      <c r="AD598" s="94"/>
      <c r="AE598" s="94"/>
      <c r="AF598" s="91"/>
      <c r="AG598" s="92"/>
      <c r="AH598" s="92"/>
      <c r="AI598" s="93"/>
      <c r="AJ598" s="94"/>
      <c r="AK598" s="92"/>
      <c r="AL598" s="94"/>
      <c r="AM598" s="94"/>
      <c r="AN598" s="94"/>
      <c r="AO598" s="94"/>
      <c r="AP598" s="94"/>
      <c r="AQ598" s="94"/>
      <c r="AR598" s="94"/>
      <c r="AS598" s="94"/>
      <c r="AT598" s="94"/>
      <c r="AU598" s="92"/>
      <c r="AV598" s="94"/>
      <c r="AW598" s="94"/>
      <c r="AX598" s="94"/>
      <c r="AY598" s="94"/>
      <c r="AZ598" s="94"/>
      <c r="BA598" s="94"/>
      <c r="BB598" s="94"/>
      <c r="BC598" s="94"/>
      <c r="BD598" s="94"/>
      <c r="BE598" s="94"/>
      <c r="BF598" s="94"/>
      <c r="BG598" s="94"/>
      <c r="BH598" s="94"/>
      <c r="BI598" s="94"/>
      <c r="BJ598" s="94"/>
      <c r="BK598" s="94"/>
      <c r="BL598" s="92"/>
      <c r="BM598" s="94"/>
      <c r="BN598" s="94"/>
      <c r="BO598" s="94"/>
      <c r="BP598" s="94"/>
      <c r="BQ598" s="92"/>
      <c r="BR598" s="92"/>
      <c r="BS598" s="92"/>
      <c r="BT598" s="92"/>
      <c r="BU598" s="92"/>
      <c r="BV598" s="92"/>
      <c r="BW598" s="92"/>
      <c r="BX598" s="92"/>
      <c r="BY598" s="92"/>
      <c r="BZ598" s="92"/>
    </row>
    <row r="599" spans="1:78" ht="12.9">
      <c r="A599" s="89"/>
      <c r="B599" s="89"/>
      <c r="C599" s="89"/>
      <c r="D599" s="89"/>
      <c r="E599" s="89"/>
      <c r="F599" s="89"/>
      <c r="G599" s="89"/>
      <c r="H599" s="105"/>
      <c r="I599" s="106"/>
      <c r="J599" s="106"/>
      <c r="K599" s="89"/>
      <c r="L599" s="89"/>
      <c r="M599" s="89"/>
      <c r="N599" s="107"/>
      <c r="O599" s="107"/>
      <c r="P599" s="89"/>
      <c r="Q599" s="89"/>
      <c r="R599" s="89"/>
      <c r="S599" s="89"/>
      <c r="T599" s="89"/>
      <c r="U599" s="89"/>
      <c r="V599" s="89"/>
      <c r="W599" s="89"/>
      <c r="X599" s="89"/>
      <c r="Y599" s="89"/>
      <c r="Z599" s="77"/>
      <c r="AA599" s="77"/>
      <c r="AB599" s="94"/>
      <c r="AC599" s="94"/>
      <c r="AD599" s="94"/>
      <c r="AE599" s="94"/>
      <c r="AF599" s="91"/>
      <c r="AG599" s="92"/>
      <c r="AH599" s="92"/>
      <c r="AI599" s="93"/>
      <c r="AJ599" s="94"/>
      <c r="AK599" s="92"/>
      <c r="AL599" s="94"/>
      <c r="AM599" s="94"/>
      <c r="AN599" s="94"/>
      <c r="AO599" s="94"/>
      <c r="AP599" s="94"/>
      <c r="AQ599" s="94"/>
      <c r="AR599" s="94"/>
      <c r="AS599" s="94"/>
      <c r="AT599" s="94"/>
      <c r="AU599" s="92"/>
      <c r="AV599" s="94"/>
      <c r="AW599" s="94"/>
      <c r="AX599" s="94"/>
      <c r="AY599" s="94"/>
      <c r="AZ599" s="94"/>
      <c r="BA599" s="94"/>
      <c r="BB599" s="94"/>
      <c r="BC599" s="94"/>
      <c r="BD599" s="94"/>
      <c r="BE599" s="94"/>
      <c r="BF599" s="94"/>
      <c r="BG599" s="94"/>
      <c r="BH599" s="94"/>
      <c r="BI599" s="94"/>
      <c r="BJ599" s="94"/>
      <c r="BK599" s="94"/>
      <c r="BL599" s="92"/>
      <c r="BM599" s="94"/>
      <c r="BN599" s="94"/>
      <c r="BO599" s="94"/>
      <c r="BP599" s="94"/>
      <c r="BQ599" s="92"/>
      <c r="BR599" s="92"/>
      <c r="BS599" s="92"/>
      <c r="BT599" s="92"/>
      <c r="BU599" s="92"/>
      <c r="BV599" s="92"/>
      <c r="BW599" s="92"/>
      <c r="BX599" s="92"/>
      <c r="BY599" s="92"/>
      <c r="BZ599" s="92"/>
    </row>
    <row r="600" spans="1:78" ht="12.9">
      <c r="A600" s="89"/>
      <c r="B600" s="89"/>
      <c r="C600" s="89"/>
      <c r="D600" s="89"/>
      <c r="E600" s="89"/>
      <c r="F600" s="89"/>
      <c r="G600" s="89"/>
      <c r="H600" s="105"/>
      <c r="I600" s="106"/>
      <c r="J600" s="106"/>
      <c r="K600" s="89"/>
      <c r="L600" s="89"/>
      <c r="M600" s="89"/>
      <c r="N600" s="107"/>
      <c r="O600" s="107"/>
      <c r="P600" s="89"/>
      <c r="Q600" s="89"/>
      <c r="R600" s="89"/>
      <c r="S600" s="89"/>
      <c r="T600" s="89"/>
      <c r="U600" s="89"/>
      <c r="V600" s="89"/>
      <c r="W600" s="89"/>
      <c r="X600" s="89"/>
      <c r="Y600" s="89"/>
      <c r="Z600" s="77"/>
      <c r="AA600" s="77"/>
      <c r="AB600" s="94"/>
      <c r="AC600" s="94"/>
      <c r="AD600" s="94"/>
      <c r="AE600" s="94"/>
      <c r="AF600" s="91"/>
      <c r="AG600" s="92"/>
      <c r="AH600" s="92"/>
      <c r="AI600" s="93"/>
      <c r="AJ600" s="94"/>
      <c r="AK600" s="92"/>
      <c r="AL600" s="94"/>
      <c r="AM600" s="94"/>
      <c r="AN600" s="94"/>
      <c r="AO600" s="94"/>
      <c r="AP600" s="94"/>
      <c r="AQ600" s="94"/>
      <c r="AR600" s="94"/>
      <c r="AS600" s="94"/>
      <c r="AT600" s="94"/>
      <c r="AU600" s="92"/>
      <c r="AV600" s="94"/>
      <c r="AW600" s="94"/>
      <c r="AX600" s="94"/>
      <c r="AY600" s="94"/>
      <c r="AZ600" s="94"/>
      <c r="BA600" s="94"/>
      <c r="BB600" s="94"/>
      <c r="BC600" s="94"/>
      <c r="BD600" s="94"/>
      <c r="BE600" s="94"/>
      <c r="BF600" s="94"/>
      <c r="BG600" s="94"/>
      <c r="BH600" s="94"/>
      <c r="BI600" s="94"/>
      <c r="BJ600" s="94"/>
      <c r="BK600" s="94"/>
      <c r="BL600" s="92"/>
      <c r="BM600" s="94"/>
      <c r="BN600" s="94"/>
      <c r="BO600" s="94"/>
      <c r="BP600" s="94"/>
      <c r="BQ600" s="92"/>
      <c r="BR600" s="92"/>
      <c r="BS600" s="92"/>
      <c r="BT600" s="92"/>
      <c r="BU600" s="92"/>
      <c r="BV600" s="92"/>
      <c r="BW600" s="92"/>
      <c r="BX600" s="92"/>
      <c r="BY600" s="92"/>
      <c r="BZ600" s="92"/>
    </row>
    <row r="601" spans="1:78" ht="12.9">
      <c r="A601" s="89"/>
      <c r="B601" s="89"/>
      <c r="C601" s="89"/>
      <c r="D601" s="89"/>
      <c r="E601" s="89"/>
      <c r="F601" s="89"/>
      <c r="G601" s="89"/>
      <c r="H601" s="105"/>
      <c r="I601" s="106"/>
      <c r="J601" s="106"/>
      <c r="K601" s="89"/>
      <c r="L601" s="89"/>
      <c r="M601" s="89"/>
      <c r="N601" s="107"/>
      <c r="O601" s="107"/>
      <c r="P601" s="89"/>
      <c r="Q601" s="89"/>
      <c r="R601" s="89"/>
      <c r="S601" s="89"/>
      <c r="T601" s="89"/>
      <c r="U601" s="89"/>
      <c r="V601" s="89"/>
      <c r="W601" s="89"/>
      <c r="X601" s="89"/>
      <c r="Y601" s="89"/>
      <c r="Z601" s="77"/>
      <c r="AA601" s="77"/>
      <c r="AB601" s="94"/>
      <c r="AC601" s="94"/>
      <c r="AD601" s="94"/>
      <c r="AE601" s="94"/>
      <c r="AF601" s="91"/>
      <c r="AG601" s="92"/>
      <c r="AH601" s="92"/>
      <c r="AI601" s="93"/>
      <c r="AJ601" s="94"/>
      <c r="AK601" s="92"/>
      <c r="AL601" s="94"/>
      <c r="AM601" s="94"/>
      <c r="AN601" s="94"/>
      <c r="AO601" s="94"/>
      <c r="AP601" s="94"/>
      <c r="AQ601" s="94"/>
      <c r="AR601" s="94"/>
      <c r="AS601" s="94"/>
      <c r="AT601" s="94"/>
      <c r="AU601" s="92"/>
      <c r="AV601" s="94"/>
      <c r="AW601" s="94"/>
      <c r="AX601" s="94"/>
      <c r="AY601" s="94"/>
      <c r="AZ601" s="94"/>
      <c r="BA601" s="94"/>
      <c r="BB601" s="94"/>
      <c r="BC601" s="94"/>
      <c r="BD601" s="94"/>
      <c r="BE601" s="94"/>
      <c r="BF601" s="94"/>
      <c r="BG601" s="94"/>
      <c r="BH601" s="94"/>
      <c r="BI601" s="94"/>
      <c r="BJ601" s="94"/>
      <c r="BK601" s="94"/>
      <c r="BL601" s="92"/>
      <c r="BM601" s="94"/>
      <c r="BN601" s="94"/>
      <c r="BO601" s="94"/>
      <c r="BP601" s="94"/>
      <c r="BQ601" s="92"/>
      <c r="BR601" s="92"/>
      <c r="BS601" s="92"/>
      <c r="BT601" s="92"/>
      <c r="BU601" s="92"/>
      <c r="BV601" s="92"/>
      <c r="BW601" s="92"/>
      <c r="BX601" s="92"/>
      <c r="BY601" s="92"/>
      <c r="BZ601" s="92"/>
    </row>
    <row r="602" spans="1:78" ht="12.9">
      <c r="A602" s="89"/>
      <c r="B602" s="89"/>
      <c r="C602" s="89"/>
      <c r="D602" s="89"/>
      <c r="E602" s="89"/>
      <c r="F602" s="89"/>
      <c r="G602" s="89"/>
      <c r="H602" s="105"/>
      <c r="I602" s="106"/>
      <c r="J602" s="106"/>
      <c r="K602" s="89"/>
      <c r="L602" s="89"/>
      <c r="M602" s="89"/>
      <c r="N602" s="107"/>
      <c r="O602" s="107"/>
      <c r="P602" s="89"/>
      <c r="Q602" s="89"/>
      <c r="R602" s="89"/>
      <c r="S602" s="89"/>
      <c r="T602" s="89"/>
      <c r="U602" s="89"/>
      <c r="V602" s="89"/>
      <c r="W602" s="89"/>
      <c r="X602" s="89"/>
      <c r="Y602" s="89"/>
      <c r="Z602" s="77"/>
      <c r="AA602" s="77"/>
      <c r="AB602" s="94"/>
      <c r="AC602" s="94"/>
      <c r="AD602" s="94"/>
      <c r="AE602" s="94"/>
      <c r="AF602" s="91"/>
      <c r="AG602" s="92"/>
      <c r="AH602" s="92"/>
      <c r="AI602" s="93"/>
      <c r="AJ602" s="94"/>
      <c r="AK602" s="92"/>
      <c r="AL602" s="94"/>
      <c r="AM602" s="94"/>
      <c r="AN602" s="94"/>
      <c r="AO602" s="94"/>
      <c r="AP602" s="94"/>
      <c r="AQ602" s="94"/>
      <c r="AR602" s="94"/>
      <c r="AS602" s="94"/>
      <c r="AT602" s="94"/>
      <c r="AU602" s="92"/>
      <c r="AV602" s="94"/>
      <c r="AW602" s="94"/>
      <c r="AX602" s="94"/>
      <c r="AY602" s="94"/>
      <c r="AZ602" s="94"/>
      <c r="BA602" s="94"/>
      <c r="BB602" s="94"/>
      <c r="BC602" s="94"/>
      <c r="BD602" s="94"/>
      <c r="BE602" s="94"/>
      <c r="BF602" s="94"/>
      <c r="BG602" s="94"/>
      <c r="BH602" s="94"/>
      <c r="BI602" s="94"/>
      <c r="BJ602" s="94"/>
      <c r="BK602" s="94"/>
      <c r="BL602" s="92"/>
      <c r="BM602" s="94"/>
      <c r="BN602" s="94"/>
      <c r="BO602" s="94"/>
      <c r="BP602" s="94"/>
      <c r="BQ602" s="92"/>
      <c r="BR602" s="92"/>
      <c r="BS602" s="92"/>
      <c r="BT602" s="92"/>
      <c r="BU602" s="92"/>
      <c r="BV602" s="92"/>
      <c r="BW602" s="92"/>
      <c r="BX602" s="92"/>
      <c r="BY602" s="92"/>
      <c r="BZ602" s="92"/>
    </row>
    <row r="603" spans="1:78" ht="12.9">
      <c r="A603" s="89"/>
      <c r="B603" s="89"/>
      <c r="C603" s="89"/>
      <c r="D603" s="89"/>
      <c r="E603" s="89"/>
      <c r="F603" s="89"/>
      <c r="G603" s="89"/>
      <c r="H603" s="105"/>
      <c r="I603" s="106"/>
      <c r="J603" s="106"/>
      <c r="K603" s="89"/>
      <c r="L603" s="89"/>
      <c r="M603" s="89"/>
      <c r="N603" s="107"/>
      <c r="O603" s="107"/>
      <c r="P603" s="89"/>
      <c r="Q603" s="89"/>
      <c r="R603" s="89"/>
      <c r="S603" s="89"/>
      <c r="T603" s="89"/>
      <c r="U603" s="89"/>
      <c r="V603" s="89"/>
      <c r="W603" s="89"/>
      <c r="X603" s="89"/>
      <c r="Y603" s="89"/>
      <c r="Z603" s="77"/>
      <c r="AA603" s="77"/>
      <c r="AB603" s="94"/>
      <c r="AC603" s="94"/>
      <c r="AD603" s="94"/>
      <c r="AE603" s="94"/>
      <c r="AF603" s="91"/>
      <c r="AG603" s="92"/>
      <c r="AH603" s="92"/>
      <c r="AI603" s="93"/>
      <c r="AJ603" s="94"/>
      <c r="AK603" s="92"/>
      <c r="AL603" s="94"/>
      <c r="AM603" s="94"/>
      <c r="AN603" s="94"/>
      <c r="AO603" s="94"/>
      <c r="AP603" s="94"/>
      <c r="AQ603" s="94"/>
      <c r="AR603" s="94"/>
      <c r="AS603" s="94"/>
      <c r="AT603" s="94"/>
      <c r="AU603" s="92"/>
      <c r="AV603" s="94"/>
      <c r="AW603" s="94"/>
      <c r="AX603" s="94"/>
      <c r="AY603" s="94"/>
      <c r="AZ603" s="94"/>
      <c r="BA603" s="94"/>
      <c r="BB603" s="94"/>
      <c r="BC603" s="94"/>
      <c r="BD603" s="94"/>
      <c r="BE603" s="94"/>
      <c r="BF603" s="94"/>
      <c r="BG603" s="94"/>
      <c r="BH603" s="94"/>
      <c r="BI603" s="94"/>
      <c r="BJ603" s="94"/>
      <c r="BK603" s="94"/>
      <c r="BL603" s="92"/>
      <c r="BM603" s="94"/>
      <c r="BN603" s="94"/>
      <c r="BO603" s="94"/>
      <c r="BP603" s="94"/>
      <c r="BQ603" s="92"/>
      <c r="BR603" s="92"/>
      <c r="BS603" s="92"/>
      <c r="BT603" s="92"/>
      <c r="BU603" s="92"/>
      <c r="BV603" s="92"/>
      <c r="BW603" s="92"/>
      <c r="BX603" s="92"/>
      <c r="BY603" s="92"/>
      <c r="BZ603" s="92"/>
    </row>
    <row r="604" spans="1:78" ht="12.9">
      <c r="A604" s="89"/>
      <c r="B604" s="89"/>
      <c r="C604" s="89"/>
      <c r="D604" s="89"/>
      <c r="E604" s="89"/>
      <c r="F604" s="89"/>
      <c r="G604" s="89"/>
      <c r="H604" s="105"/>
      <c r="I604" s="106"/>
      <c r="J604" s="106"/>
      <c r="K604" s="89"/>
      <c r="L604" s="89"/>
      <c r="M604" s="89"/>
      <c r="N604" s="107"/>
      <c r="O604" s="107"/>
      <c r="P604" s="89"/>
      <c r="Q604" s="89"/>
      <c r="R604" s="89"/>
      <c r="S604" s="89"/>
      <c r="T604" s="89"/>
      <c r="U604" s="89"/>
      <c r="V604" s="89"/>
      <c r="W604" s="89"/>
      <c r="X604" s="89"/>
      <c r="Y604" s="89"/>
      <c r="Z604" s="77"/>
      <c r="AA604" s="77"/>
      <c r="AB604" s="94"/>
      <c r="AC604" s="94"/>
      <c r="AD604" s="94"/>
      <c r="AE604" s="94"/>
      <c r="AF604" s="91"/>
      <c r="AG604" s="92"/>
      <c r="AH604" s="92"/>
      <c r="AI604" s="93"/>
      <c r="AJ604" s="94"/>
      <c r="AK604" s="92"/>
      <c r="AL604" s="94"/>
      <c r="AM604" s="94"/>
      <c r="AN604" s="94"/>
      <c r="AO604" s="94"/>
      <c r="AP604" s="94"/>
      <c r="AQ604" s="94"/>
      <c r="AR604" s="94"/>
      <c r="AS604" s="94"/>
      <c r="AT604" s="94"/>
      <c r="AU604" s="92"/>
      <c r="AV604" s="94"/>
      <c r="AW604" s="94"/>
      <c r="AX604" s="94"/>
      <c r="AY604" s="94"/>
      <c r="AZ604" s="94"/>
      <c r="BA604" s="94"/>
      <c r="BB604" s="94"/>
      <c r="BC604" s="94"/>
      <c r="BD604" s="94"/>
      <c r="BE604" s="94"/>
      <c r="BF604" s="94"/>
      <c r="BG604" s="94"/>
      <c r="BH604" s="94"/>
      <c r="BI604" s="94"/>
      <c r="BJ604" s="94"/>
      <c r="BK604" s="94"/>
      <c r="BL604" s="92"/>
      <c r="BM604" s="94"/>
      <c r="BN604" s="94"/>
      <c r="BO604" s="94"/>
      <c r="BP604" s="94"/>
      <c r="BQ604" s="92"/>
      <c r="BR604" s="92"/>
      <c r="BS604" s="92"/>
      <c r="BT604" s="92"/>
      <c r="BU604" s="92"/>
      <c r="BV604" s="92"/>
      <c r="BW604" s="92"/>
      <c r="BX604" s="92"/>
      <c r="BY604" s="92"/>
      <c r="BZ604" s="92"/>
    </row>
    <row r="605" spans="1:78" ht="12.9">
      <c r="A605" s="89"/>
      <c r="B605" s="89"/>
      <c r="C605" s="89"/>
      <c r="D605" s="89"/>
      <c r="E605" s="89"/>
      <c r="F605" s="89"/>
      <c r="G605" s="89"/>
      <c r="H605" s="105"/>
      <c r="I605" s="106"/>
      <c r="J605" s="106"/>
      <c r="K605" s="89"/>
      <c r="L605" s="89"/>
      <c r="M605" s="89"/>
      <c r="N605" s="107"/>
      <c r="O605" s="107"/>
      <c r="P605" s="89"/>
      <c r="Q605" s="89"/>
      <c r="R605" s="89"/>
      <c r="S605" s="89"/>
      <c r="T605" s="89"/>
      <c r="U605" s="89"/>
      <c r="V605" s="89"/>
      <c r="W605" s="89"/>
      <c r="X605" s="89"/>
      <c r="Y605" s="89"/>
      <c r="Z605" s="77"/>
      <c r="AA605" s="77"/>
      <c r="AB605" s="94"/>
      <c r="AC605" s="94"/>
      <c r="AD605" s="94"/>
      <c r="AE605" s="94"/>
      <c r="AF605" s="91"/>
      <c r="AG605" s="92"/>
      <c r="AH605" s="92"/>
      <c r="AI605" s="93"/>
      <c r="AJ605" s="94"/>
      <c r="AK605" s="92"/>
      <c r="AL605" s="94"/>
      <c r="AM605" s="94"/>
      <c r="AN605" s="94"/>
      <c r="AO605" s="94"/>
      <c r="AP605" s="94"/>
      <c r="AQ605" s="94"/>
      <c r="AR605" s="94"/>
      <c r="AS605" s="94"/>
      <c r="AT605" s="94"/>
      <c r="AU605" s="92"/>
      <c r="AV605" s="94"/>
      <c r="AW605" s="94"/>
      <c r="AX605" s="94"/>
      <c r="AY605" s="94"/>
      <c r="AZ605" s="94"/>
      <c r="BA605" s="94"/>
      <c r="BB605" s="94"/>
      <c r="BC605" s="94"/>
      <c r="BD605" s="94"/>
      <c r="BE605" s="94"/>
      <c r="BF605" s="94"/>
      <c r="BG605" s="94"/>
      <c r="BH605" s="94"/>
      <c r="BI605" s="94"/>
      <c r="BJ605" s="94"/>
      <c r="BK605" s="94"/>
      <c r="BL605" s="92"/>
      <c r="BM605" s="94"/>
      <c r="BN605" s="94"/>
      <c r="BO605" s="94"/>
      <c r="BP605" s="94"/>
      <c r="BQ605" s="92"/>
      <c r="BR605" s="92"/>
      <c r="BS605" s="92"/>
      <c r="BT605" s="92"/>
      <c r="BU605" s="92"/>
      <c r="BV605" s="92"/>
      <c r="BW605" s="92"/>
      <c r="BX605" s="92"/>
      <c r="BY605" s="92"/>
      <c r="BZ605" s="92"/>
    </row>
    <row r="606" spans="1:78" ht="12.9">
      <c r="A606" s="89"/>
      <c r="B606" s="89"/>
      <c r="C606" s="89"/>
      <c r="D606" s="89"/>
      <c r="E606" s="89"/>
      <c r="F606" s="89"/>
      <c r="G606" s="89"/>
      <c r="H606" s="105"/>
      <c r="I606" s="106"/>
      <c r="J606" s="106"/>
      <c r="K606" s="89"/>
      <c r="L606" s="89"/>
      <c r="M606" s="89"/>
      <c r="N606" s="107"/>
      <c r="O606" s="107"/>
      <c r="P606" s="89"/>
      <c r="Q606" s="89"/>
      <c r="R606" s="89"/>
      <c r="S606" s="89"/>
      <c r="T606" s="89"/>
      <c r="U606" s="89"/>
      <c r="V606" s="89"/>
      <c r="W606" s="89"/>
      <c r="X606" s="89"/>
      <c r="Y606" s="89"/>
      <c r="Z606" s="77"/>
      <c r="AA606" s="77"/>
      <c r="AB606" s="94"/>
      <c r="AC606" s="94"/>
      <c r="AD606" s="94"/>
      <c r="AE606" s="94"/>
      <c r="AF606" s="91"/>
      <c r="AG606" s="92"/>
      <c r="AH606" s="92"/>
      <c r="AI606" s="93"/>
      <c r="AJ606" s="94"/>
      <c r="AK606" s="92"/>
      <c r="AL606" s="94"/>
      <c r="AM606" s="94"/>
      <c r="AN606" s="94"/>
      <c r="AO606" s="94"/>
      <c r="AP606" s="94"/>
      <c r="AQ606" s="94"/>
      <c r="AR606" s="94"/>
      <c r="AS606" s="94"/>
      <c r="AT606" s="94"/>
      <c r="AU606" s="92"/>
      <c r="AV606" s="94"/>
      <c r="AW606" s="94"/>
      <c r="AX606" s="94"/>
      <c r="AY606" s="94"/>
      <c r="AZ606" s="94"/>
      <c r="BA606" s="94"/>
      <c r="BB606" s="94"/>
      <c r="BC606" s="94"/>
      <c r="BD606" s="94"/>
      <c r="BE606" s="94"/>
      <c r="BF606" s="94"/>
      <c r="BG606" s="94"/>
      <c r="BH606" s="94"/>
      <c r="BI606" s="94"/>
      <c r="BJ606" s="94"/>
      <c r="BK606" s="94"/>
      <c r="BL606" s="92"/>
      <c r="BM606" s="94"/>
      <c r="BN606" s="94"/>
      <c r="BO606" s="94"/>
      <c r="BP606" s="94"/>
      <c r="BQ606" s="92"/>
      <c r="BR606" s="92"/>
      <c r="BS606" s="92"/>
      <c r="BT606" s="92"/>
      <c r="BU606" s="92"/>
      <c r="BV606" s="92"/>
      <c r="BW606" s="92"/>
      <c r="BX606" s="92"/>
      <c r="BY606" s="92"/>
      <c r="BZ606" s="92"/>
    </row>
    <row r="607" spans="1:78" ht="12.9">
      <c r="A607" s="89"/>
      <c r="B607" s="89"/>
      <c r="C607" s="89"/>
      <c r="D607" s="89"/>
      <c r="E607" s="89"/>
      <c r="F607" s="89"/>
      <c r="G607" s="89"/>
      <c r="H607" s="105"/>
      <c r="I607" s="106"/>
      <c r="J607" s="106"/>
      <c r="K607" s="89"/>
      <c r="L607" s="89"/>
      <c r="M607" s="89"/>
      <c r="N607" s="107"/>
      <c r="O607" s="107"/>
      <c r="P607" s="89"/>
      <c r="Q607" s="89"/>
      <c r="R607" s="89"/>
      <c r="S607" s="89"/>
      <c r="T607" s="89"/>
      <c r="U607" s="89"/>
      <c r="V607" s="89"/>
      <c r="W607" s="89"/>
      <c r="X607" s="89"/>
      <c r="Y607" s="89"/>
      <c r="Z607" s="77"/>
      <c r="AA607" s="77"/>
      <c r="AB607" s="94"/>
      <c r="AC607" s="94"/>
      <c r="AD607" s="94"/>
      <c r="AE607" s="94"/>
      <c r="AF607" s="91"/>
      <c r="AG607" s="92"/>
      <c r="AH607" s="92"/>
      <c r="AI607" s="93"/>
      <c r="AJ607" s="94"/>
      <c r="AK607" s="92"/>
      <c r="AL607" s="94"/>
      <c r="AM607" s="94"/>
      <c r="AN607" s="94"/>
      <c r="AO607" s="94"/>
      <c r="AP607" s="94"/>
      <c r="AQ607" s="94"/>
      <c r="AR607" s="94"/>
      <c r="AS607" s="94"/>
      <c r="AT607" s="94"/>
      <c r="AU607" s="92"/>
      <c r="AV607" s="94"/>
      <c r="AW607" s="94"/>
      <c r="AX607" s="94"/>
      <c r="AY607" s="94"/>
      <c r="AZ607" s="94"/>
      <c r="BA607" s="94"/>
      <c r="BB607" s="94"/>
      <c r="BC607" s="94"/>
      <c r="BD607" s="94"/>
      <c r="BE607" s="94"/>
      <c r="BF607" s="94"/>
      <c r="BG607" s="94"/>
      <c r="BH607" s="94"/>
      <c r="BI607" s="94"/>
      <c r="BJ607" s="94"/>
      <c r="BK607" s="94"/>
      <c r="BL607" s="92"/>
      <c r="BM607" s="94"/>
      <c r="BN607" s="94"/>
      <c r="BO607" s="94"/>
      <c r="BP607" s="94"/>
      <c r="BQ607" s="92"/>
      <c r="BR607" s="92"/>
      <c r="BS607" s="92"/>
      <c r="BT607" s="92"/>
      <c r="BU607" s="92"/>
      <c r="BV607" s="92"/>
      <c r="BW607" s="92"/>
      <c r="BX607" s="92"/>
      <c r="BY607" s="92"/>
      <c r="BZ607" s="92"/>
    </row>
    <row r="608" spans="1:78" ht="12.9">
      <c r="A608" s="89"/>
      <c r="B608" s="89"/>
      <c r="C608" s="89"/>
      <c r="D608" s="89"/>
      <c r="E608" s="89"/>
      <c r="F608" s="89"/>
      <c r="G608" s="89"/>
      <c r="H608" s="105"/>
      <c r="I608" s="106"/>
      <c r="J608" s="106"/>
      <c r="K608" s="89"/>
      <c r="L608" s="89"/>
      <c r="M608" s="89"/>
      <c r="N608" s="107"/>
      <c r="O608" s="107"/>
      <c r="P608" s="89"/>
      <c r="Q608" s="89"/>
      <c r="R608" s="89"/>
      <c r="S608" s="89"/>
      <c r="T608" s="89"/>
      <c r="U608" s="89"/>
      <c r="V608" s="89"/>
      <c r="W608" s="89"/>
      <c r="X608" s="89"/>
      <c r="Y608" s="89"/>
      <c r="Z608" s="77"/>
      <c r="AA608" s="77"/>
      <c r="AB608" s="94"/>
      <c r="AC608" s="94"/>
      <c r="AD608" s="94"/>
      <c r="AE608" s="94"/>
      <c r="AF608" s="91"/>
      <c r="AG608" s="92"/>
      <c r="AH608" s="92"/>
      <c r="AI608" s="93"/>
      <c r="AJ608" s="94"/>
      <c r="AK608" s="92"/>
      <c r="AL608" s="94"/>
      <c r="AM608" s="94"/>
      <c r="AN608" s="94"/>
      <c r="AO608" s="94"/>
      <c r="AP608" s="94"/>
      <c r="AQ608" s="94"/>
      <c r="AR608" s="94"/>
      <c r="AS608" s="94"/>
      <c r="AT608" s="94"/>
      <c r="AU608" s="92"/>
      <c r="AV608" s="94"/>
      <c r="AW608" s="94"/>
      <c r="AX608" s="94"/>
      <c r="AY608" s="94"/>
      <c r="AZ608" s="94"/>
      <c r="BA608" s="94"/>
      <c r="BB608" s="94"/>
      <c r="BC608" s="94"/>
      <c r="BD608" s="94"/>
      <c r="BE608" s="94"/>
      <c r="BF608" s="94"/>
      <c r="BG608" s="94"/>
      <c r="BH608" s="94"/>
      <c r="BI608" s="94"/>
      <c r="BJ608" s="94"/>
      <c r="BK608" s="94"/>
      <c r="BL608" s="92"/>
      <c r="BM608" s="94"/>
      <c r="BN608" s="94"/>
      <c r="BO608" s="94"/>
      <c r="BP608" s="94"/>
      <c r="BQ608" s="92"/>
      <c r="BR608" s="92"/>
      <c r="BS608" s="92"/>
      <c r="BT608" s="92"/>
      <c r="BU608" s="92"/>
      <c r="BV608" s="92"/>
      <c r="BW608" s="92"/>
      <c r="BX608" s="92"/>
      <c r="BY608" s="92"/>
      <c r="BZ608" s="92"/>
    </row>
    <row r="609" spans="1:78" ht="12.9">
      <c r="A609" s="89"/>
      <c r="B609" s="89"/>
      <c r="C609" s="89"/>
      <c r="D609" s="89"/>
      <c r="E609" s="89"/>
      <c r="F609" s="89"/>
      <c r="G609" s="89"/>
      <c r="H609" s="105"/>
      <c r="I609" s="106"/>
      <c r="J609" s="106"/>
      <c r="K609" s="89"/>
      <c r="L609" s="89"/>
      <c r="M609" s="89"/>
      <c r="N609" s="107"/>
      <c r="O609" s="107"/>
      <c r="P609" s="89"/>
      <c r="Q609" s="89"/>
      <c r="R609" s="89"/>
      <c r="S609" s="89"/>
      <c r="T609" s="89"/>
      <c r="U609" s="89"/>
      <c r="V609" s="89"/>
      <c r="W609" s="89"/>
      <c r="X609" s="89"/>
      <c r="Y609" s="89"/>
      <c r="Z609" s="77"/>
      <c r="AA609" s="77"/>
      <c r="AB609" s="94"/>
      <c r="AC609" s="94"/>
      <c r="AD609" s="94"/>
      <c r="AE609" s="94"/>
      <c r="AF609" s="91"/>
      <c r="AG609" s="92"/>
      <c r="AH609" s="92"/>
      <c r="AI609" s="93"/>
      <c r="AJ609" s="94"/>
      <c r="AK609" s="92"/>
      <c r="AL609" s="94"/>
      <c r="AM609" s="94"/>
      <c r="AN609" s="94"/>
      <c r="AO609" s="94"/>
      <c r="AP609" s="94"/>
      <c r="AQ609" s="94"/>
      <c r="AR609" s="94"/>
      <c r="AS609" s="94"/>
      <c r="AT609" s="94"/>
      <c r="AU609" s="92"/>
      <c r="AV609" s="94"/>
      <c r="AW609" s="94"/>
      <c r="AX609" s="94"/>
      <c r="AY609" s="94"/>
      <c r="AZ609" s="94"/>
      <c r="BA609" s="94"/>
      <c r="BB609" s="94"/>
      <c r="BC609" s="94"/>
      <c r="BD609" s="94"/>
      <c r="BE609" s="94"/>
      <c r="BF609" s="94"/>
      <c r="BG609" s="94"/>
      <c r="BH609" s="94"/>
      <c r="BI609" s="94"/>
      <c r="BJ609" s="94"/>
      <c r="BK609" s="94"/>
      <c r="BL609" s="92"/>
      <c r="BM609" s="94"/>
      <c r="BN609" s="94"/>
      <c r="BO609" s="94"/>
      <c r="BP609" s="94"/>
      <c r="BQ609" s="92"/>
      <c r="BR609" s="92"/>
      <c r="BS609" s="92"/>
      <c r="BT609" s="92"/>
      <c r="BU609" s="92"/>
      <c r="BV609" s="92"/>
      <c r="BW609" s="92"/>
      <c r="BX609" s="92"/>
      <c r="BY609" s="92"/>
      <c r="BZ609" s="92"/>
    </row>
    <row r="610" spans="1:78" ht="12.9">
      <c r="A610" s="89"/>
      <c r="B610" s="89"/>
      <c r="C610" s="89"/>
      <c r="D610" s="89"/>
      <c r="E610" s="89"/>
      <c r="F610" s="89"/>
      <c r="G610" s="89"/>
      <c r="H610" s="105"/>
      <c r="I610" s="106"/>
      <c r="J610" s="106"/>
      <c r="K610" s="89"/>
      <c r="L610" s="89"/>
      <c r="M610" s="89"/>
      <c r="N610" s="107"/>
      <c r="O610" s="107"/>
      <c r="P610" s="89"/>
      <c r="Q610" s="89"/>
      <c r="R610" s="89"/>
      <c r="S610" s="89"/>
      <c r="T610" s="89"/>
      <c r="U610" s="89"/>
      <c r="V610" s="89"/>
      <c r="W610" s="89"/>
      <c r="X610" s="89"/>
      <c r="Y610" s="89"/>
      <c r="Z610" s="77"/>
      <c r="AA610" s="77"/>
      <c r="AB610" s="94"/>
      <c r="AC610" s="94"/>
      <c r="AD610" s="94"/>
      <c r="AE610" s="94"/>
      <c r="AF610" s="91"/>
      <c r="AG610" s="92"/>
      <c r="AH610" s="92"/>
      <c r="AI610" s="93"/>
      <c r="AJ610" s="94"/>
      <c r="AK610" s="92"/>
      <c r="AL610" s="94"/>
      <c r="AM610" s="94"/>
      <c r="AN610" s="94"/>
      <c r="AO610" s="94"/>
      <c r="AP610" s="94"/>
      <c r="AQ610" s="94"/>
      <c r="AR610" s="94"/>
      <c r="AS610" s="94"/>
      <c r="AT610" s="94"/>
      <c r="AU610" s="92"/>
      <c r="AV610" s="94"/>
      <c r="AW610" s="94"/>
      <c r="AX610" s="94"/>
      <c r="AY610" s="94"/>
      <c r="AZ610" s="94"/>
      <c r="BA610" s="94"/>
      <c r="BB610" s="94"/>
      <c r="BC610" s="94"/>
      <c r="BD610" s="94"/>
      <c r="BE610" s="94"/>
      <c r="BF610" s="94"/>
      <c r="BG610" s="94"/>
      <c r="BH610" s="94"/>
      <c r="BI610" s="94"/>
      <c r="BJ610" s="94"/>
      <c r="BK610" s="94"/>
      <c r="BL610" s="92"/>
      <c r="BM610" s="94"/>
      <c r="BN610" s="94"/>
      <c r="BO610" s="94"/>
      <c r="BP610" s="94"/>
      <c r="BQ610" s="92"/>
      <c r="BR610" s="92"/>
      <c r="BS610" s="92"/>
      <c r="BT610" s="92"/>
      <c r="BU610" s="92"/>
      <c r="BV610" s="92"/>
      <c r="BW610" s="92"/>
      <c r="BX610" s="92"/>
      <c r="BY610" s="92"/>
      <c r="BZ610" s="92"/>
    </row>
    <row r="611" spans="1:78" ht="12.9">
      <c r="A611" s="89"/>
      <c r="B611" s="89"/>
      <c r="C611" s="89"/>
      <c r="D611" s="89"/>
      <c r="E611" s="89"/>
      <c r="F611" s="89"/>
      <c r="G611" s="89"/>
      <c r="H611" s="105"/>
      <c r="I611" s="106"/>
      <c r="J611" s="106"/>
      <c r="K611" s="89"/>
      <c r="L611" s="89"/>
      <c r="M611" s="89"/>
      <c r="N611" s="107"/>
      <c r="O611" s="107"/>
      <c r="P611" s="89"/>
      <c r="Q611" s="89"/>
      <c r="R611" s="89"/>
      <c r="S611" s="89"/>
      <c r="T611" s="89"/>
      <c r="U611" s="89"/>
      <c r="V611" s="89"/>
      <c r="W611" s="89"/>
      <c r="X611" s="89"/>
      <c r="Y611" s="89"/>
      <c r="Z611" s="77"/>
      <c r="AA611" s="77"/>
      <c r="AB611" s="94"/>
      <c r="AC611" s="94"/>
      <c r="AD611" s="94"/>
      <c r="AE611" s="94"/>
      <c r="AF611" s="91"/>
      <c r="AG611" s="92"/>
      <c r="AH611" s="92"/>
      <c r="AI611" s="93"/>
      <c r="AJ611" s="94"/>
      <c r="AK611" s="92"/>
      <c r="AL611" s="94"/>
      <c r="AM611" s="94"/>
      <c r="AN611" s="94"/>
      <c r="AO611" s="94"/>
      <c r="AP611" s="94"/>
      <c r="AQ611" s="94"/>
      <c r="AR611" s="94"/>
      <c r="AS611" s="94"/>
      <c r="AT611" s="94"/>
      <c r="AU611" s="92"/>
      <c r="AV611" s="94"/>
      <c r="AW611" s="94"/>
      <c r="AX611" s="94"/>
      <c r="AY611" s="94"/>
      <c r="AZ611" s="94"/>
      <c r="BA611" s="94"/>
      <c r="BB611" s="94"/>
      <c r="BC611" s="94"/>
      <c r="BD611" s="94"/>
      <c r="BE611" s="94"/>
      <c r="BF611" s="94"/>
      <c r="BG611" s="94"/>
      <c r="BH611" s="94"/>
      <c r="BI611" s="94"/>
      <c r="BJ611" s="94"/>
      <c r="BK611" s="94"/>
      <c r="BL611" s="92"/>
      <c r="BM611" s="94"/>
      <c r="BN611" s="94"/>
      <c r="BO611" s="94"/>
      <c r="BP611" s="94"/>
      <c r="BQ611" s="92"/>
      <c r="BR611" s="92"/>
      <c r="BS611" s="92"/>
      <c r="BT611" s="92"/>
      <c r="BU611" s="92"/>
      <c r="BV611" s="92"/>
      <c r="BW611" s="92"/>
      <c r="BX611" s="92"/>
      <c r="BY611" s="92"/>
      <c r="BZ611" s="92"/>
    </row>
    <row r="612" spans="1:78" ht="12.9">
      <c r="A612" s="89"/>
      <c r="B612" s="89"/>
      <c r="C612" s="89"/>
      <c r="D612" s="89"/>
      <c r="E612" s="89"/>
      <c r="F612" s="89"/>
      <c r="G612" s="89"/>
      <c r="H612" s="105"/>
      <c r="I612" s="106"/>
      <c r="J612" s="106"/>
      <c r="K612" s="89"/>
      <c r="L612" s="89"/>
      <c r="M612" s="89"/>
      <c r="N612" s="107"/>
      <c r="O612" s="107"/>
      <c r="P612" s="89"/>
      <c r="Q612" s="89"/>
      <c r="R612" s="89"/>
      <c r="S612" s="89"/>
      <c r="T612" s="89"/>
      <c r="U612" s="89"/>
      <c r="V612" s="89"/>
      <c r="W612" s="89"/>
      <c r="X612" s="89"/>
      <c r="Y612" s="89"/>
      <c r="Z612" s="77"/>
      <c r="AA612" s="77"/>
      <c r="AB612" s="94"/>
      <c r="AC612" s="94"/>
      <c r="AD612" s="94"/>
      <c r="AE612" s="94"/>
      <c r="AF612" s="91"/>
      <c r="AG612" s="92"/>
      <c r="AH612" s="92"/>
      <c r="AI612" s="93"/>
      <c r="AJ612" s="94"/>
      <c r="AK612" s="92"/>
      <c r="AL612" s="94"/>
      <c r="AM612" s="94"/>
      <c r="AN612" s="94"/>
      <c r="AO612" s="94"/>
      <c r="AP612" s="94"/>
      <c r="AQ612" s="94"/>
      <c r="AR612" s="94"/>
      <c r="AS612" s="94"/>
      <c r="AT612" s="94"/>
      <c r="AU612" s="92"/>
      <c r="AV612" s="94"/>
      <c r="AW612" s="94"/>
      <c r="AX612" s="94"/>
      <c r="AY612" s="94"/>
      <c r="AZ612" s="94"/>
      <c r="BA612" s="94"/>
      <c r="BB612" s="94"/>
      <c r="BC612" s="94"/>
      <c r="BD612" s="94"/>
      <c r="BE612" s="94"/>
      <c r="BF612" s="94"/>
      <c r="BG612" s="94"/>
      <c r="BH612" s="94"/>
      <c r="BI612" s="94"/>
      <c r="BJ612" s="94"/>
      <c r="BK612" s="94"/>
      <c r="BL612" s="92"/>
      <c r="BM612" s="94"/>
      <c r="BN612" s="94"/>
      <c r="BO612" s="94"/>
      <c r="BP612" s="94"/>
      <c r="BQ612" s="92"/>
      <c r="BR612" s="92"/>
      <c r="BS612" s="92"/>
      <c r="BT612" s="92"/>
      <c r="BU612" s="92"/>
      <c r="BV612" s="92"/>
      <c r="BW612" s="92"/>
      <c r="BX612" s="92"/>
      <c r="BY612" s="92"/>
      <c r="BZ612" s="92"/>
    </row>
    <row r="613" spans="1:78" ht="12.9">
      <c r="A613" s="89"/>
      <c r="B613" s="89"/>
      <c r="C613" s="89"/>
      <c r="D613" s="89"/>
      <c r="E613" s="89"/>
      <c r="F613" s="89"/>
      <c r="G613" s="89"/>
      <c r="H613" s="105"/>
      <c r="I613" s="106"/>
      <c r="J613" s="106"/>
      <c r="K613" s="89"/>
      <c r="L613" s="89"/>
      <c r="M613" s="89"/>
      <c r="N613" s="107"/>
      <c r="O613" s="107"/>
      <c r="P613" s="89"/>
      <c r="Q613" s="89"/>
      <c r="R613" s="89"/>
      <c r="S613" s="89"/>
      <c r="T613" s="89"/>
      <c r="U613" s="89"/>
      <c r="V613" s="89"/>
      <c r="W613" s="89"/>
      <c r="X613" s="89"/>
      <c r="Y613" s="89"/>
      <c r="Z613" s="77"/>
      <c r="AA613" s="77"/>
      <c r="AB613" s="94"/>
      <c r="AC613" s="94"/>
      <c r="AD613" s="94"/>
      <c r="AE613" s="94"/>
      <c r="AF613" s="91"/>
      <c r="AG613" s="92"/>
      <c r="AH613" s="92"/>
      <c r="AI613" s="93"/>
      <c r="AJ613" s="94"/>
      <c r="AK613" s="92"/>
      <c r="AL613" s="94"/>
      <c r="AM613" s="94"/>
      <c r="AN613" s="94"/>
      <c r="AO613" s="94"/>
      <c r="AP613" s="94"/>
      <c r="AQ613" s="94"/>
      <c r="AR613" s="94"/>
      <c r="AS613" s="94"/>
      <c r="AT613" s="94"/>
      <c r="AU613" s="92"/>
      <c r="AV613" s="94"/>
      <c r="AW613" s="94"/>
      <c r="AX613" s="94"/>
      <c r="AY613" s="94"/>
      <c r="AZ613" s="94"/>
      <c r="BA613" s="94"/>
      <c r="BB613" s="94"/>
      <c r="BC613" s="94"/>
      <c r="BD613" s="94"/>
      <c r="BE613" s="94"/>
      <c r="BF613" s="94"/>
      <c r="BG613" s="94"/>
      <c r="BH613" s="94"/>
      <c r="BI613" s="94"/>
      <c r="BJ613" s="94"/>
      <c r="BK613" s="94"/>
      <c r="BL613" s="92"/>
      <c r="BM613" s="94"/>
      <c r="BN613" s="94"/>
      <c r="BO613" s="94"/>
      <c r="BP613" s="94"/>
      <c r="BQ613" s="92"/>
      <c r="BR613" s="92"/>
      <c r="BS613" s="92"/>
      <c r="BT613" s="92"/>
      <c r="BU613" s="92"/>
      <c r="BV613" s="92"/>
      <c r="BW613" s="92"/>
      <c r="BX613" s="92"/>
      <c r="BY613" s="92"/>
      <c r="BZ613" s="92"/>
    </row>
    <row r="614" spans="1:78" ht="12.9">
      <c r="A614" s="89"/>
      <c r="B614" s="89"/>
      <c r="C614" s="89"/>
      <c r="D614" s="89"/>
      <c r="E614" s="89"/>
      <c r="F614" s="89"/>
      <c r="G614" s="89"/>
      <c r="H614" s="105"/>
      <c r="I614" s="106"/>
      <c r="J614" s="106"/>
      <c r="K614" s="89"/>
      <c r="L614" s="89"/>
      <c r="M614" s="89"/>
      <c r="N614" s="107"/>
      <c r="O614" s="107"/>
      <c r="P614" s="89"/>
      <c r="Q614" s="89"/>
      <c r="R614" s="89"/>
      <c r="S614" s="89"/>
      <c r="T614" s="89"/>
      <c r="U614" s="89"/>
      <c r="V614" s="89"/>
      <c r="W614" s="89"/>
      <c r="X614" s="89"/>
      <c r="Y614" s="89"/>
      <c r="Z614" s="77"/>
      <c r="AA614" s="77"/>
      <c r="AB614" s="94"/>
      <c r="AC614" s="94"/>
      <c r="AD614" s="94"/>
      <c r="AE614" s="94"/>
      <c r="AF614" s="91"/>
      <c r="AG614" s="92"/>
      <c r="AH614" s="92"/>
      <c r="AI614" s="93"/>
      <c r="AJ614" s="94"/>
      <c r="AK614" s="92"/>
      <c r="AL614" s="94"/>
      <c r="AM614" s="94"/>
      <c r="AN614" s="94"/>
      <c r="AO614" s="94"/>
      <c r="AP614" s="94"/>
      <c r="AQ614" s="94"/>
      <c r="AR614" s="94"/>
      <c r="AS614" s="94"/>
      <c r="AT614" s="94"/>
      <c r="AU614" s="92"/>
      <c r="AV614" s="94"/>
      <c r="AW614" s="94"/>
      <c r="AX614" s="94"/>
      <c r="AY614" s="94"/>
      <c r="AZ614" s="94"/>
      <c r="BA614" s="94"/>
      <c r="BB614" s="94"/>
      <c r="BC614" s="94"/>
      <c r="BD614" s="94"/>
      <c r="BE614" s="94"/>
      <c r="BF614" s="94"/>
      <c r="BG614" s="94"/>
      <c r="BH614" s="94"/>
      <c r="BI614" s="94"/>
      <c r="BJ614" s="94"/>
      <c r="BK614" s="94"/>
      <c r="BL614" s="92"/>
      <c r="BM614" s="94"/>
      <c r="BN614" s="94"/>
      <c r="BO614" s="94"/>
      <c r="BP614" s="94"/>
      <c r="BQ614" s="92"/>
      <c r="BR614" s="92"/>
      <c r="BS614" s="92"/>
      <c r="BT614" s="92"/>
      <c r="BU614" s="92"/>
      <c r="BV614" s="92"/>
      <c r="BW614" s="92"/>
      <c r="BX614" s="92"/>
      <c r="BY614" s="92"/>
      <c r="BZ614" s="92"/>
    </row>
    <row r="615" spans="1:78" ht="12.9">
      <c r="A615" s="89"/>
      <c r="B615" s="89"/>
      <c r="C615" s="89"/>
      <c r="D615" s="89"/>
      <c r="E615" s="89"/>
      <c r="F615" s="89"/>
      <c r="G615" s="89"/>
      <c r="H615" s="105"/>
      <c r="I615" s="106"/>
      <c r="J615" s="106"/>
      <c r="K615" s="89"/>
      <c r="L615" s="89"/>
      <c r="M615" s="89"/>
      <c r="N615" s="107"/>
      <c r="O615" s="107"/>
      <c r="P615" s="89"/>
      <c r="Q615" s="89"/>
      <c r="R615" s="89"/>
      <c r="S615" s="89"/>
      <c r="T615" s="89"/>
      <c r="U615" s="89"/>
      <c r="V615" s="89"/>
      <c r="W615" s="89"/>
      <c r="X615" s="89"/>
      <c r="Y615" s="89"/>
      <c r="Z615" s="77"/>
      <c r="AA615" s="77"/>
      <c r="AB615" s="94"/>
      <c r="AC615" s="94"/>
      <c r="AD615" s="94"/>
      <c r="AE615" s="94"/>
      <c r="AF615" s="91"/>
      <c r="AG615" s="92"/>
      <c r="AH615" s="92"/>
      <c r="AI615" s="93"/>
      <c r="AJ615" s="94"/>
      <c r="AK615" s="92"/>
      <c r="AL615" s="94"/>
      <c r="AM615" s="94"/>
      <c r="AN615" s="94"/>
      <c r="AO615" s="94"/>
      <c r="AP615" s="94"/>
      <c r="AQ615" s="94"/>
      <c r="AR615" s="94"/>
      <c r="AS615" s="94"/>
      <c r="AT615" s="94"/>
      <c r="AU615" s="92"/>
      <c r="AV615" s="94"/>
      <c r="AW615" s="94"/>
      <c r="AX615" s="94"/>
      <c r="AY615" s="94"/>
      <c r="AZ615" s="94"/>
      <c r="BA615" s="94"/>
      <c r="BB615" s="94"/>
      <c r="BC615" s="94"/>
      <c r="BD615" s="94"/>
      <c r="BE615" s="94"/>
      <c r="BF615" s="94"/>
      <c r="BG615" s="94"/>
      <c r="BH615" s="94"/>
      <c r="BI615" s="94"/>
      <c r="BJ615" s="94"/>
      <c r="BK615" s="94"/>
      <c r="BL615" s="92"/>
      <c r="BM615" s="94"/>
      <c r="BN615" s="94"/>
      <c r="BO615" s="94"/>
      <c r="BP615" s="94"/>
      <c r="BQ615" s="92"/>
      <c r="BR615" s="92"/>
      <c r="BS615" s="92"/>
      <c r="BT615" s="92"/>
      <c r="BU615" s="92"/>
      <c r="BV615" s="92"/>
      <c r="BW615" s="92"/>
      <c r="BX615" s="92"/>
      <c r="BY615" s="92"/>
      <c r="BZ615" s="92"/>
    </row>
    <row r="616" spans="1:78" ht="12.9">
      <c r="A616" s="89"/>
      <c r="B616" s="89"/>
      <c r="C616" s="89"/>
      <c r="D616" s="89"/>
      <c r="E616" s="89"/>
      <c r="F616" s="89"/>
      <c r="G616" s="89"/>
      <c r="H616" s="105"/>
      <c r="I616" s="106"/>
      <c r="J616" s="106"/>
      <c r="K616" s="89"/>
      <c r="L616" s="89"/>
      <c r="M616" s="89"/>
      <c r="N616" s="107"/>
      <c r="O616" s="107"/>
      <c r="P616" s="89"/>
      <c r="Q616" s="89"/>
      <c r="R616" s="89"/>
      <c r="S616" s="89"/>
      <c r="T616" s="89"/>
      <c r="U616" s="89"/>
      <c r="V616" s="89"/>
      <c r="W616" s="89"/>
      <c r="X616" s="89"/>
      <c r="Y616" s="89"/>
      <c r="Z616" s="77"/>
      <c r="AA616" s="77"/>
      <c r="AB616" s="94"/>
      <c r="AC616" s="94"/>
      <c r="AD616" s="94"/>
      <c r="AE616" s="94"/>
      <c r="AF616" s="91"/>
      <c r="AG616" s="92"/>
      <c r="AH616" s="92"/>
      <c r="AI616" s="93"/>
      <c r="AJ616" s="94"/>
      <c r="AK616" s="92"/>
      <c r="AL616" s="94"/>
      <c r="AM616" s="94"/>
      <c r="AN616" s="94"/>
      <c r="AO616" s="94"/>
      <c r="AP616" s="94"/>
      <c r="AQ616" s="94"/>
      <c r="AR616" s="94"/>
      <c r="AS616" s="94"/>
      <c r="AT616" s="94"/>
      <c r="AU616" s="92"/>
      <c r="AV616" s="94"/>
      <c r="AW616" s="94"/>
      <c r="AX616" s="94"/>
      <c r="AY616" s="94"/>
      <c r="AZ616" s="94"/>
      <c r="BA616" s="94"/>
      <c r="BB616" s="94"/>
      <c r="BC616" s="94"/>
      <c r="BD616" s="94"/>
      <c r="BE616" s="94"/>
      <c r="BF616" s="94"/>
      <c r="BG616" s="94"/>
      <c r="BH616" s="94"/>
      <c r="BI616" s="94"/>
      <c r="BJ616" s="94"/>
      <c r="BK616" s="94"/>
      <c r="BL616" s="92"/>
      <c r="BM616" s="94"/>
      <c r="BN616" s="94"/>
      <c r="BO616" s="94"/>
      <c r="BP616" s="94"/>
      <c r="BQ616" s="92"/>
      <c r="BR616" s="92"/>
      <c r="BS616" s="92"/>
      <c r="BT616" s="92"/>
      <c r="BU616" s="92"/>
      <c r="BV616" s="92"/>
      <c r="BW616" s="92"/>
      <c r="BX616" s="92"/>
      <c r="BY616" s="92"/>
      <c r="BZ616" s="92"/>
    </row>
    <row r="617" spans="1:78" ht="12.9">
      <c r="A617" s="89"/>
      <c r="B617" s="89"/>
      <c r="C617" s="89"/>
      <c r="D617" s="89"/>
      <c r="E617" s="89"/>
      <c r="F617" s="89"/>
      <c r="G617" s="89"/>
      <c r="H617" s="105"/>
      <c r="I617" s="106"/>
      <c r="J617" s="106"/>
      <c r="K617" s="89"/>
      <c r="L617" s="89"/>
      <c r="M617" s="89"/>
      <c r="N617" s="107"/>
      <c r="O617" s="107"/>
      <c r="P617" s="89"/>
      <c r="Q617" s="89"/>
      <c r="R617" s="89"/>
      <c r="S617" s="89"/>
      <c r="T617" s="89"/>
      <c r="U617" s="89"/>
      <c r="V617" s="89"/>
      <c r="W617" s="89"/>
      <c r="X617" s="89"/>
      <c r="Y617" s="89"/>
      <c r="Z617" s="77"/>
      <c r="AA617" s="77"/>
      <c r="AB617" s="94"/>
      <c r="AC617" s="94"/>
      <c r="AD617" s="94"/>
      <c r="AE617" s="94"/>
      <c r="AF617" s="91"/>
      <c r="AG617" s="92"/>
      <c r="AH617" s="92"/>
      <c r="AI617" s="93"/>
      <c r="AJ617" s="94"/>
      <c r="AK617" s="92"/>
      <c r="AL617" s="94"/>
      <c r="AM617" s="94"/>
      <c r="AN617" s="94"/>
      <c r="AO617" s="94"/>
      <c r="AP617" s="94"/>
      <c r="AQ617" s="94"/>
      <c r="AR617" s="94"/>
      <c r="AS617" s="94"/>
      <c r="AT617" s="94"/>
      <c r="AU617" s="92"/>
      <c r="AV617" s="94"/>
      <c r="AW617" s="94"/>
      <c r="AX617" s="94"/>
      <c r="AY617" s="94"/>
      <c r="AZ617" s="94"/>
      <c r="BA617" s="94"/>
      <c r="BB617" s="94"/>
      <c r="BC617" s="94"/>
      <c r="BD617" s="94"/>
      <c r="BE617" s="94"/>
      <c r="BF617" s="94"/>
      <c r="BG617" s="94"/>
      <c r="BH617" s="94"/>
      <c r="BI617" s="94"/>
      <c r="BJ617" s="94"/>
      <c r="BK617" s="94"/>
      <c r="BL617" s="92"/>
      <c r="BM617" s="94"/>
      <c r="BN617" s="94"/>
      <c r="BO617" s="94"/>
      <c r="BP617" s="94"/>
      <c r="BQ617" s="92"/>
      <c r="BR617" s="92"/>
      <c r="BS617" s="92"/>
      <c r="BT617" s="92"/>
      <c r="BU617" s="92"/>
      <c r="BV617" s="92"/>
      <c r="BW617" s="92"/>
      <c r="BX617" s="92"/>
      <c r="BY617" s="92"/>
      <c r="BZ617" s="92"/>
    </row>
    <row r="618" spans="1:78" ht="12.9">
      <c r="A618" s="89"/>
      <c r="B618" s="89"/>
      <c r="C618" s="89"/>
      <c r="D618" s="89"/>
      <c r="E618" s="89"/>
      <c r="F618" s="89"/>
      <c r="G618" s="89"/>
      <c r="H618" s="105"/>
      <c r="I618" s="106"/>
      <c r="J618" s="106"/>
      <c r="K618" s="89"/>
      <c r="L618" s="89"/>
      <c r="M618" s="89"/>
      <c r="N618" s="107"/>
      <c r="O618" s="107"/>
      <c r="P618" s="89"/>
      <c r="Q618" s="89"/>
      <c r="R618" s="89"/>
      <c r="S618" s="89"/>
      <c r="T618" s="89"/>
      <c r="U618" s="89"/>
      <c r="V618" s="89"/>
      <c r="W618" s="89"/>
      <c r="X618" s="89"/>
      <c r="Y618" s="89"/>
      <c r="Z618" s="77"/>
      <c r="AA618" s="77"/>
      <c r="AB618" s="94"/>
      <c r="AC618" s="94"/>
      <c r="AD618" s="94"/>
      <c r="AE618" s="94"/>
      <c r="AF618" s="91"/>
      <c r="AG618" s="92"/>
      <c r="AH618" s="92"/>
      <c r="AI618" s="93"/>
      <c r="AJ618" s="94"/>
      <c r="AK618" s="92"/>
      <c r="AL618" s="94"/>
      <c r="AM618" s="94"/>
      <c r="AN618" s="94"/>
      <c r="AO618" s="94"/>
      <c r="AP618" s="94"/>
      <c r="AQ618" s="94"/>
      <c r="AR618" s="94"/>
      <c r="AS618" s="94"/>
      <c r="AT618" s="94"/>
      <c r="AU618" s="92"/>
      <c r="AV618" s="94"/>
      <c r="AW618" s="94"/>
      <c r="AX618" s="94"/>
      <c r="AY618" s="94"/>
      <c r="AZ618" s="94"/>
      <c r="BA618" s="94"/>
      <c r="BB618" s="94"/>
      <c r="BC618" s="94"/>
      <c r="BD618" s="94"/>
      <c r="BE618" s="94"/>
      <c r="BF618" s="94"/>
      <c r="BG618" s="94"/>
      <c r="BH618" s="94"/>
      <c r="BI618" s="94"/>
      <c r="BJ618" s="94"/>
      <c r="BK618" s="94"/>
      <c r="BL618" s="92"/>
      <c r="BM618" s="94"/>
      <c r="BN618" s="94"/>
      <c r="BO618" s="94"/>
      <c r="BP618" s="94"/>
      <c r="BQ618" s="92"/>
      <c r="BR618" s="92"/>
      <c r="BS618" s="92"/>
      <c r="BT618" s="92"/>
      <c r="BU618" s="92"/>
      <c r="BV618" s="92"/>
      <c r="BW618" s="92"/>
      <c r="BX618" s="92"/>
      <c r="BY618" s="92"/>
      <c r="BZ618" s="92"/>
    </row>
    <row r="619" spans="1:78" ht="12.9">
      <c r="A619" s="89"/>
      <c r="B619" s="89"/>
      <c r="C619" s="89"/>
      <c r="D619" s="89"/>
      <c r="E619" s="89"/>
      <c r="F619" s="89"/>
      <c r="G619" s="89"/>
      <c r="H619" s="105"/>
      <c r="I619" s="106"/>
      <c r="J619" s="106"/>
      <c r="K619" s="89"/>
      <c r="L619" s="89"/>
      <c r="M619" s="89"/>
      <c r="N619" s="107"/>
      <c r="O619" s="107"/>
      <c r="P619" s="89"/>
      <c r="Q619" s="89"/>
      <c r="R619" s="89"/>
      <c r="S619" s="89"/>
      <c r="T619" s="89"/>
      <c r="U619" s="89"/>
      <c r="V619" s="89"/>
      <c r="W619" s="89"/>
      <c r="X619" s="89"/>
      <c r="Y619" s="89"/>
      <c r="Z619" s="77"/>
      <c r="AA619" s="77"/>
      <c r="AB619" s="94"/>
      <c r="AC619" s="94"/>
      <c r="AD619" s="94"/>
      <c r="AE619" s="94"/>
      <c r="AF619" s="91"/>
      <c r="AG619" s="92"/>
      <c r="AH619" s="92"/>
      <c r="AI619" s="93"/>
      <c r="AJ619" s="94"/>
      <c r="AK619" s="92"/>
      <c r="AL619" s="94"/>
      <c r="AM619" s="94"/>
      <c r="AN619" s="94"/>
      <c r="AO619" s="94"/>
      <c r="AP619" s="94"/>
      <c r="AQ619" s="94"/>
      <c r="AR619" s="94"/>
      <c r="AS619" s="94"/>
      <c r="AT619" s="94"/>
      <c r="AU619" s="92"/>
      <c r="AV619" s="94"/>
      <c r="AW619" s="94"/>
      <c r="AX619" s="94"/>
      <c r="AY619" s="94"/>
      <c r="AZ619" s="94"/>
      <c r="BA619" s="94"/>
      <c r="BB619" s="94"/>
      <c r="BC619" s="94"/>
      <c r="BD619" s="94"/>
      <c r="BE619" s="94"/>
      <c r="BF619" s="94"/>
      <c r="BG619" s="94"/>
      <c r="BH619" s="94"/>
      <c r="BI619" s="94"/>
      <c r="BJ619" s="94"/>
      <c r="BK619" s="94"/>
      <c r="BL619" s="92"/>
      <c r="BM619" s="94"/>
      <c r="BN619" s="94"/>
      <c r="BO619" s="94"/>
      <c r="BP619" s="94"/>
      <c r="BQ619" s="92"/>
      <c r="BR619" s="92"/>
      <c r="BS619" s="92"/>
      <c r="BT619" s="92"/>
      <c r="BU619" s="92"/>
      <c r="BV619" s="92"/>
      <c r="BW619" s="92"/>
      <c r="BX619" s="92"/>
      <c r="BY619" s="92"/>
      <c r="BZ619" s="92"/>
    </row>
    <row r="620" spans="1:78" ht="12.9">
      <c r="A620" s="89"/>
      <c r="B620" s="89"/>
      <c r="C620" s="89"/>
      <c r="D620" s="89"/>
      <c r="E620" s="89"/>
      <c r="F620" s="89"/>
      <c r="G620" s="89"/>
      <c r="H620" s="105"/>
      <c r="I620" s="106"/>
      <c r="J620" s="106"/>
      <c r="K620" s="89"/>
      <c r="L620" s="89"/>
      <c r="M620" s="89"/>
      <c r="N620" s="107"/>
      <c r="O620" s="107"/>
      <c r="P620" s="89"/>
      <c r="Q620" s="89"/>
      <c r="R620" s="89"/>
      <c r="S620" s="89"/>
      <c r="T620" s="89"/>
      <c r="U620" s="89"/>
      <c r="V620" s="89"/>
      <c r="W620" s="89"/>
      <c r="X620" s="89"/>
      <c r="Y620" s="89"/>
      <c r="Z620" s="77"/>
      <c r="AA620" s="77"/>
      <c r="AB620" s="94"/>
      <c r="AC620" s="94"/>
      <c r="AD620" s="94"/>
      <c r="AE620" s="94"/>
      <c r="AF620" s="91"/>
      <c r="AG620" s="92"/>
      <c r="AH620" s="92"/>
      <c r="AI620" s="93"/>
      <c r="AJ620" s="94"/>
      <c r="AK620" s="92"/>
      <c r="AL620" s="94"/>
      <c r="AM620" s="94"/>
      <c r="AN620" s="94"/>
      <c r="AO620" s="94"/>
      <c r="AP620" s="94"/>
      <c r="AQ620" s="94"/>
      <c r="AR620" s="94"/>
      <c r="AS620" s="94"/>
      <c r="AT620" s="94"/>
      <c r="AU620" s="92"/>
      <c r="AV620" s="94"/>
      <c r="AW620" s="94"/>
      <c r="AX620" s="94"/>
      <c r="AY620" s="94"/>
      <c r="AZ620" s="94"/>
      <c r="BA620" s="94"/>
      <c r="BB620" s="94"/>
      <c r="BC620" s="94"/>
      <c r="BD620" s="94"/>
      <c r="BE620" s="94"/>
      <c r="BF620" s="94"/>
      <c r="BG620" s="94"/>
      <c r="BH620" s="94"/>
      <c r="BI620" s="94"/>
      <c r="BJ620" s="94"/>
      <c r="BK620" s="94"/>
      <c r="BL620" s="92"/>
      <c r="BM620" s="94"/>
      <c r="BN620" s="94"/>
      <c r="BO620" s="94"/>
      <c r="BP620" s="94"/>
      <c r="BQ620" s="92"/>
      <c r="BR620" s="92"/>
      <c r="BS620" s="92"/>
      <c r="BT620" s="92"/>
      <c r="BU620" s="92"/>
      <c r="BV620" s="92"/>
      <c r="BW620" s="92"/>
      <c r="BX620" s="92"/>
      <c r="BY620" s="92"/>
      <c r="BZ620" s="92"/>
    </row>
    <row r="621" spans="1:78" ht="12.9">
      <c r="A621" s="89"/>
      <c r="B621" s="89"/>
      <c r="C621" s="89"/>
      <c r="D621" s="89"/>
      <c r="E621" s="89"/>
      <c r="F621" s="89"/>
      <c r="G621" s="89"/>
      <c r="H621" s="105"/>
      <c r="I621" s="106"/>
      <c r="J621" s="106"/>
      <c r="K621" s="89"/>
      <c r="L621" s="89"/>
      <c r="M621" s="89"/>
      <c r="N621" s="107"/>
      <c r="O621" s="107"/>
      <c r="P621" s="89"/>
      <c r="Q621" s="89"/>
      <c r="R621" s="89"/>
      <c r="S621" s="89"/>
      <c r="T621" s="89"/>
      <c r="U621" s="89"/>
      <c r="V621" s="89"/>
      <c r="W621" s="89"/>
      <c r="X621" s="89"/>
      <c r="Y621" s="89"/>
      <c r="Z621" s="77"/>
      <c r="AA621" s="77"/>
      <c r="AB621" s="94"/>
      <c r="AC621" s="94"/>
      <c r="AD621" s="94"/>
      <c r="AE621" s="94"/>
      <c r="AF621" s="91"/>
      <c r="AG621" s="92"/>
      <c r="AH621" s="92"/>
      <c r="AI621" s="93"/>
      <c r="AJ621" s="94"/>
      <c r="AK621" s="92"/>
      <c r="AL621" s="94"/>
      <c r="AM621" s="94"/>
      <c r="AN621" s="94"/>
      <c r="AO621" s="94"/>
      <c r="AP621" s="94"/>
      <c r="AQ621" s="94"/>
      <c r="AR621" s="94"/>
      <c r="AS621" s="94"/>
      <c r="AT621" s="94"/>
      <c r="AU621" s="92"/>
      <c r="AV621" s="94"/>
      <c r="AW621" s="94"/>
      <c r="AX621" s="94"/>
      <c r="AY621" s="94"/>
      <c r="AZ621" s="94"/>
      <c r="BA621" s="94"/>
      <c r="BB621" s="94"/>
      <c r="BC621" s="94"/>
      <c r="BD621" s="94"/>
      <c r="BE621" s="94"/>
      <c r="BF621" s="94"/>
      <c r="BG621" s="94"/>
      <c r="BH621" s="94"/>
      <c r="BI621" s="94"/>
      <c r="BJ621" s="94"/>
      <c r="BK621" s="94"/>
      <c r="BL621" s="92"/>
      <c r="BM621" s="94"/>
      <c r="BN621" s="94"/>
      <c r="BO621" s="94"/>
      <c r="BP621" s="94"/>
      <c r="BQ621" s="92"/>
      <c r="BR621" s="92"/>
      <c r="BS621" s="92"/>
      <c r="BT621" s="92"/>
      <c r="BU621" s="92"/>
      <c r="BV621" s="92"/>
      <c r="BW621" s="92"/>
      <c r="BX621" s="92"/>
      <c r="BY621" s="92"/>
      <c r="BZ621" s="92"/>
    </row>
    <row r="622" spans="1:78" ht="12.9">
      <c r="A622" s="89"/>
      <c r="B622" s="89"/>
      <c r="C622" s="89"/>
      <c r="D622" s="89"/>
      <c r="E622" s="89"/>
      <c r="F622" s="89"/>
      <c r="G622" s="89"/>
      <c r="H622" s="105"/>
      <c r="I622" s="106"/>
      <c r="J622" s="106"/>
      <c r="K622" s="89"/>
      <c r="L622" s="89"/>
      <c r="M622" s="89"/>
      <c r="N622" s="107"/>
      <c r="O622" s="107"/>
      <c r="P622" s="89"/>
      <c r="Q622" s="89"/>
      <c r="R622" s="89"/>
      <c r="S622" s="89"/>
      <c r="T622" s="89"/>
      <c r="U622" s="89"/>
      <c r="V622" s="89"/>
      <c r="W622" s="89"/>
      <c r="X622" s="89"/>
      <c r="Y622" s="89"/>
      <c r="Z622" s="77"/>
      <c r="AA622" s="77"/>
      <c r="AB622" s="94"/>
      <c r="AC622" s="94"/>
      <c r="AD622" s="94"/>
      <c r="AE622" s="94"/>
      <c r="AF622" s="91"/>
      <c r="AG622" s="92"/>
      <c r="AH622" s="92"/>
      <c r="AI622" s="93"/>
      <c r="AJ622" s="94"/>
      <c r="AK622" s="92"/>
      <c r="AL622" s="94"/>
      <c r="AM622" s="94"/>
      <c r="AN622" s="94"/>
      <c r="AO622" s="94"/>
      <c r="AP622" s="94"/>
      <c r="AQ622" s="94"/>
      <c r="AR622" s="94"/>
      <c r="AS622" s="94"/>
      <c r="AT622" s="94"/>
      <c r="AU622" s="92"/>
      <c r="AV622" s="94"/>
      <c r="AW622" s="94"/>
      <c r="AX622" s="94"/>
      <c r="AY622" s="94"/>
      <c r="AZ622" s="94"/>
      <c r="BA622" s="94"/>
      <c r="BB622" s="94"/>
      <c r="BC622" s="94"/>
      <c r="BD622" s="94"/>
      <c r="BE622" s="94"/>
      <c r="BF622" s="94"/>
      <c r="BG622" s="94"/>
      <c r="BH622" s="94"/>
      <c r="BI622" s="94"/>
      <c r="BJ622" s="94"/>
      <c r="BK622" s="94"/>
      <c r="BL622" s="92"/>
      <c r="BM622" s="94"/>
      <c r="BN622" s="94"/>
      <c r="BO622" s="94"/>
      <c r="BP622" s="94"/>
      <c r="BQ622" s="92"/>
      <c r="BR622" s="92"/>
      <c r="BS622" s="92"/>
      <c r="BT622" s="92"/>
      <c r="BU622" s="92"/>
      <c r="BV622" s="92"/>
      <c r="BW622" s="92"/>
      <c r="BX622" s="92"/>
      <c r="BY622" s="92"/>
      <c r="BZ622" s="92"/>
    </row>
    <row r="623" spans="1:78" ht="12.9">
      <c r="A623" s="89"/>
      <c r="B623" s="89"/>
      <c r="C623" s="89"/>
      <c r="D623" s="89"/>
      <c r="E623" s="89"/>
      <c r="F623" s="89"/>
      <c r="G623" s="89"/>
      <c r="H623" s="105"/>
      <c r="I623" s="106"/>
      <c r="J623" s="106"/>
      <c r="K623" s="89"/>
      <c r="L623" s="89"/>
      <c r="M623" s="89"/>
      <c r="N623" s="107"/>
      <c r="O623" s="107"/>
      <c r="P623" s="89"/>
      <c r="Q623" s="89"/>
      <c r="R623" s="89"/>
      <c r="S623" s="89"/>
      <c r="T623" s="89"/>
      <c r="U623" s="89"/>
      <c r="V623" s="89"/>
      <c r="W623" s="89"/>
      <c r="X623" s="89"/>
      <c r="Y623" s="89"/>
      <c r="Z623" s="77"/>
      <c r="AA623" s="77"/>
      <c r="AB623" s="94"/>
      <c r="AC623" s="94"/>
      <c r="AD623" s="94"/>
      <c r="AE623" s="94"/>
      <c r="AF623" s="91"/>
      <c r="AG623" s="92"/>
      <c r="AH623" s="92"/>
      <c r="AI623" s="93"/>
      <c r="AJ623" s="94"/>
      <c r="AK623" s="92"/>
      <c r="AL623" s="94"/>
      <c r="AM623" s="94"/>
      <c r="AN623" s="94"/>
      <c r="AO623" s="94"/>
      <c r="AP623" s="94"/>
      <c r="AQ623" s="94"/>
      <c r="AR623" s="94"/>
      <c r="AS623" s="94"/>
      <c r="AT623" s="94"/>
      <c r="AU623" s="92"/>
      <c r="AV623" s="94"/>
      <c r="AW623" s="94"/>
      <c r="AX623" s="94"/>
      <c r="AY623" s="94"/>
      <c r="AZ623" s="94"/>
      <c r="BA623" s="94"/>
      <c r="BB623" s="94"/>
      <c r="BC623" s="94"/>
      <c r="BD623" s="94"/>
      <c r="BE623" s="94"/>
      <c r="BF623" s="94"/>
      <c r="BG623" s="94"/>
      <c r="BH623" s="94"/>
      <c r="BI623" s="94"/>
      <c r="BJ623" s="94"/>
      <c r="BK623" s="94"/>
      <c r="BL623" s="92"/>
      <c r="BM623" s="94"/>
      <c r="BN623" s="94"/>
      <c r="BO623" s="94"/>
      <c r="BP623" s="94"/>
      <c r="BQ623" s="92"/>
      <c r="BR623" s="92"/>
      <c r="BS623" s="92"/>
      <c r="BT623" s="92"/>
      <c r="BU623" s="92"/>
      <c r="BV623" s="92"/>
      <c r="BW623" s="92"/>
      <c r="BX623" s="92"/>
      <c r="BY623" s="92"/>
      <c r="BZ623" s="92"/>
    </row>
    <row r="624" spans="1:78" ht="12.9">
      <c r="A624" s="89"/>
      <c r="B624" s="89"/>
      <c r="C624" s="89"/>
      <c r="D624" s="89"/>
      <c r="E624" s="89"/>
      <c r="F624" s="89"/>
      <c r="G624" s="89"/>
      <c r="H624" s="105"/>
      <c r="I624" s="106"/>
      <c r="J624" s="106"/>
      <c r="K624" s="89"/>
      <c r="L624" s="89"/>
      <c r="M624" s="89"/>
      <c r="N624" s="107"/>
      <c r="O624" s="107"/>
      <c r="P624" s="89"/>
      <c r="Q624" s="89"/>
      <c r="R624" s="89"/>
      <c r="S624" s="89"/>
      <c r="T624" s="89"/>
      <c r="U624" s="89"/>
      <c r="V624" s="89"/>
      <c r="W624" s="89"/>
      <c r="X624" s="89"/>
      <c r="Y624" s="89"/>
      <c r="Z624" s="77"/>
      <c r="AA624" s="77"/>
      <c r="AB624" s="94"/>
      <c r="AC624" s="94"/>
      <c r="AD624" s="94"/>
      <c r="AE624" s="94"/>
      <c r="AF624" s="91"/>
      <c r="AG624" s="92"/>
      <c r="AH624" s="92"/>
      <c r="AI624" s="93"/>
      <c r="AJ624" s="94"/>
      <c r="AK624" s="92"/>
      <c r="AL624" s="94"/>
      <c r="AM624" s="94"/>
      <c r="AN624" s="94"/>
      <c r="AO624" s="94"/>
      <c r="AP624" s="94"/>
      <c r="AQ624" s="94"/>
      <c r="AR624" s="94"/>
      <c r="AS624" s="94"/>
      <c r="AT624" s="94"/>
      <c r="AU624" s="92"/>
      <c r="AV624" s="94"/>
      <c r="AW624" s="94"/>
      <c r="AX624" s="94"/>
      <c r="AY624" s="94"/>
      <c r="AZ624" s="94"/>
      <c r="BA624" s="94"/>
      <c r="BB624" s="94"/>
      <c r="BC624" s="94"/>
      <c r="BD624" s="94"/>
      <c r="BE624" s="94"/>
      <c r="BF624" s="94"/>
      <c r="BG624" s="94"/>
      <c r="BH624" s="94"/>
      <c r="BI624" s="94"/>
      <c r="BJ624" s="94"/>
      <c r="BK624" s="94"/>
      <c r="BL624" s="92"/>
      <c r="BM624" s="94"/>
      <c r="BN624" s="94"/>
      <c r="BO624" s="94"/>
      <c r="BP624" s="94"/>
      <c r="BQ624" s="92"/>
      <c r="BR624" s="92"/>
      <c r="BS624" s="92"/>
      <c r="BT624" s="92"/>
      <c r="BU624" s="92"/>
      <c r="BV624" s="92"/>
      <c r="BW624" s="92"/>
      <c r="BX624" s="92"/>
      <c r="BY624" s="92"/>
      <c r="BZ624" s="92"/>
    </row>
    <row r="625" spans="1:78" ht="12.9">
      <c r="A625" s="89"/>
      <c r="B625" s="89"/>
      <c r="C625" s="89"/>
      <c r="D625" s="89"/>
      <c r="E625" s="89"/>
      <c r="F625" s="89"/>
      <c r="G625" s="89"/>
      <c r="H625" s="105"/>
      <c r="I625" s="106"/>
      <c r="J625" s="106"/>
      <c r="K625" s="89"/>
      <c r="L625" s="89"/>
      <c r="M625" s="89"/>
      <c r="N625" s="107"/>
      <c r="O625" s="107"/>
      <c r="P625" s="89"/>
      <c r="Q625" s="89"/>
      <c r="R625" s="89"/>
      <c r="S625" s="89"/>
      <c r="T625" s="89"/>
      <c r="U625" s="89"/>
      <c r="V625" s="89"/>
      <c r="W625" s="89"/>
      <c r="X625" s="89"/>
      <c r="Y625" s="89"/>
      <c r="Z625" s="77"/>
      <c r="AA625" s="77"/>
      <c r="AB625" s="94"/>
      <c r="AC625" s="94"/>
      <c r="AD625" s="94"/>
      <c r="AE625" s="94"/>
      <c r="AF625" s="91"/>
      <c r="AG625" s="92"/>
      <c r="AH625" s="92"/>
      <c r="AI625" s="93"/>
      <c r="AJ625" s="94"/>
      <c r="AK625" s="92"/>
      <c r="AL625" s="94"/>
      <c r="AM625" s="94"/>
      <c r="AN625" s="94"/>
      <c r="AO625" s="94"/>
      <c r="AP625" s="94"/>
      <c r="AQ625" s="94"/>
      <c r="AR625" s="94"/>
      <c r="AS625" s="94"/>
      <c r="AT625" s="94"/>
      <c r="AU625" s="92"/>
      <c r="AV625" s="94"/>
      <c r="AW625" s="94"/>
      <c r="AX625" s="94"/>
      <c r="AY625" s="94"/>
      <c r="AZ625" s="94"/>
      <c r="BA625" s="94"/>
      <c r="BB625" s="94"/>
      <c r="BC625" s="94"/>
      <c r="BD625" s="94"/>
      <c r="BE625" s="94"/>
      <c r="BF625" s="94"/>
      <c r="BG625" s="94"/>
      <c r="BH625" s="94"/>
      <c r="BI625" s="94"/>
      <c r="BJ625" s="94"/>
      <c r="BK625" s="94"/>
      <c r="BL625" s="92"/>
      <c r="BM625" s="94"/>
      <c r="BN625" s="94"/>
      <c r="BO625" s="94"/>
      <c r="BP625" s="94"/>
      <c r="BQ625" s="92"/>
      <c r="BR625" s="92"/>
      <c r="BS625" s="92"/>
      <c r="BT625" s="92"/>
      <c r="BU625" s="92"/>
      <c r="BV625" s="92"/>
      <c r="BW625" s="92"/>
      <c r="BX625" s="92"/>
      <c r="BY625" s="92"/>
      <c r="BZ625" s="92"/>
    </row>
    <row r="626" spans="1:78" ht="12.9">
      <c r="A626" s="89"/>
      <c r="B626" s="89"/>
      <c r="C626" s="89"/>
      <c r="D626" s="89"/>
      <c r="E626" s="89"/>
      <c r="F626" s="89"/>
      <c r="G626" s="89"/>
      <c r="H626" s="105"/>
      <c r="I626" s="106"/>
      <c r="J626" s="106"/>
      <c r="K626" s="89"/>
      <c r="L626" s="89"/>
      <c r="M626" s="89"/>
      <c r="N626" s="107"/>
      <c r="O626" s="107"/>
      <c r="P626" s="89"/>
      <c r="Q626" s="89"/>
      <c r="R626" s="89"/>
      <c r="S626" s="89"/>
      <c r="T626" s="89"/>
      <c r="U626" s="89"/>
      <c r="V626" s="89"/>
      <c r="W626" s="89"/>
      <c r="X626" s="89"/>
      <c r="Y626" s="89"/>
      <c r="Z626" s="77"/>
      <c r="AA626" s="77"/>
      <c r="AB626" s="94"/>
      <c r="AC626" s="94"/>
      <c r="AD626" s="94"/>
      <c r="AE626" s="94"/>
      <c r="AF626" s="91"/>
      <c r="AG626" s="92"/>
      <c r="AH626" s="92"/>
      <c r="AI626" s="93"/>
      <c r="AJ626" s="94"/>
      <c r="AK626" s="92"/>
      <c r="AL626" s="94"/>
      <c r="AM626" s="94"/>
      <c r="AN626" s="94"/>
      <c r="AO626" s="94"/>
      <c r="AP626" s="94"/>
      <c r="AQ626" s="94"/>
      <c r="AR626" s="94"/>
      <c r="AS626" s="94"/>
      <c r="AT626" s="94"/>
      <c r="AU626" s="92"/>
      <c r="AV626" s="94"/>
      <c r="AW626" s="94"/>
      <c r="AX626" s="94"/>
      <c r="AY626" s="94"/>
      <c r="AZ626" s="94"/>
      <c r="BA626" s="94"/>
      <c r="BB626" s="94"/>
      <c r="BC626" s="94"/>
      <c r="BD626" s="94"/>
      <c r="BE626" s="94"/>
      <c r="BF626" s="94"/>
      <c r="BG626" s="94"/>
      <c r="BH626" s="94"/>
      <c r="BI626" s="94"/>
      <c r="BJ626" s="94"/>
      <c r="BK626" s="94"/>
      <c r="BL626" s="92"/>
      <c r="BM626" s="94"/>
      <c r="BN626" s="94"/>
      <c r="BO626" s="94"/>
      <c r="BP626" s="94"/>
      <c r="BQ626" s="92"/>
      <c r="BR626" s="92"/>
      <c r="BS626" s="92"/>
      <c r="BT626" s="92"/>
      <c r="BU626" s="92"/>
      <c r="BV626" s="92"/>
      <c r="BW626" s="92"/>
      <c r="BX626" s="92"/>
      <c r="BY626" s="92"/>
      <c r="BZ626" s="92"/>
    </row>
    <row r="627" spans="1:78" ht="12.9">
      <c r="A627" s="89"/>
      <c r="B627" s="89"/>
      <c r="C627" s="89"/>
      <c r="D627" s="89"/>
      <c r="E627" s="89"/>
      <c r="F627" s="89"/>
      <c r="G627" s="89"/>
      <c r="H627" s="105"/>
      <c r="I627" s="106"/>
      <c r="J627" s="106"/>
      <c r="K627" s="89"/>
      <c r="L627" s="89"/>
      <c r="M627" s="89"/>
      <c r="N627" s="107"/>
      <c r="O627" s="107"/>
      <c r="P627" s="89"/>
      <c r="Q627" s="89"/>
      <c r="R627" s="89"/>
      <c r="S627" s="89"/>
      <c r="T627" s="89"/>
      <c r="U627" s="89"/>
      <c r="V627" s="89"/>
      <c r="W627" s="89"/>
      <c r="X627" s="89"/>
      <c r="Y627" s="89"/>
      <c r="Z627" s="77"/>
      <c r="AA627" s="77"/>
      <c r="AB627" s="94"/>
      <c r="AC627" s="94"/>
      <c r="AD627" s="94"/>
      <c r="AE627" s="94"/>
      <c r="AF627" s="91"/>
      <c r="AG627" s="92"/>
      <c r="AH627" s="92"/>
      <c r="AI627" s="93"/>
      <c r="AJ627" s="94"/>
      <c r="AK627" s="92"/>
      <c r="AL627" s="94"/>
      <c r="AM627" s="94"/>
      <c r="AN627" s="94"/>
      <c r="AO627" s="94"/>
      <c r="AP627" s="94"/>
      <c r="AQ627" s="94"/>
      <c r="AR627" s="94"/>
      <c r="AS627" s="94"/>
      <c r="AT627" s="94"/>
      <c r="AU627" s="92"/>
      <c r="AV627" s="94"/>
      <c r="AW627" s="94"/>
      <c r="AX627" s="94"/>
      <c r="AY627" s="94"/>
      <c r="AZ627" s="94"/>
      <c r="BA627" s="94"/>
      <c r="BB627" s="94"/>
      <c r="BC627" s="94"/>
      <c r="BD627" s="94"/>
      <c r="BE627" s="94"/>
      <c r="BF627" s="94"/>
      <c r="BG627" s="94"/>
      <c r="BH627" s="94"/>
      <c r="BI627" s="94"/>
      <c r="BJ627" s="94"/>
      <c r="BK627" s="94"/>
      <c r="BL627" s="92"/>
      <c r="BM627" s="94"/>
      <c r="BN627" s="94"/>
      <c r="BO627" s="94"/>
      <c r="BP627" s="94"/>
      <c r="BQ627" s="92"/>
      <c r="BR627" s="92"/>
      <c r="BS627" s="92"/>
      <c r="BT627" s="92"/>
      <c r="BU627" s="92"/>
      <c r="BV627" s="92"/>
      <c r="BW627" s="92"/>
      <c r="BX627" s="92"/>
      <c r="BY627" s="92"/>
      <c r="BZ627" s="92"/>
    </row>
    <row r="628" spans="1:78" ht="12.9">
      <c r="A628" s="89"/>
      <c r="B628" s="89"/>
      <c r="C628" s="89"/>
      <c r="D628" s="89"/>
      <c r="E628" s="89"/>
      <c r="F628" s="89"/>
      <c r="G628" s="89"/>
      <c r="H628" s="105"/>
      <c r="I628" s="106"/>
      <c r="J628" s="106"/>
      <c r="K628" s="89"/>
      <c r="L628" s="89"/>
      <c r="M628" s="89"/>
      <c r="N628" s="107"/>
      <c r="O628" s="107"/>
      <c r="P628" s="89"/>
      <c r="Q628" s="89"/>
      <c r="R628" s="89"/>
      <c r="S628" s="89"/>
      <c r="T628" s="89"/>
      <c r="U628" s="89"/>
      <c r="V628" s="89"/>
      <c r="W628" s="89"/>
      <c r="X628" s="89"/>
      <c r="Y628" s="89"/>
      <c r="Z628" s="77"/>
      <c r="AA628" s="77"/>
      <c r="AB628" s="94"/>
      <c r="AC628" s="94"/>
      <c r="AD628" s="94"/>
      <c r="AE628" s="94"/>
      <c r="AF628" s="91"/>
      <c r="AG628" s="92"/>
      <c r="AH628" s="92"/>
      <c r="AI628" s="93"/>
      <c r="AJ628" s="94"/>
      <c r="AK628" s="92"/>
      <c r="AL628" s="94"/>
      <c r="AM628" s="94"/>
      <c r="AN628" s="94"/>
      <c r="AO628" s="94"/>
      <c r="AP628" s="94"/>
      <c r="AQ628" s="94"/>
      <c r="AR628" s="94"/>
      <c r="AS628" s="94"/>
      <c r="AT628" s="94"/>
      <c r="AU628" s="92"/>
      <c r="AV628" s="94"/>
      <c r="AW628" s="94"/>
      <c r="AX628" s="94"/>
      <c r="AY628" s="94"/>
      <c r="AZ628" s="94"/>
      <c r="BA628" s="94"/>
      <c r="BB628" s="94"/>
      <c r="BC628" s="94"/>
      <c r="BD628" s="94"/>
      <c r="BE628" s="94"/>
      <c r="BF628" s="94"/>
      <c r="BG628" s="94"/>
      <c r="BH628" s="94"/>
      <c r="BI628" s="94"/>
      <c r="BJ628" s="94"/>
      <c r="BK628" s="94"/>
      <c r="BL628" s="92"/>
      <c r="BM628" s="94"/>
      <c r="BN628" s="94"/>
      <c r="BO628" s="94"/>
      <c r="BP628" s="94"/>
      <c r="BQ628" s="92"/>
      <c r="BR628" s="92"/>
      <c r="BS628" s="92"/>
      <c r="BT628" s="92"/>
      <c r="BU628" s="92"/>
      <c r="BV628" s="92"/>
      <c r="BW628" s="92"/>
      <c r="BX628" s="92"/>
      <c r="BY628" s="92"/>
      <c r="BZ628" s="92"/>
    </row>
    <row r="629" spans="1:78" ht="12.9">
      <c r="A629" s="89"/>
      <c r="B629" s="89"/>
      <c r="C629" s="89"/>
      <c r="D629" s="89"/>
      <c r="E629" s="89"/>
      <c r="F629" s="89"/>
      <c r="G629" s="89"/>
      <c r="H629" s="105"/>
      <c r="I629" s="106"/>
      <c r="J629" s="106"/>
      <c r="K629" s="89"/>
      <c r="L629" s="89"/>
      <c r="M629" s="89"/>
      <c r="N629" s="107"/>
      <c r="O629" s="107"/>
      <c r="P629" s="89"/>
      <c r="Q629" s="89"/>
      <c r="R629" s="89"/>
      <c r="S629" s="89"/>
      <c r="T629" s="89"/>
      <c r="U629" s="89"/>
      <c r="V629" s="89"/>
      <c r="W629" s="89"/>
      <c r="X629" s="89"/>
      <c r="Y629" s="89"/>
      <c r="Z629" s="77"/>
      <c r="AA629" s="77"/>
      <c r="AB629" s="94"/>
      <c r="AC629" s="94"/>
      <c r="AD629" s="94"/>
      <c r="AE629" s="94"/>
      <c r="AF629" s="91"/>
      <c r="AG629" s="92"/>
      <c r="AH629" s="92"/>
      <c r="AI629" s="93"/>
      <c r="AJ629" s="94"/>
      <c r="AK629" s="92"/>
      <c r="AL629" s="94"/>
      <c r="AM629" s="94"/>
      <c r="AN629" s="94"/>
      <c r="AO629" s="94"/>
      <c r="AP629" s="94"/>
      <c r="AQ629" s="94"/>
      <c r="AR629" s="94"/>
      <c r="AS629" s="94"/>
      <c r="AT629" s="94"/>
      <c r="AU629" s="92"/>
      <c r="AV629" s="94"/>
      <c r="AW629" s="94"/>
      <c r="AX629" s="94"/>
      <c r="AY629" s="94"/>
      <c r="AZ629" s="94"/>
      <c r="BA629" s="94"/>
      <c r="BB629" s="94"/>
      <c r="BC629" s="94"/>
      <c r="BD629" s="94"/>
      <c r="BE629" s="94"/>
      <c r="BF629" s="94"/>
      <c r="BG629" s="94"/>
      <c r="BH629" s="94"/>
      <c r="BI629" s="94"/>
      <c r="BJ629" s="94"/>
      <c r="BK629" s="94"/>
      <c r="BL629" s="92"/>
      <c r="BM629" s="94"/>
      <c r="BN629" s="94"/>
      <c r="BO629" s="94"/>
      <c r="BP629" s="94"/>
      <c r="BQ629" s="92"/>
      <c r="BR629" s="92"/>
      <c r="BS629" s="92"/>
      <c r="BT629" s="92"/>
      <c r="BU629" s="92"/>
      <c r="BV629" s="92"/>
      <c r="BW629" s="92"/>
      <c r="BX629" s="92"/>
      <c r="BY629" s="92"/>
      <c r="BZ629" s="92"/>
    </row>
    <row r="630" spans="1:78" ht="12.9">
      <c r="A630" s="89"/>
      <c r="B630" s="89"/>
      <c r="C630" s="89"/>
      <c r="D630" s="89"/>
      <c r="E630" s="89"/>
      <c r="F630" s="89"/>
      <c r="G630" s="89"/>
      <c r="H630" s="105"/>
      <c r="I630" s="106"/>
      <c r="J630" s="106"/>
      <c r="K630" s="89"/>
      <c r="L630" s="89"/>
      <c r="M630" s="89"/>
      <c r="N630" s="107"/>
      <c r="O630" s="107"/>
      <c r="P630" s="89"/>
      <c r="Q630" s="89"/>
      <c r="R630" s="89"/>
      <c r="S630" s="89"/>
      <c r="T630" s="89"/>
      <c r="U630" s="89"/>
      <c r="V630" s="89"/>
      <c r="W630" s="89"/>
      <c r="X630" s="89"/>
      <c r="Y630" s="89"/>
      <c r="Z630" s="77"/>
      <c r="AA630" s="77"/>
      <c r="AB630" s="94"/>
      <c r="AC630" s="94"/>
      <c r="AD630" s="94"/>
      <c r="AE630" s="94"/>
      <c r="AF630" s="91"/>
      <c r="AG630" s="92"/>
      <c r="AH630" s="92"/>
      <c r="AI630" s="93"/>
      <c r="AJ630" s="94"/>
      <c r="AK630" s="92"/>
      <c r="AL630" s="94"/>
      <c r="AM630" s="94"/>
      <c r="AN630" s="94"/>
      <c r="AO630" s="94"/>
      <c r="AP630" s="94"/>
      <c r="AQ630" s="94"/>
      <c r="AR630" s="94"/>
      <c r="AS630" s="94"/>
      <c r="AT630" s="94"/>
      <c r="AU630" s="92"/>
      <c r="AV630" s="94"/>
      <c r="AW630" s="94"/>
      <c r="AX630" s="94"/>
      <c r="AY630" s="94"/>
      <c r="AZ630" s="94"/>
      <c r="BA630" s="94"/>
      <c r="BB630" s="94"/>
      <c r="BC630" s="94"/>
      <c r="BD630" s="94"/>
      <c r="BE630" s="94"/>
      <c r="BF630" s="94"/>
      <c r="BG630" s="94"/>
      <c r="BH630" s="94"/>
      <c r="BI630" s="94"/>
      <c r="BJ630" s="94"/>
      <c r="BK630" s="94"/>
      <c r="BL630" s="92"/>
      <c r="BM630" s="94"/>
      <c r="BN630" s="94"/>
      <c r="BO630" s="94"/>
      <c r="BP630" s="94"/>
      <c r="BQ630" s="92"/>
      <c r="BR630" s="92"/>
      <c r="BS630" s="92"/>
      <c r="BT630" s="92"/>
      <c r="BU630" s="92"/>
      <c r="BV630" s="92"/>
      <c r="BW630" s="92"/>
      <c r="BX630" s="92"/>
      <c r="BY630" s="92"/>
      <c r="BZ630" s="92"/>
    </row>
    <row r="631" spans="1:78" ht="12.9">
      <c r="A631" s="89"/>
      <c r="B631" s="89"/>
      <c r="C631" s="89"/>
      <c r="D631" s="89"/>
      <c r="E631" s="89"/>
      <c r="F631" s="89"/>
      <c r="G631" s="89"/>
      <c r="H631" s="105"/>
      <c r="I631" s="106"/>
      <c r="J631" s="106"/>
      <c r="K631" s="89"/>
      <c r="L631" s="89"/>
      <c r="M631" s="89"/>
      <c r="N631" s="107"/>
      <c r="O631" s="107"/>
      <c r="P631" s="89"/>
      <c r="Q631" s="89"/>
      <c r="R631" s="89"/>
      <c r="S631" s="89"/>
      <c r="T631" s="89"/>
      <c r="U631" s="89"/>
      <c r="V631" s="89"/>
      <c r="W631" s="89"/>
      <c r="X631" s="89"/>
      <c r="Y631" s="89"/>
      <c r="Z631" s="77"/>
      <c r="AA631" s="77"/>
      <c r="AB631" s="94"/>
      <c r="AC631" s="94"/>
      <c r="AD631" s="94"/>
      <c r="AE631" s="94"/>
      <c r="AF631" s="91"/>
      <c r="AG631" s="92"/>
      <c r="AH631" s="92"/>
      <c r="AI631" s="93"/>
      <c r="AJ631" s="94"/>
      <c r="AK631" s="92"/>
      <c r="AL631" s="94"/>
      <c r="AM631" s="94"/>
      <c r="AN631" s="94"/>
      <c r="AO631" s="94"/>
      <c r="AP631" s="94"/>
      <c r="AQ631" s="94"/>
      <c r="AR631" s="94"/>
      <c r="AS631" s="94"/>
      <c r="AT631" s="94"/>
      <c r="AU631" s="92"/>
      <c r="AV631" s="94"/>
      <c r="AW631" s="94"/>
      <c r="AX631" s="94"/>
      <c r="AY631" s="94"/>
      <c r="AZ631" s="94"/>
      <c r="BA631" s="94"/>
      <c r="BB631" s="94"/>
      <c r="BC631" s="94"/>
      <c r="BD631" s="94"/>
      <c r="BE631" s="94"/>
      <c r="BF631" s="94"/>
      <c r="BG631" s="94"/>
      <c r="BH631" s="94"/>
      <c r="BI631" s="94"/>
      <c r="BJ631" s="94"/>
      <c r="BK631" s="94"/>
      <c r="BL631" s="92"/>
      <c r="BM631" s="94"/>
      <c r="BN631" s="94"/>
      <c r="BO631" s="94"/>
      <c r="BP631" s="94"/>
      <c r="BQ631" s="92"/>
      <c r="BR631" s="92"/>
      <c r="BS631" s="92"/>
      <c r="BT631" s="92"/>
      <c r="BU631" s="92"/>
      <c r="BV631" s="92"/>
      <c r="BW631" s="92"/>
      <c r="BX631" s="92"/>
      <c r="BY631" s="92"/>
      <c r="BZ631" s="92"/>
    </row>
    <row r="632" spans="1:78" ht="12.9">
      <c r="A632" s="89"/>
      <c r="B632" s="89"/>
      <c r="C632" s="89"/>
      <c r="D632" s="89"/>
      <c r="E632" s="89"/>
      <c r="F632" s="89"/>
      <c r="G632" s="89"/>
      <c r="H632" s="105"/>
      <c r="I632" s="106"/>
      <c r="J632" s="106"/>
      <c r="K632" s="89"/>
      <c r="L632" s="89"/>
      <c r="M632" s="89"/>
      <c r="N632" s="107"/>
      <c r="O632" s="107"/>
      <c r="P632" s="89"/>
      <c r="Q632" s="89"/>
      <c r="R632" s="89"/>
      <c r="S632" s="89"/>
      <c r="T632" s="89"/>
      <c r="U632" s="89"/>
      <c r="V632" s="89"/>
      <c r="W632" s="89"/>
      <c r="X632" s="89"/>
      <c r="Y632" s="89"/>
      <c r="Z632" s="77"/>
      <c r="AA632" s="77"/>
      <c r="AB632" s="94"/>
      <c r="AC632" s="94"/>
      <c r="AD632" s="94"/>
      <c r="AE632" s="94"/>
      <c r="AF632" s="91"/>
      <c r="AG632" s="92"/>
      <c r="AH632" s="92"/>
      <c r="AI632" s="93"/>
      <c r="AJ632" s="94"/>
      <c r="AK632" s="92"/>
      <c r="AL632" s="94"/>
      <c r="AM632" s="94"/>
      <c r="AN632" s="94"/>
      <c r="AO632" s="94"/>
      <c r="AP632" s="94"/>
      <c r="AQ632" s="94"/>
      <c r="AR632" s="94"/>
      <c r="AS632" s="94"/>
      <c r="AT632" s="94"/>
      <c r="AU632" s="92"/>
      <c r="AV632" s="94"/>
      <c r="AW632" s="94"/>
      <c r="AX632" s="94"/>
      <c r="AY632" s="94"/>
      <c r="AZ632" s="94"/>
      <c r="BA632" s="94"/>
      <c r="BB632" s="94"/>
      <c r="BC632" s="94"/>
      <c r="BD632" s="94"/>
      <c r="BE632" s="94"/>
      <c r="BF632" s="94"/>
      <c r="BG632" s="94"/>
      <c r="BH632" s="94"/>
      <c r="BI632" s="94"/>
      <c r="BJ632" s="94"/>
      <c r="BK632" s="94"/>
      <c r="BL632" s="92"/>
      <c r="BM632" s="94"/>
      <c r="BN632" s="94"/>
      <c r="BO632" s="94"/>
      <c r="BP632" s="94"/>
      <c r="BQ632" s="92"/>
      <c r="BR632" s="92"/>
      <c r="BS632" s="92"/>
      <c r="BT632" s="92"/>
      <c r="BU632" s="92"/>
      <c r="BV632" s="92"/>
      <c r="BW632" s="92"/>
      <c r="BX632" s="92"/>
      <c r="BY632" s="92"/>
      <c r="BZ632" s="92"/>
    </row>
    <row r="633" spans="1:78" ht="12.9">
      <c r="A633" s="89"/>
      <c r="B633" s="89"/>
      <c r="C633" s="89"/>
      <c r="D633" s="89"/>
      <c r="E633" s="89"/>
      <c r="F633" s="89"/>
      <c r="G633" s="89"/>
      <c r="H633" s="105"/>
      <c r="I633" s="106"/>
      <c r="J633" s="106"/>
      <c r="K633" s="89"/>
      <c r="L633" s="89"/>
      <c r="M633" s="89"/>
      <c r="N633" s="107"/>
      <c r="O633" s="107"/>
      <c r="P633" s="89"/>
      <c r="Q633" s="89"/>
      <c r="R633" s="89"/>
      <c r="S633" s="89"/>
      <c r="T633" s="89"/>
      <c r="U633" s="89"/>
      <c r="V633" s="89"/>
      <c r="W633" s="89"/>
      <c r="X633" s="89"/>
      <c r="Y633" s="89"/>
      <c r="Z633" s="77"/>
      <c r="AA633" s="77"/>
      <c r="AB633" s="94"/>
      <c r="AC633" s="94"/>
      <c r="AD633" s="94"/>
      <c r="AE633" s="94"/>
      <c r="AF633" s="91"/>
      <c r="AG633" s="92"/>
      <c r="AH633" s="92"/>
      <c r="AI633" s="93"/>
      <c r="AJ633" s="94"/>
      <c r="AK633" s="92"/>
      <c r="AL633" s="94"/>
      <c r="AM633" s="94"/>
      <c r="AN633" s="94"/>
      <c r="AO633" s="94"/>
      <c r="AP633" s="94"/>
      <c r="AQ633" s="94"/>
      <c r="AR633" s="94"/>
      <c r="AS633" s="94"/>
      <c r="AT633" s="94"/>
      <c r="AU633" s="92"/>
      <c r="AV633" s="94"/>
      <c r="AW633" s="94"/>
      <c r="AX633" s="94"/>
      <c r="AY633" s="94"/>
      <c r="AZ633" s="94"/>
      <c r="BA633" s="94"/>
      <c r="BB633" s="94"/>
      <c r="BC633" s="94"/>
      <c r="BD633" s="94"/>
      <c r="BE633" s="94"/>
      <c r="BF633" s="94"/>
      <c r="BG633" s="94"/>
      <c r="BH633" s="94"/>
      <c r="BI633" s="94"/>
      <c r="BJ633" s="94"/>
      <c r="BK633" s="94"/>
      <c r="BL633" s="92"/>
      <c r="BM633" s="94"/>
      <c r="BN633" s="94"/>
      <c r="BO633" s="94"/>
      <c r="BP633" s="94"/>
      <c r="BQ633" s="92"/>
      <c r="BR633" s="92"/>
      <c r="BS633" s="92"/>
      <c r="BT633" s="92"/>
      <c r="BU633" s="92"/>
      <c r="BV633" s="92"/>
      <c r="BW633" s="92"/>
      <c r="BX633" s="92"/>
      <c r="BY633" s="92"/>
      <c r="BZ633" s="92"/>
    </row>
    <row r="634" spans="1:78" ht="12.9">
      <c r="A634" s="89"/>
      <c r="B634" s="89"/>
      <c r="C634" s="89"/>
      <c r="D634" s="89"/>
      <c r="E634" s="89"/>
      <c r="F634" s="89"/>
      <c r="G634" s="89"/>
      <c r="H634" s="105"/>
      <c r="I634" s="106"/>
      <c r="J634" s="106"/>
      <c r="K634" s="89"/>
      <c r="L634" s="89"/>
      <c r="M634" s="89"/>
      <c r="N634" s="107"/>
      <c r="O634" s="107"/>
      <c r="P634" s="89"/>
      <c r="Q634" s="89"/>
      <c r="R634" s="89"/>
      <c r="S634" s="89"/>
      <c r="T634" s="89"/>
      <c r="U634" s="89"/>
      <c r="V634" s="89"/>
      <c r="W634" s="89"/>
      <c r="X634" s="89"/>
      <c r="Y634" s="89"/>
      <c r="Z634" s="77"/>
      <c r="AA634" s="77"/>
      <c r="AB634" s="94"/>
      <c r="AC634" s="94"/>
      <c r="AD634" s="94"/>
      <c r="AE634" s="94"/>
      <c r="AF634" s="91"/>
      <c r="AG634" s="92"/>
      <c r="AH634" s="92"/>
      <c r="AI634" s="93"/>
      <c r="AJ634" s="94"/>
      <c r="AK634" s="92"/>
      <c r="AL634" s="94"/>
      <c r="AM634" s="94"/>
      <c r="AN634" s="94"/>
      <c r="AO634" s="94"/>
      <c r="AP634" s="94"/>
      <c r="AQ634" s="94"/>
      <c r="AR634" s="94"/>
      <c r="AS634" s="94"/>
      <c r="AT634" s="94"/>
      <c r="AU634" s="92"/>
      <c r="AV634" s="94"/>
      <c r="AW634" s="94"/>
      <c r="AX634" s="94"/>
      <c r="AY634" s="94"/>
      <c r="AZ634" s="94"/>
      <c r="BA634" s="94"/>
      <c r="BB634" s="94"/>
      <c r="BC634" s="94"/>
      <c r="BD634" s="94"/>
      <c r="BE634" s="94"/>
      <c r="BF634" s="94"/>
      <c r="BG634" s="94"/>
      <c r="BH634" s="94"/>
      <c r="BI634" s="94"/>
      <c r="BJ634" s="94"/>
      <c r="BK634" s="94"/>
      <c r="BL634" s="92"/>
      <c r="BM634" s="94"/>
      <c r="BN634" s="94"/>
      <c r="BO634" s="94"/>
      <c r="BP634" s="94"/>
      <c r="BQ634" s="92"/>
      <c r="BR634" s="92"/>
      <c r="BS634" s="92"/>
      <c r="BT634" s="92"/>
      <c r="BU634" s="92"/>
      <c r="BV634" s="92"/>
      <c r="BW634" s="92"/>
      <c r="BX634" s="92"/>
      <c r="BY634" s="92"/>
      <c r="BZ634" s="92"/>
    </row>
    <row r="635" spans="1:78" ht="12.9">
      <c r="A635" s="89"/>
      <c r="B635" s="89"/>
      <c r="C635" s="89"/>
      <c r="D635" s="89"/>
      <c r="E635" s="89"/>
      <c r="F635" s="89"/>
      <c r="G635" s="89"/>
      <c r="H635" s="105"/>
      <c r="I635" s="106"/>
      <c r="J635" s="106"/>
      <c r="K635" s="89"/>
      <c r="L635" s="89"/>
      <c r="M635" s="89"/>
      <c r="N635" s="107"/>
      <c r="O635" s="107"/>
      <c r="P635" s="89"/>
      <c r="Q635" s="89"/>
      <c r="R635" s="89"/>
      <c r="S635" s="89"/>
      <c r="T635" s="89"/>
      <c r="U635" s="89"/>
      <c r="V635" s="89"/>
      <c r="W635" s="89"/>
      <c r="X635" s="89"/>
      <c r="Y635" s="89"/>
      <c r="Z635" s="77"/>
      <c r="AA635" s="77"/>
      <c r="AB635" s="94"/>
      <c r="AC635" s="94"/>
      <c r="AD635" s="94"/>
      <c r="AE635" s="94"/>
      <c r="AF635" s="91"/>
      <c r="AG635" s="92"/>
      <c r="AH635" s="92"/>
      <c r="AI635" s="93"/>
      <c r="AJ635" s="94"/>
      <c r="AK635" s="92"/>
      <c r="AL635" s="94"/>
      <c r="AM635" s="94"/>
      <c r="AN635" s="94"/>
      <c r="AO635" s="94"/>
      <c r="AP635" s="94"/>
      <c r="AQ635" s="94"/>
      <c r="AR635" s="94"/>
      <c r="AS635" s="94"/>
      <c r="AT635" s="94"/>
      <c r="AU635" s="92"/>
      <c r="AV635" s="94"/>
      <c r="AW635" s="94"/>
      <c r="AX635" s="94"/>
      <c r="AY635" s="94"/>
      <c r="AZ635" s="94"/>
      <c r="BA635" s="94"/>
      <c r="BB635" s="94"/>
      <c r="BC635" s="94"/>
      <c r="BD635" s="94"/>
      <c r="BE635" s="94"/>
      <c r="BF635" s="94"/>
      <c r="BG635" s="94"/>
      <c r="BH635" s="94"/>
      <c r="BI635" s="94"/>
      <c r="BJ635" s="94"/>
      <c r="BK635" s="94"/>
      <c r="BL635" s="92"/>
      <c r="BM635" s="94"/>
      <c r="BN635" s="94"/>
      <c r="BO635" s="94"/>
      <c r="BP635" s="94"/>
      <c r="BQ635" s="92"/>
      <c r="BR635" s="92"/>
      <c r="BS635" s="92"/>
      <c r="BT635" s="92"/>
      <c r="BU635" s="92"/>
      <c r="BV635" s="92"/>
      <c r="BW635" s="92"/>
      <c r="BX635" s="92"/>
      <c r="BY635" s="92"/>
      <c r="BZ635" s="92"/>
    </row>
    <row r="636" spans="1:78" ht="12.9">
      <c r="A636" s="89"/>
      <c r="B636" s="89"/>
      <c r="C636" s="89"/>
      <c r="D636" s="89"/>
      <c r="E636" s="89"/>
      <c r="F636" s="89"/>
      <c r="G636" s="89"/>
      <c r="H636" s="105"/>
      <c r="I636" s="106"/>
      <c r="J636" s="106"/>
      <c r="K636" s="89"/>
      <c r="L636" s="89"/>
      <c r="M636" s="89"/>
      <c r="N636" s="107"/>
      <c r="O636" s="107"/>
      <c r="P636" s="89"/>
      <c r="Q636" s="89"/>
      <c r="R636" s="89"/>
      <c r="S636" s="89"/>
      <c r="T636" s="89"/>
      <c r="U636" s="89"/>
      <c r="V636" s="89"/>
      <c r="W636" s="89"/>
      <c r="X636" s="89"/>
      <c r="Y636" s="89"/>
      <c r="Z636" s="77"/>
      <c r="AA636" s="77"/>
      <c r="AB636" s="94"/>
      <c r="AC636" s="94"/>
      <c r="AD636" s="94"/>
      <c r="AE636" s="94"/>
      <c r="AF636" s="91"/>
      <c r="AG636" s="92"/>
      <c r="AH636" s="92"/>
      <c r="AI636" s="93"/>
      <c r="AJ636" s="94"/>
      <c r="AK636" s="92"/>
      <c r="AL636" s="94"/>
      <c r="AM636" s="94"/>
      <c r="AN636" s="94"/>
      <c r="AO636" s="94"/>
      <c r="AP636" s="94"/>
      <c r="AQ636" s="94"/>
      <c r="AR636" s="94"/>
      <c r="AS636" s="94"/>
      <c r="AT636" s="94"/>
      <c r="AU636" s="92"/>
      <c r="AV636" s="94"/>
      <c r="AW636" s="94"/>
      <c r="AX636" s="94"/>
      <c r="AY636" s="94"/>
      <c r="AZ636" s="94"/>
      <c r="BA636" s="94"/>
      <c r="BB636" s="94"/>
      <c r="BC636" s="94"/>
      <c r="BD636" s="94"/>
      <c r="BE636" s="94"/>
      <c r="BF636" s="94"/>
      <c r="BG636" s="94"/>
      <c r="BH636" s="94"/>
      <c r="BI636" s="94"/>
      <c r="BJ636" s="94"/>
      <c r="BK636" s="94"/>
      <c r="BL636" s="92"/>
      <c r="BM636" s="94"/>
      <c r="BN636" s="94"/>
      <c r="BO636" s="94"/>
      <c r="BP636" s="94"/>
      <c r="BQ636" s="92"/>
      <c r="BR636" s="92"/>
      <c r="BS636" s="92"/>
      <c r="BT636" s="92"/>
      <c r="BU636" s="92"/>
      <c r="BV636" s="92"/>
      <c r="BW636" s="92"/>
      <c r="BX636" s="92"/>
      <c r="BY636" s="92"/>
      <c r="BZ636" s="92"/>
    </row>
    <row r="637" spans="1:78" ht="12.9">
      <c r="A637" s="89"/>
      <c r="B637" s="89"/>
      <c r="C637" s="89"/>
      <c r="D637" s="89"/>
      <c r="E637" s="89"/>
      <c r="F637" s="89"/>
      <c r="G637" s="89"/>
      <c r="H637" s="105"/>
      <c r="I637" s="106"/>
      <c r="J637" s="106"/>
      <c r="K637" s="89"/>
      <c r="L637" s="89"/>
      <c r="M637" s="89"/>
      <c r="N637" s="107"/>
      <c r="O637" s="107"/>
      <c r="P637" s="89"/>
      <c r="Q637" s="89"/>
      <c r="R637" s="89"/>
      <c r="S637" s="89"/>
      <c r="T637" s="89"/>
      <c r="U637" s="89"/>
      <c r="V637" s="89"/>
      <c r="W637" s="89"/>
      <c r="X637" s="89"/>
      <c r="Y637" s="89"/>
      <c r="Z637" s="77"/>
      <c r="AA637" s="77"/>
      <c r="AB637" s="94"/>
      <c r="AC637" s="94"/>
      <c r="AD637" s="94"/>
      <c r="AE637" s="94"/>
      <c r="AF637" s="91"/>
      <c r="AG637" s="92"/>
      <c r="AH637" s="92"/>
      <c r="AI637" s="93"/>
      <c r="AJ637" s="94"/>
      <c r="AK637" s="92"/>
      <c r="AL637" s="94"/>
      <c r="AM637" s="94"/>
      <c r="AN637" s="94"/>
      <c r="AO637" s="94"/>
      <c r="AP637" s="94"/>
      <c r="AQ637" s="94"/>
      <c r="AR637" s="94"/>
      <c r="AS637" s="94"/>
      <c r="AT637" s="94"/>
      <c r="AU637" s="92"/>
      <c r="AV637" s="94"/>
      <c r="AW637" s="94"/>
      <c r="AX637" s="94"/>
      <c r="AY637" s="94"/>
      <c r="AZ637" s="94"/>
      <c r="BA637" s="94"/>
      <c r="BB637" s="94"/>
      <c r="BC637" s="94"/>
      <c r="BD637" s="94"/>
      <c r="BE637" s="94"/>
      <c r="BF637" s="94"/>
      <c r="BG637" s="94"/>
      <c r="BH637" s="94"/>
      <c r="BI637" s="94"/>
      <c r="BJ637" s="94"/>
      <c r="BK637" s="94"/>
      <c r="BL637" s="92"/>
      <c r="BM637" s="94"/>
      <c r="BN637" s="94"/>
      <c r="BO637" s="94"/>
      <c r="BP637" s="94"/>
      <c r="BQ637" s="92"/>
      <c r="BR637" s="92"/>
      <c r="BS637" s="92"/>
      <c r="BT637" s="92"/>
      <c r="BU637" s="92"/>
      <c r="BV637" s="92"/>
      <c r="BW637" s="92"/>
      <c r="BX637" s="92"/>
      <c r="BY637" s="92"/>
      <c r="BZ637" s="92"/>
    </row>
    <row r="638" spans="1:78" ht="12.9">
      <c r="A638" s="89"/>
      <c r="B638" s="89"/>
      <c r="C638" s="89"/>
      <c r="D638" s="89"/>
      <c r="E638" s="89"/>
      <c r="F638" s="89"/>
      <c r="G638" s="89"/>
      <c r="H638" s="105"/>
      <c r="I638" s="106"/>
      <c r="J638" s="106"/>
      <c r="K638" s="89"/>
      <c r="L638" s="89"/>
      <c r="M638" s="89"/>
      <c r="N638" s="107"/>
      <c r="O638" s="107"/>
      <c r="P638" s="89"/>
      <c r="Q638" s="89"/>
      <c r="R638" s="89"/>
      <c r="S638" s="89"/>
      <c r="T638" s="89"/>
      <c r="U638" s="89"/>
      <c r="V638" s="89"/>
      <c r="W638" s="89"/>
      <c r="X638" s="89"/>
      <c r="Y638" s="89"/>
      <c r="Z638" s="77"/>
      <c r="AA638" s="77"/>
      <c r="AB638" s="94"/>
      <c r="AC638" s="94"/>
      <c r="AD638" s="94"/>
      <c r="AE638" s="94"/>
      <c r="AF638" s="91"/>
      <c r="AG638" s="92"/>
      <c r="AH638" s="92"/>
      <c r="AI638" s="93"/>
      <c r="AJ638" s="94"/>
      <c r="AK638" s="92"/>
      <c r="AL638" s="94"/>
      <c r="AM638" s="94"/>
      <c r="AN638" s="94"/>
      <c r="AO638" s="94"/>
      <c r="AP638" s="94"/>
      <c r="AQ638" s="94"/>
      <c r="AR638" s="94"/>
      <c r="AS638" s="94"/>
      <c r="AT638" s="94"/>
      <c r="AU638" s="92"/>
      <c r="AV638" s="94"/>
      <c r="AW638" s="94"/>
      <c r="AX638" s="94"/>
      <c r="AY638" s="94"/>
      <c r="AZ638" s="94"/>
      <c r="BA638" s="94"/>
      <c r="BB638" s="94"/>
      <c r="BC638" s="94"/>
      <c r="BD638" s="94"/>
      <c r="BE638" s="94"/>
      <c r="BF638" s="94"/>
      <c r="BG638" s="94"/>
      <c r="BH638" s="94"/>
      <c r="BI638" s="94"/>
      <c r="BJ638" s="94"/>
      <c r="BK638" s="94"/>
      <c r="BL638" s="92"/>
      <c r="BM638" s="94"/>
      <c r="BN638" s="94"/>
      <c r="BO638" s="94"/>
      <c r="BP638" s="94"/>
      <c r="BQ638" s="92"/>
      <c r="BR638" s="92"/>
      <c r="BS638" s="92"/>
      <c r="BT638" s="92"/>
      <c r="BU638" s="92"/>
      <c r="BV638" s="92"/>
      <c r="BW638" s="92"/>
      <c r="BX638" s="92"/>
      <c r="BY638" s="92"/>
      <c r="BZ638" s="92"/>
    </row>
    <row r="639" spans="1:78" ht="12.9">
      <c r="A639" s="89"/>
      <c r="B639" s="89"/>
      <c r="C639" s="89"/>
      <c r="D639" s="89"/>
      <c r="E639" s="89"/>
      <c r="F639" s="89"/>
      <c r="G639" s="89"/>
      <c r="H639" s="105"/>
      <c r="I639" s="106"/>
      <c r="J639" s="106"/>
      <c r="K639" s="89"/>
      <c r="L639" s="89"/>
      <c r="M639" s="89"/>
      <c r="N639" s="107"/>
      <c r="O639" s="107"/>
      <c r="P639" s="89"/>
      <c r="Q639" s="89"/>
      <c r="R639" s="89"/>
      <c r="S639" s="89"/>
      <c r="T639" s="89"/>
      <c r="U639" s="89"/>
      <c r="V639" s="89"/>
      <c r="W639" s="89"/>
      <c r="X639" s="89"/>
      <c r="Y639" s="89"/>
      <c r="Z639" s="77"/>
      <c r="AA639" s="77"/>
      <c r="AB639" s="94"/>
      <c r="AC639" s="94"/>
      <c r="AD639" s="94"/>
      <c r="AE639" s="94"/>
      <c r="AF639" s="91"/>
      <c r="AG639" s="92"/>
      <c r="AH639" s="92"/>
      <c r="AI639" s="93"/>
      <c r="AJ639" s="94"/>
      <c r="AK639" s="92"/>
      <c r="AL639" s="94"/>
      <c r="AM639" s="94"/>
      <c r="AN639" s="94"/>
      <c r="AO639" s="94"/>
      <c r="AP639" s="94"/>
      <c r="AQ639" s="94"/>
      <c r="AR639" s="94"/>
      <c r="AS639" s="94"/>
      <c r="AT639" s="94"/>
      <c r="AU639" s="92"/>
      <c r="AV639" s="94"/>
      <c r="AW639" s="94"/>
      <c r="AX639" s="94"/>
      <c r="AY639" s="94"/>
      <c r="AZ639" s="94"/>
      <c r="BA639" s="94"/>
      <c r="BB639" s="94"/>
      <c r="BC639" s="94"/>
      <c r="BD639" s="94"/>
      <c r="BE639" s="94"/>
      <c r="BF639" s="94"/>
      <c r="BG639" s="94"/>
      <c r="BH639" s="94"/>
      <c r="BI639" s="94"/>
      <c r="BJ639" s="94"/>
      <c r="BK639" s="94"/>
      <c r="BL639" s="92"/>
      <c r="BM639" s="94"/>
      <c r="BN639" s="94"/>
      <c r="BO639" s="94"/>
      <c r="BP639" s="94"/>
      <c r="BQ639" s="92"/>
      <c r="BR639" s="92"/>
      <c r="BS639" s="92"/>
      <c r="BT639" s="92"/>
      <c r="BU639" s="92"/>
      <c r="BV639" s="92"/>
      <c r="BW639" s="92"/>
      <c r="BX639" s="92"/>
      <c r="BY639" s="92"/>
      <c r="BZ639" s="92"/>
    </row>
    <row r="640" spans="1:78" ht="12.9">
      <c r="A640" s="89"/>
      <c r="B640" s="89"/>
      <c r="C640" s="89"/>
      <c r="D640" s="89"/>
      <c r="E640" s="89"/>
      <c r="F640" s="89"/>
      <c r="G640" s="89"/>
      <c r="H640" s="105"/>
      <c r="I640" s="106"/>
      <c r="J640" s="106"/>
      <c r="K640" s="89"/>
      <c r="L640" s="89"/>
      <c r="M640" s="89"/>
      <c r="N640" s="107"/>
      <c r="O640" s="107"/>
      <c r="P640" s="89"/>
      <c r="Q640" s="89"/>
      <c r="R640" s="89"/>
      <c r="S640" s="89"/>
      <c r="T640" s="89"/>
      <c r="U640" s="89"/>
      <c r="V640" s="89"/>
      <c r="W640" s="89"/>
      <c r="X640" s="89"/>
      <c r="Y640" s="89"/>
      <c r="Z640" s="77"/>
      <c r="AA640" s="77"/>
      <c r="AB640" s="94"/>
      <c r="AC640" s="94"/>
      <c r="AD640" s="94"/>
      <c r="AE640" s="94"/>
      <c r="AF640" s="91"/>
      <c r="AG640" s="92"/>
      <c r="AH640" s="92"/>
      <c r="AI640" s="93"/>
      <c r="AJ640" s="94"/>
      <c r="AK640" s="92"/>
      <c r="AL640" s="94"/>
      <c r="AM640" s="94"/>
      <c r="AN640" s="94"/>
      <c r="AO640" s="94"/>
      <c r="AP640" s="94"/>
      <c r="AQ640" s="94"/>
      <c r="AR640" s="94"/>
      <c r="AS640" s="94"/>
      <c r="AT640" s="94"/>
      <c r="AU640" s="92"/>
      <c r="AV640" s="94"/>
      <c r="AW640" s="94"/>
      <c r="AX640" s="94"/>
      <c r="AY640" s="94"/>
      <c r="AZ640" s="94"/>
      <c r="BA640" s="94"/>
      <c r="BB640" s="94"/>
      <c r="BC640" s="94"/>
      <c r="BD640" s="94"/>
      <c r="BE640" s="94"/>
      <c r="BF640" s="94"/>
      <c r="BG640" s="94"/>
      <c r="BH640" s="94"/>
      <c r="BI640" s="94"/>
      <c r="BJ640" s="94"/>
      <c r="BK640" s="94"/>
      <c r="BL640" s="92"/>
      <c r="BM640" s="94"/>
      <c r="BN640" s="94"/>
      <c r="BO640" s="94"/>
      <c r="BP640" s="94"/>
      <c r="BQ640" s="92"/>
      <c r="BR640" s="92"/>
      <c r="BS640" s="92"/>
      <c r="BT640" s="92"/>
      <c r="BU640" s="92"/>
      <c r="BV640" s="92"/>
      <c r="BW640" s="92"/>
      <c r="BX640" s="92"/>
      <c r="BY640" s="92"/>
      <c r="BZ640" s="92"/>
    </row>
    <row r="641" spans="1:78" ht="12.9">
      <c r="A641" s="89"/>
      <c r="B641" s="89"/>
      <c r="C641" s="89"/>
      <c r="D641" s="89"/>
      <c r="E641" s="89"/>
      <c r="F641" s="89"/>
      <c r="G641" s="89"/>
      <c r="H641" s="105"/>
      <c r="I641" s="106"/>
      <c r="J641" s="106"/>
      <c r="K641" s="89"/>
      <c r="L641" s="89"/>
      <c r="M641" s="89"/>
      <c r="N641" s="107"/>
      <c r="O641" s="107"/>
      <c r="P641" s="89"/>
      <c r="Q641" s="89"/>
      <c r="R641" s="89"/>
      <c r="S641" s="89"/>
      <c r="T641" s="89"/>
      <c r="U641" s="89"/>
      <c r="V641" s="89"/>
      <c r="W641" s="89"/>
      <c r="X641" s="89"/>
      <c r="Y641" s="89"/>
      <c r="Z641" s="77"/>
      <c r="AA641" s="77"/>
      <c r="AB641" s="94"/>
      <c r="AC641" s="94"/>
      <c r="AD641" s="94"/>
      <c r="AE641" s="94"/>
      <c r="AF641" s="91"/>
      <c r="AG641" s="92"/>
      <c r="AH641" s="92"/>
      <c r="AI641" s="93"/>
      <c r="AJ641" s="94"/>
      <c r="AK641" s="92"/>
      <c r="AL641" s="94"/>
      <c r="AM641" s="94"/>
      <c r="AN641" s="94"/>
      <c r="AO641" s="94"/>
      <c r="AP641" s="94"/>
      <c r="AQ641" s="94"/>
      <c r="AR641" s="94"/>
      <c r="AS641" s="94"/>
      <c r="AT641" s="94"/>
      <c r="AU641" s="92"/>
      <c r="AV641" s="94"/>
      <c r="AW641" s="94"/>
      <c r="AX641" s="94"/>
      <c r="AY641" s="94"/>
      <c r="AZ641" s="94"/>
      <c r="BA641" s="94"/>
      <c r="BB641" s="94"/>
      <c r="BC641" s="94"/>
      <c r="BD641" s="94"/>
      <c r="BE641" s="94"/>
      <c r="BF641" s="94"/>
      <c r="BG641" s="94"/>
      <c r="BH641" s="94"/>
      <c r="BI641" s="94"/>
      <c r="BJ641" s="94"/>
      <c r="BK641" s="94"/>
      <c r="BL641" s="92"/>
      <c r="BM641" s="94"/>
      <c r="BN641" s="94"/>
      <c r="BO641" s="94"/>
      <c r="BP641" s="94"/>
      <c r="BQ641" s="92"/>
      <c r="BR641" s="92"/>
      <c r="BS641" s="92"/>
      <c r="BT641" s="92"/>
      <c r="BU641" s="92"/>
      <c r="BV641" s="92"/>
      <c r="BW641" s="92"/>
      <c r="BX641" s="92"/>
      <c r="BY641" s="92"/>
      <c r="BZ641" s="92"/>
    </row>
    <row r="642" spans="1:78" ht="12.9">
      <c r="A642" s="89"/>
      <c r="B642" s="89"/>
      <c r="C642" s="89"/>
      <c r="D642" s="89"/>
      <c r="E642" s="89"/>
      <c r="F642" s="89"/>
      <c r="G642" s="89"/>
      <c r="H642" s="105"/>
      <c r="I642" s="106"/>
      <c r="J642" s="106"/>
      <c r="K642" s="89"/>
      <c r="L642" s="89"/>
      <c r="M642" s="89"/>
      <c r="N642" s="107"/>
      <c r="O642" s="107"/>
      <c r="P642" s="89"/>
      <c r="Q642" s="89"/>
      <c r="R642" s="89"/>
      <c r="S642" s="89"/>
      <c r="T642" s="89"/>
      <c r="U642" s="89"/>
      <c r="V642" s="89"/>
      <c r="W642" s="89"/>
      <c r="X642" s="89"/>
      <c r="Y642" s="89"/>
      <c r="Z642" s="77"/>
      <c r="AA642" s="77"/>
      <c r="AB642" s="94"/>
      <c r="AC642" s="94"/>
      <c r="AD642" s="94"/>
      <c r="AE642" s="94"/>
      <c r="AF642" s="91"/>
      <c r="AG642" s="92"/>
      <c r="AH642" s="92"/>
      <c r="AI642" s="93"/>
      <c r="AJ642" s="94"/>
      <c r="AK642" s="92"/>
      <c r="AL642" s="94"/>
      <c r="AM642" s="94"/>
      <c r="AN642" s="94"/>
      <c r="AO642" s="94"/>
      <c r="AP642" s="94"/>
      <c r="AQ642" s="94"/>
      <c r="AR642" s="94"/>
      <c r="AS642" s="94"/>
      <c r="AT642" s="94"/>
      <c r="AU642" s="92"/>
      <c r="AV642" s="94"/>
      <c r="AW642" s="94"/>
      <c r="AX642" s="94"/>
      <c r="AY642" s="94"/>
      <c r="AZ642" s="94"/>
      <c r="BA642" s="94"/>
      <c r="BB642" s="94"/>
      <c r="BC642" s="94"/>
      <c r="BD642" s="94"/>
      <c r="BE642" s="94"/>
      <c r="BF642" s="94"/>
      <c r="BG642" s="94"/>
      <c r="BH642" s="94"/>
      <c r="BI642" s="94"/>
      <c r="BJ642" s="94"/>
      <c r="BK642" s="94"/>
      <c r="BL642" s="92"/>
      <c r="BM642" s="94"/>
      <c r="BN642" s="94"/>
      <c r="BO642" s="94"/>
      <c r="BP642" s="94"/>
      <c r="BQ642" s="92"/>
      <c r="BR642" s="92"/>
      <c r="BS642" s="92"/>
      <c r="BT642" s="92"/>
      <c r="BU642" s="92"/>
      <c r="BV642" s="92"/>
      <c r="BW642" s="92"/>
      <c r="BX642" s="92"/>
      <c r="BY642" s="92"/>
      <c r="BZ642" s="92"/>
    </row>
    <row r="643" spans="1:78" ht="12.9">
      <c r="A643" s="89"/>
      <c r="B643" s="89"/>
      <c r="C643" s="89"/>
      <c r="D643" s="89"/>
      <c r="E643" s="89"/>
      <c r="F643" s="89"/>
      <c r="G643" s="89"/>
      <c r="H643" s="105"/>
      <c r="I643" s="106"/>
      <c r="J643" s="106"/>
      <c r="K643" s="89"/>
      <c r="L643" s="89"/>
      <c r="M643" s="89"/>
      <c r="N643" s="107"/>
      <c r="O643" s="107"/>
      <c r="P643" s="89"/>
      <c r="Q643" s="89"/>
      <c r="R643" s="89"/>
      <c r="S643" s="89"/>
      <c r="T643" s="89"/>
      <c r="U643" s="89"/>
      <c r="V643" s="89"/>
      <c r="W643" s="89"/>
      <c r="X643" s="89"/>
      <c r="Y643" s="89"/>
      <c r="Z643" s="77"/>
      <c r="AA643" s="77"/>
      <c r="AB643" s="94"/>
      <c r="AC643" s="94"/>
      <c r="AD643" s="94"/>
      <c r="AE643" s="94"/>
      <c r="AF643" s="91"/>
      <c r="AG643" s="92"/>
      <c r="AH643" s="92"/>
      <c r="AI643" s="93"/>
      <c r="AJ643" s="94"/>
      <c r="AK643" s="92"/>
      <c r="AL643" s="94"/>
      <c r="AM643" s="94"/>
      <c r="AN643" s="94"/>
      <c r="AO643" s="94"/>
      <c r="AP643" s="94"/>
      <c r="AQ643" s="94"/>
      <c r="AR643" s="94"/>
      <c r="AS643" s="94"/>
      <c r="AT643" s="94"/>
      <c r="AU643" s="92"/>
      <c r="AV643" s="94"/>
      <c r="AW643" s="94"/>
      <c r="AX643" s="94"/>
      <c r="AY643" s="94"/>
      <c r="AZ643" s="94"/>
      <c r="BA643" s="94"/>
      <c r="BB643" s="94"/>
      <c r="BC643" s="94"/>
      <c r="BD643" s="94"/>
      <c r="BE643" s="94"/>
      <c r="BF643" s="94"/>
      <c r="BG643" s="94"/>
      <c r="BH643" s="94"/>
      <c r="BI643" s="94"/>
      <c r="BJ643" s="94"/>
      <c r="BK643" s="94"/>
      <c r="BL643" s="92"/>
      <c r="BM643" s="94"/>
      <c r="BN643" s="94"/>
      <c r="BO643" s="94"/>
      <c r="BP643" s="94"/>
      <c r="BQ643" s="92"/>
      <c r="BR643" s="92"/>
      <c r="BS643" s="92"/>
      <c r="BT643" s="92"/>
      <c r="BU643" s="92"/>
      <c r="BV643" s="92"/>
      <c r="BW643" s="92"/>
      <c r="BX643" s="92"/>
      <c r="BY643" s="92"/>
      <c r="BZ643" s="92"/>
    </row>
    <row r="644" spans="1:78" ht="12.9">
      <c r="A644" s="89"/>
      <c r="B644" s="89"/>
      <c r="C644" s="89"/>
      <c r="D644" s="89"/>
      <c r="E644" s="89"/>
      <c r="F644" s="89"/>
      <c r="G644" s="89"/>
      <c r="H644" s="105"/>
      <c r="I644" s="106"/>
      <c r="J644" s="106"/>
      <c r="K644" s="89"/>
      <c r="L644" s="89"/>
      <c r="M644" s="89"/>
      <c r="N644" s="107"/>
      <c r="O644" s="107"/>
      <c r="P644" s="89"/>
      <c r="Q644" s="89"/>
      <c r="R644" s="89"/>
      <c r="S644" s="89"/>
      <c r="T644" s="89"/>
      <c r="U644" s="89"/>
      <c r="V644" s="89"/>
      <c r="W644" s="89"/>
      <c r="X644" s="89"/>
      <c r="Y644" s="89"/>
      <c r="Z644" s="77"/>
      <c r="AA644" s="77"/>
      <c r="AB644" s="94"/>
      <c r="AC644" s="94"/>
      <c r="AD644" s="94"/>
      <c r="AE644" s="94"/>
      <c r="AF644" s="91"/>
      <c r="AG644" s="92"/>
      <c r="AH644" s="92"/>
      <c r="AI644" s="93"/>
      <c r="AJ644" s="94"/>
      <c r="AK644" s="92"/>
      <c r="AL644" s="94"/>
      <c r="AM644" s="94"/>
      <c r="AN644" s="94"/>
      <c r="AO644" s="94"/>
      <c r="AP644" s="94"/>
      <c r="AQ644" s="94"/>
      <c r="AR644" s="94"/>
      <c r="AS644" s="94"/>
      <c r="AT644" s="94"/>
      <c r="AU644" s="92"/>
      <c r="AV644" s="94"/>
      <c r="AW644" s="94"/>
      <c r="AX644" s="94"/>
      <c r="AY644" s="94"/>
      <c r="AZ644" s="94"/>
      <c r="BA644" s="94"/>
      <c r="BB644" s="94"/>
      <c r="BC644" s="94"/>
      <c r="BD644" s="94"/>
      <c r="BE644" s="94"/>
      <c r="BF644" s="94"/>
      <c r="BG644" s="94"/>
      <c r="BH644" s="94"/>
      <c r="BI644" s="94"/>
      <c r="BJ644" s="94"/>
      <c r="BK644" s="94"/>
      <c r="BL644" s="92"/>
      <c r="BM644" s="94"/>
      <c r="BN644" s="94"/>
      <c r="BO644" s="94"/>
      <c r="BP644" s="94"/>
      <c r="BQ644" s="92"/>
      <c r="BR644" s="92"/>
      <c r="BS644" s="92"/>
      <c r="BT644" s="92"/>
      <c r="BU644" s="92"/>
      <c r="BV644" s="92"/>
      <c r="BW644" s="92"/>
      <c r="BX644" s="92"/>
      <c r="BY644" s="92"/>
      <c r="BZ644" s="92"/>
    </row>
    <row r="645" spans="1:78" ht="12.9">
      <c r="A645" s="89"/>
      <c r="B645" s="89"/>
      <c r="C645" s="89"/>
      <c r="D645" s="89"/>
      <c r="E645" s="89"/>
      <c r="F645" s="89"/>
      <c r="G645" s="89"/>
      <c r="H645" s="105"/>
      <c r="I645" s="106"/>
      <c r="J645" s="106"/>
      <c r="K645" s="89"/>
      <c r="L645" s="89"/>
      <c r="M645" s="89"/>
      <c r="N645" s="107"/>
      <c r="O645" s="107"/>
      <c r="P645" s="89"/>
      <c r="Q645" s="89"/>
      <c r="R645" s="89"/>
      <c r="S645" s="89"/>
      <c r="T645" s="89"/>
      <c r="U645" s="89"/>
      <c r="V645" s="89"/>
      <c r="W645" s="89"/>
      <c r="X645" s="89"/>
      <c r="Y645" s="89"/>
      <c r="Z645" s="77"/>
      <c r="AA645" s="77"/>
      <c r="AB645" s="94"/>
      <c r="AC645" s="94"/>
      <c r="AD645" s="94"/>
      <c r="AE645" s="94"/>
      <c r="AF645" s="91"/>
      <c r="AG645" s="92"/>
      <c r="AH645" s="92"/>
      <c r="AI645" s="93"/>
      <c r="AJ645" s="94"/>
      <c r="AK645" s="92"/>
      <c r="AL645" s="94"/>
      <c r="AM645" s="94"/>
      <c r="AN645" s="94"/>
      <c r="AO645" s="94"/>
      <c r="AP645" s="94"/>
      <c r="AQ645" s="94"/>
      <c r="AR645" s="94"/>
      <c r="AS645" s="94"/>
      <c r="AT645" s="94"/>
      <c r="AU645" s="92"/>
      <c r="AV645" s="94"/>
      <c r="AW645" s="94"/>
      <c r="AX645" s="94"/>
      <c r="AY645" s="94"/>
      <c r="AZ645" s="94"/>
      <c r="BA645" s="94"/>
      <c r="BB645" s="94"/>
      <c r="BC645" s="94"/>
      <c r="BD645" s="94"/>
      <c r="BE645" s="94"/>
      <c r="BF645" s="94"/>
      <c r="BG645" s="94"/>
      <c r="BH645" s="94"/>
      <c r="BI645" s="94"/>
      <c r="BJ645" s="94"/>
      <c r="BK645" s="94"/>
      <c r="BL645" s="92"/>
      <c r="BM645" s="94"/>
      <c r="BN645" s="94"/>
      <c r="BO645" s="94"/>
      <c r="BP645" s="94"/>
      <c r="BQ645" s="92"/>
      <c r="BR645" s="92"/>
      <c r="BS645" s="92"/>
      <c r="BT645" s="92"/>
      <c r="BU645" s="92"/>
      <c r="BV645" s="92"/>
      <c r="BW645" s="92"/>
      <c r="BX645" s="92"/>
      <c r="BY645" s="92"/>
      <c r="BZ645" s="92"/>
    </row>
    <row r="646" spans="1:78" ht="12.9">
      <c r="A646" s="89"/>
      <c r="B646" s="89"/>
      <c r="C646" s="89"/>
      <c r="D646" s="89"/>
      <c r="E646" s="89"/>
      <c r="F646" s="89"/>
      <c r="G646" s="89"/>
      <c r="H646" s="105"/>
      <c r="I646" s="106"/>
      <c r="J646" s="106"/>
      <c r="K646" s="89"/>
      <c r="L646" s="89"/>
      <c r="M646" s="89"/>
      <c r="N646" s="107"/>
      <c r="O646" s="107"/>
      <c r="P646" s="89"/>
      <c r="Q646" s="89"/>
      <c r="R646" s="89"/>
      <c r="S646" s="89"/>
      <c r="T646" s="89"/>
      <c r="U646" s="89"/>
      <c r="V646" s="89"/>
      <c r="W646" s="89"/>
      <c r="X646" s="89"/>
      <c r="Y646" s="89"/>
      <c r="Z646" s="77"/>
      <c r="AA646" s="77"/>
      <c r="AB646" s="94"/>
      <c r="AC646" s="94"/>
      <c r="AD646" s="94"/>
      <c r="AE646" s="94"/>
      <c r="AF646" s="91"/>
      <c r="AG646" s="92"/>
      <c r="AH646" s="92"/>
      <c r="AI646" s="93"/>
      <c r="AJ646" s="94"/>
      <c r="AK646" s="92"/>
      <c r="AL646" s="94"/>
      <c r="AM646" s="94"/>
      <c r="AN646" s="94"/>
      <c r="AO646" s="94"/>
      <c r="AP646" s="94"/>
      <c r="AQ646" s="94"/>
      <c r="AR646" s="94"/>
      <c r="AS646" s="94"/>
      <c r="AT646" s="94"/>
      <c r="AU646" s="92"/>
      <c r="AV646" s="94"/>
      <c r="AW646" s="94"/>
      <c r="AX646" s="94"/>
      <c r="AY646" s="94"/>
      <c r="AZ646" s="94"/>
      <c r="BA646" s="94"/>
      <c r="BB646" s="94"/>
      <c r="BC646" s="94"/>
      <c r="BD646" s="94"/>
      <c r="BE646" s="94"/>
      <c r="BF646" s="94"/>
      <c r="BG646" s="94"/>
      <c r="BH646" s="94"/>
      <c r="BI646" s="94"/>
      <c r="BJ646" s="94"/>
      <c r="BK646" s="94"/>
      <c r="BL646" s="92"/>
      <c r="BM646" s="94"/>
      <c r="BN646" s="94"/>
      <c r="BO646" s="94"/>
      <c r="BP646" s="94"/>
      <c r="BQ646" s="92"/>
      <c r="BR646" s="92"/>
      <c r="BS646" s="92"/>
      <c r="BT646" s="92"/>
      <c r="BU646" s="92"/>
      <c r="BV646" s="92"/>
      <c r="BW646" s="92"/>
      <c r="BX646" s="92"/>
      <c r="BY646" s="92"/>
      <c r="BZ646" s="92"/>
    </row>
    <row r="647" spans="1:78" ht="12.9">
      <c r="A647" s="89"/>
      <c r="B647" s="89"/>
      <c r="C647" s="89"/>
      <c r="D647" s="89"/>
      <c r="E647" s="89"/>
      <c r="F647" s="89"/>
      <c r="G647" s="89"/>
      <c r="H647" s="105"/>
      <c r="I647" s="106"/>
      <c r="J647" s="106"/>
      <c r="K647" s="89"/>
      <c r="L647" s="89"/>
      <c r="M647" s="89"/>
      <c r="N647" s="107"/>
      <c r="O647" s="107"/>
      <c r="P647" s="89"/>
      <c r="Q647" s="89"/>
      <c r="R647" s="89"/>
      <c r="S647" s="89"/>
      <c r="T647" s="89"/>
      <c r="U647" s="89"/>
      <c r="V647" s="89"/>
      <c r="W647" s="89"/>
      <c r="X647" s="89"/>
      <c r="Y647" s="89"/>
      <c r="Z647" s="77"/>
      <c r="AA647" s="77"/>
      <c r="AB647" s="94"/>
      <c r="AC647" s="94"/>
      <c r="AD647" s="94"/>
      <c r="AE647" s="94"/>
      <c r="AF647" s="91"/>
      <c r="AG647" s="92"/>
      <c r="AH647" s="92"/>
      <c r="AI647" s="93"/>
      <c r="AJ647" s="94"/>
      <c r="AK647" s="92"/>
      <c r="AL647" s="94"/>
      <c r="AM647" s="94"/>
      <c r="AN647" s="94"/>
      <c r="AO647" s="94"/>
      <c r="AP647" s="94"/>
      <c r="AQ647" s="94"/>
      <c r="AR647" s="94"/>
      <c r="AS647" s="94"/>
      <c r="AT647" s="94"/>
      <c r="AU647" s="92"/>
      <c r="AV647" s="94"/>
      <c r="AW647" s="94"/>
      <c r="AX647" s="94"/>
      <c r="AY647" s="94"/>
      <c r="AZ647" s="94"/>
      <c r="BA647" s="94"/>
      <c r="BB647" s="94"/>
      <c r="BC647" s="94"/>
      <c r="BD647" s="94"/>
      <c r="BE647" s="94"/>
      <c r="BF647" s="94"/>
      <c r="BG647" s="94"/>
      <c r="BH647" s="94"/>
      <c r="BI647" s="94"/>
      <c r="BJ647" s="94"/>
      <c r="BK647" s="94"/>
      <c r="BL647" s="92"/>
      <c r="BM647" s="94"/>
      <c r="BN647" s="94"/>
      <c r="BO647" s="94"/>
      <c r="BP647" s="94"/>
      <c r="BQ647" s="92"/>
      <c r="BR647" s="92"/>
      <c r="BS647" s="92"/>
      <c r="BT647" s="92"/>
      <c r="BU647" s="92"/>
      <c r="BV647" s="92"/>
      <c r="BW647" s="92"/>
      <c r="BX647" s="92"/>
      <c r="BY647" s="92"/>
      <c r="BZ647" s="92"/>
    </row>
    <row r="648" spans="1:78" ht="12.9">
      <c r="A648" s="89"/>
      <c r="B648" s="89"/>
      <c r="C648" s="89"/>
      <c r="D648" s="89"/>
      <c r="E648" s="89"/>
      <c r="F648" s="89"/>
      <c r="G648" s="89"/>
      <c r="H648" s="105"/>
      <c r="I648" s="106"/>
      <c r="J648" s="106"/>
      <c r="K648" s="89"/>
      <c r="L648" s="89"/>
      <c r="M648" s="89"/>
      <c r="N648" s="107"/>
      <c r="O648" s="107"/>
      <c r="P648" s="89"/>
      <c r="Q648" s="89"/>
      <c r="R648" s="89"/>
      <c r="S648" s="89"/>
      <c r="T648" s="89"/>
      <c r="U648" s="89"/>
      <c r="V648" s="89"/>
      <c r="W648" s="89"/>
      <c r="X648" s="89"/>
      <c r="Y648" s="89"/>
      <c r="Z648" s="77"/>
      <c r="AA648" s="77"/>
      <c r="AB648" s="94"/>
      <c r="AC648" s="94"/>
      <c r="AD648" s="94"/>
      <c r="AE648" s="94"/>
      <c r="AF648" s="91"/>
      <c r="AG648" s="92"/>
      <c r="AH648" s="92"/>
      <c r="AI648" s="93"/>
      <c r="AJ648" s="94"/>
      <c r="AK648" s="92"/>
      <c r="AL648" s="94"/>
      <c r="AM648" s="94"/>
      <c r="AN648" s="94"/>
      <c r="AO648" s="94"/>
      <c r="AP648" s="94"/>
      <c r="AQ648" s="94"/>
      <c r="AR648" s="94"/>
      <c r="AS648" s="94"/>
      <c r="AT648" s="94"/>
      <c r="AU648" s="92"/>
      <c r="AV648" s="94"/>
      <c r="AW648" s="94"/>
      <c r="AX648" s="94"/>
      <c r="AY648" s="94"/>
      <c r="AZ648" s="94"/>
      <c r="BA648" s="94"/>
      <c r="BB648" s="94"/>
      <c r="BC648" s="94"/>
      <c r="BD648" s="94"/>
      <c r="BE648" s="94"/>
      <c r="BF648" s="94"/>
      <c r="BG648" s="94"/>
      <c r="BH648" s="94"/>
      <c r="BI648" s="94"/>
      <c r="BJ648" s="94"/>
      <c r="BK648" s="94"/>
      <c r="BL648" s="92"/>
      <c r="BM648" s="94"/>
      <c r="BN648" s="94"/>
      <c r="BO648" s="94"/>
      <c r="BP648" s="94"/>
      <c r="BQ648" s="92"/>
      <c r="BR648" s="92"/>
      <c r="BS648" s="92"/>
      <c r="BT648" s="92"/>
      <c r="BU648" s="92"/>
      <c r="BV648" s="92"/>
      <c r="BW648" s="92"/>
      <c r="BX648" s="92"/>
      <c r="BY648" s="92"/>
      <c r="BZ648" s="92"/>
    </row>
    <row r="649" spans="1:78" ht="12.9">
      <c r="A649" s="89"/>
      <c r="B649" s="89"/>
      <c r="C649" s="89"/>
      <c r="D649" s="89"/>
      <c r="E649" s="89"/>
      <c r="F649" s="89"/>
      <c r="G649" s="89"/>
      <c r="H649" s="105"/>
      <c r="I649" s="106"/>
      <c r="J649" s="106"/>
      <c r="K649" s="89"/>
      <c r="L649" s="89"/>
      <c r="M649" s="89"/>
      <c r="N649" s="107"/>
      <c r="O649" s="107"/>
      <c r="P649" s="89"/>
      <c r="Q649" s="89"/>
      <c r="R649" s="89"/>
      <c r="S649" s="89"/>
      <c r="T649" s="89"/>
      <c r="U649" s="89"/>
      <c r="V649" s="89"/>
      <c r="W649" s="89"/>
      <c r="X649" s="89"/>
      <c r="Y649" s="89"/>
      <c r="Z649" s="77"/>
      <c r="AA649" s="77"/>
      <c r="AB649" s="94"/>
      <c r="AC649" s="94"/>
      <c r="AD649" s="94"/>
      <c r="AE649" s="94"/>
      <c r="AF649" s="91"/>
      <c r="AG649" s="92"/>
      <c r="AH649" s="92"/>
      <c r="AI649" s="93"/>
      <c r="AJ649" s="94"/>
      <c r="AK649" s="92"/>
      <c r="AL649" s="94"/>
      <c r="AM649" s="94"/>
      <c r="AN649" s="94"/>
      <c r="AO649" s="94"/>
      <c r="AP649" s="94"/>
      <c r="AQ649" s="94"/>
      <c r="AR649" s="94"/>
      <c r="AS649" s="94"/>
      <c r="AT649" s="94"/>
      <c r="AU649" s="92"/>
      <c r="AV649" s="94"/>
      <c r="AW649" s="94"/>
      <c r="AX649" s="94"/>
      <c r="AY649" s="94"/>
      <c r="AZ649" s="94"/>
      <c r="BA649" s="94"/>
      <c r="BB649" s="94"/>
      <c r="BC649" s="94"/>
      <c r="BD649" s="94"/>
      <c r="BE649" s="94"/>
      <c r="BF649" s="94"/>
      <c r="BG649" s="94"/>
      <c r="BH649" s="94"/>
      <c r="BI649" s="94"/>
      <c r="BJ649" s="94"/>
      <c r="BK649" s="94"/>
      <c r="BL649" s="92"/>
      <c r="BM649" s="94"/>
      <c r="BN649" s="94"/>
      <c r="BO649" s="94"/>
      <c r="BP649" s="94"/>
      <c r="BQ649" s="92"/>
      <c r="BR649" s="92"/>
      <c r="BS649" s="92"/>
      <c r="BT649" s="92"/>
      <c r="BU649" s="92"/>
      <c r="BV649" s="92"/>
      <c r="BW649" s="92"/>
      <c r="BX649" s="92"/>
      <c r="BY649" s="92"/>
      <c r="BZ649" s="92"/>
    </row>
    <row r="650" spans="1:78" ht="12.9">
      <c r="A650" s="89"/>
      <c r="B650" s="89"/>
      <c r="C650" s="89"/>
      <c r="D650" s="89"/>
      <c r="E650" s="89"/>
      <c r="F650" s="89"/>
      <c r="G650" s="89"/>
      <c r="H650" s="105"/>
      <c r="I650" s="106"/>
      <c r="J650" s="106"/>
      <c r="K650" s="89"/>
      <c r="L650" s="89"/>
      <c r="M650" s="89"/>
      <c r="N650" s="107"/>
      <c r="O650" s="107"/>
      <c r="P650" s="89"/>
      <c r="Q650" s="89"/>
      <c r="R650" s="89"/>
      <c r="S650" s="89"/>
      <c r="T650" s="89"/>
      <c r="U650" s="89"/>
      <c r="V650" s="89"/>
      <c r="W650" s="89"/>
      <c r="X650" s="89"/>
      <c r="Y650" s="89"/>
      <c r="Z650" s="77"/>
      <c r="AA650" s="77"/>
      <c r="AB650" s="94"/>
      <c r="AC650" s="94"/>
      <c r="AD650" s="94"/>
      <c r="AE650" s="94"/>
      <c r="AF650" s="91"/>
      <c r="AG650" s="92"/>
      <c r="AH650" s="92"/>
      <c r="AI650" s="93"/>
      <c r="AJ650" s="94"/>
      <c r="AK650" s="92"/>
      <c r="AL650" s="94"/>
      <c r="AM650" s="94"/>
      <c r="AN650" s="94"/>
      <c r="AO650" s="94"/>
      <c r="AP650" s="94"/>
      <c r="AQ650" s="94"/>
      <c r="AR650" s="94"/>
      <c r="AS650" s="94"/>
      <c r="AT650" s="94"/>
      <c r="AU650" s="92"/>
      <c r="AV650" s="94"/>
      <c r="AW650" s="94"/>
      <c r="AX650" s="94"/>
      <c r="AY650" s="94"/>
      <c r="AZ650" s="94"/>
      <c r="BA650" s="94"/>
      <c r="BB650" s="94"/>
      <c r="BC650" s="94"/>
      <c r="BD650" s="94"/>
      <c r="BE650" s="94"/>
      <c r="BF650" s="94"/>
      <c r="BG650" s="94"/>
      <c r="BH650" s="94"/>
      <c r="BI650" s="94"/>
      <c r="BJ650" s="94"/>
      <c r="BK650" s="94"/>
      <c r="BL650" s="92"/>
      <c r="BM650" s="94"/>
      <c r="BN650" s="94"/>
      <c r="BO650" s="94"/>
      <c r="BP650" s="94"/>
      <c r="BQ650" s="92"/>
      <c r="BR650" s="92"/>
      <c r="BS650" s="92"/>
      <c r="BT650" s="92"/>
      <c r="BU650" s="92"/>
      <c r="BV650" s="92"/>
      <c r="BW650" s="92"/>
      <c r="BX650" s="92"/>
      <c r="BY650" s="92"/>
      <c r="BZ650" s="92"/>
    </row>
    <row r="651" spans="1:78" ht="12.9">
      <c r="A651" s="89"/>
      <c r="B651" s="89"/>
      <c r="C651" s="89"/>
      <c r="D651" s="89"/>
      <c r="E651" s="89"/>
      <c r="F651" s="89"/>
      <c r="G651" s="89"/>
      <c r="H651" s="105"/>
      <c r="I651" s="106"/>
      <c r="J651" s="106"/>
      <c r="K651" s="89"/>
      <c r="L651" s="89"/>
      <c r="M651" s="89"/>
      <c r="N651" s="107"/>
      <c r="O651" s="107"/>
      <c r="P651" s="89"/>
      <c r="Q651" s="89"/>
      <c r="R651" s="89"/>
      <c r="S651" s="89"/>
      <c r="T651" s="89"/>
      <c r="U651" s="89"/>
      <c r="V651" s="89"/>
      <c r="W651" s="89"/>
      <c r="X651" s="89"/>
      <c r="Y651" s="89"/>
      <c r="Z651" s="77"/>
      <c r="AA651" s="77"/>
      <c r="AB651" s="94"/>
      <c r="AC651" s="94"/>
      <c r="AD651" s="94"/>
      <c r="AE651" s="94"/>
      <c r="AF651" s="91"/>
      <c r="AG651" s="92"/>
      <c r="AH651" s="92"/>
      <c r="AI651" s="93"/>
      <c r="AJ651" s="94"/>
      <c r="AK651" s="92"/>
      <c r="AL651" s="94"/>
      <c r="AM651" s="94"/>
      <c r="AN651" s="94"/>
      <c r="AO651" s="94"/>
      <c r="AP651" s="94"/>
      <c r="AQ651" s="94"/>
      <c r="AR651" s="94"/>
      <c r="AS651" s="94"/>
      <c r="AT651" s="94"/>
      <c r="AU651" s="92"/>
      <c r="AV651" s="94"/>
      <c r="AW651" s="94"/>
      <c r="AX651" s="94"/>
      <c r="AY651" s="94"/>
      <c r="AZ651" s="94"/>
      <c r="BA651" s="94"/>
      <c r="BB651" s="94"/>
      <c r="BC651" s="94"/>
      <c r="BD651" s="94"/>
      <c r="BE651" s="94"/>
      <c r="BF651" s="94"/>
      <c r="BG651" s="94"/>
      <c r="BH651" s="94"/>
      <c r="BI651" s="94"/>
      <c r="BJ651" s="94"/>
      <c r="BK651" s="94"/>
      <c r="BL651" s="92"/>
      <c r="BM651" s="94"/>
      <c r="BN651" s="94"/>
      <c r="BO651" s="94"/>
      <c r="BP651" s="94"/>
      <c r="BQ651" s="92"/>
      <c r="BR651" s="92"/>
      <c r="BS651" s="92"/>
      <c r="BT651" s="92"/>
      <c r="BU651" s="92"/>
      <c r="BV651" s="92"/>
      <c r="BW651" s="92"/>
      <c r="BX651" s="92"/>
      <c r="BY651" s="92"/>
      <c r="BZ651" s="92"/>
    </row>
    <row r="652" spans="1:78" ht="12.9">
      <c r="A652" s="89"/>
      <c r="B652" s="89"/>
      <c r="C652" s="89"/>
      <c r="D652" s="89"/>
      <c r="E652" s="89"/>
      <c r="F652" s="89"/>
      <c r="G652" s="89"/>
      <c r="H652" s="105"/>
      <c r="I652" s="106"/>
      <c r="J652" s="106"/>
      <c r="K652" s="89"/>
      <c r="L652" s="89"/>
      <c r="M652" s="89"/>
      <c r="N652" s="107"/>
      <c r="O652" s="107"/>
      <c r="P652" s="89"/>
      <c r="Q652" s="89"/>
      <c r="R652" s="89"/>
      <c r="S652" s="89"/>
      <c r="T652" s="89"/>
      <c r="U652" s="89"/>
      <c r="V652" s="89"/>
      <c r="W652" s="89"/>
      <c r="X652" s="89"/>
      <c r="Y652" s="89"/>
      <c r="Z652" s="77"/>
      <c r="AA652" s="77"/>
      <c r="AB652" s="94"/>
      <c r="AC652" s="94"/>
      <c r="AD652" s="94"/>
      <c r="AE652" s="94"/>
      <c r="AF652" s="91"/>
      <c r="AG652" s="92"/>
      <c r="AH652" s="92"/>
      <c r="AI652" s="93"/>
      <c r="AJ652" s="94"/>
      <c r="AK652" s="92"/>
      <c r="AL652" s="94"/>
      <c r="AM652" s="94"/>
      <c r="AN652" s="94"/>
      <c r="AO652" s="94"/>
      <c r="AP652" s="94"/>
      <c r="AQ652" s="94"/>
      <c r="AR652" s="94"/>
      <c r="AS652" s="94"/>
      <c r="AT652" s="94"/>
      <c r="AU652" s="92"/>
      <c r="AV652" s="94"/>
      <c r="AW652" s="94"/>
      <c r="AX652" s="94"/>
      <c r="AY652" s="94"/>
      <c r="AZ652" s="94"/>
      <c r="BA652" s="94"/>
      <c r="BB652" s="94"/>
      <c r="BC652" s="94"/>
      <c r="BD652" s="94"/>
      <c r="BE652" s="94"/>
      <c r="BF652" s="94"/>
      <c r="BG652" s="94"/>
      <c r="BH652" s="94"/>
      <c r="BI652" s="94"/>
      <c r="BJ652" s="94"/>
      <c r="BK652" s="94"/>
      <c r="BL652" s="92"/>
      <c r="BM652" s="94"/>
      <c r="BN652" s="94"/>
      <c r="BO652" s="94"/>
      <c r="BP652" s="94"/>
      <c r="BQ652" s="92"/>
      <c r="BR652" s="92"/>
      <c r="BS652" s="92"/>
      <c r="BT652" s="92"/>
      <c r="BU652" s="92"/>
      <c r="BV652" s="92"/>
      <c r="BW652" s="92"/>
      <c r="BX652" s="92"/>
      <c r="BY652" s="92"/>
      <c r="BZ652" s="92"/>
    </row>
    <row r="653" spans="1:78" ht="12.9">
      <c r="A653" s="89"/>
      <c r="B653" s="89"/>
      <c r="C653" s="89"/>
      <c r="D653" s="89"/>
      <c r="E653" s="89"/>
      <c r="F653" s="89"/>
      <c r="G653" s="89"/>
      <c r="H653" s="105"/>
      <c r="I653" s="106"/>
      <c r="J653" s="106"/>
      <c r="K653" s="89"/>
      <c r="L653" s="89"/>
      <c r="M653" s="89"/>
      <c r="N653" s="107"/>
      <c r="O653" s="107"/>
      <c r="P653" s="89"/>
      <c r="Q653" s="89"/>
      <c r="R653" s="89"/>
      <c r="S653" s="89"/>
      <c r="T653" s="89"/>
      <c r="U653" s="89"/>
      <c r="V653" s="89"/>
      <c r="W653" s="89"/>
      <c r="X653" s="89"/>
      <c r="Y653" s="89"/>
      <c r="Z653" s="77"/>
      <c r="AA653" s="77"/>
      <c r="AB653" s="94"/>
      <c r="AC653" s="94"/>
      <c r="AD653" s="94"/>
      <c r="AE653" s="94"/>
      <c r="AF653" s="91"/>
      <c r="AG653" s="92"/>
      <c r="AH653" s="92"/>
      <c r="AI653" s="93"/>
      <c r="AJ653" s="94"/>
      <c r="AK653" s="92"/>
      <c r="AL653" s="94"/>
      <c r="AM653" s="94"/>
      <c r="AN653" s="94"/>
      <c r="AO653" s="94"/>
      <c r="AP653" s="94"/>
      <c r="AQ653" s="94"/>
      <c r="AR653" s="94"/>
      <c r="AS653" s="94"/>
      <c r="AT653" s="94"/>
      <c r="AU653" s="92"/>
      <c r="AV653" s="94"/>
      <c r="AW653" s="94"/>
      <c r="AX653" s="94"/>
      <c r="AY653" s="94"/>
      <c r="AZ653" s="94"/>
      <c r="BA653" s="94"/>
      <c r="BB653" s="94"/>
      <c r="BC653" s="94"/>
      <c r="BD653" s="94"/>
      <c r="BE653" s="94"/>
      <c r="BF653" s="94"/>
      <c r="BG653" s="94"/>
      <c r="BH653" s="94"/>
      <c r="BI653" s="94"/>
      <c r="BJ653" s="94"/>
      <c r="BK653" s="94"/>
      <c r="BL653" s="92"/>
      <c r="BM653" s="94"/>
      <c r="BN653" s="94"/>
      <c r="BO653" s="94"/>
      <c r="BP653" s="94"/>
      <c r="BQ653" s="92"/>
      <c r="BR653" s="92"/>
      <c r="BS653" s="92"/>
      <c r="BT653" s="92"/>
      <c r="BU653" s="92"/>
      <c r="BV653" s="92"/>
      <c r="BW653" s="92"/>
      <c r="BX653" s="92"/>
      <c r="BY653" s="92"/>
      <c r="BZ653" s="92"/>
    </row>
    <row r="654" spans="1:78" ht="12.9">
      <c r="A654" s="89"/>
      <c r="B654" s="89"/>
      <c r="C654" s="89"/>
      <c r="D654" s="89"/>
      <c r="E654" s="89"/>
      <c r="F654" s="89"/>
      <c r="G654" s="89"/>
      <c r="H654" s="105"/>
      <c r="I654" s="106"/>
      <c r="J654" s="106"/>
      <c r="K654" s="89"/>
      <c r="L654" s="89"/>
      <c r="M654" s="89"/>
      <c r="N654" s="107"/>
      <c r="O654" s="107"/>
      <c r="P654" s="89"/>
      <c r="Q654" s="89"/>
      <c r="R654" s="89"/>
      <c r="S654" s="89"/>
      <c r="T654" s="89"/>
      <c r="U654" s="89"/>
      <c r="V654" s="89"/>
      <c r="W654" s="89"/>
      <c r="X654" s="89"/>
      <c r="Y654" s="89"/>
      <c r="Z654" s="77"/>
      <c r="AA654" s="77"/>
      <c r="AB654" s="94"/>
      <c r="AC654" s="94"/>
      <c r="AD654" s="94"/>
      <c r="AE654" s="94"/>
      <c r="AF654" s="91"/>
      <c r="AG654" s="92"/>
      <c r="AH654" s="92"/>
      <c r="AI654" s="93"/>
      <c r="AJ654" s="94"/>
      <c r="AK654" s="92"/>
      <c r="AL654" s="94"/>
      <c r="AM654" s="94"/>
      <c r="AN654" s="94"/>
      <c r="AO654" s="94"/>
      <c r="AP654" s="94"/>
      <c r="AQ654" s="94"/>
      <c r="AR654" s="94"/>
      <c r="AS654" s="94"/>
      <c r="AT654" s="94"/>
      <c r="AU654" s="92"/>
      <c r="AV654" s="94"/>
      <c r="AW654" s="94"/>
      <c r="AX654" s="94"/>
      <c r="AY654" s="94"/>
      <c r="AZ654" s="94"/>
      <c r="BA654" s="94"/>
      <c r="BB654" s="94"/>
      <c r="BC654" s="94"/>
      <c r="BD654" s="94"/>
      <c r="BE654" s="94"/>
      <c r="BF654" s="94"/>
      <c r="BG654" s="94"/>
      <c r="BH654" s="94"/>
      <c r="BI654" s="94"/>
      <c r="BJ654" s="94"/>
      <c r="BK654" s="94"/>
      <c r="BL654" s="92"/>
      <c r="BM654" s="94"/>
      <c r="BN654" s="94"/>
      <c r="BO654" s="94"/>
      <c r="BP654" s="94"/>
      <c r="BQ654" s="92"/>
      <c r="BR654" s="92"/>
      <c r="BS654" s="92"/>
      <c r="BT654" s="92"/>
      <c r="BU654" s="92"/>
      <c r="BV654" s="92"/>
      <c r="BW654" s="92"/>
      <c r="BX654" s="92"/>
      <c r="BY654" s="92"/>
      <c r="BZ654" s="92"/>
    </row>
    <row r="655" spans="1:78" ht="12.9">
      <c r="A655" s="89"/>
      <c r="B655" s="89"/>
      <c r="C655" s="89"/>
      <c r="D655" s="89"/>
      <c r="E655" s="89"/>
      <c r="F655" s="89"/>
      <c r="G655" s="89"/>
      <c r="H655" s="105"/>
      <c r="I655" s="106"/>
      <c r="J655" s="106"/>
      <c r="K655" s="89"/>
      <c r="L655" s="89"/>
      <c r="M655" s="89"/>
      <c r="N655" s="107"/>
      <c r="O655" s="107"/>
      <c r="P655" s="89"/>
      <c r="Q655" s="89"/>
      <c r="R655" s="89"/>
      <c r="S655" s="89"/>
      <c r="T655" s="89"/>
      <c r="U655" s="89"/>
      <c r="V655" s="89"/>
      <c r="W655" s="89"/>
      <c r="X655" s="89"/>
      <c r="Y655" s="89"/>
      <c r="Z655" s="77"/>
      <c r="AA655" s="77"/>
      <c r="AB655" s="94"/>
      <c r="AC655" s="94"/>
      <c r="AD655" s="94"/>
      <c r="AE655" s="94"/>
      <c r="AF655" s="91"/>
      <c r="AG655" s="92"/>
      <c r="AH655" s="92"/>
      <c r="AI655" s="93"/>
      <c r="AJ655" s="94"/>
      <c r="AK655" s="92"/>
      <c r="AL655" s="94"/>
      <c r="AM655" s="94"/>
      <c r="AN655" s="94"/>
      <c r="AO655" s="94"/>
      <c r="AP655" s="94"/>
      <c r="AQ655" s="94"/>
      <c r="AR655" s="94"/>
      <c r="AS655" s="94"/>
      <c r="AT655" s="94"/>
      <c r="AU655" s="92"/>
      <c r="AV655" s="94"/>
      <c r="AW655" s="94"/>
      <c r="AX655" s="94"/>
      <c r="AY655" s="94"/>
      <c r="AZ655" s="94"/>
      <c r="BA655" s="94"/>
      <c r="BB655" s="94"/>
      <c r="BC655" s="94"/>
      <c r="BD655" s="94"/>
      <c r="BE655" s="94"/>
      <c r="BF655" s="94"/>
      <c r="BG655" s="94"/>
      <c r="BH655" s="94"/>
      <c r="BI655" s="94"/>
      <c r="BJ655" s="94"/>
      <c r="BK655" s="94"/>
      <c r="BL655" s="92"/>
      <c r="BM655" s="94"/>
      <c r="BN655" s="94"/>
      <c r="BO655" s="94"/>
      <c r="BP655" s="94"/>
      <c r="BQ655" s="92"/>
      <c r="BR655" s="92"/>
      <c r="BS655" s="92"/>
      <c r="BT655" s="92"/>
      <c r="BU655" s="92"/>
      <c r="BV655" s="92"/>
      <c r="BW655" s="92"/>
      <c r="BX655" s="92"/>
      <c r="BY655" s="92"/>
      <c r="BZ655" s="92"/>
    </row>
    <row r="656" spans="1:78" ht="12.9">
      <c r="A656" s="89"/>
      <c r="B656" s="89"/>
      <c r="C656" s="89"/>
      <c r="D656" s="89"/>
      <c r="E656" s="89"/>
      <c r="F656" s="89"/>
      <c r="G656" s="89"/>
      <c r="H656" s="105"/>
      <c r="I656" s="106"/>
      <c r="J656" s="106"/>
      <c r="K656" s="89"/>
      <c r="L656" s="89"/>
      <c r="M656" s="89"/>
      <c r="N656" s="107"/>
      <c r="O656" s="107"/>
      <c r="P656" s="89"/>
      <c r="Q656" s="89"/>
      <c r="R656" s="89"/>
      <c r="S656" s="89"/>
      <c r="T656" s="89"/>
      <c r="U656" s="89"/>
      <c r="V656" s="89"/>
      <c r="W656" s="89"/>
      <c r="X656" s="89"/>
      <c r="Y656" s="89"/>
      <c r="Z656" s="77"/>
      <c r="AA656" s="77"/>
      <c r="AB656" s="94"/>
      <c r="AC656" s="94"/>
      <c r="AD656" s="94"/>
      <c r="AE656" s="94"/>
      <c r="AF656" s="91"/>
      <c r="AG656" s="92"/>
      <c r="AH656" s="92"/>
      <c r="AI656" s="93"/>
      <c r="AJ656" s="94"/>
      <c r="AK656" s="92"/>
      <c r="AL656" s="94"/>
      <c r="AM656" s="94"/>
      <c r="AN656" s="94"/>
      <c r="AO656" s="94"/>
      <c r="AP656" s="94"/>
      <c r="AQ656" s="94"/>
      <c r="AR656" s="94"/>
      <c r="AS656" s="94"/>
      <c r="AT656" s="94"/>
      <c r="AU656" s="92"/>
      <c r="AV656" s="94"/>
      <c r="AW656" s="94"/>
      <c r="AX656" s="94"/>
      <c r="AY656" s="94"/>
      <c r="AZ656" s="94"/>
      <c r="BA656" s="94"/>
      <c r="BB656" s="94"/>
      <c r="BC656" s="94"/>
      <c r="BD656" s="94"/>
      <c r="BE656" s="94"/>
      <c r="BF656" s="94"/>
      <c r="BG656" s="94"/>
      <c r="BH656" s="94"/>
      <c r="BI656" s="94"/>
      <c r="BJ656" s="94"/>
      <c r="BK656" s="94"/>
      <c r="BL656" s="92"/>
      <c r="BM656" s="94"/>
      <c r="BN656" s="94"/>
      <c r="BO656" s="94"/>
      <c r="BP656" s="94"/>
      <c r="BQ656" s="92"/>
      <c r="BR656" s="92"/>
      <c r="BS656" s="92"/>
      <c r="BT656" s="92"/>
      <c r="BU656" s="92"/>
      <c r="BV656" s="92"/>
      <c r="BW656" s="92"/>
      <c r="BX656" s="92"/>
      <c r="BY656" s="92"/>
      <c r="BZ656" s="92"/>
    </row>
    <row r="657" spans="1:78" ht="12.9">
      <c r="A657" s="89"/>
      <c r="B657" s="89"/>
      <c r="C657" s="89"/>
      <c r="D657" s="89"/>
      <c r="E657" s="89"/>
      <c r="F657" s="89"/>
      <c r="G657" s="89"/>
      <c r="H657" s="105"/>
      <c r="I657" s="106"/>
      <c r="J657" s="106"/>
      <c r="K657" s="89"/>
      <c r="L657" s="89"/>
      <c r="M657" s="89"/>
      <c r="N657" s="107"/>
      <c r="O657" s="107"/>
      <c r="P657" s="89"/>
      <c r="Q657" s="89"/>
      <c r="R657" s="89"/>
      <c r="S657" s="89"/>
      <c r="T657" s="89"/>
      <c r="U657" s="89"/>
      <c r="V657" s="89"/>
      <c r="W657" s="89"/>
      <c r="X657" s="89"/>
      <c r="Y657" s="89"/>
      <c r="Z657" s="77"/>
      <c r="AA657" s="77"/>
      <c r="AB657" s="94"/>
      <c r="AC657" s="94"/>
      <c r="AD657" s="94"/>
      <c r="AE657" s="94"/>
      <c r="AF657" s="91"/>
      <c r="AG657" s="92"/>
      <c r="AH657" s="92"/>
      <c r="AI657" s="93"/>
      <c r="AJ657" s="94"/>
      <c r="AK657" s="92"/>
      <c r="AL657" s="94"/>
      <c r="AM657" s="94"/>
      <c r="AN657" s="94"/>
      <c r="AO657" s="94"/>
      <c r="AP657" s="94"/>
      <c r="AQ657" s="94"/>
      <c r="AR657" s="94"/>
      <c r="AS657" s="94"/>
      <c r="AT657" s="94"/>
      <c r="AU657" s="92"/>
      <c r="AV657" s="94"/>
      <c r="AW657" s="94"/>
      <c r="AX657" s="94"/>
      <c r="AY657" s="94"/>
      <c r="AZ657" s="94"/>
      <c r="BA657" s="94"/>
      <c r="BB657" s="94"/>
      <c r="BC657" s="94"/>
      <c r="BD657" s="94"/>
      <c r="BE657" s="94"/>
      <c r="BF657" s="94"/>
      <c r="BG657" s="94"/>
      <c r="BH657" s="94"/>
      <c r="BI657" s="94"/>
      <c r="BJ657" s="94"/>
      <c r="BK657" s="94"/>
      <c r="BL657" s="92"/>
      <c r="BM657" s="94"/>
      <c r="BN657" s="94"/>
      <c r="BO657" s="94"/>
      <c r="BP657" s="94"/>
      <c r="BQ657" s="92"/>
      <c r="BR657" s="92"/>
      <c r="BS657" s="92"/>
      <c r="BT657" s="92"/>
      <c r="BU657" s="92"/>
      <c r="BV657" s="92"/>
      <c r="BW657" s="92"/>
      <c r="BX657" s="92"/>
      <c r="BY657" s="92"/>
      <c r="BZ657" s="92"/>
    </row>
    <row r="658" spans="1:78" ht="12.9">
      <c r="A658" s="89"/>
      <c r="B658" s="89"/>
      <c r="C658" s="89"/>
      <c r="D658" s="89"/>
      <c r="E658" s="89"/>
      <c r="F658" s="89"/>
      <c r="G658" s="89"/>
      <c r="H658" s="105"/>
      <c r="I658" s="106"/>
      <c r="J658" s="106"/>
      <c r="K658" s="89"/>
      <c r="L658" s="89"/>
      <c r="M658" s="89"/>
      <c r="N658" s="107"/>
      <c r="O658" s="107"/>
      <c r="P658" s="89"/>
      <c r="Q658" s="89"/>
      <c r="R658" s="89"/>
      <c r="S658" s="89"/>
      <c r="T658" s="89"/>
      <c r="U658" s="89"/>
      <c r="V658" s="89"/>
      <c r="W658" s="89"/>
      <c r="X658" s="89"/>
      <c r="Y658" s="89"/>
      <c r="Z658" s="77"/>
      <c r="AA658" s="77"/>
      <c r="AB658" s="94"/>
      <c r="AC658" s="94"/>
      <c r="AD658" s="94"/>
      <c r="AE658" s="94"/>
      <c r="AF658" s="91"/>
      <c r="AG658" s="92"/>
      <c r="AH658" s="92"/>
      <c r="AI658" s="93"/>
      <c r="AJ658" s="94"/>
      <c r="AK658" s="92"/>
      <c r="AL658" s="94"/>
      <c r="AM658" s="94"/>
      <c r="AN658" s="94"/>
      <c r="AO658" s="94"/>
      <c r="AP658" s="94"/>
      <c r="AQ658" s="94"/>
      <c r="AR658" s="94"/>
      <c r="AS658" s="94"/>
      <c r="AT658" s="94"/>
      <c r="AU658" s="92"/>
      <c r="AV658" s="94"/>
      <c r="AW658" s="94"/>
      <c r="AX658" s="94"/>
      <c r="AY658" s="94"/>
      <c r="AZ658" s="94"/>
      <c r="BA658" s="94"/>
      <c r="BB658" s="94"/>
      <c r="BC658" s="94"/>
      <c r="BD658" s="94"/>
      <c r="BE658" s="94"/>
      <c r="BF658" s="94"/>
      <c r="BG658" s="94"/>
      <c r="BH658" s="94"/>
      <c r="BI658" s="94"/>
      <c r="BJ658" s="94"/>
      <c r="BK658" s="94"/>
      <c r="BL658" s="92"/>
      <c r="BM658" s="94"/>
      <c r="BN658" s="94"/>
      <c r="BO658" s="94"/>
      <c r="BP658" s="94"/>
      <c r="BQ658" s="92"/>
      <c r="BR658" s="92"/>
      <c r="BS658" s="92"/>
      <c r="BT658" s="92"/>
      <c r="BU658" s="92"/>
      <c r="BV658" s="92"/>
      <c r="BW658" s="92"/>
      <c r="BX658" s="92"/>
      <c r="BY658" s="92"/>
      <c r="BZ658" s="92"/>
    </row>
    <row r="659" spans="1:78" ht="12.9">
      <c r="A659" s="89"/>
      <c r="B659" s="89"/>
      <c r="C659" s="89"/>
      <c r="D659" s="89"/>
      <c r="E659" s="89"/>
      <c r="F659" s="89"/>
      <c r="G659" s="89"/>
      <c r="H659" s="105"/>
      <c r="I659" s="106"/>
      <c r="J659" s="106"/>
      <c r="K659" s="89"/>
      <c r="L659" s="89"/>
      <c r="M659" s="89"/>
      <c r="N659" s="107"/>
      <c r="O659" s="107"/>
      <c r="P659" s="89"/>
      <c r="Q659" s="89"/>
      <c r="R659" s="89"/>
      <c r="S659" s="89"/>
      <c r="T659" s="89"/>
      <c r="U659" s="89"/>
      <c r="V659" s="89"/>
      <c r="W659" s="89"/>
      <c r="X659" s="89"/>
      <c r="Y659" s="89"/>
      <c r="Z659" s="77"/>
      <c r="AA659" s="77"/>
      <c r="AB659" s="94"/>
      <c r="AC659" s="94"/>
      <c r="AD659" s="94"/>
      <c r="AE659" s="94"/>
      <c r="AF659" s="91"/>
      <c r="AG659" s="92"/>
      <c r="AH659" s="92"/>
      <c r="AI659" s="93"/>
      <c r="AJ659" s="94"/>
      <c r="AK659" s="92"/>
      <c r="AL659" s="94"/>
      <c r="AM659" s="94"/>
      <c r="AN659" s="94"/>
      <c r="AO659" s="94"/>
      <c r="AP659" s="94"/>
      <c r="AQ659" s="94"/>
      <c r="AR659" s="94"/>
      <c r="AS659" s="94"/>
      <c r="AT659" s="94"/>
      <c r="AU659" s="92"/>
      <c r="AV659" s="94"/>
      <c r="AW659" s="94"/>
      <c r="AX659" s="94"/>
      <c r="AY659" s="94"/>
      <c r="AZ659" s="94"/>
      <c r="BA659" s="94"/>
      <c r="BB659" s="94"/>
      <c r="BC659" s="94"/>
      <c r="BD659" s="94"/>
      <c r="BE659" s="94"/>
      <c r="BF659" s="94"/>
      <c r="BG659" s="94"/>
      <c r="BH659" s="94"/>
      <c r="BI659" s="94"/>
      <c r="BJ659" s="94"/>
      <c r="BK659" s="94"/>
      <c r="BL659" s="92"/>
      <c r="BM659" s="94"/>
      <c r="BN659" s="94"/>
      <c r="BO659" s="94"/>
      <c r="BP659" s="94"/>
      <c r="BQ659" s="92"/>
      <c r="BR659" s="92"/>
      <c r="BS659" s="92"/>
      <c r="BT659" s="92"/>
      <c r="BU659" s="92"/>
      <c r="BV659" s="92"/>
      <c r="BW659" s="92"/>
      <c r="BX659" s="92"/>
      <c r="BY659" s="92"/>
      <c r="BZ659" s="92"/>
    </row>
    <row r="660" spans="1:78" ht="12.9">
      <c r="A660" s="89"/>
      <c r="B660" s="89"/>
      <c r="C660" s="89"/>
      <c r="D660" s="89"/>
      <c r="E660" s="89"/>
      <c r="F660" s="89"/>
      <c r="G660" s="89"/>
      <c r="H660" s="105"/>
      <c r="I660" s="106"/>
      <c r="J660" s="106"/>
      <c r="K660" s="89"/>
      <c r="L660" s="89"/>
      <c r="M660" s="89"/>
      <c r="N660" s="107"/>
      <c r="O660" s="107"/>
      <c r="P660" s="89"/>
      <c r="Q660" s="89"/>
      <c r="R660" s="89"/>
      <c r="S660" s="89"/>
      <c r="T660" s="89"/>
      <c r="U660" s="89"/>
      <c r="V660" s="89"/>
      <c r="W660" s="89"/>
      <c r="X660" s="89"/>
      <c r="Y660" s="89"/>
      <c r="Z660" s="77"/>
      <c r="AA660" s="77"/>
      <c r="AB660" s="94"/>
      <c r="AC660" s="94"/>
      <c r="AD660" s="94"/>
      <c r="AE660" s="94"/>
      <c r="AF660" s="91"/>
      <c r="AG660" s="92"/>
      <c r="AH660" s="92"/>
      <c r="AI660" s="93"/>
      <c r="AJ660" s="94"/>
      <c r="AK660" s="92"/>
      <c r="AL660" s="94"/>
      <c r="AM660" s="94"/>
      <c r="AN660" s="94"/>
      <c r="AO660" s="94"/>
      <c r="AP660" s="94"/>
      <c r="AQ660" s="94"/>
      <c r="AR660" s="94"/>
      <c r="AS660" s="94"/>
      <c r="AT660" s="94"/>
      <c r="AU660" s="92"/>
      <c r="AV660" s="94"/>
      <c r="AW660" s="94"/>
      <c r="AX660" s="94"/>
      <c r="AY660" s="94"/>
      <c r="AZ660" s="94"/>
      <c r="BA660" s="94"/>
      <c r="BB660" s="94"/>
      <c r="BC660" s="94"/>
      <c r="BD660" s="94"/>
      <c r="BE660" s="94"/>
      <c r="BF660" s="94"/>
      <c r="BG660" s="94"/>
      <c r="BH660" s="94"/>
      <c r="BI660" s="94"/>
      <c r="BJ660" s="94"/>
      <c r="BK660" s="94"/>
      <c r="BL660" s="92"/>
      <c r="BM660" s="94"/>
      <c r="BN660" s="94"/>
      <c r="BO660" s="94"/>
      <c r="BP660" s="94"/>
      <c r="BQ660" s="92"/>
      <c r="BR660" s="92"/>
      <c r="BS660" s="92"/>
      <c r="BT660" s="92"/>
      <c r="BU660" s="92"/>
      <c r="BV660" s="92"/>
      <c r="BW660" s="92"/>
      <c r="BX660" s="92"/>
      <c r="BY660" s="92"/>
      <c r="BZ660" s="92"/>
    </row>
    <row r="661" spans="1:78" ht="12.9">
      <c r="A661" s="89"/>
      <c r="B661" s="89"/>
      <c r="C661" s="89"/>
      <c r="D661" s="89"/>
      <c r="E661" s="89"/>
      <c r="F661" s="89"/>
      <c r="G661" s="89"/>
      <c r="H661" s="105"/>
      <c r="I661" s="106"/>
      <c r="J661" s="106"/>
      <c r="K661" s="89"/>
      <c r="L661" s="89"/>
      <c r="M661" s="89"/>
      <c r="N661" s="107"/>
      <c r="O661" s="107"/>
      <c r="P661" s="89"/>
      <c r="Q661" s="89"/>
      <c r="R661" s="89"/>
      <c r="S661" s="89"/>
      <c r="T661" s="89"/>
      <c r="U661" s="89"/>
      <c r="V661" s="89"/>
      <c r="W661" s="89"/>
      <c r="X661" s="89"/>
      <c r="Y661" s="89"/>
      <c r="Z661" s="77"/>
      <c r="AA661" s="77"/>
      <c r="AB661" s="94"/>
      <c r="AC661" s="94"/>
      <c r="AD661" s="94"/>
      <c r="AE661" s="94"/>
      <c r="AF661" s="91"/>
      <c r="AG661" s="92"/>
      <c r="AH661" s="92"/>
      <c r="AI661" s="93"/>
      <c r="AJ661" s="94"/>
      <c r="AK661" s="92"/>
      <c r="AL661" s="94"/>
      <c r="AM661" s="94"/>
      <c r="AN661" s="94"/>
      <c r="AO661" s="94"/>
      <c r="AP661" s="94"/>
      <c r="AQ661" s="94"/>
      <c r="AR661" s="94"/>
      <c r="AS661" s="94"/>
      <c r="AT661" s="94"/>
      <c r="AU661" s="92"/>
      <c r="AV661" s="94"/>
      <c r="AW661" s="94"/>
      <c r="AX661" s="94"/>
      <c r="AY661" s="94"/>
      <c r="AZ661" s="94"/>
      <c r="BA661" s="94"/>
      <c r="BB661" s="94"/>
      <c r="BC661" s="94"/>
      <c r="BD661" s="94"/>
      <c r="BE661" s="94"/>
      <c r="BF661" s="94"/>
      <c r="BG661" s="94"/>
      <c r="BH661" s="94"/>
      <c r="BI661" s="94"/>
      <c r="BJ661" s="94"/>
      <c r="BK661" s="94"/>
      <c r="BL661" s="92"/>
      <c r="BM661" s="94"/>
      <c r="BN661" s="94"/>
      <c r="BO661" s="94"/>
      <c r="BP661" s="94"/>
      <c r="BQ661" s="92"/>
      <c r="BR661" s="92"/>
      <c r="BS661" s="92"/>
      <c r="BT661" s="92"/>
      <c r="BU661" s="92"/>
      <c r="BV661" s="92"/>
      <c r="BW661" s="92"/>
      <c r="BX661" s="92"/>
      <c r="BY661" s="92"/>
      <c r="BZ661" s="92"/>
    </row>
    <row r="662" spans="1:78" ht="12.9">
      <c r="A662" s="89"/>
      <c r="B662" s="89"/>
      <c r="C662" s="89"/>
      <c r="D662" s="89"/>
      <c r="E662" s="89"/>
      <c r="F662" s="89"/>
      <c r="G662" s="89"/>
      <c r="H662" s="105"/>
      <c r="I662" s="106"/>
      <c r="J662" s="106"/>
      <c r="K662" s="89"/>
      <c r="L662" s="89"/>
      <c r="M662" s="89"/>
      <c r="N662" s="107"/>
      <c r="O662" s="107"/>
      <c r="P662" s="89"/>
      <c r="Q662" s="89"/>
      <c r="R662" s="89"/>
      <c r="S662" s="89"/>
      <c r="T662" s="89"/>
      <c r="U662" s="89"/>
      <c r="V662" s="89"/>
      <c r="W662" s="89"/>
      <c r="X662" s="89"/>
      <c r="Y662" s="89"/>
      <c r="Z662" s="77"/>
      <c r="AA662" s="77"/>
      <c r="AB662" s="94"/>
      <c r="AC662" s="94"/>
      <c r="AD662" s="94"/>
      <c r="AE662" s="94"/>
      <c r="AF662" s="91"/>
      <c r="AG662" s="92"/>
      <c r="AH662" s="92"/>
      <c r="AI662" s="93"/>
      <c r="AJ662" s="94"/>
      <c r="AK662" s="92"/>
      <c r="AL662" s="94"/>
      <c r="AM662" s="94"/>
      <c r="AN662" s="94"/>
      <c r="AO662" s="94"/>
      <c r="AP662" s="94"/>
      <c r="AQ662" s="94"/>
      <c r="AR662" s="94"/>
      <c r="AS662" s="94"/>
      <c r="AT662" s="94"/>
      <c r="AU662" s="92"/>
      <c r="AV662" s="94"/>
      <c r="AW662" s="94"/>
      <c r="AX662" s="94"/>
      <c r="AY662" s="94"/>
      <c r="AZ662" s="94"/>
      <c r="BA662" s="94"/>
      <c r="BB662" s="94"/>
      <c r="BC662" s="94"/>
      <c r="BD662" s="94"/>
      <c r="BE662" s="94"/>
      <c r="BF662" s="94"/>
      <c r="BG662" s="94"/>
      <c r="BH662" s="94"/>
      <c r="BI662" s="94"/>
      <c r="BJ662" s="94"/>
      <c r="BK662" s="94"/>
      <c r="BL662" s="92"/>
      <c r="BM662" s="94"/>
      <c r="BN662" s="94"/>
      <c r="BO662" s="94"/>
      <c r="BP662" s="94"/>
      <c r="BQ662" s="92"/>
      <c r="BR662" s="92"/>
      <c r="BS662" s="92"/>
      <c r="BT662" s="92"/>
      <c r="BU662" s="92"/>
      <c r="BV662" s="92"/>
      <c r="BW662" s="92"/>
      <c r="BX662" s="92"/>
      <c r="BY662" s="92"/>
      <c r="BZ662" s="92"/>
    </row>
    <row r="663" spans="1:78" ht="12.9">
      <c r="A663" s="89"/>
      <c r="B663" s="89"/>
      <c r="C663" s="89"/>
      <c r="D663" s="89"/>
      <c r="E663" s="89"/>
      <c r="F663" s="89"/>
      <c r="G663" s="89"/>
      <c r="H663" s="105"/>
      <c r="I663" s="106"/>
      <c r="J663" s="106"/>
      <c r="K663" s="89"/>
      <c r="L663" s="89"/>
      <c r="M663" s="89"/>
      <c r="N663" s="107"/>
      <c r="O663" s="107"/>
      <c r="P663" s="89"/>
      <c r="Q663" s="89"/>
      <c r="R663" s="89"/>
      <c r="S663" s="89"/>
      <c r="T663" s="89"/>
      <c r="U663" s="89"/>
      <c r="V663" s="89"/>
      <c r="W663" s="89"/>
      <c r="X663" s="89"/>
      <c r="Y663" s="89"/>
      <c r="Z663" s="77"/>
      <c r="AA663" s="77"/>
      <c r="AB663" s="94"/>
      <c r="AC663" s="94"/>
      <c r="AD663" s="94"/>
      <c r="AE663" s="94"/>
      <c r="AF663" s="91"/>
      <c r="AG663" s="92"/>
      <c r="AH663" s="92"/>
      <c r="AI663" s="93"/>
      <c r="AJ663" s="94"/>
      <c r="AK663" s="92"/>
      <c r="AL663" s="94"/>
      <c r="AM663" s="94"/>
      <c r="AN663" s="94"/>
      <c r="AO663" s="94"/>
      <c r="AP663" s="94"/>
      <c r="AQ663" s="94"/>
      <c r="AR663" s="94"/>
      <c r="AS663" s="94"/>
      <c r="AT663" s="94"/>
      <c r="AU663" s="92"/>
      <c r="AV663" s="94"/>
      <c r="AW663" s="94"/>
      <c r="AX663" s="94"/>
      <c r="AY663" s="94"/>
      <c r="AZ663" s="94"/>
      <c r="BA663" s="94"/>
      <c r="BB663" s="94"/>
      <c r="BC663" s="94"/>
      <c r="BD663" s="94"/>
      <c r="BE663" s="94"/>
      <c r="BF663" s="94"/>
      <c r="BG663" s="94"/>
      <c r="BH663" s="94"/>
      <c r="BI663" s="94"/>
      <c r="BJ663" s="94"/>
      <c r="BK663" s="94"/>
      <c r="BL663" s="92"/>
      <c r="BM663" s="94"/>
      <c r="BN663" s="94"/>
      <c r="BO663" s="94"/>
      <c r="BP663" s="94"/>
      <c r="BQ663" s="92"/>
      <c r="BR663" s="92"/>
      <c r="BS663" s="92"/>
      <c r="BT663" s="92"/>
      <c r="BU663" s="92"/>
      <c r="BV663" s="92"/>
      <c r="BW663" s="92"/>
      <c r="BX663" s="92"/>
      <c r="BY663" s="92"/>
      <c r="BZ663" s="92"/>
    </row>
    <row r="664" spans="1:78" ht="12.9">
      <c r="A664" s="89"/>
      <c r="B664" s="89"/>
      <c r="C664" s="89"/>
      <c r="D664" s="89"/>
      <c r="E664" s="89"/>
      <c r="F664" s="89"/>
      <c r="G664" s="89"/>
      <c r="H664" s="105"/>
      <c r="I664" s="106"/>
      <c r="J664" s="106"/>
      <c r="K664" s="89"/>
      <c r="L664" s="89"/>
      <c r="M664" s="89"/>
      <c r="N664" s="107"/>
      <c r="O664" s="107"/>
      <c r="P664" s="89"/>
      <c r="Q664" s="89"/>
      <c r="R664" s="89"/>
      <c r="S664" s="89"/>
      <c r="T664" s="89"/>
      <c r="U664" s="89"/>
      <c r="V664" s="89"/>
      <c r="W664" s="89"/>
      <c r="X664" s="89"/>
      <c r="Y664" s="89"/>
      <c r="Z664" s="77"/>
      <c r="AA664" s="77"/>
      <c r="AB664" s="94"/>
      <c r="AC664" s="94"/>
      <c r="AD664" s="94"/>
      <c r="AE664" s="94"/>
      <c r="AF664" s="91"/>
      <c r="AG664" s="92"/>
      <c r="AH664" s="92"/>
      <c r="AI664" s="93"/>
      <c r="AJ664" s="94"/>
      <c r="AK664" s="92"/>
      <c r="AL664" s="94"/>
      <c r="AM664" s="94"/>
      <c r="AN664" s="94"/>
      <c r="AO664" s="94"/>
      <c r="AP664" s="94"/>
      <c r="AQ664" s="94"/>
      <c r="AR664" s="94"/>
      <c r="AS664" s="94"/>
      <c r="AT664" s="94"/>
      <c r="AU664" s="92"/>
      <c r="AV664" s="94"/>
      <c r="AW664" s="94"/>
      <c r="AX664" s="94"/>
      <c r="AY664" s="94"/>
      <c r="AZ664" s="94"/>
      <c r="BA664" s="94"/>
      <c r="BB664" s="94"/>
      <c r="BC664" s="94"/>
      <c r="BD664" s="94"/>
      <c r="BE664" s="94"/>
      <c r="BF664" s="94"/>
      <c r="BG664" s="94"/>
      <c r="BH664" s="94"/>
      <c r="BI664" s="94"/>
      <c r="BJ664" s="94"/>
      <c r="BK664" s="94"/>
      <c r="BL664" s="92"/>
      <c r="BM664" s="94"/>
      <c r="BN664" s="94"/>
      <c r="BO664" s="94"/>
      <c r="BP664" s="94"/>
      <c r="BQ664" s="92"/>
      <c r="BR664" s="92"/>
      <c r="BS664" s="92"/>
      <c r="BT664" s="92"/>
      <c r="BU664" s="92"/>
      <c r="BV664" s="92"/>
      <c r="BW664" s="92"/>
      <c r="BX664" s="92"/>
      <c r="BY664" s="92"/>
      <c r="BZ664" s="92"/>
    </row>
    <row r="665" spans="1:78" ht="12.9">
      <c r="A665" s="89"/>
      <c r="B665" s="89"/>
      <c r="C665" s="89"/>
      <c r="D665" s="89"/>
      <c r="E665" s="89"/>
      <c r="F665" s="89"/>
      <c r="G665" s="89"/>
      <c r="H665" s="105"/>
      <c r="I665" s="106"/>
      <c r="J665" s="106"/>
      <c r="K665" s="89"/>
      <c r="L665" s="89"/>
      <c r="M665" s="89"/>
      <c r="N665" s="107"/>
      <c r="O665" s="107"/>
      <c r="P665" s="89"/>
      <c r="Q665" s="89"/>
      <c r="R665" s="89"/>
      <c r="S665" s="89"/>
      <c r="T665" s="89"/>
      <c r="U665" s="89"/>
      <c r="V665" s="89"/>
      <c r="W665" s="89"/>
      <c r="X665" s="89"/>
      <c r="Y665" s="89"/>
      <c r="Z665" s="77"/>
      <c r="AA665" s="77"/>
      <c r="AB665" s="94"/>
      <c r="AC665" s="94"/>
      <c r="AD665" s="94"/>
      <c r="AE665" s="94"/>
      <c r="AF665" s="91"/>
      <c r="AG665" s="92"/>
      <c r="AH665" s="92"/>
      <c r="AI665" s="93"/>
      <c r="AJ665" s="94"/>
      <c r="AK665" s="92"/>
      <c r="AL665" s="94"/>
      <c r="AM665" s="94"/>
      <c r="AN665" s="94"/>
      <c r="AO665" s="94"/>
      <c r="AP665" s="94"/>
      <c r="AQ665" s="94"/>
      <c r="AR665" s="94"/>
      <c r="AS665" s="94"/>
      <c r="AT665" s="94"/>
      <c r="AU665" s="92"/>
      <c r="AV665" s="94"/>
      <c r="AW665" s="94"/>
      <c r="AX665" s="94"/>
      <c r="AY665" s="94"/>
      <c r="AZ665" s="94"/>
      <c r="BA665" s="94"/>
      <c r="BB665" s="94"/>
      <c r="BC665" s="94"/>
      <c r="BD665" s="94"/>
      <c r="BE665" s="94"/>
      <c r="BF665" s="94"/>
      <c r="BG665" s="94"/>
      <c r="BH665" s="94"/>
      <c r="BI665" s="94"/>
      <c r="BJ665" s="94"/>
      <c r="BK665" s="94"/>
      <c r="BL665" s="92"/>
      <c r="BM665" s="94"/>
      <c r="BN665" s="94"/>
      <c r="BO665" s="94"/>
      <c r="BP665" s="94"/>
      <c r="BQ665" s="92"/>
      <c r="BR665" s="92"/>
      <c r="BS665" s="92"/>
      <c r="BT665" s="92"/>
      <c r="BU665" s="92"/>
      <c r="BV665" s="92"/>
      <c r="BW665" s="92"/>
      <c r="BX665" s="92"/>
      <c r="BY665" s="92"/>
      <c r="BZ665" s="92"/>
    </row>
    <row r="666" spans="1:78" ht="12.9">
      <c r="A666" s="89"/>
      <c r="B666" s="89"/>
      <c r="C666" s="89"/>
      <c r="D666" s="89"/>
      <c r="E666" s="89"/>
      <c r="F666" s="89"/>
      <c r="G666" s="89"/>
      <c r="H666" s="105"/>
      <c r="I666" s="106"/>
      <c r="J666" s="106"/>
      <c r="K666" s="89"/>
      <c r="L666" s="89"/>
      <c r="M666" s="89"/>
      <c r="N666" s="107"/>
      <c r="O666" s="107"/>
      <c r="P666" s="89"/>
      <c r="Q666" s="89"/>
      <c r="R666" s="89"/>
      <c r="S666" s="89"/>
      <c r="T666" s="89"/>
      <c r="U666" s="89"/>
      <c r="V666" s="89"/>
      <c r="W666" s="89"/>
      <c r="X666" s="89"/>
      <c r="Y666" s="89"/>
      <c r="Z666" s="77"/>
      <c r="AA666" s="77"/>
      <c r="AB666" s="94"/>
      <c r="AC666" s="94"/>
      <c r="AD666" s="94"/>
      <c r="AE666" s="94"/>
      <c r="AF666" s="91"/>
      <c r="AG666" s="92"/>
      <c r="AH666" s="92"/>
      <c r="AI666" s="93"/>
      <c r="AJ666" s="94"/>
      <c r="AK666" s="92"/>
      <c r="AL666" s="94"/>
      <c r="AM666" s="94"/>
      <c r="AN666" s="94"/>
      <c r="AO666" s="94"/>
      <c r="AP666" s="94"/>
      <c r="AQ666" s="94"/>
      <c r="AR666" s="94"/>
      <c r="AS666" s="94"/>
      <c r="AT666" s="94"/>
      <c r="AU666" s="92"/>
      <c r="AV666" s="94"/>
      <c r="AW666" s="94"/>
      <c r="AX666" s="94"/>
      <c r="AY666" s="94"/>
      <c r="AZ666" s="94"/>
      <c r="BA666" s="94"/>
      <c r="BB666" s="94"/>
      <c r="BC666" s="94"/>
      <c r="BD666" s="94"/>
      <c r="BE666" s="94"/>
      <c r="BF666" s="94"/>
      <c r="BG666" s="94"/>
      <c r="BH666" s="94"/>
      <c r="BI666" s="94"/>
      <c r="BJ666" s="94"/>
      <c r="BK666" s="94"/>
      <c r="BL666" s="92"/>
      <c r="BM666" s="94"/>
      <c r="BN666" s="94"/>
      <c r="BO666" s="94"/>
      <c r="BP666" s="94"/>
      <c r="BQ666" s="92"/>
      <c r="BR666" s="92"/>
      <c r="BS666" s="92"/>
      <c r="BT666" s="92"/>
      <c r="BU666" s="92"/>
      <c r="BV666" s="92"/>
      <c r="BW666" s="92"/>
      <c r="BX666" s="92"/>
      <c r="BY666" s="92"/>
      <c r="BZ666" s="92"/>
    </row>
    <row r="667" spans="1:78" ht="12.9">
      <c r="A667" s="89"/>
      <c r="B667" s="89"/>
      <c r="C667" s="89"/>
      <c r="D667" s="89"/>
      <c r="E667" s="89"/>
      <c r="F667" s="89"/>
      <c r="G667" s="89"/>
      <c r="H667" s="105"/>
      <c r="I667" s="106"/>
      <c r="J667" s="106"/>
      <c r="K667" s="89"/>
      <c r="L667" s="89"/>
      <c r="M667" s="89"/>
      <c r="N667" s="107"/>
      <c r="O667" s="107"/>
      <c r="P667" s="89"/>
      <c r="Q667" s="89"/>
      <c r="R667" s="89"/>
      <c r="S667" s="89"/>
      <c r="T667" s="89"/>
      <c r="U667" s="89"/>
      <c r="V667" s="89"/>
      <c r="W667" s="89"/>
      <c r="X667" s="89"/>
      <c r="Y667" s="89"/>
      <c r="Z667" s="77"/>
      <c r="AA667" s="77"/>
      <c r="AB667" s="94"/>
      <c r="AC667" s="94"/>
      <c r="AD667" s="94"/>
      <c r="AE667" s="94"/>
      <c r="AF667" s="91"/>
      <c r="AG667" s="92"/>
      <c r="AH667" s="92"/>
      <c r="AI667" s="93"/>
      <c r="AJ667" s="94"/>
      <c r="AK667" s="92"/>
      <c r="AL667" s="94"/>
      <c r="AM667" s="94"/>
      <c r="AN667" s="94"/>
      <c r="AO667" s="94"/>
      <c r="AP667" s="94"/>
      <c r="AQ667" s="94"/>
      <c r="AR667" s="94"/>
      <c r="AS667" s="94"/>
      <c r="AT667" s="94"/>
      <c r="AU667" s="92"/>
      <c r="AV667" s="94"/>
      <c r="AW667" s="94"/>
      <c r="AX667" s="94"/>
      <c r="AY667" s="94"/>
      <c r="AZ667" s="94"/>
      <c r="BA667" s="94"/>
      <c r="BB667" s="94"/>
      <c r="BC667" s="94"/>
      <c r="BD667" s="94"/>
      <c r="BE667" s="94"/>
      <c r="BF667" s="94"/>
      <c r="BG667" s="94"/>
      <c r="BH667" s="94"/>
      <c r="BI667" s="94"/>
      <c r="BJ667" s="94"/>
      <c r="BK667" s="94"/>
      <c r="BL667" s="92"/>
      <c r="BM667" s="94"/>
      <c r="BN667" s="94"/>
      <c r="BO667" s="94"/>
      <c r="BP667" s="94"/>
      <c r="BQ667" s="92"/>
      <c r="BR667" s="92"/>
      <c r="BS667" s="92"/>
      <c r="BT667" s="92"/>
      <c r="BU667" s="92"/>
      <c r="BV667" s="92"/>
      <c r="BW667" s="92"/>
      <c r="BX667" s="92"/>
      <c r="BY667" s="92"/>
      <c r="BZ667" s="92"/>
    </row>
    <row r="668" spans="1:78" ht="12.9">
      <c r="A668" s="89"/>
      <c r="B668" s="89"/>
      <c r="C668" s="89"/>
      <c r="D668" s="89"/>
      <c r="E668" s="89"/>
      <c r="F668" s="89"/>
      <c r="G668" s="89"/>
      <c r="H668" s="105"/>
      <c r="I668" s="106"/>
      <c r="J668" s="106"/>
      <c r="K668" s="89"/>
      <c r="L668" s="89"/>
      <c r="M668" s="89"/>
      <c r="N668" s="107"/>
      <c r="O668" s="107"/>
      <c r="P668" s="89"/>
      <c r="Q668" s="89"/>
      <c r="R668" s="89"/>
      <c r="S668" s="89"/>
      <c r="T668" s="89"/>
      <c r="U668" s="89"/>
      <c r="V668" s="89"/>
      <c r="W668" s="89"/>
      <c r="X668" s="89"/>
      <c r="Y668" s="89"/>
      <c r="Z668" s="77"/>
      <c r="AA668" s="77"/>
      <c r="AB668" s="94"/>
      <c r="AC668" s="94"/>
      <c r="AD668" s="94"/>
      <c r="AE668" s="94"/>
      <c r="AF668" s="91"/>
      <c r="AG668" s="92"/>
      <c r="AH668" s="92"/>
      <c r="AI668" s="93"/>
      <c r="AJ668" s="94"/>
      <c r="AK668" s="92"/>
      <c r="AL668" s="94"/>
      <c r="AM668" s="94"/>
      <c r="AN668" s="94"/>
      <c r="AO668" s="94"/>
      <c r="AP668" s="94"/>
      <c r="AQ668" s="94"/>
      <c r="AR668" s="94"/>
      <c r="AS668" s="94"/>
      <c r="AT668" s="94"/>
      <c r="AU668" s="92"/>
      <c r="AV668" s="94"/>
      <c r="AW668" s="94"/>
      <c r="AX668" s="94"/>
      <c r="AY668" s="94"/>
      <c r="AZ668" s="94"/>
      <c r="BA668" s="94"/>
      <c r="BB668" s="94"/>
      <c r="BC668" s="94"/>
      <c r="BD668" s="94"/>
      <c r="BE668" s="94"/>
      <c r="BF668" s="94"/>
      <c r="BG668" s="94"/>
      <c r="BH668" s="94"/>
      <c r="BI668" s="94"/>
      <c r="BJ668" s="94"/>
      <c r="BK668" s="94"/>
      <c r="BL668" s="92"/>
      <c r="BM668" s="94"/>
      <c r="BN668" s="94"/>
      <c r="BO668" s="94"/>
      <c r="BP668" s="94"/>
      <c r="BQ668" s="92"/>
      <c r="BR668" s="92"/>
      <c r="BS668" s="92"/>
      <c r="BT668" s="92"/>
      <c r="BU668" s="92"/>
      <c r="BV668" s="92"/>
      <c r="BW668" s="92"/>
      <c r="BX668" s="92"/>
      <c r="BY668" s="92"/>
      <c r="BZ668" s="92"/>
    </row>
    <row r="669" spans="1:78" ht="12.9">
      <c r="A669" s="89"/>
      <c r="B669" s="89"/>
      <c r="C669" s="89"/>
      <c r="D669" s="89"/>
      <c r="E669" s="89"/>
      <c r="F669" s="89"/>
      <c r="G669" s="89"/>
      <c r="H669" s="105"/>
      <c r="I669" s="106"/>
      <c r="J669" s="106"/>
      <c r="K669" s="89"/>
      <c r="L669" s="89"/>
      <c r="M669" s="89"/>
      <c r="N669" s="107"/>
      <c r="O669" s="107"/>
      <c r="P669" s="89"/>
      <c r="Q669" s="89"/>
      <c r="R669" s="89"/>
      <c r="S669" s="89"/>
      <c r="T669" s="89"/>
      <c r="U669" s="89"/>
      <c r="V669" s="89"/>
      <c r="W669" s="89"/>
      <c r="X669" s="89"/>
      <c r="Y669" s="89"/>
      <c r="Z669" s="77"/>
      <c r="AA669" s="77"/>
      <c r="AB669" s="94"/>
      <c r="AC669" s="94"/>
      <c r="AD669" s="94"/>
      <c r="AE669" s="94"/>
      <c r="AF669" s="91"/>
      <c r="AG669" s="92"/>
      <c r="AH669" s="92"/>
      <c r="AI669" s="93"/>
      <c r="AJ669" s="94"/>
      <c r="AK669" s="92"/>
      <c r="AL669" s="94"/>
      <c r="AM669" s="94"/>
      <c r="AN669" s="94"/>
      <c r="AO669" s="94"/>
      <c r="AP669" s="94"/>
      <c r="AQ669" s="94"/>
      <c r="AR669" s="94"/>
      <c r="AS669" s="94"/>
      <c r="AT669" s="94"/>
      <c r="AU669" s="92"/>
      <c r="AV669" s="94"/>
      <c r="AW669" s="94"/>
      <c r="AX669" s="94"/>
      <c r="AY669" s="94"/>
      <c r="AZ669" s="94"/>
      <c r="BA669" s="94"/>
      <c r="BB669" s="94"/>
      <c r="BC669" s="94"/>
      <c r="BD669" s="94"/>
      <c r="BE669" s="94"/>
      <c r="BF669" s="94"/>
      <c r="BG669" s="94"/>
      <c r="BH669" s="94"/>
      <c r="BI669" s="94"/>
      <c r="BJ669" s="94"/>
      <c r="BK669" s="94"/>
      <c r="BL669" s="92"/>
      <c r="BM669" s="94"/>
      <c r="BN669" s="94"/>
      <c r="BO669" s="94"/>
      <c r="BP669" s="94"/>
      <c r="BQ669" s="92"/>
      <c r="BR669" s="92"/>
      <c r="BS669" s="92"/>
      <c r="BT669" s="92"/>
      <c r="BU669" s="92"/>
      <c r="BV669" s="92"/>
      <c r="BW669" s="92"/>
      <c r="BX669" s="92"/>
      <c r="BY669" s="92"/>
      <c r="BZ669" s="92"/>
    </row>
    <row r="670" spans="1:78" ht="12.9">
      <c r="A670" s="89"/>
      <c r="B670" s="89"/>
      <c r="C670" s="89"/>
      <c r="D670" s="89"/>
      <c r="E670" s="89"/>
      <c r="F670" s="89"/>
      <c r="G670" s="89"/>
      <c r="H670" s="105"/>
      <c r="I670" s="106"/>
      <c r="J670" s="106"/>
      <c r="K670" s="89"/>
      <c r="L670" s="89"/>
      <c r="M670" s="89"/>
      <c r="N670" s="107"/>
      <c r="O670" s="107"/>
      <c r="P670" s="89"/>
      <c r="Q670" s="89"/>
      <c r="R670" s="89"/>
      <c r="S670" s="89"/>
      <c r="T670" s="89"/>
      <c r="U670" s="89"/>
      <c r="V670" s="89"/>
      <c r="W670" s="89"/>
      <c r="X670" s="89"/>
      <c r="Y670" s="89"/>
      <c r="Z670" s="77"/>
      <c r="AA670" s="77"/>
      <c r="AB670" s="94"/>
      <c r="AC670" s="94"/>
      <c r="AD670" s="94"/>
      <c r="AE670" s="94"/>
      <c r="AF670" s="91"/>
      <c r="AG670" s="92"/>
      <c r="AH670" s="92"/>
      <c r="AI670" s="93"/>
      <c r="AJ670" s="94"/>
      <c r="AK670" s="92"/>
      <c r="AL670" s="94"/>
      <c r="AM670" s="94"/>
      <c r="AN670" s="94"/>
      <c r="AO670" s="94"/>
      <c r="AP670" s="94"/>
      <c r="AQ670" s="94"/>
      <c r="AR670" s="94"/>
      <c r="AS670" s="94"/>
      <c r="AT670" s="94"/>
      <c r="AU670" s="92"/>
      <c r="AV670" s="94"/>
      <c r="AW670" s="94"/>
      <c r="AX670" s="94"/>
      <c r="AY670" s="94"/>
      <c r="AZ670" s="94"/>
      <c r="BA670" s="94"/>
      <c r="BB670" s="94"/>
      <c r="BC670" s="94"/>
      <c r="BD670" s="94"/>
      <c r="BE670" s="94"/>
      <c r="BF670" s="94"/>
      <c r="BG670" s="94"/>
      <c r="BH670" s="94"/>
      <c r="BI670" s="94"/>
      <c r="BJ670" s="94"/>
      <c r="BK670" s="94"/>
      <c r="BL670" s="92"/>
      <c r="BM670" s="94"/>
      <c r="BN670" s="94"/>
      <c r="BO670" s="94"/>
      <c r="BP670" s="94"/>
      <c r="BQ670" s="92"/>
      <c r="BR670" s="92"/>
      <c r="BS670" s="92"/>
      <c r="BT670" s="92"/>
      <c r="BU670" s="92"/>
      <c r="BV670" s="92"/>
      <c r="BW670" s="92"/>
      <c r="BX670" s="92"/>
      <c r="BY670" s="92"/>
      <c r="BZ670" s="92"/>
    </row>
    <row r="671" spans="1:78" ht="12.9">
      <c r="A671" s="89"/>
      <c r="B671" s="89"/>
      <c r="C671" s="89"/>
      <c r="D671" s="89"/>
      <c r="E671" s="89"/>
      <c r="F671" s="89"/>
      <c r="G671" s="89"/>
      <c r="H671" s="105"/>
      <c r="I671" s="106"/>
      <c r="J671" s="106"/>
      <c r="K671" s="89"/>
      <c r="L671" s="89"/>
      <c r="M671" s="89"/>
      <c r="N671" s="107"/>
      <c r="O671" s="107"/>
      <c r="P671" s="89"/>
      <c r="Q671" s="89"/>
      <c r="R671" s="89"/>
      <c r="S671" s="89"/>
      <c r="T671" s="89"/>
      <c r="U671" s="89"/>
      <c r="V671" s="89"/>
      <c r="W671" s="89"/>
      <c r="X671" s="89"/>
      <c r="Y671" s="89"/>
      <c r="Z671" s="77"/>
      <c r="AA671" s="77"/>
      <c r="AB671" s="94"/>
      <c r="AC671" s="94"/>
      <c r="AD671" s="94"/>
      <c r="AE671" s="94"/>
      <c r="AF671" s="91"/>
      <c r="AG671" s="92"/>
      <c r="AH671" s="92"/>
      <c r="AI671" s="93"/>
      <c r="AJ671" s="94"/>
      <c r="AK671" s="92"/>
      <c r="AL671" s="94"/>
      <c r="AM671" s="94"/>
      <c r="AN671" s="94"/>
      <c r="AO671" s="94"/>
      <c r="AP671" s="94"/>
      <c r="AQ671" s="94"/>
      <c r="AR671" s="94"/>
      <c r="AS671" s="94"/>
      <c r="AT671" s="94"/>
      <c r="AU671" s="92"/>
      <c r="AV671" s="94"/>
      <c r="AW671" s="94"/>
      <c r="AX671" s="94"/>
      <c r="AY671" s="94"/>
      <c r="AZ671" s="94"/>
      <c r="BA671" s="94"/>
      <c r="BB671" s="94"/>
      <c r="BC671" s="94"/>
      <c r="BD671" s="94"/>
      <c r="BE671" s="94"/>
      <c r="BF671" s="94"/>
      <c r="BG671" s="94"/>
      <c r="BH671" s="94"/>
      <c r="BI671" s="94"/>
      <c r="BJ671" s="94"/>
      <c r="BK671" s="94"/>
      <c r="BL671" s="92"/>
      <c r="BM671" s="94"/>
      <c r="BN671" s="94"/>
      <c r="BO671" s="94"/>
      <c r="BP671" s="94"/>
      <c r="BQ671" s="92"/>
      <c r="BR671" s="92"/>
      <c r="BS671" s="92"/>
      <c r="BT671" s="92"/>
      <c r="BU671" s="92"/>
      <c r="BV671" s="92"/>
      <c r="BW671" s="92"/>
      <c r="BX671" s="92"/>
      <c r="BY671" s="92"/>
      <c r="BZ671" s="92"/>
    </row>
    <row r="672" spans="1:78" ht="12.9">
      <c r="A672" s="89"/>
      <c r="B672" s="89"/>
      <c r="C672" s="89"/>
      <c r="D672" s="89"/>
      <c r="E672" s="89"/>
      <c r="F672" s="89"/>
      <c r="G672" s="89"/>
      <c r="H672" s="105"/>
      <c r="I672" s="106"/>
      <c r="J672" s="106"/>
      <c r="K672" s="89"/>
      <c r="L672" s="89"/>
      <c r="M672" s="89"/>
      <c r="N672" s="107"/>
      <c r="O672" s="107"/>
      <c r="P672" s="89"/>
      <c r="Q672" s="89"/>
      <c r="R672" s="89"/>
      <c r="S672" s="89"/>
      <c r="T672" s="89"/>
      <c r="U672" s="89"/>
      <c r="V672" s="89"/>
      <c r="W672" s="89"/>
      <c r="X672" s="89"/>
      <c r="Y672" s="89"/>
      <c r="Z672" s="77"/>
      <c r="AA672" s="77"/>
      <c r="AB672" s="94"/>
      <c r="AC672" s="94"/>
      <c r="AD672" s="94"/>
      <c r="AE672" s="94"/>
      <c r="AF672" s="91"/>
      <c r="AG672" s="92"/>
      <c r="AH672" s="92"/>
      <c r="AI672" s="93"/>
      <c r="AJ672" s="94"/>
      <c r="AK672" s="92"/>
      <c r="AL672" s="94"/>
      <c r="AM672" s="94"/>
      <c r="AN672" s="94"/>
      <c r="AO672" s="94"/>
      <c r="AP672" s="94"/>
      <c r="AQ672" s="94"/>
      <c r="AR672" s="94"/>
      <c r="AS672" s="94"/>
      <c r="AT672" s="94"/>
      <c r="AU672" s="92"/>
      <c r="AV672" s="94"/>
      <c r="AW672" s="94"/>
      <c r="AX672" s="94"/>
      <c r="AY672" s="94"/>
      <c r="AZ672" s="94"/>
      <c r="BA672" s="94"/>
      <c r="BB672" s="94"/>
      <c r="BC672" s="94"/>
      <c r="BD672" s="94"/>
      <c r="BE672" s="94"/>
      <c r="BF672" s="94"/>
      <c r="BG672" s="94"/>
      <c r="BH672" s="94"/>
      <c r="BI672" s="94"/>
      <c r="BJ672" s="94"/>
      <c r="BK672" s="94"/>
      <c r="BL672" s="92"/>
      <c r="BM672" s="94"/>
      <c r="BN672" s="94"/>
      <c r="BO672" s="94"/>
      <c r="BP672" s="94"/>
      <c r="BQ672" s="92"/>
      <c r="BR672" s="92"/>
      <c r="BS672" s="92"/>
      <c r="BT672" s="92"/>
      <c r="BU672" s="92"/>
      <c r="BV672" s="92"/>
      <c r="BW672" s="92"/>
      <c r="BX672" s="92"/>
      <c r="BY672" s="92"/>
      <c r="BZ672" s="92"/>
    </row>
    <row r="673" spans="1:78" ht="12.9">
      <c r="A673" s="89"/>
      <c r="B673" s="89"/>
      <c r="C673" s="89"/>
      <c r="D673" s="89"/>
      <c r="E673" s="89"/>
      <c r="F673" s="89"/>
      <c r="G673" s="89"/>
      <c r="H673" s="105"/>
      <c r="I673" s="106"/>
      <c r="J673" s="106"/>
      <c r="K673" s="89"/>
      <c r="L673" s="89"/>
      <c r="M673" s="89"/>
      <c r="N673" s="107"/>
      <c r="O673" s="107"/>
      <c r="P673" s="89"/>
      <c r="Q673" s="89"/>
      <c r="R673" s="89"/>
      <c r="S673" s="89"/>
      <c r="T673" s="89"/>
      <c r="U673" s="89"/>
      <c r="V673" s="89"/>
      <c r="W673" s="89"/>
      <c r="X673" s="89"/>
      <c r="Y673" s="89"/>
      <c r="Z673" s="77"/>
      <c r="AA673" s="77"/>
      <c r="AB673" s="94"/>
      <c r="AC673" s="94"/>
      <c r="AD673" s="94"/>
      <c r="AE673" s="94"/>
      <c r="AF673" s="91"/>
      <c r="AG673" s="92"/>
      <c r="AH673" s="92"/>
      <c r="AI673" s="93"/>
      <c r="AJ673" s="94"/>
      <c r="AK673" s="92"/>
      <c r="AL673" s="94"/>
      <c r="AM673" s="94"/>
      <c r="AN673" s="94"/>
      <c r="AO673" s="94"/>
      <c r="AP673" s="94"/>
      <c r="AQ673" s="94"/>
      <c r="AR673" s="94"/>
      <c r="AS673" s="94"/>
      <c r="AT673" s="94"/>
      <c r="AU673" s="92"/>
      <c r="AV673" s="94"/>
      <c r="AW673" s="94"/>
      <c r="AX673" s="94"/>
      <c r="AY673" s="94"/>
      <c r="AZ673" s="94"/>
      <c r="BA673" s="94"/>
      <c r="BB673" s="94"/>
      <c r="BC673" s="94"/>
      <c r="BD673" s="94"/>
      <c r="BE673" s="94"/>
      <c r="BF673" s="94"/>
      <c r="BG673" s="94"/>
      <c r="BH673" s="94"/>
      <c r="BI673" s="94"/>
      <c r="BJ673" s="94"/>
      <c r="BK673" s="94"/>
      <c r="BL673" s="92"/>
      <c r="BM673" s="94"/>
      <c r="BN673" s="94"/>
      <c r="BO673" s="94"/>
      <c r="BP673" s="94"/>
      <c r="BQ673" s="92"/>
      <c r="BR673" s="92"/>
      <c r="BS673" s="92"/>
      <c r="BT673" s="92"/>
      <c r="BU673" s="92"/>
      <c r="BV673" s="92"/>
      <c r="BW673" s="92"/>
      <c r="BX673" s="92"/>
      <c r="BY673" s="92"/>
      <c r="BZ673" s="92"/>
    </row>
    <row r="674" spans="1:78" ht="12.9">
      <c r="A674" s="89"/>
      <c r="B674" s="89"/>
      <c r="C674" s="89"/>
      <c r="D674" s="89"/>
      <c r="E674" s="89"/>
      <c r="F674" s="89"/>
      <c r="G674" s="89"/>
      <c r="H674" s="105"/>
      <c r="I674" s="106"/>
      <c r="J674" s="106"/>
      <c r="K674" s="89"/>
      <c r="L674" s="89"/>
      <c r="M674" s="89"/>
      <c r="N674" s="107"/>
      <c r="O674" s="107"/>
      <c r="P674" s="89"/>
      <c r="Q674" s="89"/>
      <c r="R674" s="89"/>
      <c r="S674" s="89"/>
      <c r="T674" s="89"/>
      <c r="U674" s="89"/>
      <c r="V674" s="89"/>
      <c r="W674" s="89"/>
      <c r="X674" s="89"/>
      <c r="Y674" s="89"/>
      <c r="Z674" s="77"/>
      <c r="AA674" s="77"/>
      <c r="AB674" s="94"/>
      <c r="AC674" s="94"/>
      <c r="AD674" s="94"/>
      <c r="AE674" s="94"/>
      <c r="AF674" s="91"/>
      <c r="AG674" s="92"/>
      <c r="AH674" s="92"/>
      <c r="AI674" s="93"/>
      <c r="AJ674" s="94"/>
      <c r="AK674" s="92"/>
      <c r="AL674" s="94"/>
      <c r="AM674" s="94"/>
      <c r="AN674" s="94"/>
      <c r="AO674" s="94"/>
      <c r="AP674" s="94"/>
      <c r="AQ674" s="94"/>
      <c r="AR674" s="94"/>
      <c r="AS674" s="94"/>
      <c r="AT674" s="94"/>
      <c r="AU674" s="92"/>
      <c r="AV674" s="94"/>
      <c r="AW674" s="94"/>
      <c r="AX674" s="94"/>
      <c r="AY674" s="94"/>
      <c r="AZ674" s="94"/>
      <c r="BA674" s="94"/>
      <c r="BB674" s="94"/>
      <c r="BC674" s="94"/>
      <c r="BD674" s="94"/>
      <c r="BE674" s="94"/>
      <c r="BF674" s="94"/>
      <c r="BG674" s="94"/>
      <c r="BH674" s="94"/>
      <c r="BI674" s="94"/>
      <c r="BJ674" s="94"/>
      <c r="BK674" s="94"/>
      <c r="BL674" s="92"/>
      <c r="BM674" s="94"/>
      <c r="BN674" s="94"/>
      <c r="BO674" s="94"/>
      <c r="BP674" s="94"/>
      <c r="BQ674" s="92"/>
      <c r="BR674" s="92"/>
      <c r="BS674" s="92"/>
      <c r="BT674" s="92"/>
      <c r="BU674" s="92"/>
      <c r="BV674" s="92"/>
      <c r="BW674" s="92"/>
      <c r="BX674" s="92"/>
      <c r="BY674" s="92"/>
      <c r="BZ674" s="92"/>
    </row>
    <row r="675" spans="1:78" ht="12.9">
      <c r="A675" s="89"/>
      <c r="B675" s="89"/>
      <c r="C675" s="89"/>
      <c r="D675" s="89"/>
      <c r="E675" s="89"/>
      <c r="F675" s="89"/>
      <c r="G675" s="89"/>
      <c r="H675" s="105"/>
      <c r="I675" s="106"/>
      <c r="J675" s="106"/>
      <c r="K675" s="89"/>
      <c r="L675" s="89"/>
      <c r="M675" s="89"/>
      <c r="N675" s="107"/>
      <c r="O675" s="107"/>
      <c r="P675" s="89"/>
      <c r="Q675" s="89"/>
      <c r="R675" s="89"/>
      <c r="S675" s="89"/>
      <c r="T675" s="89"/>
      <c r="U675" s="89"/>
      <c r="V675" s="89"/>
      <c r="W675" s="89"/>
      <c r="X675" s="89"/>
      <c r="Y675" s="89"/>
      <c r="Z675" s="77"/>
      <c r="AA675" s="77"/>
      <c r="AB675" s="94"/>
      <c r="AC675" s="94"/>
      <c r="AD675" s="94"/>
      <c r="AE675" s="94"/>
      <c r="AF675" s="91"/>
      <c r="AG675" s="92"/>
      <c r="AH675" s="92"/>
      <c r="AI675" s="93"/>
      <c r="AJ675" s="94"/>
      <c r="AK675" s="92"/>
      <c r="AL675" s="94"/>
      <c r="AM675" s="94"/>
      <c r="AN675" s="94"/>
      <c r="AO675" s="94"/>
      <c r="AP675" s="94"/>
      <c r="AQ675" s="94"/>
      <c r="AR675" s="94"/>
      <c r="AS675" s="94"/>
      <c r="AT675" s="94"/>
      <c r="AU675" s="92"/>
      <c r="AV675" s="94"/>
      <c r="AW675" s="94"/>
      <c r="AX675" s="94"/>
      <c r="AY675" s="94"/>
      <c r="AZ675" s="94"/>
      <c r="BA675" s="94"/>
      <c r="BB675" s="94"/>
      <c r="BC675" s="94"/>
      <c r="BD675" s="94"/>
      <c r="BE675" s="94"/>
      <c r="BF675" s="94"/>
      <c r="BG675" s="94"/>
      <c r="BH675" s="94"/>
      <c r="BI675" s="94"/>
      <c r="BJ675" s="94"/>
      <c r="BK675" s="94"/>
      <c r="BL675" s="92"/>
      <c r="BM675" s="94"/>
      <c r="BN675" s="94"/>
      <c r="BO675" s="94"/>
      <c r="BP675" s="94"/>
      <c r="BQ675" s="92"/>
      <c r="BR675" s="92"/>
      <c r="BS675" s="92"/>
      <c r="BT675" s="92"/>
      <c r="BU675" s="92"/>
      <c r="BV675" s="92"/>
      <c r="BW675" s="92"/>
      <c r="BX675" s="92"/>
      <c r="BY675" s="92"/>
      <c r="BZ675" s="92"/>
    </row>
    <row r="676" spans="1:78" ht="12.9">
      <c r="A676" s="89"/>
      <c r="B676" s="89"/>
      <c r="C676" s="89"/>
      <c r="D676" s="89"/>
      <c r="E676" s="89"/>
      <c r="F676" s="89"/>
      <c r="G676" s="89"/>
      <c r="H676" s="105"/>
      <c r="I676" s="106"/>
      <c r="J676" s="106"/>
      <c r="K676" s="89"/>
      <c r="L676" s="89"/>
      <c r="M676" s="89"/>
      <c r="N676" s="107"/>
      <c r="O676" s="107"/>
      <c r="P676" s="89"/>
      <c r="Q676" s="89"/>
      <c r="R676" s="89"/>
      <c r="S676" s="89"/>
      <c r="T676" s="89"/>
      <c r="U676" s="89"/>
      <c r="V676" s="89"/>
      <c r="W676" s="89"/>
      <c r="X676" s="89"/>
      <c r="Y676" s="89"/>
      <c r="Z676" s="77"/>
      <c r="AA676" s="77"/>
      <c r="AB676" s="94"/>
      <c r="AC676" s="94"/>
      <c r="AD676" s="94"/>
      <c r="AE676" s="94"/>
      <c r="AF676" s="91"/>
      <c r="AG676" s="92"/>
      <c r="AH676" s="92"/>
      <c r="AI676" s="93"/>
      <c r="AJ676" s="94"/>
      <c r="AK676" s="92"/>
      <c r="AL676" s="94"/>
      <c r="AM676" s="94"/>
      <c r="AN676" s="94"/>
      <c r="AO676" s="94"/>
      <c r="AP676" s="94"/>
      <c r="AQ676" s="94"/>
      <c r="AR676" s="94"/>
      <c r="AS676" s="94"/>
      <c r="AT676" s="94"/>
      <c r="AU676" s="92"/>
      <c r="AV676" s="94"/>
      <c r="AW676" s="94"/>
      <c r="AX676" s="94"/>
      <c r="AY676" s="94"/>
      <c r="AZ676" s="94"/>
      <c r="BA676" s="94"/>
      <c r="BB676" s="94"/>
      <c r="BC676" s="94"/>
      <c r="BD676" s="94"/>
      <c r="BE676" s="94"/>
      <c r="BF676" s="94"/>
      <c r="BG676" s="94"/>
      <c r="BH676" s="94"/>
      <c r="BI676" s="94"/>
      <c r="BJ676" s="94"/>
      <c r="BK676" s="94"/>
      <c r="BL676" s="92"/>
      <c r="BM676" s="94"/>
      <c r="BN676" s="94"/>
      <c r="BO676" s="94"/>
      <c r="BP676" s="94"/>
      <c r="BQ676" s="92"/>
      <c r="BR676" s="92"/>
      <c r="BS676" s="92"/>
      <c r="BT676" s="92"/>
      <c r="BU676" s="92"/>
      <c r="BV676" s="92"/>
      <c r="BW676" s="92"/>
      <c r="BX676" s="92"/>
      <c r="BY676" s="92"/>
      <c r="BZ676" s="92"/>
    </row>
    <row r="677" spans="1:78" ht="12.9">
      <c r="A677" s="89"/>
      <c r="B677" s="89"/>
      <c r="C677" s="89"/>
      <c r="D677" s="89"/>
      <c r="E677" s="89"/>
      <c r="F677" s="89"/>
      <c r="G677" s="89"/>
      <c r="H677" s="105"/>
      <c r="I677" s="106"/>
      <c r="J677" s="106"/>
      <c r="K677" s="89"/>
      <c r="L677" s="89"/>
      <c r="M677" s="89"/>
      <c r="N677" s="107"/>
      <c r="O677" s="107"/>
      <c r="P677" s="89"/>
      <c r="Q677" s="89"/>
      <c r="R677" s="89"/>
      <c r="S677" s="89"/>
      <c r="T677" s="89"/>
      <c r="U677" s="89"/>
      <c r="V677" s="89"/>
      <c r="W677" s="89"/>
      <c r="X677" s="89"/>
      <c r="Y677" s="89"/>
      <c r="Z677" s="77"/>
      <c r="AA677" s="77"/>
      <c r="AB677" s="94"/>
      <c r="AC677" s="94"/>
      <c r="AD677" s="94"/>
      <c r="AE677" s="94"/>
      <c r="AF677" s="91"/>
      <c r="AG677" s="92"/>
      <c r="AH677" s="92"/>
      <c r="AI677" s="93"/>
      <c r="AJ677" s="94"/>
      <c r="AK677" s="92"/>
      <c r="AL677" s="94"/>
      <c r="AM677" s="94"/>
      <c r="AN677" s="94"/>
      <c r="AO677" s="94"/>
      <c r="AP677" s="94"/>
      <c r="AQ677" s="94"/>
      <c r="AR677" s="94"/>
      <c r="AS677" s="94"/>
      <c r="AT677" s="94"/>
      <c r="AU677" s="92"/>
      <c r="AV677" s="94"/>
      <c r="AW677" s="94"/>
      <c r="AX677" s="94"/>
      <c r="AY677" s="94"/>
      <c r="AZ677" s="94"/>
      <c r="BA677" s="94"/>
      <c r="BB677" s="94"/>
      <c r="BC677" s="94"/>
      <c r="BD677" s="94"/>
      <c r="BE677" s="94"/>
      <c r="BF677" s="94"/>
      <c r="BG677" s="94"/>
      <c r="BH677" s="94"/>
      <c r="BI677" s="94"/>
      <c r="BJ677" s="94"/>
      <c r="BK677" s="94"/>
      <c r="BL677" s="92"/>
      <c r="BM677" s="94"/>
      <c r="BN677" s="94"/>
      <c r="BO677" s="94"/>
      <c r="BP677" s="94"/>
      <c r="BQ677" s="92"/>
      <c r="BR677" s="92"/>
      <c r="BS677" s="92"/>
      <c r="BT677" s="92"/>
      <c r="BU677" s="92"/>
      <c r="BV677" s="92"/>
      <c r="BW677" s="92"/>
      <c r="BX677" s="92"/>
      <c r="BY677" s="92"/>
      <c r="BZ677" s="92"/>
    </row>
    <row r="678" spans="1:78" ht="12.9">
      <c r="A678" s="89"/>
      <c r="B678" s="89"/>
      <c r="C678" s="89"/>
      <c r="D678" s="89"/>
      <c r="E678" s="89"/>
      <c r="F678" s="89"/>
      <c r="G678" s="89"/>
      <c r="H678" s="105"/>
      <c r="I678" s="106"/>
      <c r="J678" s="106"/>
      <c r="K678" s="89"/>
      <c r="L678" s="89"/>
      <c r="M678" s="89"/>
      <c r="N678" s="107"/>
      <c r="O678" s="107"/>
      <c r="P678" s="89"/>
      <c r="Q678" s="89"/>
      <c r="R678" s="89"/>
      <c r="S678" s="89"/>
      <c r="T678" s="89"/>
      <c r="U678" s="89"/>
      <c r="V678" s="89"/>
      <c r="W678" s="89"/>
      <c r="X678" s="89"/>
      <c r="Y678" s="89"/>
      <c r="Z678" s="77"/>
      <c r="AA678" s="77"/>
      <c r="AB678" s="94"/>
      <c r="AC678" s="94"/>
      <c r="AD678" s="94"/>
      <c r="AE678" s="94"/>
      <c r="AF678" s="91"/>
      <c r="AG678" s="92"/>
      <c r="AH678" s="92"/>
      <c r="AI678" s="93"/>
      <c r="AJ678" s="94"/>
      <c r="AK678" s="92"/>
      <c r="AL678" s="94"/>
      <c r="AM678" s="94"/>
      <c r="AN678" s="94"/>
      <c r="AO678" s="94"/>
      <c r="AP678" s="94"/>
      <c r="AQ678" s="94"/>
      <c r="AR678" s="94"/>
      <c r="AS678" s="94"/>
      <c r="AT678" s="94"/>
      <c r="AU678" s="92"/>
      <c r="AV678" s="94"/>
      <c r="AW678" s="94"/>
      <c r="AX678" s="94"/>
      <c r="AY678" s="94"/>
      <c r="AZ678" s="94"/>
      <c r="BA678" s="94"/>
      <c r="BB678" s="94"/>
      <c r="BC678" s="94"/>
      <c r="BD678" s="94"/>
      <c r="BE678" s="94"/>
      <c r="BF678" s="94"/>
      <c r="BG678" s="94"/>
      <c r="BH678" s="94"/>
      <c r="BI678" s="94"/>
      <c r="BJ678" s="94"/>
      <c r="BK678" s="94"/>
      <c r="BL678" s="92"/>
      <c r="BM678" s="94"/>
      <c r="BN678" s="94"/>
      <c r="BO678" s="94"/>
      <c r="BP678" s="94"/>
      <c r="BQ678" s="92"/>
      <c r="BR678" s="92"/>
      <c r="BS678" s="92"/>
      <c r="BT678" s="92"/>
      <c r="BU678" s="92"/>
      <c r="BV678" s="92"/>
      <c r="BW678" s="92"/>
      <c r="BX678" s="92"/>
      <c r="BY678" s="92"/>
      <c r="BZ678" s="92"/>
    </row>
    <row r="679" spans="1:78" ht="12.9">
      <c r="A679" s="89"/>
      <c r="B679" s="89"/>
      <c r="C679" s="89"/>
      <c r="D679" s="89"/>
      <c r="E679" s="89"/>
      <c r="F679" s="89"/>
      <c r="G679" s="89"/>
      <c r="H679" s="105"/>
      <c r="I679" s="106"/>
      <c r="J679" s="106"/>
      <c r="K679" s="89"/>
      <c r="L679" s="89"/>
      <c r="M679" s="89"/>
      <c r="N679" s="107"/>
      <c r="O679" s="107"/>
      <c r="P679" s="89"/>
      <c r="Q679" s="89"/>
      <c r="R679" s="89"/>
      <c r="S679" s="89"/>
      <c r="T679" s="89"/>
      <c r="U679" s="89"/>
      <c r="V679" s="89"/>
      <c r="W679" s="89"/>
      <c r="X679" s="89"/>
      <c r="Y679" s="89"/>
      <c r="Z679" s="77"/>
      <c r="AA679" s="77"/>
      <c r="AB679" s="94"/>
      <c r="AC679" s="94"/>
      <c r="AD679" s="94"/>
      <c r="AE679" s="94"/>
      <c r="AF679" s="91"/>
      <c r="AG679" s="92"/>
      <c r="AH679" s="92"/>
      <c r="AI679" s="93"/>
      <c r="AJ679" s="94"/>
      <c r="AK679" s="92"/>
      <c r="AL679" s="94"/>
      <c r="AM679" s="94"/>
      <c r="AN679" s="94"/>
      <c r="AO679" s="94"/>
      <c r="AP679" s="94"/>
      <c r="AQ679" s="94"/>
      <c r="AR679" s="94"/>
      <c r="AS679" s="94"/>
      <c r="AT679" s="94"/>
      <c r="AU679" s="92"/>
      <c r="AV679" s="94"/>
      <c r="AW679" s="94"/>
      <c r="AX679" s="94"/>
      <c r="AY679" s="94"/>
      <c r="AZ679" s="94"/>
      <c r="BA679" s="94"/>
      <c r="BB679" s="94"/>
      <c r="BC679" s="94"/>
      <c r="BD679" s="94"/>
      <c r="BE679" s="94"/>
      <c r="BF679" s="94"/>
      <c r="BG679" s="94"/>
      <c r="BH679" s="94"/>
      <c r="BI679" s="94"/>
      <c r="BJ679" s="94"/>
      <c r="BK679" s="94"/>
      <c r="BL679" s="92"/>
      <c r="BM679" s="94"/>
      <c r="BN679" s="94"/>
      <c r="BO679" s="94"/>
      <c r="BP679" s="94"/>
      <c r="BQ679" s="92"/>
      <c r="BR679" s="92"/>
      <c r="BS679" s="92"/>
      <c r="BT679" s="92"/>
      <c r="BU679" s="92"/>
      <c r="BV679" s="92"/>
      <c r="BW679" s="92"/>
      <c r="BX679" s="92"/>
      <c r="BY679" s="92"/>
      <c r="BZ679" s="92"/>
    </row>
    <row r="680" spans="1:78" ht="12.9">
      <c r="A680" s="89"/>
      <c r="B680" s="89"/>
      <c r="C680" s="89"/>
      <c r="D680" s="89"/>
      <c r="E680" s="89"/>
      <c r="F680" s="89"/>
      <c r="G680" s="89"/>
      <c r="H680" s="105"/>
      <c r="I680" s="106"/>
      <c r="J680" s="106"/>
      <c r="K680" s="89"/>
      <c r="L680" s="89"/>
      <c r="M680" s="89"/>
      <c r="N680" s="107"/>
      <c r="O680" s="107"/>
      <c r="P680" s="89"/>
      <c r="Q680" s="89"/>
      <c r="R680" s="89"/>
      <c r="S680" s="89"/>
      <c r="T680" s="89"/>
      <c r="U680" s="89"/>
      <c r="V680" s="89"/>
      <c r="W680" s="89"/>
      <c r="X680" s="89"/>
      <c r="Y680" s="89"/>
      <c r="Z680" s="77"/>
      <c r="AA680" s="77"/>
      <c r="AB680" s="94"/>
      <c r="AC680" s="94"/>
      <c r="AD680" s="94"/>
      <c r="AE680" s="94"/>
      <c r="AF680" s="91"/>
      <c r="AG680" s="92"/>
      <c r="AH680" s="92"/>
      <c r="AI680" s="93"/>
      <c r="AJ680" s="94"/>
      <c r="AK680" s="92"/>
      <c r="AL680" s="94"/>
      <c r="AM680" s="94"/>
      <c r="AN680" s="94"/>
      <c r="AO680" s="94"/>
      <c r="AP680" s="94"/>
      <c r="AQ680" s="94"/>
      <c r="AR680" s="94"/>
      <c r="AS680" s="94"/>
      <c r="AT680" s="94"/>
      <c r="AU680" s="92"/>
      <c r="AV680" s="94"/>
      <c r="AW680" s="94"/>
      <c r="AX680" s="94"/>
      <c r="AY680" s="94"/>
      <c r="AZ680" s="94"/>
      <c r="BA680" s="94"/>
      <c r="BB680" s="94"/>
      <c r="BC680" s="94"/>
      <c r="BD680" s="94"/>
      <c r="BE680" s="94"/>
      <c r="BF680" s="94"/>
      <c r="BG680" s="94"/>
      <c r="BH680" s="94"/>
      <c r="BI680" s="94"/>
      <c r="BJ680" s="94"/>
      <c r="BK680" s="94"/>
      <c r="BL680" s="92"/>
      <c r="BM680" s="94"/>
      <c r="BN680" s="94"/>
      <c r="BO680" s="94"/>
      <c r="BP680" s="94"/>
      <c r="BQ680" s="92"/>
      <c r="BR680" s="92"/>
      <c r="BS680" s="92"/>
      <c r="BT680" s="92"/>
      <c r="BU680" s="92"/>
      <c r="BV680" s="92"/>
      <c r="BW680" s="92"/>
      <c r="BX680" s="92"/>
      <c r="BY680" s="92"/>
      <c r="BZ680" s="92"/>
    </row>
    <row r="681" spans="1:78" ht="12.9">
      <c r="A681" s="89"/>
      <c r="B681" s="89"/>
      <c r="C681" s="89"/>
      <c r="D681" s="89"/>
      <c r="E681" s="89"/>
      <c r="F681" s="89"/>
      <c r="G681" s="89"/>
      <c r="H681" s="105"/>
      <c r="I681" s="106"/>
      <c r="J681" s="106"/>
      <c r="K681" s="89"/>
      <c r="L681" s="89"/>
      <c r="M681" s="89"/>
      <c r="N681" s="107"/>
      <c r="O681" s="107"/>
      <c r="P681" s="89"/>
      <c r="Q681" s="89"/>
      <c r="R681" s="89"/>
      <c r="S681" s="89"/>
      <c r="T681" s="89"/>
      <c r="U681" s="89"/>
      <c r="V681" s="89"/>
      <c r="W681" s="89"/>
      <c r="X681" s="89"/>
      <c r="Y681" s="89"/>
      <c r="Z681" s="77"/>
      <c r="AA681" s="77"/>
      <c r="AB681" s="94"/>
      <c r="AC681" s="94"/>
      <c r="AD681" s="94"/>
      <c r="AE681" s="94"/>
      <c r="AF681" s="91"/>
      <c r="AG681" s="92"/>
      <c r="AH681" s="92"/>
      <c r="AI681" s="93"/>
      <c r="AJ681" s="94"/>
      <c r="AK681" s="92"/>
      <c r="AL681" s="94"/>
      <c r="AM681" s="94"/>
      <c r="AN681" s="94"/>
      <c r="AO681" s="94"/>
      <c r="AP681" s="94"/>
      <c r="AQ681" s="94"/>
      <c r="AR681" s="94"/>
      <c r="AS681" s="94"/>
      <c r="AT681" s="94"/>
      <c r="AU681" s="92"/>
      <c r="AV681" s="94"/>
      <c r="AW681" s="94"/>
      <c r="AX681" s="94"/>
      <c r="AY681" s="94"/>
      <c r="AZ681" s="94"/>
      <c r="BA681" s="94"/>
      <c r="BB681" s="94"/>
      <c r="BC681" s="94"/>
      <c r="BD681" s="94"/>
      <c r="BE681" s="94"/>
      <c r="BF681" s="94"/>
      <c r="BG681" s="94"/>
      <c r="BH681" s="94"/>
      <c r="BI681" s="94"/>
      <c r="BJ681" s="94"/>
      <c r="BK681" s="94"/>
      <c r="BL681" s="92"/>
      <c r="BM681" s="94"/>
      <c r="BN681" s="94"/>
      <c r="BO681" s="94"/>
      <c r="BP681" s="94"/>
      <c r="BQ681" s="92"/>
      <c r="BR681" s="92"/>
      <c r="BS681" s="92"/>
      <c r="BT681" s="92"/>
      <c r="BU681" s="92"/>
      <c r="BV681" s="92"/>
      <c r="BW681" s="92"/>
      <c r="BX681" s="92"/>
      <c r="BY681" s="92"/>
      <c r="BZ681" s="92"/>
    </row>
    <row r="682" spans="1:78" ht="12.9">
      <c r="A682" s="89"/>
      <c r="B682" s="89"/>
      <c r="C682" s="89"/>
      <c r="D682" s="89"/>
      <c r="E682" s="89"/>
      <c r="F682" s="89"/>
      <c r="G682" s="89"/>
      <c r="H682" s="105"/>
      <c r="I682" s="106"/>
      <c r="J682" s="106"/>
      <c r="K682" s="89"/>
      <c r="L682" s="89"/>
      <c r="M682" s="89"/>
      <c r="N682" s="107"/>
      <c r="O682" s="107"/>
      <c r="P682" s="89"/>
      <c r="Q682" s="89"/>
      <c r="R682" s="89"/>
      <c r="S682" s="89"/>
      <c r="T682" s="89"/>
      <c r="U682" s="89"/>
      <c r="V682" s="89"/>
      <c r="W682" s="89"/>
      <c r="X682" s="89"/>
      <c r="Y682" s="89"/>
      <c r="Z682" s="77"/>
      <c r="AA682" s="77"/>
      <c r="AB682" s="94"/>
      <c r="AC682" s="94"/>
      <c r="AD682" s="94"/>
      <c r="AE682" s="94"/>
      <c r="AF682" s="91"/>
      <c r="AG682" s="92"/>
      <c r="AH682" s="92"/>
      <c r="AI682" s="93"/>
      <c r="AJ682" s="94"/>
      <c r="AK682" s="92"/>
      <c r="AL682" s="94"/>
      <c r="AM682" s="94"/>
      <c r="AN682" s="94"/>
      <c r="AO682" s="94"/>
      <c r="AP682" s="94"/>
      <c r="AQ682" s="94"/>
      <c r="AR682" s="94"/>
      <c r="AS682" s="94"/>
      <c r="AT682" s="94"/>
      <c r="AU682" s="92"/>
      <c r="AV682" s="94"/>
      <c r="AW682" s="94"/>
      <c r="AX682" s="94"/>
      <c r="AY682" s="94"/>
      <c r="AZ682" s="94"/>
      <c r="BA682" s="94"/>
      <c r="BB682" s="94"/>
      <c r="BC682" s="94"/>
      <c r="BD682" s="94"/>
      <c r="BE682" s="94"/>
      <c r="BF682" s="94"/>
      <c r="BG682" s="94"/>
      <c r="BH682" s="94"/>
      <c r="BI682" s="94"/>
      <c r="BJ682" s="94"/>
      <c r="BK682" s="94"/>
      <c r="BL682" s="92"/>
      <c r="BM682" s="94"/>
      <c r="BN682" s="94"/>
      <c r="BO682" s="94"/>
      <c r="BP682" s="94"/>
      <c r="BQ682" s="92"/>
      <c r="BR682" s="92"/>
      <c r="BS682" s="92"/>
      <c r="BT682" s="92"/>
      <c r="BU682" s="92"/>
      <c r="BV682" s="92"/>
      <c r="BW682" s="92"/>
      <c r="BX682" s="92"/>
      <c r="BY682" s="92"/>
      <c r="BZ682" s="92"/>
    </row>
    <row r="683" spans="1:78" ht="12.9">
      <c r="A683" s="89"/>
      <c r="B683" s="89"/>
      <c r="C683" s="89"/>
      <c r="D683" s="89"/>
      <c r="E683" s="89"/>
      <c r="F683" s="89"/>
      <c r="G683" s="89"/>
      <c r="H683" s="105"/>
      <c r="I683" s="106"/>
      <c r="J683" s="106"/>
      <c r="K683" s="89"/>
      <c r="L683" s="89"/>
      <c r="M683" s="89"/>
      <c r="N683" s="107"/>
      <c r="O683" s="107"/>
      <c r="P683" s="89"/>
      <c r="Q683" s="89"/>
      <c r="R683" s="89"/>
      <c r="S683" s="89"/>
      <c r="T683" s="89"/>
      <c r="U683" s="89"/>
      <c r="V683" s="89"/>
      <c r="W683" s="89"/>
      <c r="X683" s="89"/>
      <c r="Y683" s="89"/>
      <c r="Z683" s="77"/>
      <c r="AA683" s="77"/>
      <c r="AB683" s="94"/>
      <c r="AC683" s="94"/>
      <c r="AD683" s="94"/>
      <c r="AE683" s="94"/>
      <c r="AF683" s="91"/>
      <c r="AG683" s="92"/>
      <c r="AH683" s="92"/>
      <c r="AI683" s="93"/>
      <c r="AJ683" s="94"/>
      <c r="AK683" s="92"/>
      <c r="AL683" s="94"/>
      <c r="AM683" s="94"/>
      <c r="AN683" s="94"/>
      <c r="AO683" s="94"/>
      <c r="AP683" s="94"/>
      <c r="AQ683" s="94"/>
      <c r="AR683" s="94"/>
      <c r="AS683" s="94"/>
      <c r="AT683" s="94"/>
      <c r="AU683" s="92"/>
      <c r="AV683" s="94"/>
      <c r="AW683" s="94"/>
      <c r="AX683" s="94"/>
      <c r="AY683" s="94"/>
      <c r="AZ683" s="94"/>
      <c r="BA683" s="94"/>
      <c r="BB683" s="94"/>
      <c r="BC683" s="94"/>
      <c r="BD683" s="94"/>
      <c r="BE683" s="94"/>
      <c r="BF683" s="94"/>
      <c r="BG683" s="94"/>
      <c r="BH683" s="94"/>
      <c r="BI683" s="94"/>
      <c r="BJ683" s="94"/>
      <c r="BK683" s="94"/>
      <c r="BL683" s="92"/>
      <c r="BM683" s="94"/>
      <c r="BN683" s="94"/>
      <c r="BO683" s="94"/>
      <c r="BP683" s="94"/>
      <c r="BQ683" s="92"/>
      <c r="BR683" s="92"/>
      <c r="BS683" s="92"/>
      <c r="BT683" s="92"/>
      <c r="BU683" s="92"/>
      <c r="BV683" s="92"/>
      <c r="BW683" s="92"/>
      <c r="BX683" s="92"/>
      <c r="BY683" s="92"/>
      <c r="BZ683" s="92"/>
    </row>
    <row r="684" spans="1:78" ht="12.9">
      <c r="A684" s="89"/>
      <c r="B684" s="89"/>
      <c r="C684" s="89"/>
      <c r="D684" s="89"/>
      <c r="E684" s="89"/>
      <c r="F684" s="89"/>
      <c r="G684" s="89"/>
      <c r="H684" s="105"/>
      <c r="I684" s="106"/>
      <c r="J684" s="106"/>
      <c r="K684" s="89"/>
      <c r="L684" s="89"/>
      <c r="M684" s="89"/>
      <c r="N684" s="107"/>
      <c r="O684" s="107"/>
      <c r="P684" s="89"/>
      <c r="Q684" s="89"/>
      <c r="R684" s="89"/>
      <c r="S684" s="89"/>
      <c r="T684" s="89"/>
      <c r="U684" s="89"/>
      <c r="V684" s="89"/>
      <c r="W684" s="89"/>
      <c r="X684" s="89"/>
      <c r="Y684" s="89"/>
      <c r="Z684" s="77"/>
      <c r="AA684" s="77"/>
      <c r="AB684" s="94"/>
      <c r="AC684" s="94"/>
      <c r="AD684" s="94"/>
      <c r="AE684" s="94"/>
      <c r="AF684" s="91"/>
      <c r="AG684" s="92"/>
      <c r="AH684" s="92"/>
      <c r="AI684" s="93"/>
      <c r="AJ684" s="94"/>
      <c r="AK684" s="92"/>
      <c r="AL684" s="94"/>
      <c r="AM684" s="94"/>
      <c r="AN684" s="94"/>
      <c r="AO684" s="94"/>
      <c r="AP684" s="94"/>
      <c r="AQ684" s="94"/>
      <c r="AR684" s="94"/>
      <c r="AS684" s="94"/>
      <c r="AT684" s="94"/>
      <c r="AU684" s="92"/>
      <c r="AV684" s="94"/>
      <c r="AW684" s="94"/>
      <c r="AX684" s="94"/>
      <c r="AY684" s="94"/>
      <c r="AZ684" s="94"/>
      <c r="BA684" s="94"/>
      <c r="BB684" s="94"/>
      <c r="BC684" s="94"/>
      <c r="BD684" s="94"/>
      <c r="BE684" s="94"/>
      <c r="BF684" s="94"/>
      <c r="BG684" s="94"/>
      <c r="BH684" s="94"/>
      <c r="BI684" s="94"/>
      <c r="BJ684" s="94"/>
      <c r="BK684" s="94"/>
      <c r="BL684" s="92"/>
      <c r="BM684" s="94"/>
      <c r="BN684" s="94"/>
      <c r="BO684" s="94"/>
      <c r="BP684" s="94"/>
      <c r="BQ684" s="92"/>
      <c r="BR684" s="92"/>
      <c r="BS684" s="92"/>
      <c r="BT684" s="92"/>
      <c r="BU684" s="92"/>
      <c r="BV684" s="92"/>
      <c r="BW684" s="92"/>
      <c r="BX684" s="92"/>
      <c r="BY684" s="92"/>
      <c r="BZ684" s="92"/>
    </row>
    <row r="685" spans="1:78" ht="12.9">
      <c r="A685" s="89"/>
      <c r="B685" s="89"/>
      <c r="C685" s="89"/>
      <c r="D685" s="89"/>
      <c r="E685" s="89"/>
      <c r="F685" s="89"/>
      <c r="G685" s="89"/>
      <c r="H685" s="105"/>
      <c r="I685" s="106"/>
      <c r="J685" s="106"/>
      <c r="K685" s="89"/>
      <c r="L685" s="89"/>
      <c r="M685" s="89"/>
      <c r="N685" s="107"/>
      <c r="O685" s="107"/>
      <c r="P685" s="89"/>
      <c r="Q685" s="89"/>
      <c r="R685" s="89"/>
      <c r="S685" s="89"/>
      <c r="T685" s="89"/>
      <c r="U685" s="89"/>
      <c r="V685" s="89"/>
      <c r="W685" s="89"/>
      <c r="X685" s="89"/>
      <c r="Y685" s="89"/>
      <c r="Z685" s="77"/>
      <c r="AA685" s="77"/>
      <c r="AB685" s="94"/>
      <c r="AC685" s="94"/>
      <c r="AD685" s="94"/>
      <c r="AE685" s="94"/>
      <c r="AF685" s="91"/>
      <c r="AG685" s="92"/>
      <c r="AH685" s="92"/>
      <c r="AI685" s="93"/>
      <c r="AJ685" s="94"/>
      <c r="AK685" s="92"/>
      <c r="AL685" s="94"/>
      <c r="AM685" s="94"/>
      <c r="AN685" s="94"/>
      <c r="AO685" s="94"/>
      <c r="AP685" s="94"/>
      <c r="AQ685" s="94"/>
      <c r="AR685" s="94"/>
      <c r="AS685" s="94"/>
      <c r="AT685" s="94"/>
      <c r="AU685" s="92"/>
      <c r="AV685" s="94"/>
      <c r="AW685" s="94"/>
      <c r="AX685" s="94"/>
      <c r="AY685" s="94"/>
      <c r="AZ685" s="94"/>
      <c r="BA685" s="94"/>
      <c r="BB685" s="94"/>
      <c r="BC685" s="94"/>
      <c r="BD685" s="94"/>
      <c r="BE685" s="94"/>
      <c r="BF685" s="94"/>
      <c r="BG685" s="94"/>
      <c r="BH685" s="94"/>
      <c r="BI685" s="94"/>
      <c r="BJ685" s="94"/>
      <c r="BK685" s="94"/>
      <c r="BL685" s="92"/>
      <c r="BM685" s="94"/>
      <c r="BN685" s="94"/>
      <c r="BO685" s="94"/>
      <c r="BP685" s="94"/>
      <c r="BQ685" s="92"/>
      <c r="BR685" s="92"/>
      <c r="BS685" s="92"/>
      <c r="BT685" s="92"/>
      <c r="BU685" s="92"/>
      <c r="BV685" s="92"/>
      <c r="BW685" s="92"/>
      <c r="BX685" s="92"/>
      <c r="BY685" s="92"/>
      <c r="BZ685" s="92"/>
    </row>
    <row r="686" spans="1:78" ht="12.9">
      <c r="A686" s="89"/>
      <c r="B686" s="89"/>
      <c r="C686" s="89"/>
      <c r="D686" s="89"/>
      <c r="E686" s="89"/>
      <c r="F686" s="89"/>
      <c r="G686" s="89"/>
      <c r="H686" s="105"/>
      <c r="I686" s="106"/>
      <c r="J686" s="106"/>
      <c r="K686" s="89"/>
      <c r="L686" s="89"/>
      <c r="M686" s="89"/>
      <c r="N686" s="107"/>
      <c r="O686" s="107"/>
      <c r="P686" s="89"/>
      <c r="Q686" s="89"/>
      <c r="R686" s="89"/>
      <c r="S686" s="89"/>
      <c r="T686" s="89"/>
      <c r="U686" s="89"/>
      <c r="V686" s="89"/>
      <c r="W686" s="89"/>
      <c r="X686" s="89"/>
      <c r="Y686" s="89"/>
      <c r="Z686" s="77"/>
      <c r="AA686" s="77"/>
      <c r="AB686" s="94"/>
      <c r="AC686" s="94"/>
      <c r="AD686" s="94"/>
      <c r="AE686" s="94"/>
      <c r="AF686" s="91"/>
      <c r="AG686" s="92"/>
      <c r="AH686" s="92"/>
      <c r="AI686" s="93"/>
      <c r="AJ686" s="94"/>
      <c r="AK686" s="92"/>
      <c r="AL686" s="94"/>
      <c r="AM686" s="94"/>
      <c r="AN686" s="94"/>
      <c r="AO686" s="94"/>
      <c r="AP686" s="94"/>
      <c r="AQ686" s="94"/>
      <c r="AR686" s="94"/>
      <c r="AS686" s="94"/>
      <c r="AT686" s="94"/>
      <c r="AU686" s="92"/>
      <c r="AV686" s="94"/>
      <c r="AW686" s="94"/>
      <c r="AX686" s="94"/>
      <c r="AY686" s="94"/>
      <c r="AZ686" s="94"/>
      <c r="BA686" s="94"/>
      <c r="BB686" s="94"/>
      <c r="BC686" s="94"/>
      <c r="BD686" s="94"/>
      <c r="BE686" s="94"/>
      <c r="BF686" s="94"/>
      <c r="BG686" s="94"/>
      <c r="BH686" s="94"/>
      <c r="BI686" s="94"/>
      <c r="BJ686" s="94"/>
      <c r="BK686" s="94"/>
      <c r="BL686" s="92"/>
      <c r="BM686" s="94"/>
      <c r="BN686" s="94"/>
      <c r="BO686" s="94"/>
      <c r="BP686" s="94"/>
      <c r="BQ686" s="92"/>
      <c r="BR686" s="92"/>
      <c r="BS686" s="92"/>
      <c r="BT686" s="92"/>
      <c r="BU686" s="92"/>
      <c r="BV686" s="92"/>
      <c r="BW686" s="92"/>
      <c r="BX686" s="92"/>
      <c r="BY686" s="92"/>
      <c r="BZ686" s="92"/>
    </row>
    <row r="687" spans="1:78" ht="12.9">
      <c r="A687" s="89"/>
      <c r="B687" s="89"/>
      <c r="C687" s="89"/>
      <c r="D687" s="89"/>
      <c r="E687" s="89"/>
      <c r="F687" s="89"/>
      <c r="G687" s="89"/>
      <c r="H687" s="105"/>
      <c r="I687" s="106"/>
      <c r="J687" s="106"/>
      <c r="K687" s="89"/>
      <c r="L687" s="89"/>
      <c r="M687" s="89"/>
      <c r="N687" s="107"/>
      <c r="O687" s="107"/>
      <c r="P687" s="89"/>
      <c r="Q687" s="89"/>
      <c r="R687" s="89"/>
      <c r="S687" s="89"/>
      <c r="T687" s="89"/>
      <c r="U687" s="89"/>
      <c r="V687" s="89"/>
      <c r="W687" s="89"/>
      <c r="X687" s="89"/>
      <c r="Y687" s="89"/>
      <c r="Z687" s="77"/>
      <c r="AA687" s="77"/>
      <c r="AB687" s="94"/>
      <c r="AC687" s="94"/>
      <c r="AD687" s="94"/>
      <c r="AE687" s="94"/>
      <c r="AF687" s="91"/>
      <c r="AG687" s="92"/>
      <c r="AH687" s="92"/>
      <c r="AI687" s="93"/>
      <c r="AJ687" s="94"/>
      <c r="AK687" s="92"/>
      <c r="AL687" s="94"/>
      <c r="AM687" s="94"/>
      <c r="AN687" s="94"/>
      <c r="AO687" s="94"/>
      <c r="AP687" s="94"/>
      <c r="AQ687" s="94"/>
      <c r="AR687" s="94"/>
      <c r="AS687" s="94"/>
      <c r="AT687" s="94"/>
      <c r="AU687" s="92"/>
      <c r="AV687" s="94"/>
      <c r="AW687" s="94"/>
      <c r="AX687" s="94"/>
      <c r="AY687" s="94"/>
      <c r="AZ687" s="94"/>
      <c r="BA687" s="94"/>
      <c r="BB687" s="94"/>
      <c r="BC687" s="94"/>
      <c r="BD687" s="94"/>
      <c r="BE687" s="94"/>
      <c r="BF687" s="94"/>
      <c r="BG687" s="94"/>
      <c r="BH687" s="94"/>
      <c r="BI687" s="94"/>
      <c r="BJ687" s="94"/>
      <c r="BK687" s="94"/>
      <c r="BL687" s="92"/>
      <c r="BM687" s="94"/>
      <c r="BN687" s="94"/>
      <c r="BO687" s="94"/>
      <c r="BP687" s="94"/>
      <c r="BQ687" s="92"/>
      <c r="BR687" s="92"/>
      <c r="BS687" s="92"/>
      <c r="BT687" s="92"/>
      <c r="BU687" s="92"/>
      <c r="BV687" s="92"/>
      <c r="BW687" s="92"/>
      <c r="BX687" s="92"/>
      <c r="BY687" s="92"/>
      <c r="BZ687" s="92"/>
    </row>
    <row r="688" spans="1:78" ht="12.9">
      <c r="A688" s="89"/>
      <c r="B688" s="89"/>
      <c r="C688" s="89"/>
      <c r="D688" s="89"/>
      <c r="E688" s="89"/>
      <c r="F688" s="89"/>
      <c r="G688" s="89"/>
      <c r="H688" s="105"/>
      <c r="I688" s="106"/>
      <c r="J688" s="106"/>
      <c r="K688" s="89"/>
      <c r="L688" s="89"/>
      <c r="M688" s="89"/>
      <c r="N688" s="107"/>
      <c r="O688" s="107"/>
      <c r="P688" s="89"/>
      <c r="Q688" s="89"/>
      <c r="R688" s="89"/>
      <c r="S688" s="89"/>
      <c r="T688" s="89"/>
      <c r="U688" s="89"/>
      <c r="V688" s="89"/>
      <c r="W688" s="89"/>
      <c r="X688" s="89"/>
      <c r="Y688" s="89"/>
      <c r="Z688" s="77"/>
      <c r="AA688" s="77"/>
      <c r="AB688" s="94"/>
      <c r="AC688" s="94"/>
      <c r="AD688" s="94"/>
      <c r="AE688" s="94"/>
      <c r="AF688" s="91"/>
      <c r="AG688" s="92"/>
      <c r="AH688" s="92"/>
      <c r="AI688" s="93"/>
      <c r="AJ688" s="94"/>
      <c r="AK688" s="92"/>
      <c r="AL688" s="94"/>
      <c r="AM688" s="94"/>
      <c r="AN688" s="94"/>
      <c r="AO688" s="94"/>
      <c r="AP688" s="94"/>
      <c r="AQ688" s="94"/>
      <c r="AR688" s="94"/>
      <c r="AS688" s="94"/>
      <c r="AT688" s="94"/>
      <c r="AU688" s="92"/>
      <c r="AV688" s="94"/>
      <c r="AW688" s="94"/>
      <c r="AX688" s="94"/>
      <c r="AY688" s="94"/>
      <c r="AZ688" s="94"/>
      <c r="BA688" s="94"/>
      <c r="BB688" s="94"/>
      <c r="BC688" s="94"/>
      <c r="BD688" s="94"/>
      <c r="BE688" s="94"/>
      <c r="BF688" s="94"/>
      <c r="BG688" s="94"/>
      <c r="BH688" s="94"/>
      <c r="BI688" s="94"/>
      <c r="BJ688" s="94"/>
      <c r="BK688" s="94"/>
      <c r="BL688" s="92"/>
      <c r="BM688" s="94"/>
      <c r="BN688" s="94"/>
      <c r="BO688" s="94"/>
      <c r="BP688" s="94"/>
      <c r="BQ688" s="92"/>
      <c r="BR688" s="92"/>
      <c r="BS688" s="92"/>
      <c r="BT688" s="92"/>
      <c r="BU688" s="92"/>
      <c r="BV688" s="92"/>
      <c r="BW688" s="92"/>
      <c r="BX688" s="92"/>
      <c r="BY688" s="92"/>
      <c r="BZ688" s="92"/>
    </row>
    <row r="689" spans="1:78" ht="12.9">
      <c r="A689" s="89"/>
      <c r="B689" s="89"/>
      <c r="C689" s="89"/>
      <c r="D689" s="89"/>
      <c r="E689" s="89"/>
      <c r="F689" s="89"/>
      <c r="G689" s="89"/>
      <c r="H689" s="105"/>
      <c r="I689" s="106"/>
      <c r="J689" s="106"/>
      <c r="K689" s="89"/>
      <c r="L689" s="89"/>
      <c r="M689" s="89"/>
      <c r="N689" s="107"/>
      <c r="O689" s="107"/>
      <c r="P689" s="89"/>
      <c r="Q689" s="89"/>
      <c r="R689" s="89"/>
      <c r="S689" s="89"/>
      <c r="T689" s="89"/>
      <c r="U689" s="89"/>
      <c r="V689" s="89"/>
      <c r="W689" s="89"/>
      <c r="X689" s="89"/>
      <c r="Y689" s="89"/>
      <c r="Z689" s="77"/>
      <c r="AA689" s="77"/>
      <c r="AB689" s="94"/>
      <c r="AC689" s="94"/>
      <c r="AD689" s="94"/>
      <c r="AE689" s="94"/>
      <c r="AF689" s="91"/>
      <c r="AG689" s="92"/>
      <c r="AH689" s="92"/>
      <c r="AI689" s="93"/>
      <c r="AJ689" s="94"/>
      <c r="AK689" s="92"/>
      <c r="AL689" s="94"/>
      <c r="AM689" s="94"/>
      <c r="AN689" s="94"/>
      <c r="AO689" s="94"/>
      <c r="AP689" s="94"/>
      <c r="AQ689" s="94"/>
      <c r="AR689" s="94"/>
      <c r="AS689" s="94"/>
      <c r="AT689" s="94"/>
      <c r="AU689" s="92"/>
      <c r="AV689" s="94"/>
      <c r="AW689" s="94"/>
      <c r="AX689" s="94"/>
      <c r="AY689" s="94"/>
      <c r="AZ689" s="94"/>
      <c r="BA689" s="94"/>
      <c r="BB689" s="94"/>
      <c r="BC689" s="94"/>
      <c r="BD689" s="94"/>
      <c r="BE689" s="94"/>
      <c r="BF689" s="94"/>
      <c r="BG689" s="94"/>
      <c r="BH689" s="94"/>
      <c r="BI689" s="94"/>
      <c r="BJ689" s="94"/>
      <c r="BK689" s="94"/>
      <c r="BL689" s="92"/>
      <c r="BM689" s="94"/>
      <c r="BN689" s="94"/>
      <c r="BO689" s="94"/>
      <c r="BP689" s="94"/>
      <c r="BQ689" s="92"/>
      <c r="BR689" s="92"/>
      <c r="BS689" s="92"/>
      <c r="BT689" s="92"/>
      <c r="BU689" s="92"/>
      <c r="BV689" s="92"/>
      <c r="BW689" s="92"/>
      <c r="BX689" s="92"/>
      <c r="BY689" s="92"/>
      <c r="BZ689" s="92"/>
    </row>
    <row r="690" spans="1:78" ht="12.9">
      <c r="A690" s="89"/>
      <c r="B690" s="89"/>
      <c r="C690" s="89"/>
      <c r="D690" s="89"/>
      <c r="E690" s="89"/>
      <c r="F690" s="89"/>
      <c r="G690" s="89"/>
      <c r="H690" s="105"/>
      <c r="I690" s="106"/>
      <c r="J690" s="106"/>
      <c r="K690" s="89"/>
      <c r="L690" s="89"/>
      <c r="M690" s="89"/>
      <c r="N690" s="107"/>
      <c r="O690" s="107"/>
      <c r="P690" s="89"/>
      <c r="Q690" s="89"/>
      <c r="R690" s="89"/>
      <c r="S690" s="89"/>
      <c r="T690" s="89"/>
      <c r="U690" s="89"/>
      <c r="V690" s="89"/>
      <c r="W690" s="89"/>
      <c r="X690" s="89"/>
      <c r="Y690" s="89"/>
      <c r="Z690" s="77"/>
      <c r="AA690" s="77"/>
      <c r="AB690" s="94"/>
      <c r="AC690" s="94"/>
      <c r="AD690" s="94"/>
      <c r="AE690" s="94"/>
      <c r="AF690" s="91"/>
      <c r="AG690" s="92"/>
      <c r="AH690" s="92"/>
      <c r="AI690" s="93"/>
      <c r="AJ690" s="94"/>
      <c r="AK690" s="92"/>
      <c r="AL690" s="94"/>
      <c r="AM690" s="94"/>
      <c r="AN690" s="94"/>
      <c r="AO690" s="94"/>
      <c r="AP690" s="94"/>
      <c r="AQ690" s="94"/>
      <c r="AR690" s="94"/>
      <c r="AS690" s="94"/>
      <c r="AT690" s="94"/>
      <c r="AU690" s="92"/>
      <c r="AV690" s="94"/>
      <c r="AW690" s="94"/>
      <c r="AX690" s="94"/>
      <c r="AY690" s="94"/>
      <c r="AZ690" s="94"/>
      <c r="BA690" s="94"/>
      <c r="BB690" s="94"/>
      <c r="BC690" s="94"/>
      <c r="BD690" s="94"/>
      <c r="BE690" s="94"/>
      <c r="BF690" s="94"/>
      <c r="BG690" s="94"/>
      <c r="BH690" s="94"/>
      <c r="BI690" s="94"/>
      <c r="BJ690" s="94"/>
      <c r="BK690" s="94"/>
      <c r="BL690" s="92"/>
      <c r="BM690" s="94"/>
      <c r="BN690" s="94"/>
      <c r="BO690" s="94"/>
      <c r="BP690" s="94"/>
      <c r="BQ690" s="92"/>
      <c r="BR690" s="92"/>
      <c r="BS690" s="92"/>
      <c r="BT690" s="92"/>
      <c r="BU690" s="92"/>
      <c r="BV690" s="92"/>
      <c r="BW690" s="92"/>
      <c r="BX690" s="92"/>
      <c r="BY690" s="92"/>
      <c r="BZ690" s="92"/>
    </row>
    <row r="691" spans="1:78" ht="12.9">
      <c r="A691" s="89"/>
      <c r="B691" s="89"/>
      <c r="C691" s="89"/>
      <c r="D691" s="89"/>
      <c r="E691" s="89"/>
      <c r="F691" s="89"/>
      <c r="G691" s="89"/>
      <c r="H691" s="105"/>
      <c r="I691" s="106"/>
      <c r="J691" s="106"/>
      <c r="K691" s="89"/>
      <c r="L691" s="89"/>
      <c r="M691" s="89"/>
      <c r="N691" s="107"/>
      <c r="O691" s="107"/>
      <c r="P691" s="89"/>
      <c r="Q691" s="89"/>
      <c r="R691" s="89"/>
      <c r="S691" s="89"/>
      <c r="T691" s="89"/>
      <c r="U691" s="89"/>
      <c r="V691" s="89"/>
      <c r="W691" s="89"/>
      <c r="X691" s="89"/>
      <c r="Y691" s="89"/>
      <c r="Z691" s="77"/>
      <c r="AA691" s="77"/>
      <c r="AB691" s="94"/>
      <c r="AC691" s="94"/>
      <c r="AD691" s="94"/>
      <c r="AE691" s="94"/>
      <c r="AF691" s="91"/>
      <c r="AG691" s="92"/>
      <c r="AH691" s="92"/>
      <c r="AI691" s="93"/>
      <c r="AJ691" s="94"/>
      <c r="AK691" s="92"/>
      <c r="AL691" s="94"/>
      <c r="AM691" s="94"/>
      <c r="AN691" s="94"/>
      <c r="AO691" s="94"/>
      <c r="AP691" s="94"/>
      <c r="AQ691" s="94"/>
      <c r="AR691" s="94"/>
      <c r="AS691" s="94"/>
      <c r="AT691" s="94"/>
      <c r="AU691" s="92"/>
      <c r="AV691" s="94"/>
      <c r="AW691" s="94"/>
      <c r="AX691" s="94"/>
      <c r="AY691" s="94"/>
      <c r="AZ691" s="94"/>
      <c r="BA691" s="94"/>
      <c r="BB691" s="94"/>
      <c r="BC691" s="94"/>
      <c r="BD691" s="94"/>
      <c r="BE691" s="94"/>
      <c r="BF691" s="94"/>
      <c r="BG691" s="94"/>
      <c r="BH691" s="94"/>
      <c r="BI691" s="94"/>
      <c r="BJ691" s="94"/>
      <c r="BK691" s="94"/>
      <c r="BL691" s="92"/>
      <c r="BM691" s="94"/>
      <c r="BN691" s="94"/>
      <c r="BO691" s="94"/>
      <c r="BP691" s="94"/>
      <c r="BQ691" s="92"/>
      <c r="BR691" s="92"/>
      <c r="BS691" s="92"/>
      <c r="BT691" s="92"/>
      <c r="BU691" s="92"/>
      <c r="BV691" s="92"/>
      <c r="BW691" s="92"/>
      <c r="BX691" s="92"/>
      <c r="BY691" s="92"/>
      <c r="BZ691" s="92"/>
    </row>
    <row r="692" spans="1:78" ht="12.9">
      <c r="A692" s="89"/>
      <c r="B692" s="89"/>
      <c r="C692" s="89"/>
      <c r="D692" s="89"/>
      <c r="E692" s="89"/>
      <c r="F692" s="89"/>
      <c r="G692" s="89"/>
      <c r="H692" s="105"/>
      <c r="I692" s="106"/>
      <c r="J692" s="106"/>
      <c r="K692" s="89"/>
      <c r="L692" s="89"/>
      <c r="M692" s="89"/>
      <c r="N692" s="107"/>
      <c r="O692" s="107"/>
      <c r="P692" s="89"/>
      <c r="Q692" s="89"/>
      <c r="R692" s="89"/>
      <c r="S692" s="89"/>
      <c r="T692" s="89"/>
      <c r="U692" s="89"/>
      <c r="V692" s="89"/>
      <c r="W692" s="89"/>
      <c r="X692" s="89"/>
      <c r="Y692" s="89"/>
      <c r="Z692" s="77"/>
      <c r="AA692" s="77"/>
      <c r="AB692" s="94"/>
      <c r="AC692" s="94"/>
      <c r="AD692" s="94"/>
      <c r="AE692" s="94"/>
      <c r="AF692" s="91"/>
      <c r="AG692" s="92"/>
      <c r="AH692" s="92"/>
      <c r="AI692" s="93"/>
      <c r="AJ692" s="94"/>
      <c r="AK692" s="92"/>
      <c r="AL692" s="94"/>
      <c r="AM692" s="94"/>
      <c r="AN692" s="94"/>
      <c r="AO692" s="94"/>
      <c r="AP692" s="94"/>
      <c r="AQ692" s="94"/>
      <c r="AR692" s="94"/>
      <c r="AS692" s="94"/>
      <c r="AT692" s="94"/>
      <c r="AU692" s="92"/>
      <c r="AV692" s="94"/>
      <c r="AW692" s="94"/>
      <c r="AX692" s="94"/>
      <c r="AY692" s="94"/>
      <c r="AZ692" s="94"/>
      <c r="BA692" s="94"/>
      <c r="BB692" s="94"/>
      <c r="BC692" s="94"/>
      <c r="BD692" s="94"/>
      <c r="BE692" s="94"/>
      <c r="BF692" s="94"/>
      <c r="BG692" s="94"/>
      <c r="BH692" s="94"/>
      <c r="BI692" s="94"/>
      <c r="BJ692" s="94"/>
      <c r="BK692" s="94"/>
      <c r="BL692" s="92"/>
      <c r="BM692" s="94"/>
      <c r="BN692" s="94"/>
      <c r="BO692" s="94"/>
      <c r="BP692" s="94"/>
      <c r="BQ692" s="92"/>
      <c r="BR692" s="92"/>
      <c r="BS692" s="92"/>
      <c r="BT692" s="92"/>
      <c r="BU692" s="92"/>
      <c r="BV692" s="92"/>
      <c r="BW692" s="92"/>
      <c r="BX692" s="92"/>
      <c r="BY692" s="92"/>
      <c r="BZ692" s="92"/>
    </row>
    <row r="693" spans="1:78" ht="12.9">
      <c r="A693" s="89"/>
      <c r="B693" s="89"/>
      <c r="C693" s="89"/>
      <c r="D693" s="89"/>
      <c r="E693" s="89"/>
      <c r="F693" s="89"/>
      <c r="G693" s="89"/>
      <c r="H693" s="105"/>
      <c r="I693" s="106"/>
      <c r="J693" s="106"/>
      <c r="K693" s="89"/>
      <c r="L693" s="89"/>
      <c r="M693" s="89"/>
      <c r="N693" s="107"/>
      <c r="O693" s="107"/>
      <c r="P693" s="89"/>
      <c r="Q693" s="89"/>
      <c r="R693" s="89"/>
      <c r="S693" s="89"/>
      <c r="T693" s="89"/>
      <c r="U693" s="89"/>
      <c r="V693" s="89"/>
      <c r="W693" s="89"/>
      <c r="X693" s="89"/>
      <c r="Y693" s="89"/>
      <c r="Z693" s="77"/>
      <c r="AA693" s="77"/>
      <c r="AB693" s="94"/>
      <c r="AC693" s="94"/>
      <c r="AD693" s="94"/>
      <c r="AE693" s="94"/>
      <c r="AF693" s="91"/>
      <c r="AG693" s="92"/>
      <c r="AH693" s="92"/>
      <c r="AI693" s="93"/>
      <c r="AJ693" s="94"/>
      <c r="AK693" s="92"/>
      <c r="AL693" s="94"/>
      <c r="AM693" s="94"/>
      <c r="AN693" s="94"/>
      <c r="AO693" s="94"/>
      <c r="AP693" s="94"/>
      <c r="AQ693" s="94"/>
      <c r="AR693" s="94"/>
      <c r="AS693" s="94"/>
      <c r="AT693" s="94"/>
      <c r="AU693" s="92"/>
      <c r="AV693" s="94"/>
      <c r="AW693" s="94"/>
      <c r="AX693" s="94"/>
      <c r="AY693" s="94"/>
      <c r="AZ693" s="94"/>
      <c r="BA693" s="94"/>
      <c r="BB693" s="94"/>
      <c r="BC693" s="94"/>
      <c r="BD693" s="94"/>
      <c r="BE693" s="94"/>
      <c r="BF693" s="94"/>
      <c r="BG693" s="94"/>
      <c r="BH693" s="94"/>
      <c r="BI693" s="94"/>
      <c r="BJ693" s="94"/>
      <c r="BK693" s="94"/>
      <c r="BL693" s="92"/>
      <c r="BM693" s="94"/>
      <c r="BN693" s="94"/>
      <c r="BO693" s="94"/>
      <c r="BP693" s="94"/>
      <c r="BQ693" s="92"/>
      <c r="BR693" s="92"/>
      <c r="BS693" s="92"/>
      <c r="BT693" s="92"/>
      <c r="BU693" s="92"/>
      <c r="BV693" s="92"/>
      <c r="BW693" s="92"/>
      <c r="BX693" s="92"/>
      <c r="BY693" s="92"/>
      <c r="BZ693" s="92"/>
    </row>
    <row r="694" spans="1:78" ht="12.9">
      <c r="A694" s="89"/>
      <c r="B694" s="89"/>
      <c r="C694" s="89"/>
      <c r="D694" s="89"/>
      <c r="E694" s="89"/>
      <c r="F694" s="89"/>
      <c r="G694" s="89"/>
      <c r="H694" s="105"/>
      <c r="I694" s="106"/>
      <c r="J694" s="106"/>
      <c r="K694" s="89"/>
      <c r="L694" s="89"/>
      <c r="M694" s="89"/>
      <c r="N694" s="107"/>
      <c r="O694" s="107"/>
      <c r="P694" s="89"/>
      <c r="Q694" s="89"/>
      <c r="R694" s="89"/>
      <c r="S694" s="89"/>
      <c r="T694" s="89"/>
      <c r="U694" s="89"/>
      <c r="V694" s="89"/>
      <c r="W694" s="89"/>
      <c r="X694" s="89"/>
      <c r="Y694" s="89"/>
      <c r="Z694" s="77"/>
      <c r="AA694" s="77"/>
      <c r="AB694" s="94"/>
      <c r="AC694" s="94"/>
      <c r="AD694" s="94"/>
      <c r="AE694" s="94"/>
      <c r="AF694" s="91"/>
      <c r="AG694" s="92"/>
      <c r="AH694" s="92"/>
      <c r="AI694" s="93"/>
      <c r="AJ694" s="94"/>
      <c r="AK694" s="92"/>
      <c r="AL694" s="94"/>
      <c r="AM694" s="94"/>
      <c r="AN694" s="94"/>
      <c r="AO694" s="94"/>
      <c r="AP694" s="94"/>
      <c r="AQ694" s="94"/>
      <c r="AR694" s="94"/>
      <c r="AS694" s="94"/>
      <c r="AT694" s="94"/>
      <c r="AU694" s="92"/>
      <c r="AV694" s="94"/>
      <c r="AW694" s="94"/>
      <c r="AX694" s="94"/>
      <c r="AY694" s="94"/>
      <c r="AZ694" s="94"/>
      <c r="BA694" s="94"/>
      <c r="BB694" s="94"/>
      <c r="BC694" s="94"/>
      <c r="BD694" s="94"/>
      <c r="BE694" s="94"/>
      <c r="BF694" s="94"/>
      <c r="BG694" s="94"/>
      <c r="BH694" s="94"/>
      <c r="BI694" s="94"/>
      <c r="BJ694" s="94"/>
      <c r="BK694" s="94"/>
      <c r="BL694" s="92"/>
      <c r="BM694" s="94"/>
      <c r="BN694" s="94"/>
      <c r="BO694" s="94"/>
      <c r="BP694" s="94"/>
      <c r="BQ694" s="92"/>
      <c r="BR694" s="92"/>
      <c r="BS694" s="92"/>
      <c r="BT694" s="92"/>
      <c r="BU694" s="92"/>
      <c r="BV694" s="92"/>
      <c r="BW694" s="92"/>
      <c r="BX694" s="92"/>
      <c r="BY694" s="92"/>
      <c r="BZ694" s="92"/>
    </row>
    <row r="695" spans="1:78" ht="12.9">
      <c r="A695" s="89"/>
      <c r="B695" s="89"/>
      <c r="C695" s="89"/>
      <c r="D695" s="89"/>
      <c r="E695" s="89"/>
      <c r="F695" s="89"/>
      <c r="G695" s="89"/>
      <c r="H695" s="105"/>
      <c r="I695" s="106"/>
      <c r="J695" s="106"/>
      <c r="K695" s="89"/>
      <c r="L695" s="89"/>
      <c r="M695" s="89"/>
      <c r="N695" s="107"/>
      <c r="O695" s="107"/>
      <c r="P695" s="89"/>
      <c r="Q695" s="89"/>
      <c r="R695" s="89"/>
      <c r="S695" s="89"/>
      <c r="T695" s="89"/>
      <c r="U695" s="89"/>
      <c r="V695" s="89"/>
      <c r="W695" s="89"/>
      <c r="X695" s="89"/>
      <c r="Y695" s="89"/>
      <c r="Z695" s="77"/>
      <c r="AA695" s="77"/>
      <c r="AB695" s="94"/>
      <c r="AC695" s="94"/>
      <c r="AD695" s="94"/>
      <c r="AE695" s="94"/>
      <c r="AF695" s="91"/>
      <c r="AG695" s="92"/>
      <c r="AH695" s="92"/>
      <c r="AI695" s="93"/>
      <c r="AJ695" s="94"/>
      <c r="AK695" s="92"/>
      <c r="AL695" s="94"/>
      <c r="AM695" s="94"/>
      <c r="AN695" s="94"/>
      <c r="AO695" s="94"/>
      <c r="AP695" s="94"/>
      <c r="AQ695" s="94"/>
      <c r="AR695" s="94"/>
      <c r="AS695" s="94"/>
      <c r="AT695" s="94"/>
      <c r="AU695" s="92"/>
      <c r="AV695" s="94"/>
      <c r="AW695" s="94"/>
      <c r="AX695" s="94"/>
      <c r="AY695" s="94"/>
      <c r="AZ695" s="94"/>
      <c r="BA695" s="94"/>
      <c r="BB695" s="94"/>
      <c r="BC695" s="94"/>
      <c r="BD695" s="94"/>
      <c r="BE695" s="94"/>
      <c r="BF695" s="94"/>
      <c r="BG695" s="94"/>
      <c r="BH695" s="94"/>
      <c r="BI695" s="94"/>
      <c r="BJ695" s="94"/>
      <c r="BK695" s="94"/>
      <c r="BL695" s="92"/>
      <c r="BM695" s="94"/>
      <c r="BN695" s="94"/>
      <c r="BO695" s="94"/>
      <c r="BP695" s="94"/>
      <c r="BQ695" s="92"/>
      <c r="BR695" s="92"/>
      <c r="BS695" s="92"/>
      <c r="BT695" s="92"/>
      <c r="BU695" s="92"/>
      <c r="BV695" s="92"/>
      <c r="BW695" s="92"/>
      <c r="BX695" s="92"/>
      <c r="BY695" s="92"/>
      <c r="BZ695" s="92"/>
    </row>
    <row r="696" spans="1:78" ht="12.9">
      <c r="A696" s="89"/>
      <c r="B696" s="89"/>
      <c r="C696" s="89"/>
      <c r="D696" s="89"/>
      <c r="E696" s="89"/>
      <c r="F696" s="89"/>
      <c r="G696" s="89"/>
      <c r="H696" s="105"/>
      <c r="I696" s="106"/>
      <c r="J696" s="106"/>
      <c r="K696" s="89"/>
      <c r="L696" s="89"/>
      <c r="M696" s="89"/>
      <c r="N696" s="107"/>
      <c r="O696" s="107"/>
      <c r="P696" s="89"/>
      <c r="Q696" s="89"/>
      <c r="R696" s="89"/>
      <c r="S696" s="89"/>
      <c r="T696" s="89"/>
      <c r="U696" s="89"/>
      <c r="V696" s="89"/>
      <c r="W696" s="89"/>
      <c r="X696" s="89"/>
      <c r="Y696" s="89"/>
      <c r="Z696" s="77"/>
      <c r="AA696" s="77"/>
      <c r="AB696" s="94"/>
      <c r="AC696" s="94"/>
      <c r="AD696" s="94"/>
      <c r="AE696" s="94"/>
      <c r="AF696" s="91"/>
      <c r="AG696" s="92"/>
      <c r="AH696" s="92"/>
      <c r="AI696" s="93"/>
      <c r="AJ696" s="94"/>
      <c r="AK696" s="92"/>
      <c r="AL696" s="94"/>
      <c r="AM696" s="94"/>
      <c r="AN696" s="94"/>
      <c r="AO696" s="94"/>
      <c r="AP696" s="94"/>
      <c r="AQ696" s="94"/>
      <c r="AR696" s="94"/>
      <c r="AS696" s="94"/>
      <c r="AT696" s="94"/>
      <c r="AU696" s="92"/>
      <c r="AV696" s="94"/>
      <c r="AW696" s="94"/>
      <c r="AX696" s="94"/>
      <c r="AY696" s="94"/>
      <c r="AZ696" s="94"/>
      <c r="BA696" s="94"/>
      <c r="BB696" s="94"/>
      <c r="BC696" s="94"/>
      <c r="BD696" s="94"/>
      <c r="BE696" s="94"/>
      <c r="BF696" s="94"/>
      <c r="BG696" s="94"/>
      <c r="BH696" s="94"/>
      <c r="BI696" s="94"/>
      <c r="BJ696" s="94"/>
      <c r="BK696" s="94"/>
      <c r="BL696" s="92"/>
      <c r="BM696" s="94"/>
      <c r="BN696" s="94"/>
      <c r="BO696" s="94"/>
      <c r="BP696" s="94"/>
      <c r="BQ696" s="92"/>
      <c r="BR696" s="92"/>
      <c r="BS696" s="92"/>
      <c r="BT696" s="92"/>
      <c r="BU696" s="92"/>
      <c r="BV696" s="92"/>
      <c r="BW696" s="92"/>
      <c r="BX696" s="92"/>
      <c r="BY696" s="92"/>
      <c r="BZ696" s="92"/>
    </row>
    <row r="697" spans="1:78" ht="12.9">
      <c r="A697" s="89"/>
      <c r="B697" s="89"/>
      <c r="C697" s="89"/>
      <c r="D697" s="89"/>
      <c r="E697" s="89"/>
      <c r="F697" s="89"/>
      <c r="G697" s="89"/>
      <c r="H697" s="105"/>
      <c r="I697" s="106"/>
      <c r="J697" s="106"/>
      <c r="K697" s="89"/>
      <c r="L697" s="89"/>
      <c r="M697" s="89"/>
      <c r="N697" s="107"/>
      <c r="O697" s="107"/>
      <c r="P697" s="89"/>
      <c r="Q697" s="89"/>
      <c r="R697" s="89"/>
      <c r="S697" s="89"/>
      <c r="T697" s="89"/>
      <c r="U697" s="89"/>
      <c r="V697" s="89"/>
      <c r="W697" s="89"/>
      <c r="X697" s="89"/>
      <c r="Y697" s="89"/>
      <c r="Z697" s="77"/>
      <c r="AA697" s="77"/>
      <c r="AB697" s="94"/>
      <c r="AC697" s="94"/>
      <c r="AD697" s="94"/>
      <c r="AE697" s="94"/>
      <c r="AF697" s="91"/>
      <c r="AG697" s="92"/>
      <c r="AH697" s="92"/>
      <c r="AI697" s="93"/>
      <c r="AJ697" s="94"/>
      <c r="AK697" s="92"/>
      <c r="AL697" s="94"/>
      <c r="AM697" s="94"/>
      <c r="AN697" s="94"/>
      <c r="AO697" s="94"/>
      <c r="AP697" s="94"/>
      <c r="AQ697" s="94"/>
      <c r="AR697" s="94"/>
      <c r="AS697" s="94"/>
      <c r="AT697" s="94"/>
      <c r="AU697" s="92"/>
      <c r="AV697" s="94"/>
      <c r="AW697" s="94"/>
      <c r="AX697" s="94"/>
      <c r="AY697" s="94"/>
      <c r="AZ697" s="94"/>
      <c r="BA697" s="94"/>
      <c r="BB697" s="94"/>
      <c r="BC697" s="94"/>
      <c r="BD697" s="94"/>
      <c r="BE697" s="94"/>
      <c r="BF697" s="94"/>
      <c r="BG697" s="94"/>
      <c r="BH697" s="94"/>
      <c r="BI697" s="94"/>
      <c r="BJ697" s="94"/>
      <c r="BK697" s="94"/>
      <c r="BL697" s="92"/>
      <c r="BM697" s="94"/>
      <c r="BN697" s="94"/>
      <c r="BO697" s="94"/>
      <c r="BP697" s="94"/>
      <c r="BQ697" s="92"/>
      <c r="BR697" s="92"/>
      <c r="BS697" s="92"/>
      <c r="BT697" s="92"/>
      <c r="BU697" s="92"/>
      <c r="BV697" s="92"/>
      <c r="BW697" s="92"/>
      <c r="BX697" s="92"/>
      <c r="BY697" s="92"/>
      <c r="BZ697" s="92"/>
    </row>
    <row r="698" spans="1:78" ht="12.9">
      <c r="A698" s="89"/>
      <c r="B698" s="89"/>
      <c r="C698" s="89"/>
      <c r="D698" s="89"/>
      <c r="E698" s="89"/>
      <c r="F698" s="89"/>
      <c r="G698" s="89"/>
      <c r="H698" s="105"/>
      <c r="I698" s="106"/>
      <c r="J698" s="106"/>
      <c r="K698" s="89"/>
      <c r="L698" s="89"/>
      <c r="M698" s="89"/>
      <c r="N698" s="107"/>
      <c r="O698" s="107"/>
      <c r="P698" s="89"/>
      <c r="Q698" s="89"/>
      <c r="R698" s="89"/>
      <c r="S698" s="89"/>
      <c r="T698" s="89"/>
      <c r="U698" s="89"/>
      <c r="V698" s="89"/>
      <c r="W698" s="89"/>
      <c r="X698" s="89"/>
      <c r="Y698" s="89"/>
      <c r="Z698" s="77"/>
      <c r="AA698" s="77"/>
      <c r="AB698" s="94"/>
      <c r="AC698" s="94"/>
      <c r="AD698" s="94"/>
      <c r="AE698" s="94"/>
      <c r="AF698" s="91"/>
      <c r="AG698" s="92"/>
      <c r="AH698" s="92"/>
      <c r="AI698" s="93"/>
      <c r="AJ698" s="94"/>
      <c r="AK698" s="92"/>
      <c r="AL698" s="94"/>
      <c r="AM698" s="94"/>
      <c r="AN698" s="94"/>
      <c r="AO698" s="94"/>
      <c r="AP698" s="94"/>
      <c r="AQ698" s="94"/>
      <c r="AR698" s="94"/>
      <c r="AS698" s="94"/>
      <c r="AT698" s="94"/>
      <c r="AU698" s="92"/>
      <c r="AV698" s="94"/>
      <c r="AW698" s="94"/>
      <c r="AX698" s="94"/>
      <c r="AY698" s="94"/>
      <c r="AZ698" s="94"/>
      <c r="BA698" s="94"/>
      <c r="BB698" s="94"/>
      <c r="BC698" s="94"/>
      <c r="BD698" s="94"/>
      <c r="BE698" s="94"/>
      <c r="BF698" s="94"/>
      <c r="BG698" s="94"/>
      <c r="BH698" s="94"/>
      <c r="BI698" s="94"/>
      <c r="BJ698" s="94"/>
      <c r="BK698" s="94"/>
      <c r="BL698" s="92"/>
      <c r="BM698" s="94"/>
      <c r="BN698" s="94"/>
      <c r="BO698" s="94"/>
      <c r="BP698" s="94"/>
      <c r="BQ698" s="92"/>
      <c r="BR698" s="92"/>
      <c r="BS698" s="92"/>
      <c r="BT698" s="92"/>
      <c r="BU698" s="92"/>
      <c r="BV698" s="92"/>
      <c r="BW698" s="92"/>
      <c r="BX698" s="92"/>
      <c r="BY698" s="92"/>
      <c r="BZ698" s="92"/>
    </row>
    <row r="699" spans="1:78" ht="12.9">
      <c r="A699" s="89"/>
      <c r="B699" s="89"/>
      <c r="C699" s="89"/>
      <c r="D699" s="89"/>
      <c r="E699" s="89"/>
      <c r="F699" s="89"/>
      <c r="G699" s="89"/>
      <c r="H699" s="105"/>
      <c r="I699" s="106"/>
      <c r="J699" s="106"/>
      <c r="K699" s="89"/>
      <c r="L699" s="89"/>
      <c r="M699" s="89"/>
      <c r="N699" s="107"/>
      <c r="O699" s="107"/>
      <c r="P699" s="89"/>
      <c r="Q699" s="89"/>
      <c r="R699" s="89"/>
      <c r="S699" s="89"/>
      <c r="T699" s="89"/>
      <c r="U699" s="89"/>
      <c r="V699" s="89"/>
      <c r="W699" s="89"/>
      <c r="X699" s="89"/>
      <c r="Y699" s="89"/>
      <c r="Z699" s="77"/>
      <c r="AA699" s="77"/>
      <c r="AB699" s="94"/>
      <c r="AC699" s="94"/>
      <c r="AD699" s="94"/>
      <c r="AE699" s="94"/>
      <c r="AF699" s="91"/>
      <c r="AG699" s="92"/>
      <c r="AH699" s="92"/>
      <c r="AI699" s="93"/>
      <c r="AJ699" s="94"/>
      <c r="AK699" s="92"/>
      <c r="AL699" s="94"/>
      <c r="AM699" s="94"/>
      <c r="AN699" s="94"/>
      <c r="AO699" s="94"/>
      <c r="AP699" s="94"/>
      <c r="AQ699" s="94"/>
      <c r="AR699" s="94"/>
      <c r="AS699" s="94"/>
      <c r="AT699" s="94"/>
      <c r="AU699" s="92"/>
      <c r="AV699" s="94"/>
      <c r="AW699" s="94"/>
      <c r="AX699" s="94"/>
      <c r="AY699" s="94"/>
      <c r="AZ699" s="94"/>
      <c r="BA699" s="94"/>
      <c r="BB699" s="94"/>
      <c r="BC699" s="94"/>
      <c r="BD699" s="94"/>
      <c r="BE699" s="94"/>
      <c r="BF699" s="94"/>
      <c r="BG699" s="94"/>
      <c r="BH699" s="94"/>
      <c r="BI699" s="94"/>
      <c r="BJ699" s="94"/>
      <c r="BK699" s="94"/>
      <c r="BL699" s="92"/>
      <c r="BM699" s="94"/>
      <c r="BN699" s="94"/>
      <c r="BO699" s="94"/>
      <c r="BP699" s="94"/>
      <c r="BQ699" s="92"/>
      <c r="BR699" s="92"/>
      <c r="BS699" s="92"/>
      <c r="BT699" s="92"/>
      <c r="BU699" s="92"/>
      <c r="BV699" s="92"/>
      <c r="BW699" s="92"/>
      <c r="BX699" s="92"/>
      <c r="BY699" s="92"/>
      <c r="BZ699" s="92"/>
    </row>
    <row r="700" spans="1:78" ht="12.9">
      <c r="A700" s="89"/>
      <c r="B700" s="89"/>
      <c r="C700" s="89"/>
      <c r="D700" s="89"/>
      <c r="E700" s="89"/>
      <c r="F700" s="89"/>
      <c r="G700" s="89"/>
      <c r="H700" s="105"/>
      <c r="I700" s="106"/>
      <c r="J700" s="106"/>
      <c r="K700" s="89"/>
      <c r="L700" s="89"/>
      <c r="M700" s="89"/>
      <c r="N700" s="107"/>
      <c r="O700" s="107"/>
      <c r="P700" s="89"/>
      <c r="Q700" s="89"/>
      <c r="R700" s="89"/>
      <c r="S700" s="89"/>
      <c r="T700" s="89"/>
      <c r="U700" s="89"/>
      <c r="V700" s="89"/>
      <c r="W700" s="89"/>
      <c r="X700" s="89"/>
      <c r="Y700" s="89"/>
      <c r="Z700" s="77"/>
      <c r="AA700" s="77"/>
      <c r="AB700" s="94"/>
      <c r="AC700" s="94"/>
      <c r="AD700" s="94"/>
      <c r="AE700" s="94"/>
      <c r="AF700" s="91"/>
      <c r="AG700" s="92"/>
      <c r="AH700" s="92"/>
      <c r="AI700" s="93"/>
      <c r="AJ700" s="94"/>
      <c r="AK700" s="92"/>
      <c r="AL700" s="94"/>
      <c r="AM700" s="94"/>
      <c r="AN700" s="94"/>
      <c r="AO700" s="94"/>
      <c r="AP700" s="94"/>
      <c r="AQ700" s="94"/>
      <c r="AR700" s="94"/>
      <c r="AS700" s="94"/>
      <c r="AT700" s="94"/>
      <c r="AU700" s="92"/>
      <c r="AV700" s="94"/>
      <c r="AW700" s="94"/>
      <c r="AX700" s="94"/>
      <c r="AY700" s="94"/>
      <c r="AZ700" s="94"/>
      <c r="BA700" s="94"/>
      <c r="BB700" s="94"/>
      <c r="BC700" s="94"/>
      <c r="BD700" s="94"/>
      <c r="BE700" s="94"/>
      <c r="BF700" s="94"/>
      <c r="BG700" s="94"/>
      <c r="BH700" s="94"/>
      <c r="BI700" s="94"/>
      <c r="BJ700" s="94"/>
      <c r="BK700" s="94"/>
      <c r="BL700" s="92"/>
      <c r="BM700" s="94"/>
      <c r="BN700" s="94"/>
      <c r="BO700" s="94"/>
      <c r="BP700" s="94"/>
      <c r="BQ700" s="92"/>
      <c r="BR700" s="92"/>
      <c r="BS700" s="92"/>
      <c r="BT700" s="92"/>
      <c r="BU700" s="92"/>
      <c r="BV700" s="92"/>
      <c r="BW700" s="92"/>
      <c r="BX700" s="92"/>
      <c r="BY700" s="92"/>
      <c r="BZ700" s="92"/>
    </row>
    <row r="701" spans="1:78" ht="12.9">
      <c r="A701" s="89"/>
      <c r="B701" s="89"/>
      <c r="C701" s="89"/>
      <c r="D701" s="89"/>
      <c r="E701" s="89"/>
      <c r="F701" s="89"/>
      <c r="G701" s="89"/>
      <c r="H701" s="105"/>
      <c r="I701" s="106"/>
      <c r="J701" s="106"/>
      <c r="K701" s="89"/>
      <c r="L701" s="89"/>
      <c r="M701" s="89"/>
      <c r="N701" s="107"/>
      <c r="O701" s="107"/>
      <c r="P701" s="89"/>
      <c r="Q701" s="89"/>
      <c r="R701" s="89"/>
      <c r="S701" s="89"/>
      <c r="T701" s="89"/>
      <c r="U701" s="89"/>
      <c r="V701" s="89"/>
      <c r="W701" s="89"/>
      <c r="X701" s="89"/>
      <c r="Y701" s="89"/>
      <c r="Z701" s="77"/>
      <c r="AA701" s="77"/>
      <c r="AB701" s="94"/>
      <c r="AC701" s="94"/>
      <c r="AD701" s="94"/>
      <c r="AE701" s="94"/>
      <c r="AF701" s="91"/>
      <c r="AG701" s="92"/>
      <c r="AH701" s="92"/>
      <c r="AI701" s="93"/>
      <c r="AJ701" s="94"/>
      <c r="AK701" s="92"/>
      <c r="AL701" s="94"/>
      <c r="AM701" s="94"/>
      <c r="AN701" s="94"/>
      <c r="AO701" s="94"/>
      <c r="AP701" s="94"/>
      <c r="AQ701" s="94"/>
      <c r="AR701" s="94"/>
      <c r="AS701" s="94"/>
      <c r="AT701" s="94"/>
      <c r="AU701" s="92"/>
      <c r="AV701" s="94"/>
      <c r="AW701" s="94"/>
      <c r="AX701" s="94"/>
      <c r="AY701" s="94"/>
      <c r="AZ701" s="94"/>
      <c r="BA701" s="94"/>
      <c r="BB701" s="94"/>
      <c r="BC701" s="94"/>
      <c r="BD701" s="94"/>
      <c r="BE701" s="94"/>
      <c r="BF701" s="94"/>
      <c r="BG701" s="94"/>
      <c r="BH701" s="94"/>
      <c r="BI701" s="94"/>
      <c r="BJ701" s="94"/>
      <c r="BK701" s="94"/>
      <c r="BL701" s="92"/>
      <c r="BM701" s="94"/>
      <c r="BN701" s="94"/>
      <c r="BO701" s="94"/>
      <c r="BP701" s="94"/>
      <c r="BQ701" s="92"/>
      <c r="BR701" s="92"/>
      <c r="BS701" s="92"/>
      <c r="BT701" s="92"/>
      <c r="BU701" s="92"/>
      <c r="BV701" s="92"/>
      <c r="BW701" s="92"/>
      <c r="BX701" s="92"/>
      <c r="BY701" s="92"/>
      <c r="BZ701" s="92"/>
    </row>
    <row r="702" spans="1:78" ht="12.9">
      <c r="A702" s="89"/>
      <c r="B702" s="89"/>
      <c r="C702" s="89"/>
      <c r="D702" s="89"/>
      <c r="E702" s="89"/>
      <c r="F702" s="89"/>
      <c r="G702" s="89"/>
      <c r="H702" s="105"/>
      <c r="I702" s="106"/>
      <c r="J702" s="106"/>
      <c r="K702" s="89"/>
      <c r="L702" s="89"/>
      <c r="M702" s="89"/>
      <c r="N702" s="107"/>
      <c r="O702" s="107"/>
      <c r="P702" s="89"/>
      <c r="Q702" s="89"/>
      <c r="R702" s="89"/>
      <c r="S702" s="89"/>
      <c r="T702" s="89"/>
      <c r="U702" s="89"/>
      <c r="V702" s="89"/>
      <c r="W702" s="89"/>
      <c r="X702" s="89"/>
      <c r="Y702" s="89"/>
      <c r="Z702" s="77"/>
      <c r="AA702" s="77"/>
      <c r="AB702" s="94"/>
      <c r="AC702" s="94"/>
      <c r="AD702" s="94"/>
      <c r="AE702" s="94"/>
      <c r="AF702" s="91"/>
      <c r="AG702" s="92"/>
      <c r="AH702" s="92"/>
      <c r="AI702" s="93"/>
      <c r="AJ702" s="94"/>
      <c r="AK702" s="92"/>
      <c r="AL702" s="94"/>
      <c r="AM702" s="94"/>
      <c r="AN702" s="94"/>
      <c r="AO702" s="94"/>
      <c r="AP702" s="94"/>
      <c r="AQ702" s="94"/>
      <c r="AR702" s="94"/>
      <c r="AS702" s="94"/>
      <c r="AT702" s="94"/>
      <c r="AU702" s="92"/>
      <c r="AV702" s="94"/>
      <c r="AW702" s="94"/>
      <c r="AX702" s="94"/>
      <c r="AY702" s="94"/>
      <c r="AZ702" s="94"/>
      <c r="BA702" s="94"/>
      <c r="BB702" s="94"/>
      <c r="BC702" s="94"/>
      <c r="BD702" s="94"/>
      <c r="BE702" s="94"/>
      <c r="BF702" s="94"/>
      <c r="BG702" s="94"/>
      <c r="BH702" s="94"/>
      <c r="BI702" s="94"/>
      <c r="BJ702" s="94"/>
      <c r="BK702" s="94"/>
      <c r="BL702" s="92"/>
      <c r="BM702" s="94"/>
      <c r="BN702" s="94"/>
      <c r="BO702" s="94"/>
      <c r="BP702" s="94"/>
      <c r="BQ702" s="92"/>
      <c r="BR702" s="92"/>
      <c r="BS702" s="92"/>
      <c r="BT702" s="92"/>
      <c r="BU702" s="92"/>
      <c r="BV702" s="92"/>
      <c r="BW702" s="92"/>
      <c r="BX702" s="92"/>
      <c r="BY702" s="92"/>
      <c r="BZ702" s="92"/>
    </row>
    <row r="703" spans="1:78" ht="12.9">
      <c r="A703" s="89"/>
      <c r="B703" s="89"/>
      <c r="C703" s="89"/>
      <c r="D703" s="89"/>
      <c r="E703" s="89"/>
      <c r="F703" s="89"/>
      <c r="G703" s="89"/>
      <c r="H703" s="105"/>
      <c r="I703" s="106"/>
      <c r="J703" s="106"/>
      <c r="K703" s="89"/>
      <c r="L703" s="89"/>
      <c r="M703" s="89"/>
      <c r="N703" s="107"/>
      <c r="O703" s="107"/>
      <c r="P703" s="89"/>
      <c r="Q703" s="89"/>
      <c r="R703" s="89"/>
      <c r="S703" s="89"/>
      <c r="T703" s="89"/>
      <c r="U703" s="89"/>
      <c r="V703" s="89"/>
      <c r="W703" s="89"/>
      <c r="X703" s="89"/>
      <c r="Y703" s="89"/>
      <c r="Z703" s="77"/>
      <c r="AA703" s="77"/>
      <c r="AB703" s="94"/>
      <c r="AC703" s="94"/>
      <c r="AD703" s="94"/>
      <c r="AE703" s="94"/>
      <c r="AF703" s="91"/>
      <c r="AG703" s="92"/>
      <c r="AH703" s="92"/>
      <c r="AI703" s="93"/>
      <c r="AJ703" s="94"/>
      <c r="AK703" s="92"/>
      <c r="AL703" s="94"/>
      <c r="AM703" s="94"/>
      <c r="AN703" s="94"/>
      <c r="AO703" s="94"/>
      <c r="AP703" s="94"/>
      <c r="AQ703" s="94"/>
      <c r="AR703" s="94"/>
      <c r="AS703" s="94"/>
      <c r="AT703" s="94"/>
      <c r="AU703" s="92"/>
      <c r="AV703" s="94"/>
      <c r="AW703" s="94"/>
      <c r="AX703" s="94"/>
      <c r="AY703" s="94"/>
      <c r="AZ703" s="94"/>
      <c r="BA703" s="94"/>
      <c r="BB703" s="94"/>
      <c r="BC703" s="94"/>
      <c r="BD703" s="94"/>
      <c r="BE703" s="94"/>
      <c r="BF703" s="94"/>
      <c r="BG703" s="94"/>
      <c r="BH703" s="94"/>
      <c r="BI703" s="94"/>
      <c r="BJ703" s="94"/>
      <c r="BK703" s="94"/>
      <c r="BL703" s="92"/>
      <c r="BM703" s="94"/>
      <c r="BN703" s="94"/>
      <c r="BO703" s="94"/>
      <c r="BP703" s="94"/>
      <c r="BQ703" s="92"/>
      <c r="BR703" s="92"/>
      <c r="BS703" s="92"/>
      <c r="BT703" s="92"/>
      <c r="BU703" s="92"/>
      <c r="BV703" s="92"/>
      <c r="BW703" s="92"/>
      <c r="BX703" s="92"/>
      <c r="BY703" s="92"/>
      <c r="BZ703" s="92"/>
    </row>
    <row r="704" spans="1:78" ht="12.9">
      <c r="A704" s="89"/>
      <c r="B704" s="89"/>
      <c r="C704" s="89"/>
      <c r="D704" s="89"/>
      <c r="E704" s="89"/>
      <c r="F704" s="89"/>
      <c r="G704" s="89"/>
      <c r="H704" s="105"/>
      <c r="I704" s="106"/>
      <c r="J704" s="106"/>
      <c r="K704" s="89"/>
      <c r="L704" s="89"/>
      <c r="M704" s="89"/>
      <c r="N704" s="107"/>
      <c r="O704" s="107"/>
      <c r="P704" s="89"/>
      <c r="Q704" s="89"/>
      <c r="R704" s="89"/>
      <c r="S704" s="89"/>
      <c r="T704" s="89"/>
      <c r="U704" s="89"/>
      <c r="V704" s="89"/>
      <c r="W704" s="89"/>
      <c r="X704" s="89"/>
      <c r="Y704" s="89"/>
      <c r="Z704" s="77"/>
      <c r="AA704" s="77"/>
      <c r="AB704" s="94"/>
      <c r="AC704" s="94"/>
      <c r="AD704" s="94"/>
      <c r="AE704" s="94"/>
      <c r="AF704" s="91"/>
      <c r="AG704" s="92"/>
      <c r="AH704" s="92"/>
      <c r="AI704" s="93"/>
      <c r="AJ704" s="94"/>
      <c r="AK704" s="92"/>
      <c r="AL704" s="94"/>
      <c r="AM704" s="94"/>
      <c r="AN704" s="94"/>
      <c r="AO704" s="94"/>
      <c r="AP704" s="94"/>
      <c r="AQ704" s="94"/>
      <c r="AR704" s="94"/>
      <c r="AS704" s="94"/>
      <c r="AT704" s="94"/>
      <c r="AU704" s="92"/>
      <c r="AV704" s="94"/>
      <c r="AW704" s="94"/>
      <c r="AX704" s="94"/>
      <c r="AY704" s="94"/>
      <c r="AZ704" s="94"/>
      <c r="BA704" s="94"/>
      <c r="BB704" s="94"/>
      <c r="BC704" s="94"/>
      <c r="BD704" s="94"/>
      <c r="BE704" s="94"/>
      <c r="BF704" s="94"/>
      <c r="BG704" s="94"/>
      <c r="BH704" s="94"/>
      <c r="BI704" s="94"/>
      <c r="BJ704" s="94"/>
      <c r="BK704" s="94"/>
      <c r="BL704" s="92"/>
      <c r="BM704" s="94"/>
      <c r="BN704" s="94"/>
      <c r="BO704" s="94"/>
      <c r="BP704" s="94"/>
      <c r="BQ704" s="92"/>
      <c r="BR704" s="92"/>
      <c r="BS704" s="92"/>
      <c r="BT704" s="92"/>
      <c r="BU704" s="92"/>
      <c r="BV704" s="92"/>
      <c r="BW704" s="92"/>
      <c r="BX704" s="92"/>
      <c r="BY704" s="92"/>
      <c r="BZ704" s="92"/>
    </row>
    <row r="705" spans="1:78" ht="12.9">
      <c r="A705" s="89"/>
      <c r="B705" s="89"/>
      <c r="C705" s="89"/>
      <c r="D705" s="89"/>
      <c r="E705" s="89"/>
      <c r="F705" s="89"/>
      <c r="G705" s="89"/>
      <c r="H705" s="105"/>
      <c r="I705" s="106"/>
      <c r="J705" s="106"/>
      <c r="K705" s="89"/>
      <c r="L705" s="89"/>
      <c r="M705" s="89"/>
      <c r="N705" s="107"/>
      <c r="O705" s="107"/>
      <c r="P705" s="89"/>
      <c r="Q705" s="89"/>
      <c r="R705" s="89"/>
      <c r="S705" s="89"/>
      <c r="T705" s="89"/>
      <c r="U705" s="89"/>
      <c r="V705" s="89"/>
      <c r="W705" s="89"/>
      <c r="X705" s="89"/>
      <c r="Y705" s="89"/>
      <c r="Z705" s="77"/>
      <c r="AA705" s="77"/>
      <c r="AB705" s="94"/>
      <c r="AC705" s="94"/>
      <c r="AD705" s="94"/>
      <c r="AE705" s="94"/>
      <c r="AF705" s="91"/>
      <c r="AG705" s="92"/>
      <c r="AH705" s="92"/>
      <c r="AI705" s="93"/>
      <c r="AJ705" s="94"/>
      <c r="AK705" s="92"/>
      <c r="AL705" s="94"/>
      <c r="AM705" s="94"/>
      <c r="AN705" s="94"/>
      <c r="AO705" s="94"/>
      <c r="AP705" s="94"/>
      <c r="AQ705" s="94"/>
      <c r="AR705" s="94"/>
      <c r="AS705" s="94"/>
      <c r="AT705" s="94"/>
      <c r="AU705" s="92"/>
      <c r="AV705" s="94"/>
      <c r="AW705" s="94"/>
      <c r="AX705" s="94"/>
      <c r="AY705" s="94"/>
      <c r="AZ705" s="94"/>
      <c r="BA705" s="94"/>
      <c r="BB705" s="94"/>
      <c r="BC705" s="94"/>
      <c r="BD705" s="94"/>
      <c r="BE705" s="94"/>
      <c r="BF705" s="94"/>
      <c r="BG705" s="94"/>
      <c r="BH705" s="94"/>
      <c r="BI705" s="94"/>
      <c r="BJ705" s="94"/>
      <c r="BK705" s="94"/>
      <c r="BL705" s="92"/>
      <c r="BM705" s="94"/>
      <c r="BN705" s="94"/>
      <c r="BO705" s="94"/>
      <c r="BP705" s="94"/>
      <c r="BQ705" s="92"/>
      <c r="BR705" s="92"/>
      <c r="BS705" s="92"/>
      <c r="BT705" s="92"/>
      <c r="BU705" s="92"/>
      <c r="BV705" s="92"/>
      <c r="BW705" s="92"/>
      <c r="BX705" s="92"/>
      <c r="BY705" s="92"/>
      <c r="BZ705" s="92"/>
    </row>
    <row r="706" spans="1:78" ht="12.9">
      <c r="A706" s="89"/>
      <c r="B706" s="89"/>
      <c r="C706" s="89"/>
      <c r="D706" s="89"/>
      <c r="E706" s="89"/>
      <c r="F706" s="89"/>
      <c r="G706" s="89"/>
      <c r="H706" s="105"/>
      <c r="I706" s="106"/>
      <c r="J706" s="106"/>
      <c r="K706" s="89"/>
      <c r="L706" s="89"/>
      <c r="M706" s="89"/>
      <c r="N706" s="107"/>
      <c r="O706" s="107"/>
      <c r="P706" s="89"/>
      <c r="Q706" s="89"/>
      <c r="R706" s="89"/>
      <c r="S706" s="89"/>
      <c r="T706" s="89"/>
      <c r="U706" s="89"/>
      <c r="V706" s="89"/>
      <c r="W706" s="89"/>
      <c r="X706" s="89"/>
      <c r="Y706" s="89"/>
      <c r="Z706" s="77"/>
      <c r="AA706" s="77"/>
      <c r="AB706" s="94"/>
      <c r="AC706" s="94"/>
      <c r="AD706" s="94"/>
      <c r="AE706" s="94"/>
      <c r="AF706" s="91"/>
      <c r="AG706" s="92"/>
      <c r="AH706" s="92"/>
      <c r="AI706" s="93"/>
      <c r="AJ706" s="94"/>
      <c r="AK706" s="92"/>
      <c r="AL706" s="94"/>
      <c r="AM706" s="94"/>
      <c r="AN706" s="94"/>
      <c r="AO706" s="94"/>
      <c r="AP706" s="94"/>
      <c r="AQ706" s="94"/>
      <c r="AR706" s="94"/>
      <c r="AS706" s="94"/>
      <c r="AT706" s="94"/>
      <c r="AU706" s="92"/>
      <c r="AV706" s="94"/>
      <c r="AW706" s="94"/>
      <c r="AX706" s="94"/>
      <c r="AY706" s="94"/>
      <c r="AZ706" s="94"/>
      <c r="BA706" s="94"/>
      <c r="BB706" s="94"/>
      <c r="BC706" s="94"/>
      <c r="BD706" s="94"/>
      <c r="BE706" s="94"/>
      <c r="BF706" s="94"/>
      <c r="BG706" s="94"/>
      <c r="BH706" s="94"/>
      <c r="BI706" s="94"/>
      <c r="BJ706" s="94"/>
      <c r="BK706" s="94"/>
      <c r="BL706" s="92"/>
      <c r="BM706" s="94"/>
      <c r="BN706" s="94"/>
      <c r="BO706" s="94"/>
      <c r="BP706" s="94"/>
      <c r="BQ706" s="92"/>
      <c r="BR706" s="92"/>
      <c r="BS706" s="92"/>
      <c r="BT706" s="92"/>
      <c r="BU706" s="92"/>
      <c r="BV706" s="92"/>
      <c r="BW706" s="92"/>
      <c r="BX706" s="92"/>
      <c r="BY706" s="92"/>
      <c r="BZ706" s="92"/>
    </row>
    <row r="707" spans="1:78" ht="12.9">
      <c r="A707" s="89"/>
      <c r="B707" s="89"/>
      <c r="C707" s="89"/>
      <c r="D707" s="89"/>
      <c r="E707" s="89"/>
      <c r="F707" s="89"/>
      <c r="G707" s="89"/>
      <c r="H707" s="105"/>
      <c r="I707" s="106"/>
      <c r="J707" s="106"/>
      <c r="K707" s="89"/>
      <c r="L707" s="89"/>
      <c r="M707" s="89"/>
      <c r="N707" s="107"/>
      <c r="O707" s="107"/>
      <c r="P707" s="89"/>
      <c r="Q707" s="89"/>
      <c r="R707" s="89"/>
      <c r="S707" s="89"/>
      <c r="T707" s="89"/>
      <c r="U707" s="89"/>
      <c r="V707" s="89"/>
      <c r="W707" s="89"/>
      <c r="X707" s="89"/>
      <c r="Y707" s="89"/>
      <c r="Z707" s="77"/>
      <c r="AA707" s="77"/>
      <c r="AB707" s="94"/>
      <c r="AC707" s="94"/>
      <c r="AD707" s="94"/>
      <c r="AE707" s="94"/>
      <c r="AF707" s="91"/>
      <c r="AG707" s="92"/>
      <c r="AH707" s="92"/>
      <c r="AI707" s="93"/>
      <c r="AJ707" s="94"/>
      <c r="AK707" s="92"/>
      <c r="AL707" s="94"/>
      <c r="AM707" s="94"/>
      <c r="AN707" s="94"/>
      <c r="AO707" s="94"/>
      <c r="AP707" s="94"/>
      <c r="AQ707" s="94"/>
      <c r="AR707" s="94"/>
      <c r="AS707" s="94"/>
      <c r="AT707" s="94"/>
      <c r="AU707" s="92"/>
      <c r="AV707" s="94"/>
      <c r="AW707" s="94"/>
      <c r="AX707" s="94"/>
      <c r="AY707" s="94"/>
      <c r="AZ707" s="94"/>
      <c r="BA707" s="94"/>
      <c r="BB707" s="94"/>
      <c r="BC707" s="94"/>
      <c r="BD707" s="94"/>
      <c r="BE707" s="94"/>
      <c r="BF707" s="94"/>
      <c r="BG707" s="94"/>
      <c r="BH707" s="94"/>
      <c r="BI707" s="94"/>
      <c r="BJ707" s="94"/>
      <c r="BK707" s="94"/>
      <c r="BL707" s="92"/>
      <c r="BM707" s="94"/>
      <c r="BN707" s="94"/>
      <c r="BO707" s="94"/>
      <c r="BP707" s="94"/>
      <c r="BQ707" s="92"/>
      <c r="BR707" s="92"/>
      <c r="BS707" s="92"/>
      <c r="BT707" s="92"/>
      <c r="BU707" s="92"/>
      <c r="BV707" s="92"/>
      <c r="BW707" s="92"/>
      <c r="BX707" s="92"/>
      <c r="BY707" s="92"/>
      <c r="BZ707" s="92"/>
    </row>
    <row r="708" spans="1:78" ht="12.9">
      <c r="A708" s="89"/>
      <c r="B708" s="89"/>
      <c r="C708" s="89"/>
      <c r="D708" s="89"/>
      <c r="E708" s="89"/>
      <c r="F708" s="89"/>
      <c r="G708" s="89"/>
      <c r="H708" s="105"/>
      <c r="I708" s="106"/>
      <c r="J708" s="106"/>
      <c r="K708" s="89"/>
      <c r="L708" s="89"/>
      <c r="M708" s="89"/>
      <c r="N708" s="107"/>
      <c r="O708" s="107"/>
      <c r="P708" s="89"/>
      <c r="Q708" s="89"/>
      <c r="R708" s="89"/>
      <c r="S708" s="89"/>
      <c r="T708" s="89"/>
      <c r="U708" s="89"/>
      <c r="V708" s="89"/>
      <c r="W708" s="89"/>
      <c r="X708" s="89"/>
      <c r="Y708" s="89"/>
      <c r="Z708" s="77"/>
      <c r="AA708" s="77"/>
      <c r="AB708" s="94"/>
      <c r="AC708" s="94"/>
      <c r="AD708" s="94"/>
      <c r="AE708" s="94"/>
      <c r="AF708" s="91"/>
      <c r="AG708" s="92"/>
      <c r="AH708" s="92"/>
      <c r="AI708" s="93"/>
      <c r="AJ708" s="94"/>
      <c r="AK708" s="92"/>
      <c r="AL708" s="94"/>
      <c r="AM708" s="94"/>
      <c r="AN708" s="94"/>
      <c r="AO708" s="94"/>
      <c r="AP708" s="94"/>
      <c r="AQ708" s="94"/>
      <c r="AR708" s="94"/>
      <c r="AS708" s="94"/>
      <c r="AT708" s="94"/>
      <c r="AU708" s="92"/>
      <c r="AV708" s="94"/>
      <c r="AW708" s="94"/>
      <c r="AX708" s="94"/>
      <c r="AY708" s="94"/>
      <c r="AZ708" s="94"/>
      <c r="BA708" s="94"/>
      <c r="BB708" s="94"/>
      <c r="BC708" s="94"/>
      <c r="BD708" s="94"/>
      <c r="BE708" s="94"/>
      <c r="BF708" s="94"/>
      <c r="BG708" s="94"/>
      <c r="BH708" s="94"/>
      <c r="BI708" s="94"/>
      <c r="BJ708" s="94"/>
      <c r="BK708" s="94"/>
      <c r="BL708" s="92"/>
      <c r="BM708" s="94"/>
      <c r="BN708" s="94"/>
      <c r="BO708" s="94"/>
      <c r="BP708" s="94"/>
      <c r="BQ708" s="92"/>
      <c r="BR708" s="92"/>
      <c r="BS708" s="92"/>
      <c r="BT708" s="92"/>
      <c r="BU708" s="92"/>
      <c r="BV708" s="92"/>
      <c r="BW708" s="92"/>
      <c r="BX708" s="92"/>
      <c r="BY708" s="92"/>
      <c r="BZ708" s="92"/>
    </row>
    <row r="709" spans="1:78" ht="12.9">
      <c r="A709" s="89"/>
      <c r="B709" s="89"/>
      <c r="C709" s="89"/>
      <c r="D709" s="89"/>
      <c r="E709" s="89"/>
      <c r="F709" s="89"/>
      <c r="G709" s="89"/>
      <c r="H709" s="105"/>
      <c r="I709" s="106"/>
      <c r="J709" s="106"/>
      <c r="K709" s="89"/>
      <c r="L709" s="89"/>
      <c r="M709" s="89"/>
      <c r="N709" s="107"/>
      <c r="O709" s="107"/>
      <c r="P709" s="89"/>
      <c r="Q709" s="89"/>
      <c r="R709" s="89"/>
      <c r="S709" s="89"/>
      <c r="T709" s="89"/>
      <c r="U709" s="89"/>
      <c r="V709" s="89"/>
      <c r="W709" s="89"/>
      <c r="X709" s="89"/>
      <c r="Y709" s="89"/>
      <c r="Z709" s="77"/>
      <c r="AA709" s="77"/>
      <c r="AB709" s="94"/>
      <c r="AC709" s="94"/>
      <c r="AD709" s="94"/>
      <c r="AE709" s="94"/>
      <c r="AF709" s="91"/>
      <c r="AG709" s="92"/>
      <c r="AH709" s="92"/>
      <c r="AI709" s="93"/>
      <c r="AJ709" s="94"/>
      <c r="AK709" s="92"/>
      <c r="AL709" s="94"/>
      <c r="AM709" s="94"/>
      <c r="AN709" s="94"/>
      <c r="AO709" s="94"/>
      <c r="AP709" s="94"/>
      <c r="AQ709" s="94"/>
      <c r="AR709" s="94"/>
      <c r="AS709" s="94"/>
      <c r="AT709" s="94"/>
      <c r="AU709" s="92"/>
      <c r="AV709" s="94"/>
      <c r="AW709" s="94"/>
      <c r="AX709" s="94"/>
      <c r="AY709" s="94"/>
      <c r="AZ709" s="94"/>
      <c r="BA709" s="94"/>
      <c r="BB709" s="94"/>
      <c r="BC709" s="94"/>
      <c r="BD709" s="94"/>
      <c r="BE709" s="94"/>
      <c r="BF709" s="94"/>
      <c r="BG709" s="94"/>
      <c r="BH709" s="94"/>
      <c r="BI709" s="94"/>
      <c r="BJ709" s="94"/>
      <c r="BK709" s="94"/>
      <c r="BL709" s="92"/>
      <c r="BM709" s="94"/>
      <c r="BN709" s="94"/>
      <c r="BO709" s="94"/>
      <c r="BP709" s="94"/>
      <c r="BQ709" s="92"/>
      <c r="BR709" s="92"/>
      <c r="BS709" s="92"/>
      <c r="BT709" s="92"/>
      <c r="BU709" s="92"/>
      <c r="BV709" s="92"/>
      <c r="BW709" s="92"/>
      <c r="BX709" s="92"/>
      <c r="BY709" s="92"/>
      <c r="BZ709" s="92"/>
    </row>
    <row r="710" spans="1:78" ht="12.9">
      <c r="A710" s="89"/>
      <c r="B710" s="89"/>
      <c r="C710" s="89"/>
      <c r="D710" s="89"/>
      <c r="E710" s="89"/>
      <c r="F710" s="89"/>
      <c r="G710" s="89"/>
      <c r="H710" s="105"/>
      <c r="I710" s="106"/>
      <c r="J710" s="106"/>
      <c r="K710" s="89"/>
      <c r="L710" s="89"/>
      <c r="M710" s="89"/>
      <c r="N710" s="107"/>
      <c r="O710" s="107"/>
      <c r="P710" s="89"/>
      <c r="Q710" s="89"/>
      <c r="R710" s="89"/>
      <c r="S710" s="89"/>
      <c r="T710" s="89"/>
      <c r="U710" s="89"/>
      <c r="V710" s="89"/>
      <c r="W710" s="89"/>
      <c r="X710" s="89"/>
      <c r="Y710" s="89"/>
      <c r="Z710" s="77"/>
      <c r="AA710" s="77"/>
      <c r="AB710" s="94"/>
      <c r="AC710" s="94"/>
      <c r="AD710" s="94"/>
      <c r="AE710" s="94"/>
      <c r="AF710" s="91"/>
      <c r="AG710" s="92"/>
      <c r="AH710" s="92"/>
      <c r="AI710" s="93"/>
      <c r="AJ710" s="94"/>
      <c r="AK710" s="92"/>
      <c r="AL710" s="94"/>
      <c r="AM710" s="94"/>
      <c r="AN710" s="94"/>
      <c r="AO710" s="94"/>
      <c r="AP710" s="94"/>
      <c r="AQ710" s="94"/>
      <c r="AR710" s="94"/>
      <c r="AS710" s="94"/>
      <c r="AT710" s="94"/>
      <c r="AU710" s="92"/>
      <c r="AV710" s="94"/>
      <c r="AW710" s="94"/>
      <c r="AX710" s="94"/>
      <c r="AY710" s="94"/>
      <c r="AZ710" s="94"/>
      <c r="BA710" s="94"/>
      <c r="BB710" s="94"/>
      <c r="BC710" s="94"/>
      <c r="BD710" s="94"/>
      <c r="BE710" s="94"/>
      <c r="BF710" s="94"/>
      <c r="BG710" s="94"/>
      <c r="BH710" s="94"/>
      <c r="BI710" s="94"/>
      <c r="BJ710" s="94"/>
      <c r="BK710" s="94"/>
      <c r="BL710" s="92"/>
      <c r="BM710" s="94"/>
      <c r="BN710" s="94"/>
      <c r="BO710" s="94"/>
      <c r="BP710" s="94"/>
      <c r="BQ710" s="92"/>
      <c r="BR710" s="92"/>
      <c r="BS710" s="92"/>
      <c r="BT710" s="92"/>
      <c r="BU710" s="92"/>
      <c r="BV710" s="92"/>
      <c r="BW710" s="92"/>
      <c r="BX710" s="92"/>
      <c r="BY710" s="92"/>
      <c r="BZ710" s="92"/>
    </row>
    <row r="711" spans="1:78" ht="12.9">
      <c r="A711" s="89"/>
      <c r="B711" s="89"/>
      <c r="C711" s="89"/>
      <c r="D711" s="89"/>
      <c r="E711" s="89"/>
      <c r="F711" s="89"/>
      <c r="G711" s="89"/>
      <c r="H711" s="105"/>
      <c r="I711" s="106"/>
      <c r="J711" s="106"/>
      <c r="K711" s="89"/>
      <c r="L711" s="89"/>
      <c r="M711" s="89"/>
      <c r="N711" s="107"/>
      <c r="O711" s="107"/>
      <c r="P711" s="89"/>
      <c r="Q711" s="89"/>
      <c r="R711" s="89"/>
      <c r="S711" s="89"/>
      <c r="T711" s="89"/>
      <c r="U711" s="89"/>
      <c r="V711" s="89"/>
      <c r="W711" s="89"/>
      <c r="X711" s="89"/>
      <c r="Y711" s="89"/>
      <c r="Z711" s="77"/>
      <c r="AA711" s="77"/>
      <c r="AB711" s="94"/>
      <c r="AC711" s="94"/>
      <c r="AD711" s="94"/>
      <c r="AE711" s="94"/>
      <c r="AF711" s="91"/>
      <c r="AG711" s="92"/>
      <c r="AH711" s="92"/>
      <c r="AI711" s="93"/>
      <c r="AJ711" s="94"/>
      <c r="AK711" s="92"/>
      <c r="AL711" s="94"/>
      <c r="AM711" s="94"/>
      <c r="AN711" s="94"/>
      <c r="AO711" s="94"/>
      <c r="AP711" s="94"/>
      <c r="AQ711" s="94"/>
      <c r="AR711" s="94"/>
      <c r="AS711" s="94"/>
      <c r="AT711" s="94"/>
      <c r="AU711" s="92"/>
      <c r="AV711" s="94"/>
      <c r="AW711" s="94"/>
      <c r="AX711" s="94"/>
      <c r="AY711" s="94"/>
      <c r="AZ711" s="94"/>
      <c r="BA711" s="94"/>
      <c r="BB711" s="94"/>
      <c r="BC711" s="94"/>
      <c r="BD711" s="94"/>
      <c r="BE711" s="94"/>
      <c r="BF711" s="94"/>
      <c r="BG711" s="94"/>
      <c r="BH711" s="94"/>
      <c r="BI711" s="94"/>
      <c r="BJ711" s="94"/>
      <c r="BK711" s="94"/>
      <c r="BL711" s="92"/>
      <c r="BM711" s="94"/>
      <c r="BN711" s="94"/>
      <c r="BO711" s="94"/>
      <c r="BP711" s="94"/>
      <c r="BQ711" s="92"/>
      <c r="BR711" s="92"/>
      <c r="BS711" s="92"/>
      <c r="BT711" s="92"/>
      <c r="BU711" s="92"/>
      <c r="BV711" s="92"/>
      <c r="BW711" s="92"/>
      <c r="BX711" s="92"/>
      <c r="BY711" s="92"/>
      <c r="BZ711" s="92"/>
    </row>
    <row r="712" spans="1:78" ht="12.9">
      <c r="A712" s="89"/>
      <c r="B712" s="89"/>
      <c r="C712" s="89"/>
      <c r="D712" s="89"/>
      <c r="E712" s="89"/>
      <c r="F712" s="89"/>
      <c r="G712" s="89"/>
      <c r="H712" s="105"/>
      <c r="I712" s="106"/>
      <c r="J712" s="106"/>
      <c r="K712" s="89"/>
      <c r="L712" s="89"/>
      <c r="M712" s="89"/>
      <c r="N712" s="107"/>
      <c r="O712" s="107"/>
      <c r="P712" s="89"/>
      <c r="Q712" s="89"/>
      <c r="R712" s="89"/>
      <c r="S712" s="89"/>
      <c r="T712" s="89"/>
      <c r="U712" s="89"/>
      <c r="V712" s="89"/>
      <c r="W712" s="89"/>
      <c r="X712" s="89"/>
      <c r="Y712" s="89"/>
      <c r="Z712" s="77"/>
      <c r="AA712" s="77"/>
      <c r="AB712" s="94"/>
      <c r="AC712" s="94"/>
      <c r="AD712" s="94"/>
      <c r="AE712" s="94"/>
      <c r="AF712" s="91"/>
      <c r="AG712" s="92"/>
      <c r="AH712" s="92"/>
      <c r="AI712" s="93"/>
      <c r="AJ712" s="94"/>
      <c r="AK712" s="92"/>
      <c r="AL712" s="94"/>
      <c r="AM712" s="94"/>
      <c r="AN712" s="94"/>
      <c r="AO712" s="94"/>
      <c r="AP712" s="94"/>
      <c r="AQ712" s="94"/>
      <c r="AR712" s="94"/>
      <c r="AS712" s="94"/>
      <c r="AT712" s="94"/>
      <c r="AU712" s="92"/>
      <c r="AV712" s="94"/>
      <c r="AW712" s="94"/>
      <c r="AX712" s="94"/>
      <c r="AY712" s="94"/>
      <c r="AZ712" s="94"/>
      <c r="BA712" s="94"/>
      <c r="BB712" s="94"/>
      <c r="BC712" s="94"/>
      <c r="BD712" s="94"/>
      <c r="BE712" s="94"/>
      <c r="BF712" s="94"/>
      <c r="BG712" s="94"/>
      <c r="BH712" s="94"/>
      <c r="BI712" s="94"/>
      <c r="BJ712" s="94"/>
      <c r="BK712" s="94"/>
      <c r="BL712" s="92"/>
      <c r="BM712" s="94"/>
      <c r="BN712" s="94"/>
      <c r="BO712" s="94"/>
      <c r="BP712" s="94"/>
      <c r="BQ712" s="92"/>
      <c r="BR712" s="92"/>
      <c r="BS712" s="92"/>
      <c r="BT712" s="92"/>
      <c r="BU712" s="92"/>
      <c r="BV712" s="92"/>
      <c r="BW712" s="92"/>
      <c r="BX712" s="92"/>
      <c r="BY712" s="92"/>
      <c r="BZ712" s="92"/>
    </row>
    <row r="713" spans="1:78" ht="12.9">
      <c r="A713" s="89"/>
      <c r="B713" s="89"/>
      <c r="C713" s="89"/>
      <c r="D713" s="89"/>
      <c r="E713" s="89"/>
      <c r="F713" s="89"/>
      <c r="G713" s="89"/>
      <c r="H713" s="105"/>
      <c r="I713" s="106"/>
      <c r="J713" s="106"/>
      <c r="K713" s="89"/>
      <c r="L713" s="89"/>
      <c r="M713" s="89"/>
      <c r="N713" s="107"/>
      <c r="O713" s="107"/>
      <c r="P713" s="89"/>
      <c r="Q713" s="89"/>
      <c r="R713" s="89"/>
      <c r="S713" s="89"/>
      <c r="T713" s="89"/>
      <c r="U713" s="89"/>
      <c r="V713" s="89"/>
      <c r="W713" s="89"/>
      <c r="X713" s="89"/>
      <c r="Y713" s="89"/>
      <c r="Z713" s="77"/>
      <c r="AA713" s="77"/>
      <c r="AB713" s="94"/>
      <c r="AC713" s="94"/>
      <c r="AD713" s="94"/>
      <c r="AE713" s="94"/>
      <c r="AF713" s="91"/>
      <c r="AG713" s="92"/>
      <c r="AH713" s="92"/>
      <c r="AI713" s="93"/>
      <c r="AJ713" s="94"/>
      <c r="AK713" s="92"/>
      <c r="AL713" s="94"/>
      <c r="AM713" s="94"/>
      <c r="AN713" s="94"/>
      <c r="AO713" s="94"/>
      <c r="AP713" s="94"/>
      <c r="AQ713" s="94"/>
      <c r="AR713" s="94"/>
      <c r="AS713" s="94"/>
      <c r="AT713" s="94"/>
      <c r="AU713" s="92"/>
      <c r="AV713" s="94"/>
      <c r="AW713" s="94"/>
      <c r="AX713" s="94"/>
      <c r="AY713" s="94"/>
      <c r="AZ713" s="94"/>
      <c r="BA713" s="94"/>
      <c r="BB713" s="94"/>
      <c r="BC713" s="94"/>
      <c r="BD713" s="94"/>
      <c r="BE713" s="94"/>
      <c r="BF713" s="94"/>
      <c r="BG713" s="94"/>
      <c r="BH713" s="94"/>
      <c r="BI713" s="94"/>
      <c r="BJ713" s="94"/>
      <c r="BK713" s="94"/>
      <c r="BL713" s="92"/>
      <c r="BM713" s="94"/>
      <c r="BN713" s="94"/>
      <c r="BO713" s="94"/>
      <c r="BP713" s="94"/>
      <c r="BQ713" s="92"/>
      <c r="BR713" s="92"/>
      <c r="BS713" s="92"/>
      <c r="BT713" s="92"/>
      <c r="BU713" s="92"/>
      <c r="BV713" s="92"/>
      <c r="BW713" s="92"/>
      <c r="BX713" s="92"/>
      <c r="BY713" s="92"/>
      <c r="BZ713" s="92"/>
    </row>
    <row r="714" spans="1:78" ht="12.9">
      <c r="A714" s="89"/>
      <c r="B714" s="89"/>
      <c r="C714" s="89"/>
      <c r="D714" s="89"/>
      <c r="E714" s="89"/>
      <c r="F714" s="89"/>
      <c r="G714" s="89"/>
      <c r="H714" s="105"/>
      <c r="I714" s="106"/>
      <c r="J714" s="106"/>
      <c r="K714" s="89"/>
      <c r="L714" s="89"/>
      <c r="M714" s="89"/>
      <c r="N714" s="107"/>
      <c r="O714" s="107"/>
      <c r="P714" s="89"/>
      <c r="Q714" s="89"/>
      <c r="R714" s="89"/>
      <c r="S714" s="89"/>
      <c r="T714" s="89"/>
      <c r="U714" s="89"/>
      <c r="V714" s="89"/>
      <c r="W714" s="89"/>
      <c r="X714" s="89"/>
      <c r="Y714" s="89"/>
      <c r="Z714" s="77"/>
      <c r="AA714" s="77"/>
      <c r="AB714" s="94"/>
      <c r="AC714" s="94"/>
      <c r="AD714" s="94"/>
      <c r="AE714" s="94"/>
      <c r="AF714" s="91"/>
      <c r="AG714" s="92"/>
      <c r="AH714" s="92"/>
      <c r="AI714" s="93"/>
      <c r="AJ714" s="94"/>
      <c r="AK714" s="92"/>
      <c r="AL714" s="94"/>
      <c r="AM714" s="94"/>
      <c r="AN714" s="94"/>
      <c r="AO714" s="94"/>
      <c r="AP714" s="94"/>
      <c r="AQ714" s="94"/>
      <c r="AR714" s="94"/>
      <c r="AS714" s="94"/>
      <c r="AT714" s="94"/>
      <c r="AU714" s="92"/>
      <c r="AV714" s="94"/>
      <c r="AW714" s="94"/>
      <c r="AX714" s="94"/>
      <c r="AY714" s="94"/>
      <c r="AZ714" s="94"/>
      <c r="BA714" s="94"/>
      <c r="BB714" s="94"/>
      <c r="BC714" s="94"/>
      <c r="BD714" s="94"/>
      <c r="BE714" s="94"/>
      <c r="BF714" s="94"/>
      <c r="BG714" s="94"/>
      <c r="BH714" s="94"/>
      <c r="BI714" s="94"/>
      <c r="BJ714" s="94"/>
      <c r="BK714" s="94"/>
      <c r="BL714" s="92"/>
      <c r="BM714" s="94"/>
      <c r="BN714" s="94"/>
      <c r="BO714" s="94"/>
      <c r="BP714" s="94"/>
      <c r="BQ714" s="92"/>
      <c r="BR714" s="92"/>
      <c r="BS714" s="92"/>
      <c r="BT714" s="92"/>
      <c r="BU714" s="92"/>
      <c r="BV714" s="92"/>
      <c r="BW714" s="92"/>
      <c r="BX714" s="92"/>
      <c r="BY714" s="92"/>
      <c r="BZ714" s="92"/>
    </row>
    <row r="715" spans="1:78" ht="12.9">
      <c r="A715" s="89"/>
      <c r="B715" s="89"/>
      <c r="C715" s="89"/>
      <c r="D715" s="89"/>
      <c r="E715" s="89"/>
      <c r="F715" s="89"/>
      <c r="G715" s="89"/>
      <c r="H715" s="105"/>
      <c r="I715" s="106"/>
      <c r="J715" s="106"/>
      <c r="K715" s="89"/>
      <c r="L715" s="89"/>
      <c r="M715" s="89"/>
      <c r="N715" s="107"/>
      <c r="O715" s="107"/>
      <c r="P715" s="89"/>
      <c r="Q715" s="89"/>
      <c r="R715" s="89"/>
      <c r="S715" s="89"/>
      <c r="T715" s="89"/>
      <c r="U715" s="89"/>
      <c r="V715" s="89"/>
      <c r="W715" s="89"/>
      <c r="X715" s="89"/>
      <c r="Y715" s="89"/>
      <c r="Z715" s="77"/>
      <c r="AA715" s="77"/>
      <c r="AB715" s="94"/>
      <c r="AC715" s="94"/>
      <c r="AD715" s="94"/>
      <c r="AE715" s="94"/>
      <c r="AF715" s="91"/>
      <c r="AG715" s="92"/>
      <c r="AH715" s="92"/>
      <c r="AI715" s="93"/>
      <c r="AJ715" s="94"/>
      <c r="AK715" s="92"/>
      <c r="AL715" s="94"/>
      <c r="AM715" s="94"/>
      <c r="AN715" s="94"/>
      <c r="AO715" s="94"/>
      <c r="AP715" s="94"/>
      <c r="AQ715" s="94"/>
      <c r="AR715" s="94"/>
      <c r="AS715" s="94"/>
      <c r="AT715" s="94"/>
      <c r="AU715" s="92"/>
      <c r="AV715" s="94"/>
      <c r="AW715" s="94"/>
      <c r="AX715" s="94"/>
      <c r="AY715" s="94"/>
      <c r="AZ715" s="94"/>
      <c r="BA715" s="94"/>
      <c r="BB715" s="94"/>
      <c r="BC715" s="94"/>
      <c r="BD715" s="94"/>
      <c r="BE715" s="94"/>
      <c r="BF715" s="94"/>
      <c r="BG715" s="94"/>
      <c r="BH715" s="94"/>
      <c r="BI715" s="94"/>
      <c r="BJ715" s="94"/>
      <c r="BK715" s="94"/>
      <c r="BL715" s="92"/>
      <c r="BM715" s="94"/>
      <c r="BN715" s="94"/>
      <c r="BO715" s="94"/>
      <c r="BP715" s="94"/>
      <c r="BQ715" s="92"/>
      <c r="BR715" s="92"/>
      <c r="BS715" s="92"/>
      <c r="BT715" s="92"/>
      <c r="BU715" s="92"/>
      <c r="BV715" s="92"/>
      <c r="BW715" s="92"/>
      <c r="BX715" s="92"/>
      <c r="BY715" s="92"/>
      <c r="BZ715" s="92"/>
    </row>
    <row r="716" spans="1:78" ht="12.9">
      <c r="A716" s="89"/>
      <c r="B716" s="89"/>
      <c r="C716" s="89"/>
      <c r="D716" s="89"/>
      <c r="E716" s="89"/>
      <c r="F716" s="89"/>
      <c r="G716" s="89"/>
      <c r="H716" s="105"/>
      <c r="I716" s="106"/>
      <c r="J716" s="106"/>
      <c r="K716" s="89"/>
      <c r="L716" s="89"/>
      <c r="M716" s="89"/>
      <c r="N716" s="107"/>
      <c r="O716" s="107"/>
      <c r="P716" s="89"/>
      <c r="Q716" s="89"/>
      <c r="R716" s="89"/>
      <c r="S716" s="89"/>
      <c r="T716" s="89"/>
      <c r="U716" s="89"/>
      <c r="V716" s="89"/>
      <c r="W716" s="89"/>
      <c r="X716" s="89"/>
      <c r="Y716" s="89"/>
      <c r="Z716" s="77"/>
      <c r="AA716" s="77"/>
      <c r="AB716" s="94"/>
      <c r="AC716" s="94"/>
      <c r="AD716" s="94"/>
      <c r="AE716" s="94"/>
      <c r="AF716" s="91"/>
      <c r="AG716" s="92"/>
      <c r="AH716" s="92"/>
      <c r="AI716" s="93"/>
      <c r="AJ716" s="94"/>
      <c r="AK716" s="92"/>
      <c r="AL716" s="94"/>
      <c r="AM716" s="94"/>
      <c r="AN716" s="94"/>
      <c r="AO716" s="94"/>
      <c r="AP716" s="94"/>
      <c r="AQ716" s="94"/>
      <c r="AR716" s="94"/>
      <c r="AS716" s="94"/>
      <c r="AT716" s="94"/>
      <c r="AU716" s="92"/>
      <c r="AV716" s="94"/>
      <c r="AW716" s="94"/>
      <c r="AX716" s="94"/>
      <c r="AY716" s="94"/>
      <c r="AZ716" s="94"/>
      <c r="BA716" s="94"/>
      <c r="BB716" s="94"/>
      <c r="BC716" s="94"/>
      <c r="BD716" s="94"/>
      <c r="BE716" s="94"/>
      <c r="BF716" s="94"/>
      <c r="BG716" s="94"/>
      <c r="BH716" s="94"/>
      <c r="BI716" s="94"/>
      <c r="BJ716" s="94"/>
      <c r="BK716" s="94"/>
      <c r="BL716" s="92"/>
      <c r="BM716" s="94"/>
      <c r="BN716" s="94"/>
      <c r="BO716" s="94"/>
      <c r="BP716" s="94"/>
      <c r="BQ716" s="92"/>
      <c r="BR716" s="92"/>
      <c r="BS716" s="92"/>
      <c r="BT716" s="92"/>
      <c r="BU716" s="92"/>
      <c r="BV716" s="92"/>
      <c r="BW716" s="92"/>
      <c r="BX716" s="92"/>
      <c r="BY716" s="92"/>
      <c r="BZ716" s="92"/>
    </row>
    <row r="717" spans="1:78" ht="12.9">
      <c r="A717" s="89"/>
      <c r="B717" s="89"/>
      <c r="C717" s="89"/>
      <c r="D717" s="89"/>
      <c r="E717" s="89"/>
      <c r="F717" s="89"/>
      <c r="G717" s="89"/>
      <c r="H717" s="105"/>
      <c r="I717" s="106"/>
      <c r="J717" s="106"/>
      <c r="K717" s="89"/>
      <c r="L717" s="89"/>
      <c r="M717" s="89"/>
      <c r="N717" s="107"/>
      <c r="O717" s="107"/>
      <c r="P717" s="89"/>
      <c r="Q717" s="89"/>
      <c r="R717" s="89"/>
      <c r="S717" s="89"/>
      <c r="T717" s="89"/>
      <c r="U717" s="89"/>
      <c r="V717" s="89"/>
      <c r="W717" s="89"/>
      <c r="X717" s="89"/>
      <c r="Y717" s="89"/>
      <c r="Z717" s="77"/>
      <c r="AA717" s="77"/>
      <c r="AB717" s="94"/>
      <c r="AC717" s="94"/>
      <c r="AD717" s="94"/>
      <c r="AE717" s="94"/>
      <c r="AF717" s="91"/>
      <c r="AG717" s="92"/>
      <c r="AH717" s="92"/>
      <c r="AI717" s="93"/>
      <c r="AJ717" s="94"/>
      <c r="AK717" s="92"/>
      <c r="AL717" s="94"/>
      <c r="AM717" s="94"/>
      <c r="AN717" s="94"/>
      <c r="AO717" s="94"/>
      <c r="AP717" s="94"/>
      <c r="AQ717" s="94"/>
      <c r="AR717" s="94"/>
      <c r="AS717" s="94"/>
      <c r="AT717" s="94"/>
      <c r="AU717" s="92"/>
      <c r="AV717" s="94"/>
      <c r="AW717" s="94"/>
      <c r="AX717" s="94"/>
      <c r="AY717" s="94"/>
      <c r="AZ717" s="94"/>
      <c r="BA717" s="94"/>
      <c r="BB717" s="94"/>
      <c r="BC717" s="94"/>
      <c r="BD717" s="94"/>
      <c r="BE717" s="94"/>
      <c r="BF717" s="94"/>
      <c r="BG717" s="94"/>
      <c r="BH717" s="94"/>
      <c r="BI717" s="94"/>
      <c r="BJ717" s="94"/>
      <c r="BK717" s="94"/>
      <c r="BL717" s="92"/>
      <c r="BM717" s="94"/>
      <c r="BN717" s="94"/>
      <c r="BO717" s="94"/>
      <c r="BP717" s="94"/>
      <c r="BQ717" s="92"/>
      <c r="BR717" s="92"/>
      <c r="BS717" s="92"/>
      <c r="BT717" s="92"/>
      <c r="BU717" s="92"/>
      <c r="BV717" s="92"/>
      <c r="BW717" s="92"/>
      <c r="BX717" s="92"/>
      <c r="BY717" s="92"/>
      <c r="BZ717" s="92"/>
    </row>
    <row r="718" spans="1:78" ht="12.9">
      <c r="A718" s="89"/>
      <c r="B718" s="89"/>
      <c r="C718" s="89"/>
      <c r="D718" s="89"/>
      <c r="E718" s="89"/>
      <c r="F718" s="89"/>
      <c r="G718" s="89"/>
      <c r="H718" s="105"/>
      <c r="I718" s="106"/>
      <c r="J718" s="106"/>
      <c r="K718" s="89"/>
      <c r="L718" s="89"/>
      <c r="M718" s="89"/>
      <c r="N718" s="107"/>
      <c r="O718" s="107"/>
      <c r="P718" s="89"/>
      <c r="Q718" s="89"/>
      <c r="R718" s="89"/>
      <c r="S718" s="89"/>
      <c r="T718" s="89"/>
      <c r="U718" s="89"/>
      <c r="V718" s="89"/>
      <c r="W718" s="89"/>
      <c r="X718" s="89"/>
      <c r="Y718" s="89"/>
      <c r="Z718" s="77"/>
      <c r="AA718" s="77"/>
      <c r="AB718" s="94"/>
      <c r="AC718" s="94"/>
      <c r="AD718" s="94"/>
      <c r="AE718" s="94"/>
      <c r="AF718" s="91"/>
      <c r="AG718" s="92"/>
      <c r="AH718" s="92"/>
      <c r="AI718" s="93"/>
      <c r="AJ718" s="94"/>
      <c r="AK718" s="92"/>
      <c r="AL718" s="94"/>
      <c r="AM718" s="94"/>
      <c r="AN718" s="94"/>
      <c r="AO718" s="94"/>
      <c r="AP718" s="94"/>
      <c r="AQ718" s="94"/>
      <c r="AR718" s="94"/>
      <c r="AS718" s="94"/>
      <c r="AT718" s="94"/>
      <c r="AU718" s="92"/>
      <c r="AV718" s="94"/>
      <c r="AW718" s="94"/>
      <c r="AX718" s="94"/>
      <c r="AY718" s="94"/>
      <c r="AZ718" s="94"/>
      <c r="BA718" s="94"/>
      <c r="BB718" s="94"/>
      <c r="BC718" s="94"/>
      <c r="BD718" s="94"/>
      <c r="BE718" s="94"/>
      <c r="BF718" s="94"/>
      <c r="BG718" s="94"/>
      <c r="BH718" s="94"/>
      <c r="BI718" s="94"/>
      <c r="BJ718" s="94"/>
      <c r="BK718" s="94"/>
      <c r="BL718" s="92"/>
      <c r="BM718" s="94"/>
      <c r="BN718" s="94"/>
      <c r="BO718" s="94"/>
      <c r="BP718" s="94"/>
      <c r="BQ718" s="92"/>
      <c r="BR718" s="92"/>
      <c r="BS718" s="92"/>
      <c r="BT718" s="92"/>
      <c r="BU718" s="92"/>
      <c r="BV718" s="92"/>
      <c r="BW718" s="92"/>
      <c r="BX718" s="92"/>
      <c r="BY718" s="92"/>
      <c r="BZ718" s="92"/>
    </row>
    <row r="719" spans="1:78" ht="12.9">
      <c r="A719" s="89"/>
      <c r="B719" s="89"/>
      <c r="C719" s="89"/>
      <c r="D719" s="89"/>
      <c r="E719" s="89"/>
      <c r="F719" s="89"/>
      <c r="G719" s="89"/>
      <c r="H719" s="105"/>
      <c r="I719" s="106"/>
      <c r="J719" s="106"/>
      <c r="K719" s="89"/>
      <c r="L719" s="89"/>
      <c r="M719" s="89"/>
      <c r="N719" s="107"/>
      <c r="O719" s="107"/>
      <c r="P719" s="89"/>
      <c r="Q719" s="89"/>
      <c r="R719" s="89"/>
      <c r="S719" s="89"/>
      <c r="T719" s="89"/>
      <c r="U719" s="89"/>
      <c r="V719" s="89"/>
      <c r="W719" s="89"/>
      <c r="X719" s="89"/>
      <c r="Y719" s="89"/>
      <c r="Z719" s="77"/>
      <c r="AA719" s="77"/>
      <c r="AB719" s="94"/>
      <c r="AC719" s="94"/>
      <c r="AD719" s="94"/>
      <c r="AE719" s="94"/>
      <c r="AF719" s="91"/>
      <c r="AG719" s="92"/>
      <c r="AH719" s="92"/>
      <c r="AI719" s="93"/>
      <c r="AJ719" s="94"/>
      <c r="AK719" s="92"/>
      <c r="AL719" s="94"/>
      <c r="AM719" s="94"/>
      <c r="AN719" s="94"/>
      <c r="AO719" s="94"/>
      <c r="AP719" s="94"/>
      <c r="AQ719" s="94"/>
      <c r="AR719" s="94"/>
      <c r="AS719" s="94"/>
      <c r="AT719" s="94"/>
      <c r="AU719" s="92"/>
      <c r="AV719" s="94"/>
      <c r="AW719" s="94"/>
      <c r="AX719" s="94"/>
      <c r="AY719" s="94"/>
      <c r="AZ719" s="94"/>
      <c r="BA719" s="94"/>
      <c r="BB719" s="94"/>
      <c r="BC719" s="94"/>
      <c r="BD719" s="94"/>
      <c r="BE719" s="94"/>
      <c r="BF719" s="94"/>
      <c r="BG719" s="94"/>
      <c r="BH719" s="94"/>
      <c r="BI719" s="94"/>
      <c r="BJ719" s="94"/>
      <c r="BK719" s="94"/>
      <c r="BL719" s="92"/>
      <c r="BM719" s="94"/>
      <c r="BN719" s="94"/>
      <c r="BO719" s="94"/>
      <c r="BP719" s="94"/>
      <c r="BQ719" s="92"/>
      <c r="BR719" s="92"/>
      <c r="BS719" s="92"/>
      <c r="BT719" s="92"/>
      <c r="BU719" s="92"/>
      <c r="BV719" s="92"/>
      <c r="BW719" s="92"/>
      <c r="BX719" s="92"/>
      <c r="BY719" s="92"/>
      <c r="BZ719" s="92"/>
    </row>
    <row r="720" spans="1:78" ht="12.9">
      <c r="A720" s="89"/>
      <c r="B720" s="89"/>
      <c r="C720" s="89"/>
      <c r="D720" s="89"/>
      <c r="E720" s="89"/>
      <c r="F720" s="89"/>
      <c r="G720" s="89"/>
      <c r="H720" s="105"/>
      <c r="I720" s="106"/>
      <c r="J720" s="106"/>
      <c r="K720" s="89"/>
      <c r="L720" s="89"/>
      <c r="M720" s="89"/>
      <c r="N720" s="107"/>
      <c r="O720" s="107"/>
      <c r="P720" s="89"/>
      <c r="Q720" s="89"/>
      <c r="R720" s="89"/>
      <c r="S720" s="89"/>
      <c r="T720" s="89"/>
      <c r="U720" s="89"/>
      <c r="V720" s="89"/>
      <c r="W720" s="89"/>
      <c r="X720" s="89"/>
      <c r="Y720" s="89"/>
      <c r="Z720" s="77"/>
      <c r="AA720" s="77"/>
      <c r="AB720" s="94"/>
      <c r="AC720" s="94"/>
      <c r="AD720" s="94"/>
      <c r="AE720" s="94"/>
      <c r="AF720" s="91"/>
      <c r="AG720" s="92"/>
      <c r="AH720" s="92"/>
      <c r="AI720" s="93"/>
      <c r="AJ720" s="94"/>
      <c r="AK720" s="92"/>
      <c r="AL720" s="94"/>
      <c r="AM720" s="94"/>
      <c r="AN720" s="94"/>
      <c r="AO720" s="94"/>
      <c r="AP720" s="94"/>
      <c r="AQ720" s="94"/>
      <c r="AR720" s="94"/>
      <c r="AS720" s="94"/>
      <c r="AT720" s="94"/>
      <c r="AU720" s="92"/>
      <c r="AV720" s="94"/>
      <c r="AW720" s="94"/>
      <c r="AX720" s="94"/>
      <c r="AY720" s="94"/>
      <c r="AZ720" s="94"/>
      <c r="BA720" s="94"/>
      <c r="BB720" s="94"/>
      <c r="BC720" s="94"/>
      <c r="BD720" s="94"/>
      <c r="BE720" s="94"/>
      <c r="BF720" s="94"/>
      <c r="BG720" s="94"/>
      <c r="BH720" s="94"/>
      <c r="BI720" s="94"/>
      <c r="BJ720" s="94"/>
      <c r="BK720" s="94"/>
      <c r="BL720" s="92"/>
      <c r="BM720" s="94"/>
      <c r="BN720" s="94"/>
      <c r="BO720" s="94"/>
      <c r="BP720" s="94"/>
      <c r="BQ720" s="92"/>
      <c r="BR720" s="92"/>
      <c r="BS720" s="92"/>
      <c r="BT720" s="92"/>
      <c r="BU720" s="92"/>
      <c r="BV720" s="92"/>
      <c r="BW720" s="92"/>
      <c r="BX720" s="92"/>
      <c r="BY720" s="92"/>
      <c r="BZ720" s="92"/>
    </row>
    <row r="721" spans="1:78" ht="12.9">
      <c r="A721" s="89"/>
      <c r="B721" s="89"/>
      <c r="C721" s="89"/>
      <c r="D721" s="89"/>
      <c r="E721" s="89"/>
      <c r="F721" s="89"/>
      <c r="G721" s="89"/>
      <c r="H721" s="105"/>
      <c r="I721" s="106"/>
      <c r="J721" s="106"/>
      <c r="K721" s="89"/>
      <c r="L721" s="89"/>
      <c r="M721" s="89"/>
      <c r="N721" s="107"/>
      <c r="O721" s="107"/>
      <c r="P721" s="89"/>
      <c r="Q721" s="89"/>
      <c r="R721" s="89"/>
      <c r="S721" s="89"/>
      <c r="T721" s="89"/>
      <c r="U721" s="89"/>
      <c r="V721" s="89"/>
      <c r="W721" s="89"/>
      <c r="X721" s="89"/>
      <c r="Y721" s="89"/>
      <c r="Z721" s="77"/>
      <c r="AA721" s="77"/>
      <c r="AB721" s="94"/>
      <c r="AC721" s="94"/>
      <c r="AD721" s="94"/>
      <c r="AE721" s="94"/>
      <c r="AF721" s="91"/>
      <c r="AG721" s="92"/>
      <c r="AH721" s="92"/>
      <c r="AI721" s="93"/>
      <c r="AJ721" s="94"/>
      <c r="AK721" s="92"/>
      <c r="AL721" s="94"/>
      <c r="AM721" s="94"/>
      <c r="AN721" s="94"/>
      <c r="AO721" s="94"/>
      <c r="AP721" s="94"/>
      <c r="AQ721" s="94"/>
      <c r="AR721" s="94"/>
      <c r="AS721" s="94"/>
      <c r="AT721" s="94"/>
      <c r="AU721" s="92"/>
      <c r="AV721" s="94"/>
      <c r="AW721" s="94"/>
      <c r="AX721" s="94"/>
      <c r="AY721" s="94"/>
      <c r="AZ721" s="94"/>
      <c r="BA721" s="94"/>
      <c r="BB721" s="94"/>
      <c r="BC721" s="94"/>
      <c r="BD721" s="94"/>
      <c r="BE721" s="94"/>
      <c r="BF721" s="94"/>
      <c r="BG721" s="94"/>
      <c r="BH721" s="94"/>
      <c r="BI721" s="94"/>
      <c r="BJ721" s="94"/>
      <c r="BK721" s="94"/>
      <c r="BL721" s="92"/>
      <c r="BM721" s="94"/>
      <c r="BN721" s="94"/>
      <c r="BO721" s="94"/>
      <c r="BP721" s="94"/>
      <c r="BQ721" s="92"/>
      <c r="BR721" s="92"/>
      <c r="BS721" s="92"/>
      <c r="BT721" s="92"/>
      <c r="BU721" s="92"/>
      <c r="BV721" s="92"/>
      <c r="BW721" s="92"/>
      <c r="BX721" s="92"/>
      <c r="BY721" s="92"/>
      <c r="BZ721" s="92"/>
    </row>
    <row r="722" spans="1:78" ht="12.9">
      <c r="A722" s="89"/>
      <c r="B722" s="89"/>
      <c r="C722" s="89"/>
      <c r="D722" s="89"/>
      <c r="E722" s="89"/>
      <c r="F722" s="89"/>
      <c r="G722" s="89"/>
      <c r="H722" s="105"/>
      <c r="I722" s="106"/>
      <c r="J722" s="106"/>
      <c r="K722" s="89"/>
      <c r="L722" s="89"/>
      <c r="M722" s="89"/>
      <c r="N722" s="107"/>
      <c r="O722" s="107"/>
      <c r="P722" s="89"/>
      <c r="Q722" s="89"/>
      <c r="R722" s="89"/>
      <c r="S722" s="89"/>
      <c r="T722" s="89"/>
      <c r="U722" s="89"/>
      <c r="V722" s="89"/>
      <c r="W722" s="89"/>
      <c r="X722" s="89"/>
      <c r="Y722" s="89"/>
      <c r="Z722" s="77"/>
      <c r="AA722" s="77"/>
      <c r="AB722" s="94"/>
      <c r="AC722" s="94"/>
      <c r="AD722" s="94"/>
      <c r="AE722" s="94"/>
      <c r="AF722" s="91"/>
      <c r="AG722" s="92"/>
      <c r="AH722" s="92"/>
      <c r="AI722" s="93"/>
      <c r="AJ722" s="94"/>
      <c r="AK722" s="92"/>
      <c r="AL722" s="94"/>
      <c r="AM722" s="94"/>
      <c r="AN722" s="94"/>
      <c r="AO722" s="94"/>
      <c r="AP722" s="94"/>
      <c r="AQ722" s="94"/>
      <c r="AR722" s="94"/>
      <c r="AS722" s="94"/>
      <c r="AT722" s="94"/>
      <c r="AU722" s="92"/>
      <c r="AV722" s="94"/>
      <c r="AW722" s="94"/>
      <c r="AX722" s="94"/>
      <c r="AY722" s="94"/>
      <c r="AZ722" s="94"/>
      <c r="BA722" s="94"/>
      <c r="BB722" s="94"/>
      <c r="BC722" s="94"/>
      <c r="BD722" s="94"/>
      <c r="BE722" s="94"/>
      <c r="BF722" s="94"/>
      <c r="BG722" s="94"/>
      <c r="BH722" s="94"/>
      <c r="BI722" s="94"/>
      <c r="BJ722" s="94"/>
      <c r="BK722" s="94"/>
      <c r="BL722" s="92"/>
      <c r="BM722" s="94"/>
      <c r="BN722" s="94"/>
      <c r="BO722" s="94"/>
      <c r="BP722" s="94"/>
      <c r="BQ722" s="92"/>
      <c r="BR722" s="92"/>
      <c r="BS722" s="92"/>
      <c r="BT722" s="92"/>
      <c r="BU722" s="92"/>
      <c r="BV722" s="92"/>
      <c r="BW722" s="92"/>
      <c r="BX722" s="92"/>
      <c r="BY722" s="92"/>
      <c r="BZ722" s="92"/>
    </row>
    <row r="723" spans="1:78" ht="12.9">
      <c r="A723" s="89"/>
      <c r="B723" s="89"/>
      <c r="C723" s="89"/>
      <c r="D723" s="89"/>
      <c r="E723" s="89"/>
      <c r="F723" s="89"/>
      <c r="G723" s="89"/>
      <c r="H723" s="105"/>
      <c r="I723" s="106"/>
      <c r="J723" s="106"/>
      <c r="K723" s="89"/>
      <c r="L723" s="89"/>
      <c r="M723" s="89"/>
      <c r="N723" s="107"/>
      <c r="O723" s="107"/>
      <c r="P723" s="89"/>
      <c r="Q723" s="89"/>
      <c r="R723" s="89"/>
      <c r="S723" s="89"/>
      <c r="T723" s="89"/>
      <c r="U723" s="89"/>
      <c r="V723" s="89"/>
      <c r="W723" s="89"/>
      <c r="X723" s="89"/>
      <c r="Y723" s="89"/>
      <c r="Z723" s="77"/>
      <c r="AA723" s="77"/>
      <c r="AB723" s="94"/>
      <c r="AC723" s="94"/>
      <c r="AD723" s="94"/>
      <c r="AE723" s="94"/>
      <c r="AF723" s="91"/>
      <c r="AG723" s="92"/>
      <c r="AH723" s="92"/>
      <c r="AI723" s="93"/>
      <c r="AJ723" s="94"/>
      <c r="AK723" s="92"/>
      <c r="AL723" s="94"/>
      <c r="AM723" s="94"/>
      <c r="AN723" s="94"/>
      <c r="AO723" s="94"/>
      <c r="AP723" s="94"/>
      <c r="AQ723" s="94"/>
      <c r="AR723" s="94"/>
      <c r="AS723" s="94"/>
      <c r="AT723" s="94"/>
      <c r="AU723" s="92"/>
      <c r="AV723" s="94"/>
      <c r="AW723" s="94"/>
      <c r="AX723" s="94"/>
      <c r="AY723" s="94"/>
      <c r="AZ723" s="94"/>
      <c r="BA723" s="94"/>
      <c r="BB723" s="94"/>
      <c r="BC723" s="94"/>
      <c r="BD723" s="94"/>
      <c r="BE723" s="94"/>
      <c r="BF723" s="94"/>
      <c r="BG723" s="94"/>
      <c r="BH723" s="94"/>
      <c r="BI723" s="94"/>
      <c r="BJ723" s="94"/>
      <c r="BK723" s="94"/>
      <c r="BL723" s="92"/>
      <c r="BM723" s="94"/>
      <c r="BN723" s="94"/>
      <c r="BO723" s="94"/>
      <c r="BP723" s="94"/>
      <c r="BQ723" s="92"/>
      <c r="BR723" s="92"/>
      <c r="BS723" s="92"/>
      <c r="BT723" s="92"/>
      <c r="BU723" s="92"/>
      <c r="BV723" s="92"/>
      <c r="BW723" s="92"/>
      <c r="BX723" s="92"/>
      <c r="BY723" s="92"/>
      <c r="BZ723" s="92"/>
    </row>
    <row r="724" spans="1:78" ht="12.9">
      <c r="A724" s="89"/>
      <c r="B724" s="89"/>
      <c r="C724" s="89"/>
      <c r="D724" s="89"/>
      <c r="E724" s="89"/>
      <c r="F724" s="89"/>
      <c r="G724" s="89"/>
      <c r="H724" s="105"/>
      <c r="I724" s="106"/>
      <c r="J724" s="106"/>
      <c r="K724" s="89"/>
      <c r="L724" s="89"/>
      <c r="M724" s="89"/>
      <c r="N724" s="107"/>
      <c r="O724" s="107"/>
      <c r="P724" s="89"/>
      <c r="Q724" s="89"/>
      <c r="R724" s="89"/>
      <c r="S724" s="89"/>
      <c r="T724" s="89"/>
      <c r="U724" s="89"/>
      <c r="V724" s="89"/>
      <c r="W724" s="89"/>
      <c r="X724" s="89"/>
      <c r="Y724" s="89"/>
      <c r="Z724" s="77"/>
      <c r="AA724" s="77"/>
      <c r="AB724" s="94"/>
      <c r="AC724" s="94"/>
      <c r="AD724" s="94"/>
      <c r="AE724" s="94"/>
      <c r="AF724" s="91"/>
      <c r="AG724" s="92"/>
      <c r="AH724" s="92"/>
      <c r="AI724" s="93"/>
      <c r="AJ724" s="94"/>
      <c r="AK724" s="92"/>
      <c r="AL724" s="94"/>
      <c r="AM724" s="94"/>
      <c r="AN724" s="94"/>
      <c r="AO724" s="94"/>
      <c r="AP724" s="94"/>
      <c r="AQ724" s="94"/>
      <c r="AR724" s="94"/>
      <c r="AS724" s="94"/>
      <c r="AT724" s="94"/>
      <c r="AU724" s="92"/>
      <c r="AV724" s="94"/>
      <c r="AW724" s="94"/>
      <c r="AX724" s="94"/>
      <c r="AY724" s="94"/>
      <c r="AZ724" s="94"/>
      <c r="BA724" s="94"/>
      <c r="BB724" s="94"/>
      <c r="BC724" s="94"/>
      <c r="BD724" s="94"/>
      <c r="BE724" s="94"/>
      <c r="BF724" s="94"/>
      <c r="BG724" s="94"/>
      <c r="BH724" s="94"/>
      <c r="BI724" s="94"/>
      <c r="BJ724" s="94"/>
      <c r="BK724" s="94"/>
      <c r="BL724" s="92"/>
      <c r="BM724" s="94"/>
      <c r="BN724" s="94"/>
      <c r="BO724" s="94"/>
      <c r="BP724" s="94"/>
      <c r="BQ724" s="92"/>
      <c r="BR724" s="92"/>
      <c r="BS724" s="92"/>
      <c r="BT724" s="92"/>
      <c r="BU724" s="92"/>
      <c r="BV724" s="92"/>
      <c r="BW724" s="92"/>
      <c r="BX724" s="92"/>
      <c r="BY724" s="92"/>
      <c r="BZ724" s="92"/>
    </row>
    <row r="725" spans="1:78" ht="12.9">
      <c r="A725" s="89"/>
      <c r="B725" s="89"/>
      <c r="C725" s="89"/>
      <c r="D725" s="89"/>
      <c r="E725" s="89"/>
      <c r="F725" s="89"/>
      <c r="G725" s="89"/>
      <c r="H725" s="105"/>
      <c r="I725" s="106"/>
      <c r="J725" s="106"/>
      <c r="K725" s="89"/>
      <c r="L725" s="89"/>
      <c r="M725" s="89"/>
      <c r="N725" s="107"/>
      <c r="O725" s="107"/>
      <c r="P725" s="89"/>
      <c r="Q725" s="89"/>
      <c r="R725" s="89"/>
      <c r="S725" s="89"/>
      <c r="T725" s="89"/>
      <c r="U725" s="89"/>
      <c r="V725" s="89"/>
      <c r="W725" s="89"/>
      <c r="X725" s="89"/>
      <c r="Y725" s="89"/>
      <c r="Z725" s="77"/>
      <c r="AA725" s="77"/>
      <c r="AB725" s="94"/>
      <c r="AC725" s="94"/>
      <c r="AD725" s="94"/>
      <c r="AE725" s="94"/>
      <c r="AF725" s="91"/>
      <c r="AG725" s="92"/>
      <c r="AH725" s="92"/>
      <c r="AI725" s="93"/>
      <c r="AJ725" s="94"/>
      <c r="AK725" s="92"/>
      <c r="AL725" s="94"/>
      <c r="AM725" s="94"/>
      <c r="AN725" s="94"/>
      <c r="AO725" s="94"/>
      <c r="AP725" s="94"/>
      <c r="AQ725" s="94"/>
      <c r="AR725" s="94"/>
      <c r="AS725" s="94"/>
      <c r="AT725" s="94"/>
      <c r="AU725" s="92"/>
      <c r="AV725" s="94"/>
      <c r="AW725" s="94"/>
      <c r="AX725" s="94"/>
      <c r="AY725" s="94"/>
      <c r="AZ725" s="94"/>
      <c r="BA725" s="94"/>
      <c r="BB725" s="94"/>
      <c r="BC725" s="94"/>
      <c r="BD725" s="94"/>
      <c r="BE725" s="94"/>
      <c r="BF725" s="94"/>
      <c r="BG725" s="94"/>
      <c r="BH725" s="94"/>
      <c r="BI725" s="94"/>
      <c r="BJ725" s="94"/>
      <c r="BK725" s="94"/>
      <c r="BL725" s="92"/>
      <c r="BM725" s="94"/>
      <c r="BN725" s="94"/>
      <c r="BO725" s="94"/>
      <c r="BP725" s="94"/>
      <c r="BQ725" s="92"/>
      <c r="BR725" s="92"/>
      <c r="BS725" s="92"/>
      <c r="BT725" s="92"/>
      <c r="BU725" s="92"/>
      <c r="BV725" s="92"/>
      <c r="BW725" s="92"/>
      <c r="BX725" s="92"/>
      <c r="BY725" s="92"/>
      <c r="BZ725" s="92"/>
    </row>
    <row r="726" spans="1:78" ht="12.9">
      <c r="A726" s="89"/>
      <c r="B726" s="89"/>
      <c r="C726" s="89"/>
      <c r="D726" s="89"/>
      <c r="E726" s="89"/>
      <c r="F726" s="89"/>
      <c r="G726" s="89"/>
      <c r="H726" s="105"/>
      <c r="I726" s="106"/>
      <c r="J726" s="106"/>
      <c r="K726" s="89"/>
      <c r="L726" s="89"/>
      <c r="M726" s="89"/>
      <c r="N726" s="107"/>
      <c r="O726" s="107"/>
      <c r="P726" s="89"/>
      <c r="Q726" s="89"/>
      <c r="R726" s="89"/>
      <c r="S726" s="89"/>
      <c r="T726" s="89"/>
      <c r="U726" s="89"/>
      <c r="V726" s="89"/>
      <c r="W726" s="89"/>
      <c r="X726" s="89"/>
      <c r="Y726" s="89"/>
      <c r="Z726" s="77"/>
      <c r="AA726" s="77"/>
      <c r="AB726" s="94"/>
      <c r="AC726" s="94"/>
      <c r="AD726" s="94"/>
      <c r="AE726" s="94"/>
      <c r="AF726" s="91"/>
      <c r="AG726" s="92"/>
      <c r="AH726" s="92"/>
      <c r="AI726" s="93"/>
      <c r="AJ726" s="94"/>
      <c r="AK726" s="92"/>
      <c r="AL726" s="94"/>
      <c r="AM726" s="94"/>
      <c r="AN726" s="94"/>
      <c r="AO726" s="94"/>
      <c r="AP726" s="94"/>
      <c r="AQ726" s="94"/>
      <c r="AR726" s="94"/>
      <c r="AS726" s="94"/>
      <c r="AT726" s="94"/>
      <c r="AU726" s="92"/>
      <c r="AV726" s="94"/>
      <c r="AW726" s="94"/>
      <c r="AX726" s="94"/>
      <c r="AY726" s="94"/>
      <c r="AZ726" s="94"/>
      <c r="BA726" s="94"/>
      <c r="BB726" s="94"/>
      <c r="BC726" s="94"/>
      <c r="BD726" s="94"/>
      <c r="BE726" s="94"/>
      <c r="BF726" s="94"/>
      <c r="BG726" s="94"/>
      <c r="BH726" s="94"/>
      <c r="BI726" s="94"/>
      <c r="BJ726" s="94"/>
      <c r="BK726" s="94"/>
      <c r="BL726" s="92"/>
      <c r="BM726" s="94"/>
      <c r="BN726" s="94"/>
      <c r="BO726" s="94"/>
      <c r="BP726" s="94"/>
      <c r="BQ726" s="92"/>
      <c r="BR726" s="92"/>
      <c r="BS726" s="92"/>
      <c r="BT726" s="92"/>
      <c r="BU726" s="92"/>
      <c r="BV726" s="92"/>
      <c r="BW726" s="92"/>
      <c r="BX726" s="92"/>
      <c r="BY726" s="92"/>
      <c r="BZ726" s="92"/>
    </row>
    <row r="727" spans="1:78" ht="12.9">
      <c r="A727" s="89"/>
      <c r="B727" s="89"/>
      <c r="C727" s="89"/>
      <c r="D727" s="89"/>
      <c r="E727" s="89"/>
      <c r="F727" s="89"/>
      <c r="G727" s="89"/>
      <c r="H727" s="105"/>
      <c r="I727" s="106"/>
      <c r="J727" s="106"/>
      <c r="K727" s="89"/>
      <c r="L727" s="89"/>
      <c r="M727" s="89"/>
      <c r="N727" s="107"/>
      <c r="O727" s="107"/>
      <c r="P727" s="89"/>
      <c r="Q727" s="89"/>
      <c r="R727" s="89"/>
      <c r="S727" s="89"/>
      <c r="T727" s="89"/>
      <c r="U727" s="89"/>
      <c r="V727" s="89"/>
      <c r="W727" s="89"/>
      <c r="X727" s="89"/>
      <c r="Y727" s="89"/>
      <c r="Z727" s="77"/>
      <c r="AA727" s="77"/>
      <c r="AB727" s="94"/>
      <c r="AC727" s="94"/>
      <c r="AD727" s="94"/>
      <c r="AE727" s="94"/>
      <c r="AF727" s="91"/>
      <c r="AG727" s="92"/>
      <c r="AH727" s="92"/>
      <c r="AI727" s="93"/>
      <c r="AJ727" s="94"/>
      <c r="AK727" s="92"/>
      <c r="AL727" s="94"/>
      <c r="AM727" s="94"/>
      <c r="AN727" s="94"/>
      <c r="AO727" s="94"/>
      <c r="AP727" s="94"/>
      <c r="AQ727" s="94"/>
      <c r="AR727" s="94"/>
      <c r="AS727" s="94"/>
      <c r="AT727" s="94"/>
      <c r="AU727" s="92"/>
      <c r="AV727" s="94"/>
      <c r="AW727" s="94"/>
      <c r="AX727" s="94"/>
      <c r="AY727" s="94"/>
      <c r="AZ727" s="94"/>
      <c r="BA727" s="94"/>
      <c r="BB727" s="94"/>
      <c r="BC727" s="94"/>
      <c r="BD727" s="94"/>
      <c r="BE727" s="94"/>
      <c r="BF727" s="94"/>
      <c r="BG727" s="94"/>
      <c r="BH727" s="94"/>
      <c r="BI727" s="94"/>
      <c r="BJ727" s="94"/>
      <c r="BK727" s="94"/>
      <c r="BL727" s="92"/>
      <c r="BM727" s="94"/>
      <c r="BN727" s="94"/>
      <c r="BO727" s="94"/>
      <c r="BP727" s="94"/>
      <c r="BQ727" s="92"/>
      <c r="BR727" s="92"/>
      <c r="BS727" s="92"/>
      <c r="BT727" s="92"/>
      <c r="BU727" s="92"/>
      <c r="BV727" s="92"/>
      <c r="BW727" s="92"/>
      <c r="BX727" s="92"/>
      <c r="BY727" s="92"/>
      <c r="BZ727" s="92"/>
    </row>
    <row r="728" spans="1:78" ht="12.9">
      <c r="A728" s="89"/>
      <c r="B728" s="89"/>
      <c r="C728" s="89"/>
      <c r="D728" s="89"/>
      <c r="E728" s="89"/>
      <c r="F728" s="89"/>
      <c r="G728" s="89"/>
      <c r="H728" s="105"/>
      <c r="I728" s="106"/>
      <c r="J728" s="106"/>
      <c r="K728" s="89"/>
      <c r="L728" s="89"/>
      <c r="M728" s="89"/>
      <c r="N728" s="107"/>
      <c r="O728" s="107"/>
      <c r="P728" s="89"/>
      <c r="Q728" s="89"/>
      <c r="R728" s="89"/>
      <c r="S728" s="89"/>
      <c r="T728" s="89"/>
      <c r="U728" s="89"/>
      <c r="V728" s="89"/>
      <c r="W728" s="89"/>
      <c r="X728" s="89"/>
      <c r="Y728" s="89"/>
      <c r="Z728" s="77"/>
      <c r="AA728" s="77"/>
      <c r="AB728" s="94"/>
      <c r="AC728" s="94"/>
      <c r="AD728" s="94"/>
      <c r="AE728" s="94"/>
      <c r="AF728" s="91"/>
      <c r="AG728" s="92"/>
      <c r="AH728" s="92"/>
      <c r="AI728" s="93"/>
      <c r="AJ728" s="94"/>
      <c r="AK728" s="92"/>
      <c r="AL728" s="94"/>
      <c r="AM728" s="94"/>
      <c r="AN728" s="94"/>
      <c r="AO728" s="94"/>
      <c r="AP728" s="94"/>
      <c r="AQ728" s="94"/>
      <c r="AR728" s="94"/>
      <c r="AS728" s="94"/>
      <c r="AT728" s="94"/>
      <c r="AU728" s="92"/>
      <c r="AV728" s="94"/>
      <c r="AW728" s="94"/>
      <c r="AX728" s="94"/>
      <c r="AY728" s="94"/>
      <c r="AZ728" s="94"/>
      <c r="BA728" s="94"/>
      <c r="BB728" s="94"/>
      <c r="BC728" s="94"/>
      <c r="BD728" s="94"/>
      <c r="BE728" s="94"/>
      <c r="BF728" s="94"/>
      <c r="BG728" s="94"/>
      <c r="BH728" s="94"/>
      <c r="BI728" s="94"/>
      <c r="BJ728" s="94"/>
      <c r="BK728" s="94"/>
      <c r="BL728" s="92"/>
      <c r="BM728" s="94"/>
      <c r="BN728" s="94"/>
      <c r="BO728" s="94"/>
      <c r="BP728" s="94"/>
      <c r="BQ728" s="92"/>
      <c r="BR728" s="92"/>
      <c r="BS728" s="92"/>
      <c r="BT728" s="92"/>
      <c r="BU728" s="92"/>
      <c r="BV728" s="92"/>
      <c r="BW728" s="92"/>
      <c r="BX728" s="92"/>
      <c r="BY728" s="92"/>
      <c r="BZ728" s="92"/>
    </row>
    <row r="729" spans="1:78" ht="12.9">
      <c r="A729" s="89"/>
      <c r="B729" s="89"/>
      <c r="C729" s="89"/>
      <c r="D729" s="89"/>
      <c r="E729" s="89"/>
      <c r="F729" s="89"/>
      <c r="G729" s="89"/>
      <c r="H729" s="105"/>
      <c r="I729" s="106"/>
      <c r="J729" s="106"/>
      <c r="K729" s="89"/>
      <c r="L729" s="89"/>
      <c r="M729" s="89"/>
      <c r="N729" s="107"/>
      <c r="O729" s="107"/>
      <c r="P729" s="89"/>
      <c r="Q729" s="89"/>
      <c r="R729" s="89"/>
      <c r="S729" s="89"/>
      <c r="T729" s="89"/>
      <c r="U729" s="89"/>
      <c r="V729" s="89"/>
      <c r="W729" s="89"/>
      <c r="X729" s="89"/>
      <c r="Y729" s="89"/>
      <c r="Z729" s="77"/>
      <c r="AA729" s="77"/>
      <c r="AB729" s="94"/>
      <c r="AC729" s="94"/>
      <c r="AD729" s="94"/>
      <c r="AE729" s="94"/>
      <c r="AF729" s="91"/>
      <c r="AG729" s="92"/>
      <c r="AH729" s="92"/>
      <c r="AI729" s="93"/>
      <c r="AJ729" s="94"/>
      <c r="AK729" s="92"/>
      <c r="AL729" s="94"/>
      <c r="AM729" s="94"/>
      <c r="AN729" s="94"/>
      <c r="AO729" s="94"/>
      <c r="AP729" s="94"/>
      <c r="AQ729" s="94"/>
      <c r="AR729" s="94"/>
      <c r="AS729" s="94"/>
      <c r="AT729" s="94"/>
      <c r="AU729" s="92"/>
      <c r="AV729" s="94"/>
      <c r="AW729" s="94"/>
      <c r="AX729" s="94"/>
      <c r="AY729" s="94"/>
      <c r="AZ729" s="94"/>
      <c r="BA729" s="94"/>
      <c r="BB729" s="94"/>
      <c r="BC729" s="94"/>
      <c r="BD729" s="94"/>
      <c r="BE729" s="94"/>
      <c r="BF729" s="94"/>
      <c r="BG729" s="94"/>
      <c r="BH729" s="94"/>
      <c r="BI729" s="94"/>
      <c r="BJ729" s="94"/>
      <c r="BK729" s="94"/>
      <c r="BL729" s="92"/>
      <c r="BM729" s="94"/>
      <c r="BN729" s="94"/>
      <c r="BO729" s="94"/>
      <c r="BP729" s="94"/>
      <c r="BQ729" s="92"/>
      <c r="BR729" s="92"/>
      <c r="BS729" s="92"/>
      <c r="BT729" s="92"/>
      <c r="BU729" s="92"/>
      <c r="BV729" s="92"/>
      <c r="BW729" s="92"/>
      <c r="BX729" s="92"/>
      <c r="BY729" s="92"/>
      <c r="BZ729" s="92"/>
    </row>
    <row r="730" spans="1:78" ht="12.9">
      <c r="A730" s="89"/>
      <c r="B730" s="89"/>
      <c r="C730" s="89"/>
      <c r="D730" s="89"/>
      <c r="E730" s="89"/>
      <c r="F730" s="89"/>
      <c r="G730" s="89"/>
      <c r="H730" s="105"/>
      <c r="I730" s="106"/>
      <c r="J730" s="106"/>
      <c r="K730" s="89"/>
      <c r="L730" s="89"/>
      <c r="M730" s="89"/>
      <c r="N730" s="107"/>
      <c r="O730" s="107"/>
      <c r="P730" s="89"/>
      <c r="Q730" s="89"/>
      <c r="R730" s="89"/>
      <c r="S730" s="89"/>
      <c r="T730" s="89"/>
      <c r="U730" s="89"/>
      <c r="V730" s="89"/>
      <c r="W730" s="89"/>
      <c r="X730" s="89"/>
      <c r="Y730" s="89"/>
      <c r="Z730" s="77"/>
      <c r="AA730" s="77"/>
      <c r="AB730" s="94"/>
      <c r="AC730" s="94"/>
      <c r="AD730" s="94"/>
      <c r="AE730" s="94"/>
      <c r="AF730" s="91"/>
      <c r="AG730" s="92"/>
      <c r="AH730" s="92"/>
      <c r="AI730" s="93"/>
      <c r="AJ730" s="94"/>
      <c r="AK730" s="92"/>
      <c r="AL730" s="94"/>
      <c r="AM730" s="94"/>
      <c r="AN730" s="94"/>
      <c r="AO730" s="94"/>
      <c r="AP730" s="94"/>
      <c r="AQ730" s="94"/>
      <c r="AR730" s="94"/>
      <c r="AS730" s="94"/>
      <c r="AT730" s="94"/>
      <c r="AU730" s="92"/>
      <c r="AV730" s="94"/>
      <c r="AW730" s="94"/>
      <c r="AX730" s="94"/>
      <c r="AY730" s="94"/>
      <c r="AZ730" s="94"/>
      <c r="BA730" s="94"/>
      <c r="BB730" s="94"/>
      <c r="BC730" s="94"/>
      <c r="BD730" s="94"/>
      <c r="BE730" s="94"/>
      <c r="BF730" s="94"/>
      <c r="BG730" s="94"/>
      <c r="BH730" s="94"/>
      <c r="BI730" s="94"/>
      <c r="BJ730" s="94"/>
      <c r="BK730" s="94"/>
      <c r="BL730" s="92"/>
      <c r="BM730" s="94"/>
      <c r="BN730" s="94"/>
      <c r="BO730" s="94"/>
      <c r="BP730" s="94"/>
      <c r="BQ730" s="92"/>
      <c r="BR730" s="92"/>
      <c r="BS730" s="92"/>
      <c r="BT730" s="92"/>
      <c r="BU730" s="92"/>
      <c r="BV730" s="92"/>
      <c r="BW730" s="92"/>
      <c r="BX730" s="92"/>
      <c r="BY730" s="92"/>
      <c r="BZ730" s="92"/>
    </row>
    <row r="731" spans="1:78" ht="12.9">
      <c r="A731" s="89"/>
      <c r="B731" s="89"/>
      <c r="C731" s="89"/>
      <c r="D731" s="89"/>
      <c r="E731" s="89"/>
      <c r="F731" s="89"/>
      <c r="G731" s="89"/>
      <c r="H731" s="105"/>
      <c r="I731" s="106"/>
      <c r="J731" s="106"/>
      <c r="K731" s="89"/>
      <c r="L731" s="89"/>
      <c r="M731" s="89"/>
      <c r="N731" s="107"/>
      <c r="O731" s="107"/>
      <c r="P731" s="89"/>
      <c r="Q731" s="89"/>
      <c r="R731" s="89"/>
      <c r="S731" s="89"/>
      <c r="T731" s="89"/>
      <c r="U731" s="89"/>
      <c r="V731" s="89"/>
      <c r="W731" s="89"/>
      <c r="X731" s="89"/>
      <c r="Y731" s="89"/>
      <c r="Z731" s="77"/>
      <c r="AA731" s="77"/>
      <c r="AB731" s="94"/>
      <c r="AC731" s="94"/>
      <c r="AD731" s="94"/>
      <c r="AE731" s="94"/>
      <c r="AF731" s="91"/>
      <c r="AG731" s="92"/>
      <c r="AH731" s="92"/>
      <c r="AI731" s="93"/>
      <c r="AJ731" s="94"/>
      <c r="AK731" s="92"/>
      <c r="AL731" s="94"/>
      <c r="AM731" s="94"/>
      <c r="AN731" s="94"/>
      <c r="AO731" s="94"/>
      <c r="AP731" s="94"/>
      <c r="AQ731" s="94"/>
      <c r="AR731" s="94"/>
      <c r="AS731" s="94"/>
      <c r="AT731" s="94"/>
      <c r="AU731" s="92"/>
      <c r="AV731" s="94"/>
      <c r="AW731" s="94"/>
      <c r="AX731" s="94"/>
      <c r="AY731" s="94"/>
      <c r="AZ731" s="94"/>
      <c r="BA731" s="94"/>
      <c r="BB731" s="94"/>
      <c r="BC731" s="94"/>
      <c r="BD731" s="94"/>
      <c r="BE731" s="94"/>
      <c r="BF731" s="94"/>
      <c r="BG731" s="94"/>
      <c r="BH731" s="94"/>
      <c r="BI731" s="94"/>
      <c r="BJ731" s="94"/>
      <c r="BK731" s="94"/>
      <c r="BL731" s="92"/>
      <c r="BM731" s="94"/>
      <c r="BN731" s="94"/>
      <c r="BO731" s="94"/>
      <c r="BP731" s="94"/>
      <c r="BQ731" s="92"/>
      <c r="BR731" s="92"/>
      <c r="BS731" s="92"/>
      <c r="BT731" s="92"/>
      <c r="BU731" s="92"/>
      <c r="BV731" s="92"/>
      <c r="BW731" s="92"/>
      <c r="BX731" s="92"/>
      <c r="BY731" s="92"/>
      <c r="BZ731" s="92"/>
    </row>
    <row r="732" spans="1:78" ht="12.9">
      <c r="A732" s="89"/>
      <c r="B732" s="89"/>
      <c r="C732" s="89"/>
      <c r="D732" s="89"/>
      <c r="E732" s="89"/>
      <c r="F732" s="89"/>
      <c r="G732" s="89"/>
      <c r="H732" s="105"/>
      <c r="I732" s="106"/>
      <c r="J732" s="106"/>
      <c r="K732" s="89"/>
      <c r="L732" s="89"/>
      <c r="M732" s="89"/>
      <c r="N732" s="107"/>
      <c r="O732" s="107"/>
      <c r="P732" s="89"/>
      <c r="Q732" s="89"/>
      <c r="R732" s="89"/>
      <c r="S732" s="89"/>
      <c r="T732" s="89"/>
      <c r="U732" s="89"/>
      <c r="V732" s="89"/>
      <c r="W732" s="89"/>
      <c r="X732" s="89"/>
      <c r="Y732" s="89"/>
      <c r="Z732" s="77"/>
      <c r="AA732" s="77"/>
      <c r="AB732" s="94"/>
      <c r="AC732" s="94"/>
      <c r="AD732" s="94"/>
      <c r="AE732" s="94"/>
      <c r="AF732" s="91"/>
      <c r="AG732" s="92"/>
      <c r="AH732" s="92"/>
      <c r="AI732" s="93"/>
      <c r="AJ732" s="94"/>
      <c r="AK732" s="92"/>
      <c r="AL732" s="94"/>
      <c r="AM732" s="94"/>
      <c r="AN732" s="94"/>
      <c r="AO732" s="94"/>
      <c r="AP732" s="94"/>
      <c r="AQ732" s="94"/>
      <c r="AR732" s="94"/>
      <c r="AS732" s="94"/>
      <c r="AT732" s="94"/>
      <c r="AU732" s="92"/>
      <c r="AV732" s="94"/>
      <c r="AW732" s="94"/>
      <c r="AX732" s="94"/>
      <c r="AY732" s="94"/>
      <c r="AZ732" s="94"/>
      <c r="BA732" s="94"/>
      <c r="BB732" s="94"/>
      <c r="BC732" s="94"/>
      <c r="BD732" s="94"/>
      <c r="BE732" s="94"/>
      <c r="BF732" s="94"/>
      <c r="BG732" s="94"/>
      <c r="BH732" s="94"/>
      <c r="BI732" s="94"/>
      <c r="BJ732" s="94"/>
      <c r="BK732" s="94"/>
      <c r="BL732" s="92"/>
      <c r="BM732" s="94"/>
      <c r="BN732" s="94"/>
      <c r="BO732" s="94"/>
      <c r="BP732" s="94"/>
      <c r="BQ732" s="92"/>
      <c r="BR732" s="92"/>
      <c r="BS732" s="92"/>
      <c r="BT732" s="92"/>
      <c r="BU732" s="92"/>
      <c r="BV732" s="92"/>
      <c r="BW732" s="92"/>
      <c r="BX732" s="92"/>
      <c r="BY732" s="92"/>
      <c r="BZ732" s="92"/>
    </row>
    <row r="733" spans="1:78" ht="12.9">
      <c r="A733" s="89"/>
      <c r="B733" s="89"/>
      <c r="C733" s="89"/>
      <c r="D733" s="89"/>
      <c r="E733" s="89"/>
      <c r="F733" s="89"/>
      <c r="G733" s="89"/>
      <c r="H733" s="105"/>
      <c r="I733" s="106"/>
      <c r="J733" s="106"/>
      <c r="K733" s="89"/>
      <c r="L733" s="89"/>
      <c r="M733" s="89"/>
      <c r="N733" s="107"/>
      <c r="O733" s="107"/>
      <c r="P733" s="89"/>
      <c r="Q733" s="89"/>
      <c r="R733" s="89"/>
      <c r="S733" s="89"/>
      <c r="T733" s="89"/>
      <c r="U733" s="89"/>
      <c r="V733" s="89"/>
      <c r="W733" s="89"/>
      <c r="X733" s="89"/>
      <c r="Y733" s="89"/>
      <c r="Z733" s="77"/>
      <c r="AA733" s="77"/>
      <c r="AB733" s="94"/>
      <c r="AC733" s="94"/>
      <c r="AD733" s="94"/>
      <c r="AE733" s="94"/>
      <c r="AF733" s="91"/>
      <c r="AG733" s="92"/>
      <c r="AH733" s="92"/>
      <c r="AI733" s="93"/>
      <c r="AJ733" s="94"/>
      <c r="AK733" s="92"/>
      <c r="AL733" s="94"/>
      <c r="AM733" s="94"/>
      <c r="AN733" s="94"/>
      <c r="AO733" s="94"/>
      <c r="AP733" s="94"/>
      <c r="AQ733" s="94"/>
      <c r="AR733" s="94"/>
      <c r="AS733" s="94"/>
      <c r="AT733" s="94"/>
      <c r="AU733" s="92"/>
      <c r="AV733" s="94"/>
      <c r="AW733" s="94"/>
      <c r="AX733" s="94"/>
      <c r="AY733" s="94"/>
      <c r="AZ733" s="94"/>
      <c r="BA733" s="94"/>
      <c r="BB733" s="94"/>
      <c r="BC733" s="94"/>
      <c r="BD733" s="94"/>
      <c r="BE733" s="94"/>
      <c r="BF733" s="94"/>
      <c r="BG733" s="94"/>
      <c r="BH733" s="94"/>
      <c r="BI733" s="94"/>
      <c r="BJ733" s="94"/>
      <c r="BK733" s="94"/>
      <c r="BL733" s="92"/>
      <c r="BM733" s="94"/>
      <c r="BN733" s="94"/>
      <c r="BO733" s="94"/>
      <c r="BP733" s="94"/>
      <c r="BQ733" s="92"/>
      <c r="BR733" s="92"/>
      <c r="BS733" s="92"/>
      <c r="BT733" s="92"/>
      <c r="BU733" s="92"/>
      <c r="BV733" s="92"/>
      <c r="BW733" s="92"/>
      <c r="BX733" s="92"/>
      <c r="BY733" s="92"/>
      <c r="BZ733" s="92"/>
    </row>
    <row r="734" spans="1:78" ht="12.9">
      <c r="A734" s="89"/>
      <c r="B734" s="89"/>
      <c r="C734" s="89"/>
      <c r="D734" s="89"/>
      <c r="E734" s="89"/>
      <c r="F734" s="89"/>
      <c r="G734" s="89"/>
      <c r="H734" s="105"/>
      <c r="I734" s="106"/>
      <c r="J734" s="106"/>
      <c r="K734" s="89"/>
      <c r="L734" s="89"/>
      <c r="M734" s="89"/>
      <c r="N734" s="107"/>
      <c r="O734" s="107"/>
      <c r="P734" s="89"/>
      <c r="Q734" s="89"/>
      <c r="R734" s="89"/>
      <c r="S734" s="89"/>
      <c r="T734" s="89"/>
      <c r="U734" s="89"/>
      <c r="V734" s="89"/>
      <c r="W734" s="89"/>
      <c r="X734" s="89"/>
      <c r="Y734" s="89"/>
      <c r="Z734" s="77"/>
      <c r="AA734" s="77"/>
      <c r="AB734" s="94"/>
      <c r="AC734" s="94"/>
      <c r="AD734" s="94"/>
      <c r="AE734" s="94"/>
      <c r="AF734" s="91"/>
      <c r="AG734" s="92"/>
      <c r="AH734" s="92"/>
      <c r="AI734" s="93"/>
      <c r="AJ734" s="94"/>
      <c r="AK734" s="92"/>
      <c r="AL734" s="94"/>
      <c r="AM734" s="94"/>
      <c r="AN734" s="94"/>
      <c r="AO734" s="94"/>
      <c r="AP734" s="94"/>
      <c r="AQ734" s="94"/>
      <c r="AR734" s="94"/>
      <c r="AS734" s="94"/>
      <c r="AT734" s="94"/>
      <c r="AU734" s="92"/>
      <c r="AV734" s="94"/>
      <c r="AW734" s="94"/>
      <c r="AX734" s="94"/>
      <c r="AY734" s="94"/>
      <c r="AZ734" s="94"/>
      <c r="BA734" s="94"/>
      <c r="BB734" s="94"/>
      <c r="BC734" s="94"/>
      <c r="BD734" s="94"/>
      <c r="BE734" s="94"/>
      <c r="BF734" s="94"/>
      <c r="BG734" s="94"/>
      <c r="BH734" s="94"/>
      <c r="BI734" s="94"/>
      <c r="BJ734" s="94"/>
      <c r="BK734" s="94"/>
      <c r="BL734" s="92"/>
      <c r="BM734" s="94"/>
      <c r="BN734" s="94"/>
      <c r="BO734" s="94"/>
      <c r="BP734" s="94"/>
      <c r="BQ734" s="92"/>
      <c r="BR734" s="92"/>
      <c r="BS734" s="92"/>
      <c r="BT734" s="92"/>
      <c r="BU734" s="92"/>
      <c r="BV734" s="92"/>
      <c r="BW734" s="92"/>
      <c r="BX734" s="92"/>
      <c r="BY734" s="92"/>
      <c r="BZ734" s="92"/>
    </row>
    <row r="735" spans="1:78" ht="12.9">
      <c r="A735" s="89"/>
      <c r="B735" s="89"/>
      <c r="C735" s="89"/>
      <c r="D735" s="89"/>
      <c r="E735" s="89"/>
      <c r="F735" s="89"/>
      <c r="G735" s="89"/>
      <c r="H735" s="105"/>
      <c r="I735" s="106"/>
      <c r="J735" s="106"/>
      <c r="K735" s="89"/>
      <c r="L735" s="89"/>
      <c r="M735" s="89"/>
      <c r="N735" s="107"/>
      <c r="O735" s="107"/>
      <c r="P735" s="89"/>
      <c r="Q735" s="89"/>
      <c r="R735" s="89"/>
      <c r="S735" s="89"/>
      <c r="T735" s="89"/>
      <c r="U735" s="89"/>
      <c r="V735" s="89"/>
      <c r="W735" s="89"/>
      <c r="X735" s="89"/>
      <c r="Y735" s="89"/>
      <c r="Z735" s="77"/>
      <c r="AA735" s="77"/>
      <c r="AB735" s="94"/>
      <c r="AC735" s="94"/>
      <c r="AD735" s="94"/>
      <c r="AE735" s="94"/>
      <c r="AF735" s="91"/>
      <c r="AG735" s="92"/>
      <c r="AH735" s="92"/>
      <c r="AI735" s="93"/>
      <c r="AJ735" s="94"/>
      <c r="AK735" s="92"/>
      <c r="AL735" s="94"/>
      <c r="AM735" s="94"/>
      <c r="AN735" s="94"/>
      <c r="AO735" s="94"/>
      <c r="AP735" s="94"/>
      <c r="AQ735" s="94"/>
      <c r="AR735" s="94"/>
      <c r="AS735" s="94"/>
      <c r="AT735" s="94"/>
      <c r="AU735" s="92"/>
      <c r="AV735" s="94"/>
      <c r="AW735" s="94"/>
      <c r="AX735" s="94"/>
      <c r="AY735" s="94"/>
      <c r="AZ735" s="94"/>
      <c r="BA735" s="94"/>
      <c r="BB735" s="94"/>
      <c r="BC735" s="94"/>
      <c r="BD735" s="94"/>
      <c r="BE735" s="94"/>
      <c r="BF735" s="94"/>
      <c r="BG735" s="94"/>
      <c r="BH735" s="94"/>
      <c r="BI735" s="94"/>
      <c r="BJ735" s="94"/>
      <c r="BK735" s="94"/>
      <c r="BL735" s="92"/>
      <c r="BM735" s="94"/>
      <c r="BN735" s="94"/>
      <c r="BO735" s="94"/>
      <c r="BP735" s="94"/>
      <c r="BQ735" s="92"/>
      <c r="BR735" s="92"/>
      <c r="BS735" s="92"/>
      <c r="BT735" s="92"/>
      <c r="BU735" s="92"/>
      <c r="BV735" s="92"/>
      <c r="BW735" s="92"/>
      <c r="BX735" s="92"/>
      <c r="BY735" s="92"/>
      <c r="BZ735" s="92"/>
    </row>
    <row r="736" spans="1:78" ht="12.9">
      <c r="A736" s="89"/>
      <c r="B736" s="89"/>
      <c r="C736" s="89"/>
      <c r="D736" s="89"/>
      <c r="E736" s="89"/>
      <c r="F736" s="89"/>
      <c r="G736" s="89"/>
      <c r="H736" s="105"/>
      <c r="I736" s="106"/>
      <c r="J736" s="106"/>
      <c r="K736" s="89"/>
      <c r="L736" s="89"/>
      <c r="M736" s="89"/>
      <c r="N736" s="107"/>
      <c r="O736" s="107"/>
      <c r="P736" s="89"/>
      <c r="Q736" s="89"/>
      <c r="R736" s="89"/>
      <c r="S736" s="89"/>
      <c r="T736" s="89"/>
      <c r="U736" s="89"/>
      <c r="V736" s="89"/>
      <c r="W736" s="89"/>
      <c r="X736" s="89"/>
      <c r="Y736" s="89"/>
      <c r="Z736" s="77"/>
      <c r="AA736" s="77"/>
      <c r="AB736" s="94"/>
      <c r="AC736" s="94"/>
      <c r="AD736" s="94"/>
      <c r="AE736" s="94"/>
      <c r="AF736" s="91"/>
      <c r="AG736" s="92"/>
      <c r="AH736" s="92"/>
      <c r="AI736" s="93"/>
      <c r="AJ736" s="94"/>
      <c r="AK736" s="92"/>
      <c r="AL736" s="94"/>
      <c r="AM736" s="94"/>
      <c r="AN736" s="94"/>
      <c r="AO736" s="94"/>
      <c r="AP736" s="94"/>
      <c r="AQ736" s="94"/>
      <c r="AR736" s="94"/>
      <c r="AS736" s="94"/>
      <c r="AT736" s="94"/>
      <c r="AU736" s="92"/>
      <c r="AV736" s="94"/>
      <c r="AW736" s="94"/>
      <c r="AX736" s="94"/>
      <c r="AY736" s="94"/>
      <c r="AZ736" s="94"/>
      <c r="BA736" s="94"/>
      <c r="BB736" s="94"/>
      <c r="BC736" s="94"/>
      <c r="BD736" s="94"/>
      <c r="BE736" s="94"/>
      <c r="BF736" s="94"/>
      <c r="BG736" s="94"/>
      <c r="BH736" s="94"/>
      <c r="BI736" s="94"/>
      <c r="BJ736" s="94"/>
      <c r="BK736" s="94"/>
      <c r="BL736" s="92"/>
      <c r="BM736" s="94"/>
      <c r="BN736" s="94"/>
      <c r="BO736" s="94"/>
      <c r="BP736" s="94"/>
      <c r="BQ736" s="92"/>
      <c r="BR736" s="92"/>
      <c r="BS736" s="92"/>
      <c r="BT736" s="92"/>
      <c r="BU736" s="92"/>
      <c r="BV736" s="92"/>
      <c r="BW736" s="92"/>
      <c r="BX736" s="92"/>
      <c r="BY736" s="92"/>
      <c r="BZ736" s="92"/>
    </row>
    <row r="737" spans="1:78" ht="12.9">
      <c r="A737" s="89"/>
      <c r="B737" s="89"/>
      <c r="C737" s="89"/>
      <c r="D737" s="89"/>
      <c r="E737" s="89"/>
      <c r="F737" s="89"/>
      <c r="G737" s="89"/>
      <c r="H737" s="105"/>
      <c r="I737" s="106"/>
      <c r="J737" s="106"/>
      <c r="K737" s="89"/>
      <c r="L737" s="89"/>
      <c r="M737" s="89"/>
      <c r="N737" s="107"/>
      <c r="O737" s="107"/>
      <c r="P737" s="89"/>
      <c r="Q737" s="89"/>
      <c r="R737" s="89"/>
      <c r="S737" s="89"/>
      <c r="T737" s="89"/>
      <c r="U737" s="89"/>
      <c r="V737" s="89"/>
      <c r="W737" s="89"/>
      <c r="X737" s="89"/>
      <c r="Y737" s="89"/>
      <c r="Z737" s="77"/>
      <c r="AA737" s="77"/>
      <c r="AB737" s="94"/>
      <c r="AC737" s="94"/>
      <c r="AD737" s="94"/>
      <c r="AE737" s="94"/>
      <c r="AF737" s="91"/>
      <c r="AG737" s="92"/>
      <c r="AH737" s="92"/>
      <c r="AI737" s="93"/>
      <c r="AJ737" s="94"/>
      <c r="AK737" s="92"/>
      <c r="AL737" s="94"/>
      <c r="AM737" s="94"/>
      <c r="AN737" s="94"/>
      <c r="AO737" s="94"/>
      <c r="AP737" s="94"/>
      <c r="AQ737" s="94"/>
      <c r="AR737" s="94"/>
      <c r="AS737" s="94"/>
      <c r="AT737" s="94"/>
      <c r="AU737" s="92"/>
      <c r="AV737" s="94"/>
      <c r="AW737" s="94"/>
      <c r="AX737" s="94"/>
      <c r="AY737" s="94"/>
      <c r="AZ737" s="94"/>
      <c r="BA737" s="94"/>
      <c r="BB737" s="94"/>
      <c r="BC737" s="94"/>
      <c r="BD737" s="94"/>
      <c r="BE737" s="94"/>
      <c r="BF737" s="94"/>
      <c r="BG737" s="94"/>
      <c r="BH737" s="94"/>
      <c r="BI737" s="94"/>
      <c r="BJ737" s="94"/>
      <c r="BK737" s="94"/>
      <c r="BL737" s="92"/>
      <c r="BM737" s="94"/>
      <c r="BN737" s="94"/>
      <c r="BO737" s="94"/>
      <c r="BP737" s="94"/>
      <c r="BQ737" s="92"/>
      <c r="BR737" s="92"/>
      <c r="BS737" s="92"/>
      <c r="BT737" s="92"/>
      <c r="BU737" s="92"/>
      <c r="BV737" s="92"/>
      <c r="BW737" s="92"/>
      <c r="BX737" s="92"/>
      <c r="BY737" s="92"/>
      <c r="BZ737" s="92"/>
    </row>
    <row r="738" spans="1:78" ht="12.9">
      <c r="A738" s="89"/>
      <c r="B738" s="89"/>
      <c r="C738" s="89"/>
      <c r="D738" s="89"/>
      <c r="E738" s="89"/>
      <c r="F738" s="89"/>
      <c r="G738" s="89"/>
      <c r="H738" s="105"/>
      <c r="I738" s="106"/>
      <c r="J738" s="106"/>
      <c r="K738" s="89"/>
      <c r="L738" s="89"/>
      <c r="M738" s="89"/>
      <c r="N738" s="107"/>
      <c r="O738" s="107"/>
      <c r="P738" s="89"/>
      <c r="Q738" s="89"/>
      <c r="R738" s="89"/>
      <c r="S738" s="89"/>
      <c r="T738" s="89"/>
      <c r="U738" s="89"/>
      <c r="V738" s="89"/>
      <c r="W738" s="89"/>
      <c r="X738" s="89"/>
      <c r="Y738" s="89"/>
      <c r="Z738" s="77"/>
      <c r="AA738" s="77"/>
      <c r="AB738" s="94"/>
      <c r="AC738" s="94"/>
      <c r="AD738" s="94"/>
      <c r="AE738" s="94"/>
      <c r="AF738" s="91"/>
      <c r="AG738" s="92"/>
      <c r="AH738" s="92"/>
      <c r="AI738" s="93"/>
      <c r="AJ738" s="94"/>
      <c r="AK738" s="92"/>
      <c r="AL738" s="94"/>
      <c r="AM738" s="94"/>
      <c r="AN738" s="94"/>
      <c r="AO738" s="94"/>
      <c r="AP738" s="94"/>
      <c r="AQ738" s="94"/>
      <c r="AR738" s="94"/>
      <c r="AS738" s="94"/>
      <c r="AT738" s="94"/>
      <c r="AU738" s="92"/>
      <c r="AV738" s="94"/>
      <c r="AW738" s="94"/>
      <c r="AX738" s="94"/>
      <c r="AY738" s="94"/>
      <c r="AZ738" s="94"/>
      <c r="BA738" s="94"/>
      <c r="BB738" s="94"/>
      <c r="BC738" s="94"/>
      <c r="BD738" s="94"/>
      <c r="BE738" s="94"/>
      <c r="BF738" s="94"/>
      <c r="BG738" s="94"/>
      <c r="BH738" s="94"/>
      <c r="BI738" s="94"/>
      <c r="BJ738" s="94"/>
      <c r="BK738" s="94"/>
      <c r="BL738" s="92"/>
      <c r="BM738" s="94"/>
      <c r="BN738" s="94"/>
      <c r="BO738" s="94"/>
      <c r="BP738" s="94"/>
      <c r="BQ738" s="92"/>
      <c r="BR738" s="92"/>
      <c r="BS738" s="92"/>
      <c r="BT738" s="92"/>
      <c r="BU738" s="92"/>
      <c r="BV738" s="92"/>
      <c r="BW738" s="92"/>
      <c r="BX738" s="92"/>
      <c r="BY738" s="92"/>
      <c r="BZ738" s="92"/>
    </row>
    <row r="739" spans="1:78" ht="12.9">
      <c r="A739" s="89"/>
      <c r="B739" s="89"/>
      <c r="C739" s="89"/>
      <c r="D739" s="89"/>
      <c r="E739" s="89"/>
      <c r="F739" s="89"/>
      <c r="G739" s="89"/>
      <c r="H739" s="105"/>
      <c r="I739" s="106"/>
      <c r="J739" s="106"/>
      <c r="K739" s="89"/>
      <c r="L739" s="89"/>
      <c r="M739" s="89"/>
      <c r="N739" s="107"/>
      <c r="O739" s="107"/>
      <c r="P739" s="89"/>
      <c r="Q739" s="89"/>
      <c r="R739" s="89"/>
      <c r="S739" s="89"/>
      <c r="T739" s="89"/>
      <c r="U739" s="89"/>
      <c r="V739" s="89"/>
      <c r="W739" s="89"/>
      <c r="X739" s="89"/>
      <c r="Y739" s="89"/>
      <c r="Z739" s="77"/>
      <c r="AA739" s="77"/>
      <c r="AB739" s="94"/>
      <c r="AC739" s="94"/>
      <c r="AD739" s="94"/>
      <c r="AE739" s="94"/>
      <c r="AF739" s="91"/>
      <c r="AG739" s="92"/>
      <c r="AH739" s="92"/>
      <c r="AI739" s="93"/>
      <c r="AJ739" s="94"/>
      <c r="AK739" s="92"/>
      <c r="AL739" s="94"/>
      <c r="AM739" s="94"/>
      <c r="AN739" s="94"/>
      <c r="AO739" s="94"/>
      <c r="AP739" s="94"/>
      <c r="AQ739" s="94"/>
      <c r="AR739" s="94"/>
      <c r="AS739" s="94"/>
      <c r="AT739" s="94"/>
      <c r="AU739" s="92"/>
      <c r="AV739" s="94"/>
      <c r="AW739" s="94"/>
      <c r="AX739" s="94"/>
      <c r="AY739" s="94"/>
      <c r="AZ739" s="94"/>
      <c r="BA739" s="94"/>
      <c r="BB739" s="94"/>
      <c r="BC739" s="94"/>
      <c r="BD739" s="94"/>
      <c r="BE739" s="94"/>
      <c r="BF739" s="94"/>
      <c r="BG739" s="94"/>
      <c r="BH739" s="94"/>
      <c r="BI739" s="94"/>
      <c r="BJ739" s="94"/>
      <c r="BK739" s="94"/>
      <c r="BL739" s="92"/>
      <c r="BM739" s="94"/>
      <c r="BN739" s="94"/>
      <c r="BO739" s="94"/>
      <c r="BP739" s="94"/>
      <c r="BQ739" s="92"/>
      <c r="BR739" s="92"/>
      <c r="BS739" s="92"/>
      <c r="BT739" s="92"/>
      <c r="BU739" s="92"/>
      <c r="BV739" s="92"/>
      <c r="BW739" s="92"/>
      <c r="BX739" s="92"/>
      <c r="BY739" s="92"/>
      <c r="BZ739" s="92"/>
    </row>
    <row r="740" spans="1:78" ht="12.9">
      <c r="A740" s="89"/>
      <c r="B740" s="89"/>
      <c r="C740" s="89"/>
      <c r="D740" s="89"/>
      <c r="E740" s="89"/>
      <c r="F740" s="89"/>
      <c r="G740" s="89"/>
      <c r="H740" s="105"/>
      <c r="I740" s="106"/>
      <c r="J740" s="106"/>
      <c r="K740" s="89"/>
      <c r="L740" s="89"/>
      <c r="M740" s="89"/>
      <c r="N740" s="107"/>
      <c r="O740" s="107"/>
      <c r="P740" s="89"/>
      <c r="Q740" s="89"/>
      <c r="R740" s="89"/>
      <c r="S740" s="89"/>
      <c r="T740" s="89"/>
      <c r="U740" s="89"/>
      <c r="V740" s="89"/>
      <c r="W740" s="89"/>
      <c r="X740" s="89"/>
      <c r="Y740" s="89"/>
      <c r="Z740" s="77"/>
      <c r="AA740" s="77"/>
      <c r="AB740" s="94"/>
      <c r="AC740" s="94"/>
      <c r="AD740" s="94"/>
      <c r="AE740" s="94"/>
      <c r="AF740" s="91"/>
      <c r="AG740" s="92"/>
      <c r="AH740" s="92"/>
      <c r="AI740" s="93"/>
      <c r="AJ740" s="94"/>
      <c r="AK740" s="92"/>
      <c r="AL740" s="94"/>
      <c r="AM740" s="94"/>
      <c r="AN740" s="94"/>
      <c r="AO740" s="94"/>
      <c r="AP740" s="94"/>
      <c r="AQ740" s="94"/>
      <c r="AR740" s="94"/>
      <c r="AS740" s="94"/>
      <c r="AT740" s="94"/>
      <c r="AU740" s="92"/>
      <c r="AV740" s="94"/>
      <c r="AW740" s="94"/>
      <c r="AX740" s="94"/>
      <c r="AY740" s="94"/>
      <c r="AZ740" s="94"/>
      <c r="BA740" s="94"/>
      <c r="BB740" s="94"/>
      <c r="BC740" s="94"/>
      <c r="BD740" s="94"/>
      <c r="BE740" s="94"/>
      <c r="BF740" s="94"/>
      <c r="BG740" s="94"/>
      <c r="BH740" s="94"/>
      <c r="BI740" s="94"/>
      <c r="BJ740" s="94"/>
      <c r="BK740" s="94"/>
      <c r="BL740" s="92"/>
      <c r="BM740" s="94"/>
      <c r="BN740" s="94"/>
      <c r="BO740" s="94"/>
      <c r="BP740" s="94"/>
      <c r="BQ740" s="92"/>
      <c r="BR740" s="92"/>
      <c r="BS740" s="92"/>
      <c r="BT740" s="92"/>
      <c r="BU740" s="92"/>
      <c r="BV740" s="92"/>
      <c r="BW740" s="92"/>
      <c r="BX740" s="92"/>
      <c r="BY740" s="92"/>
      <c r="BZ740" s="92"/>
    </row>
    <row r="741" spans="1:78" ht="12.9">
      <c r="A741" s="89"/>
      <c r="B741" s="89"/>
      <c r="C741" s="89"/>
      <c r="D741" s="89"/>
      <c r="E741" s="89"/>
      <c r="F741" s="89"/>
      <c r="G741" s="89"/>
      <c r="H741" s="105"/>
      <c r="I741" s="106"/>
      <c r="J741" s="106"/>
      <c r="K741" s="89"/>
      <c r="L741" s="89"/>
      <c r="M741" s="89"/>
      <c r="N741" s="107"/>
      <c r="O741" s="107"/>
      <c r="P741" s="89"/>
      <c r="Q741" s="89"/>
      <c r="R741" s="89"/>
      <c r="S741" s="89"/>
      <c r="T741" s="89"/>
      <c r="U741" s="89"/>
      <c r="V741" s="89"/>
      <c r="W741" s="89"/>
      <c r="X741" s="89"/>
      <c r="Y741" s="89"/>
      <c r="Z741" s="77"/>
      <c r="AA741" s="77"/>
      <c r="AB741" s="94"/>
      <c r="AC741" s="94"/>
      <c r="AD741" s="94"/>
      <c r="AE741" s="94"/>
      <c r="AF741" s="91"/>
      <c r="AG741" s="92"/>
      <c r="AH741" s="92"/>
      <c r="AI741" s="93"/>
      <c r="AJ741" s="94"/>
      <c r="AK741" s="92"/>
      <c r="AL741" s="94"/>
      <c r="AM741" s="94"/>
      <c r="AN741" s="94"/>
      <c r="AO741" s="94"/>
      <c r="AP741" s="94"/>
      <c r="AQ741" s="94"/>
      <c r="AR741" s="94"/>
      <c r="AS741" s="94"/>
      <c r="AT741" s="94"/>
      <c r="AU741" s="92"/>
      <c r="AV741" s="94"/>
      <c r="AW741" s="94"/>
      <c r="AX741" s="94"/>
      <c r="AY741" s="94"/>
      <c r="AZ741" s="94"/>
      <c r="BA741" s="94"/>
      <c r="BB741" s="94"/>
      <c r="BC741" s="94"/>
      <c r="BD741" s="94"/>
      <c r="BE741" s="94"/>
      <c r="BF741" s="94"/>
      <c r="BG741" s="94"/>
      <c r="BH741" s="94"/>
      <c r="BI741" s="94"/>
      <c r="BJ741" s="94"/>
      <c r="BK741" s="94"/>
      <c r="BL741" s="92"/>
      <c r="BM741" s="94"/>
      <c r="BN741" s="94"/>
      <c r="BO741" s="94"/>
      <c r="BP741" s="94"/>
      <c r="BQ741" s="92"/>
      <c r="BR741" s="92"/>
      <c r="BS741" s="92"/>
      <c r="BT741" s="92"/>
      <c r="BU741" s="92"/>
      <c r="BV741" s="92"/>
      <c r="BW741" s="92"/>
      <c r="BX741" s="92"/>
      <c r="BY741" s="92"/>
      <c r="BZ741" s="92"/>
    </row>
    <row r="742" spans="1:78" ht="12.9">
      <c r="A742" s="89"/>
      <c r="B742" s="89"/>
      <c r="C742" s="89"/>
      <c r="D742" s="89"/>
      <c r="E742" s="89"/>
      <c r="F742" s="89"/>
      <c r="G742" s="89"/>
      <c r="H742" s="105"/>
      <c r="I742" s="106"/>
      <c r="J742" s="106"/>
      <c r="K742" s="89"/>
      <c r="L742" s="89"/>
      <c r="M742" s="89"/>
      <c r="N742" s="107"/>
      <c r="O742" s="107"/>
      <c r="P742" s="89"/>
      <c r="Q742" s="89"/>
      <c r="R742" s="89"/>
      <c r="S742" s="89"/>
      <c r="T742" s="89"/>
      <c r="U742" s="89"/>
      <c r="V742" s="89"/>
      <c r="W742" s="89"/>
      <c r="X742" s="89"/>
      <c r="Y742" s="89"/>
      <c r="Z742" s="77"/>
      <c r="AA742" s="77"/>
      <c r="AB742" s="94"/>
      <c r="AC742" s="94"/>
      <c r="AD742" s="94"/>
      <c r="AE742" s="94"/>
      <c r="AF742" s="91"/>
      <c r="AG742" s="92"/>
      <c r="AH742" s="92"/>
      <c r="AI742" s="93"/>
      <c r="AJ742" s="94"/>
      <c r="AK742" s="92"/>
      <c r="AL742" s="94"/>
      <c r="AM742" s="94"/>
      <c r="AN742" s="94"/>
      <c r="AO742" s="94"/>
      <c r="AP742" s="94"/>
      <c r="AQ742" s="94"/>
      <c r="AR742" s="94"/>
      <c r="AS742" s="94"/>
      <c r="AT742" s="94"/>
      <c r="AU742" s="92"/>
      <c r="AV742" s="94"/>
      <c r="AW742" s="94"/>
      <c r="AX742" s="94"/>
      <c r="AY742" s="94"/>
      <c r="AZ742" s="94"/>
      <c r="BA742" s="94"/>
      <c r="BB742" s="94"/>
      <c r="BC742" s="94"/>
      <c r="BD742" s="94"/>
      <c r="BE742" s="94"/>
      <c r="BF742" s="94"/>
      <c r="BG742" s="94"/>
      <c r="BH742" s="94"/>
      <c r="BI742" s="94"/>
      <c r="BJ742" s="94"/>
      <c r="BK742" s="94"/>
      <c r="BL742" s="92"/>
      <c r="BM742" s="94"/>
      <c r="BN742" s="94"/>
      <c r="BO742" s="94"/>
      <c r="BP742" s="94"/>
      <c r="BQ742" s="92"/>
      <c r="BR742" s="92"/>
      <c r="BS742" s="92"/>
      <c r="BT742" s="92"/>
      <c r="BU742" s="92"/>
      <c r="BV742" s="92"/>
      <c r="BW742" s="92"/>
      <c r="BX742" s="92"/>
      <c r="BY742" s="92"/>
      <c r="BZ742" s="92"/>
    </row>
    <row r="743" spans="1:78" ht="12.9">
      <c r="A743" s="89"/>
      <c r="B743" s="89"/>
      <c r="C743" s="89"/>
      <c r="D743" s="89"/>
      <c r="E743" s="89"/>
      <c r="F743" s="89"/>
      <c r="G743" s="89"/>
      <c r="H743" s="105"/>
      <c r="I743" s="106"/>
      <c r="J743" s="106"/>
      <c r="K743" s="89"/>
      <c r="L743" s="89"/>
      <c r="M743" s="89"/>
      <c r="N743" s="107"/>
      <c r="O743" s="107"/>
      <c r="P743" s="89"/>
      <c r="Q743" s="89"/>
      <c r="R743" s="89"/>
      <c r="S743" s="89"/>
      <c r="T743" s="89"/>
      <c r="U743" s="89"/>
      <c r="V743" s="89"/>
      <c r="W743" s="89"/>
      <c r="X743" s="89"/>
      <c r="Y743" s="89"/>
      <c r="Z743" s="77"/>
      <c r="AA743" s="77"/>
      <c r="AB743" s="94"/>
      <c r="AC743" s="94"/>
      <c r="AD743" s="94"/>
      <c r="AE743" s="94"/>
      <c r="AF743" s="91"/>
      <c r="AG743" s="92"/>
      <c r="AH743" s="92"/>
      <c r="AI743" s="93"/>
      <c r="AJ743" s="94"/>
      <c r="AK743" s="92"/>
      <c r="AL743" s="94"/>
      <c r="AM743" s="94"/>
      <c r="AN743" s="94"/>
      <c r="AO743" s="94"/>
      <c r="AP743" s="94"/>
      <c r="AQ743" s="94"/>
      <c r="AR743" s="94"/>
      <c r="AS743" s="94"/>
      <c r="AT743" s="94"/>
      <c r="AU743" s="92"/>
      <c r="AV743" s="94"/>
      <c r="AW743" s="94"/>
      <c r="AX743" s="94"/>
      <c r="AY743" s="94"/>
      <c r="AZ743" s="94"/>
      <c r="BA743" s="94"/>
      <c r="BB743" s="94"/>
      <c r="BC743" s="94"/>
      <c r="BD743" s="94"/>
      <c r="BE743" s="94"/>
      <c r="BF743" s="94"/>
      <c r="BG743" s="94"/>
      <c r="BH743" s="94"/>
      <c r="BI743" s="94"/>
      <c r="BJ743" s="94"/>
      <c r="BK743" s="94"/>
      <c r="BL743" s="92"/>
      <c r="BM743" s="94"/>
      <c r="BN743" s="94"/>
      <c r="BO743" s="94"/>
      <c r="BP743" s="94"/>
      <c r="BQ743" s="92"/>
      <c r="BR743" s="92"/>
      <c r="BS743" s="92"/>
      <c r="BT743" s="92"/>
      <c r="BU743" s="92"/>
      <c r="BV743" s="92"/>
      <c r="BW743" s="92"/>
      <c r="BX743" s="92"/>
      <c r="BY743" s="92"/>
      <c r="BZ743" s="92"/>
    </row>
    <row r="744" spans="1:78" ht="12.9">
      <c r="A744" s="89"/>
      <c r="B744" s="89"/>
      <c r="C744" s="89"/>
      <c r="D744" s="89"/>
      <c r="E744" s="89"/>
      <c r="F744" s="89"/>
      <c r="G744" s="89"/>
      <c r="H744" s="105"/>
      <c r="I744" s="106"/>
      <c r="J744" s="106"/>
      <c r="K744" s="89"/>
      <c r="L744" s="89"/>
      <c r="M744" s="89"/>
      <c r="N744" s="107"/>
      <c r="O744" s="107"/>
      <c r="P744" s="89"/>
      <c r="Q744" s="89"/>
      <c r="R744" s="89"/>
      <c r="S744" s="89"/>
      <c r="T744" s="89"/>
      <c r="U744" s="89"/>
      <c r="V744" s="89"/>
      <c r="W744" s="89"/>
      <c r="X744" s="89"/>
      <c r="Y744" s="89"/>
      <c r="Z744" s="77"/>
      <c r="AA744" s="77"/>
      <c r="AB744" s="94"/>
      <c r="AC744" s="94"/>
      <c r="AD744" s="94"/>
      <c r="AE744" s="94"/>
      <c r="AF744" s="91"/>
      <c r="AG744" s="92"/>
      <c r="AH744" s="92"/>
      <c r="AI744" s="93"/>
      <c r="AJ744" s="94"/>
      <c r="AK744" s="92"/>
      <c r="AL744" s="94"/>
      <c r="AM744" s="94"/>
      <c r="AN744" s="94"/>
      <c r="AO744" s="94"/>
      <c r="AP744" s="94"/>
      <c r="AQ744" s="94"/>
      <c r="AR744" s="94"/>
      <c r="AS744" s="94"/>
      <c r="AT744" s="94"/>
      <c r="AU744" s="92"/>
      <c r="AV744" s="94"/>
      <c r="AW744" s="94"/>
      <c r="AX744" s="94"/>
      <c r="AY744" s="94"/>
      <c r="AZ744" s="94"/>
      <c r="BA744" s="94"/>
      <c r="BB744" s="94"/>
      <c r="BC744" s="94"/>
      <c r="BD744" s="94"/>
      <c r="BE744" s="94"/>
      <c r="BF744" s="94"/>
      <c r="BG744" s="94"/>
      <c r="BH744" s="94"/>
      <c r="BI744" s="94"/>
      <c r="BJ744" s="94"/>
      <c r="BK744" s="94"/>
      <c r="BL744" s="92"/>
      <c r="BM744" s="94"/>
      <c r="BN744" s="94"/>
      <c r="BO744" s="94"/>
      <c r="BP744" s="94"/>
      <c r="BQ744" s="92"/>
      <c r="BR744" s="92"/>
      <c r="BS744" s="92"/>
      <c r="BT744" s="92"/>
      <c r="BU744" s="92"/>
      <c r="BV744" s="92"/>
      <c r="BW744" s="92"/>
      <c r="BX744" s="92"/>
      <c r="BY744" s="92"/>
      <c r="BZ744" s="92"/>
    </row>
    <row r="745" spans="1:78" ht="12.9">
      <c r="A745" s="89"/>
      <c r="B745" s="89"/>
      <c r="C745" s="89"/>
      <c r="D745" s="89"/>
      <c r="E745" s="89"/>
      <c r="F745" s="89"/>
      <c r="G745" s="89"/>
      <c r="H745" s="105"/>
      <c r="I745" s="106"/>
      <c r="J745" s="106"/>
      <c r="K745" s="89"/>
      <c r="L745" s="89"/>
      <c r="M745" s="89"/>
      <c r="N745" s="107"/>
      <c r="O745" s="107"/>
      <c r="P745" s="89"/>
      <c r="Q745" s="89"/>
      <c r="R745" s="89"/>
      <c r="S745" s="89"/>
      <c r="T745" s="89"/>
      <c r="U745" s="89"/>
      <c r="V745" s="89"/>
      <c r="W745" s="89"/>
      <c r="X745" s="89"/>
      <c r="Y745" s="89"/>
      <c r="Z745" s="77"/>
      <c r="AA745" s="77"/>
      <c r="AB745" s="94"/>
      <c r="AC745" s="94"/>
      <c r="AD745" s="94"/>
      <c r="AE745" s="94"/>
      <c r="AF745" s="91"/>
      <c r="AG745" s="92"/>
      <c r="AH745" s="92"/>
      <c r="AI745" s="93"/>
      <c r="AJ745" s="94"/>
      <c r="AK745" s="92"/>
      <c r="AL745" s="94"/>
      <c r="AM745" s="94"/>
      <c r="AN745" s="94"/>
      <c r="AO745" s="94"/>
      <c r="AP745" s="94"/>
      <c r="AQ745" s="94"/>
      <c r="AR745" s="94"/>
      <c r="AS745" s="94"/>
      <c r="AT745" s="94"/>
      <c r="AU745" s="92"/>
      <c r="AV745" s="94"/>
      <c r="AW745" s="94"/>
      <c r="AX745" s="94"/>
      <c r="AY745" s="94"/>
      <c r="AZ745" s="94"/>
      <c r="BA745" s="94"/>
      <c r="BB745" s="94"/>
      <c r="BC745" s="94"/>
      <c r="BD745" s="94"/>
      <c r="BE745" s="94"/>
      <c r="BF745" s="94"/>
      <c r="BG745" s="94"/>
      <c r="BH745" s="94"/>
      <c r="BI745" s="94"/>
      <c r="BJ745" s="94"/>
      <c r="BK745" s="94"/>
      <c r="BL745" s="92"/>
      <c r="BM745" s="94"/>
      <c r="BN745" s="94"/>
      <c r="BO745" s="94"/>
      <c r="BP745" s="94"/>
      <c r="BQ745" s="92"/>
      <c r="BR745" s="92"/>
      <c r="BS745" s="92"/>
      <c r="BT745" s="92"/>
      <c r="BU745" s="92"/>
      <c r="BV745" s="92"/>
      <c r="BW745" s="92"/>
      <c r="BX745" s="92"/>
      <c r="BY745" s="92"/>
      <c r="BZ745" s="92"/>
    </row>
    <row r="746" spans="1:78" ht="12.9">
      <c r="A746" s="89"/>
      <c r="B746" s="89"/>
      <c r="C746" s="89"/>
      <c r="D746" s="89"/>
      <c r="E746" s="89"/>
      <c r="F746" s="89"/>
      <c r="G746" s="89"/>
      <c r="H746" s="105"/>
      <c r="I746" s="106"/>
      <c r="J746" s="106"/>
      <c r="K746" s="89"/>
      <c r="L746" s="89"/>
      <c r="M746" s="89"/>
      <c r="N746" s="107"/>
      <c r="O746" s="107"/>
      <c r="P746" s="89"/>
      <c r="Q746" s="89"/>
      <c r="R746" s="89"/>
      <c r="S746" s="89"/>
      <c r="T746" s="89"/>
      <c r="U746" s="89"/>
      <c r="V746" s="89"/>
      <c r="W746" s="89"/>
      <c r="X746" s="89"/>
      <c r="Y746" s="89"/>
      <c r="Z746" s="77"/>
      <c r="AA746" s="77"/>
      <c r="AB746" s="94"/>
      <c r="AC746" s="94"/>
      <c r="AD746" s="94"/>
      <c r="AE746" s="94"/>
      <c r="AF746" s="91"/>
      <c r="AG746" s="92"/>
      <c r="AH746" s="92"/>
      <c r="AI746" s="93"/>
      <c r="AJ746" s="94"/>
      <c r="AK746" s="92"/>
      <c r="AL746" s="94"/>
      <c r="AM746" s="94"/>
      <c r="AN746" s="94"/>
      <c r="AO746" s="94"/>
      <c r="AP746" s="94"/>
      <c r="AQ746" s="94"/>
      <c r="AR746" s="94"/>
      <c r="AS746" s="94"/>
      <c r="AT746" s="94"/>
      <c r="AU746" s="92"/>
      <c r="AV746" s="94"/>
      <c r="AW746" s="94"/>
      <c r="AX746" s="94"/>
      <c r="AY746" s="94"/>
      <c r="AZ746" s="94"/>
      <c r="BA746" s="94"/>
      <c r="BB746" s="94"/>
      <c r="BC746" s="94"/>
      <c r="BD746" s="94"/>
      <c r="BE746" s="94"/>
      <c r="BF746" s="94"/>
      <c r="BG746" s="94"/>
      <c r="BH746" s="94"/>
      <c r="BI746" s="94"/>
      <c r="BJ746" s="94"/>
      <c r="BK746" s="94"/>
      <c r="BL746" s="92"/>
      <c r="BM746" s="94"/>
      <c r="BN746" s="94"/>
      <c r="BO746" s="94"/>
      <c r="BP746" s="94"/>
      <c r="BQ746" s="92"/>
      <c r="BR746" s="92"/>
      <c r="BS746" s="92"/>
      <c r="BT746" s="92"/>
      <c r="BU746" s="92"/>
      <c r="BV746" s="92"/>
      <c r="BW746" s="92"/>
      <c r="BX746" s="92"/>
      <c r="BY746" s="92"/>
      <c r="BZ746" s="92"/>
    </row>
    <row r="747" spans="1:78" ht="12.9">
      <c r="A747" s="89"/>
      <c r="B747" s="89"/>
      <c r="C747" s="89"/>
      <c r="D747" s="89"/>
      <c r="E747" s="89"/>
      <c r="F747" s="89"/>
      <c r="G747" s="89"/>
      <c r="H747" s="105"/>
      <c r="I747" s="106"/>
      <c r="J747" s="106"/>
      <c r="K747" s="89"/>
      <c r="L747" s="89"/>
      <c r="M747" s="89"/>
      <c r="N747" s="107"/>
      <c r="O747" s="107"/>
      <c r="P747" s="89"/>
      <c r="Q747" s="89"/>
      <c r="R747" s="89"/>
      <c r="S747" s="89"/>
      <c r="T747" s="89"/>
      <c r="U747" s="89"/>
      <c r="V747" s="89"/>
      <c r="W747" s="89"/>
      <c r="X747" s="89"/>
      <c r="Y747" s="89"/>
      <c r="Z747" s="77"/>
      <c r="AA747" s="77"/>
      <c r="AB747" s="94"/>
      <c r="AC747" s="94"/>
      <c r="AD747" s="94"/>
      <c r="AE747" s="94"/>
      <c r="AF747" s="91"/>
      <c r="AG747" s="92"/>
      <c r="AH747" s="92"/>
      <c r="AI747" s="93"/>
      <c r="AJ747" s="94"/>
      <c r="AK747" s="92"/>
      <c r="AL747" s="94"/>
      <c r="AM747" s="94"/>
      <c r="AN747" s="94"/>
      <c r="AO747" s="94"/>
      <c r="AP747" s="94"/>
      <c r="AQ747" s="94"/>
      <c r="AR747" s="94"/>
      <c r="AS747" s="94"/>
      <c r="AT747" s="94"/>
      <c r="AU747" s="92"/>
      <c r="AV747" s="94"/>
      <c r="AW747" s="94"/>
      <c r="AX747" s="94"/>
      <c r="AY747" s="94"/>
      <c r="AZ747" s="94"/>
      <c r="BA747" s="94"/>
      <c r="BB747" s="94"/>
      <c r="BC747" s="94"/>
      <c r="BD747" s="94"/>
      <c r="BE747" s="94"/>
      <c r="BF747" s="94"/>
      <c r="BG747" s="94"/>
      <c r="BH747" s="94"/>
      <c r="BI747" s="94"/>
      <c r="BJ747" s="94"/>
      <c r="BK747" s="94"/>
      <c r="BL747" s="92"/>
      <c r="BM747" s="94"/>
      <c r="BN747" s="94"/>
      <c r="BO747" s="94"/>
      <c r="BP747" s="94"/>
      <c r="BQ747" s="92"/>
      <c r="BR747" s="92"/>
      <c r="BS747" s="92"/>
      <c r="BT747" s="92"/>
      <c r="BU747" s="92"/>
      <c r="BV747" s="92"/>
      <c r="BW747" s="92"/>
      <c r="BX747" s="92"/>
      <c r="BY747" s="92"/>
      <c r="BZ747" s="92"/>
    </row>
    <row r="748" spans="1:78" ht="12.9">
      <c r="A748" s="89"/>
      <c r="B748" s="89"/>
      <c r="C748" s="89"/>
      <c r="D748" s="89"/>
      <c r="E748" s="89"/>
      <c r="F748" s="89"/>
      <c r="G748" s="89"/>
      <c r="H748" s="105"/>
      <c r="I748" s="106"/>
      <c r="J748" s="106"/>
      <c r="K748" s="89"/>
      <c r="L748" s="89"/>
      <c r="M748" s="89"/>
      <c r="N748" s="107"/>
      <c r="O748" s="107"/>
      <c r="P748" s="89"/>
      <c r="Q748" s="89"/>
      <c r="R748" s="89"/>
      <c r="S748" s="89"/>
      <c r="T748" s="89"/>
      <c r="U748" s="89"/>
      <c r="V748" s="89"/>
      <c r="W748" s="89"/>
      <c r="X748" s="89"/>
      <c r="Y748" s="89"/>
      <c r="Z748" s="77"/>
      <c r="AA748" s="77"/>
      <c r="AB748" s="94"/>
      <c r="AC748" s="94"/>
      <c r="AD748" s="94"/>
      <c r="AE748" s="94"/>
      <c r="AF748" s="91"/>
      <c r="AG748" s="92"/>
      <c r="AH748" s="92"/>
      <c r="AI748" s="93"/>
      <c r="AJ748" s="94"/>
      <c r="AK748" s="92"/>
      <c r="AL748" s="94"/>
      <c r="AM748" s="94"/>
      <c r="AN748" s="94"/>
      <c r="AO748" s="94"/>
      <c r="AP748" s="94"/>
      <c r="AQ748" s="94"/>
      <c r="AR748" s="94"/>
      <c r="AS748" s="94"/>
      <c r="AT748" s="94"/>
      <c r="AU748" s="92"/>
      <c r="AV748" s="94"/>
      <c r="AW748" s="94"/>
      <c r="AX748" s="94"/>
      <c r="AY748" s="94"/>
      <c r="AZ748" s="94"/>
      <c r="BA748" s="94"/>
      <c r="BB748" s="94"/>
      <c r="BC748" s="94"/>
      <c r="BD748" s="94"/>
      <c r="BE748" s="94"/>
      <c r="BF748" s="94"/>
      <c r="BG748" s="94"/>
      <c r="BH748" s="94"/>
      <c r="BI748" s="94"/>
      <c r="BJ748" s="94"/>
      <c r="BK748" s="94"/>
      <c r="BL748" s="92"/>
      <c r="BM748" s="94"/>
      <c r="BN748" s="94"/>
      <c r="BO748" s="94"/>
      <c r="BP748" s="94"/>
      <c r="BQ748" s="92"/>
      <c r="BR748" s="92"/>
      <c r="BS748" s="92"/>
      <c r="BT748" s="92"/>
      <c r="BU748" s="92"/>
      <c r="BV748" s="92"/>
      <c r="BW748" s="92"/>
      <c r="BX748" s="92"/>
      <c r="BY748" s="92"/>
      <c r="BZ748" s="92"/>
    </row>
    <row r="749" spans="1:78" ht="12.9">
      <c r="A749" s="89"/>
      <c r="B749" s="89"/>
      <c r="C749" s="89"/>
      <c r="D749" s="89"/>
      <c r="E749" s="89"/>
      <c r="F749" s="89"/>
      <c r="G749" s="89"/>
      <c r="H749" s="105"/>
      <c r="I749" s="106"/>
      <c r="J749" s="106"/>
      <c r="K749" s="89"/>
      <c r="L749" s="89"/>
      <c r="M749" s="89"/>
      <c r="N749" s="107"/>
      <c r="O749" s="107"/>
      <c r="P749" s="89"/>
      <c r="Q749" s="89"/>
      <c r="R749" s="89"/>
      <c r="S749" s="89"/>
      <c r="T749" s="89"/>
      <c r="U749" s="89"/>
      <c r="V749" s="89"/>
      <c r="W749" s="89"/>
      <c r="X749" s="89"/>
      <c r="Y749" s="89"/>
      <c r="Z749" s="77"/>
      <c r="AA749" s="77"/>
      <c r="AB749" s="94"/>
      <c r="AC749" s="94"/>
      <c r="AD749" s="94"/>
      <c r="AE749" s="94"/>
      <c r="AF749" s="91"/>
      <c r="AG749" s="92"/>
      <c r="AH749" s="92"/>
      <c r="AI749" s="93"/>
      <c r="AJ749" s="94"/>
      <c r="AK749" s="92"/>
      <c r="AL749" s="94"/>
      <c r="AM749" s="94"/>
      <c r="AN749" s="94"/>
      <c r="AO749" s="94"/>
      <c r="AP749" s="94"/>
      <c r="AQ749" s="94"/>
      <c r="AR749" s="94"/>
      <c r="AS749" s="94"/>
      <c r="AT749" s="94"/>
      <c r="AU749" s="92"/>
      <c r="AV749" s="94"/>
      <c r="AW749" s="94"/>
      <c r="AX749" s="94"/>
      <c r="AY749" s="94"/>
      <c r="AZ749" s="94"/>
      <c r="BA749" s="94"/>
      <c r="BB749" s="94"/>
      <c r="BC749" s="94"/>
      <c r="BD749" s="94"/>
      <c r="BE749" s="94"/>
      <c r="BF749" s="94"/>
      <c r="BG749" s="94"/>
      <c r="BH749" s="94"/>
      <c r="BI749" s="94"/>
      <c r="BJ749" s="94"/>
      <c r="BK749" s="94"/>
      <c r="BL749" s="92"/>
      <c r="BM749" s="94"/>
      <c r="BN749" s="94"/>
      <c r="BO749" s="94"/>
      <c r="BP749" s="94"/>
      <c r="BQ749" s="92"/>
      <c r="BR749" s="92"/>
      <c r="BS749" s="92"/>
      <c r="BT749" s="92"/>
      <c r="BU749" s="92"/>
      <c r="BV749" s="92"/>
      <c r="BW749" s="92"/>
      <c r="BX749" s="92"/>
      <c r="BY749" s="92"/>
      <c r="BZ749" s="92"/>
    </row>
    <row r="750" spans="1:78" ht="12.9">
      <c r="A750" s="89"/>
      <c r="B750" s="89"/>
      <c r="C750" s="89"/>
      <c r="D750" s="89"/>
      <c r="E750" s="89"/>
      <c r="F750" s="89"/>
      <c r="G750" s="89"/>
      <c r="H750" s="105"/>
      <c r="I750" s="106"/>
      <c r="J750" s="106"/>
      <c r="K750" s="89"/>
      <c r="L750" s="89"/>
      <c r="M750" s="89"/>
      <c r="N750" s="107"/>
      <c r="O750" s="107"/>
      <c r="P750" s="89"/>
      <c r="Q750" s="89"/>
      <c r="R750" s="89"/>
      <c r="S750" s="89"/>
      <c r="T750" s="89"/>
      <c r="U750" s="89"/>
      <c r="V750" s="89"/>
      <c r="W750" s="89"/>
      <c r="X750" s="89"/>
      <c r="Y750" s="89"/>
      <c r="Z750" s="77"/>
      <c r="AA750" s="77"/>
      <c r="AB750" s="94"/>
      <c r="AC750" s="94"/>
      <c r="AD750" s="94"/>
      <c r="AE750" s="94"/>
      <c r="AF750" s="91"/>
      <c r="AG750" s="92"/>
      <c r="AH750" s="92"/>
      <c r="AI750" s="93"/>
      <c r="AJ750" s="94"/>
      <c r="AK750" s="92"/>
      <c r="AL750" s="94"/>
      <c r="AM750" s="94"/>
      <c r="AN750" s="94"/>
      <c r="AO750" s="94"/>
      <c r="AP750" s="94"/>
      <c r="AQ750" s="94"/>
      <c r="AR750" s="94"/>
      <c r="AS750" s="94"/>
      <c r="AT750" s="94"/>
      <c r="AU750" s="92"/>
      <c r="AV750" s="94"/>
      <c r="AW750" s="94"/>
      <c r="AX750" s="94"/>
      <c r="AY750" s="94"/>
      <c r="AZ750" s="94"/>
      <c r="BA750" s="94"/>
      <c r="BB750" s="94"/>
      <c r="BC750" s="94"/>
      <c r="BD750" s="94"/>
      <c r="BE750" s="94"/>
      <c r="BF750" s="94"/>
      <c r="BG750" s="94"/>
      <c r="BH750" s="94"/>
      <c r="BI750" s="94"/>
      <c r="BJ750" s="94"/>
      <c r="BK750" s="94"/>
      <c r="BL750" s="92"/>
      <c r="BM750" s="94"/>
      <c r="BN750" s="94"/>
      <c r="BO750" s="94"/>
      <c r="BP750" s="94"/>
      <c r="BQ750" s="92"/>
      <c r="BR750" s="92"/>
      <c r="BS750" s="92"/>
      <c r="BT750" s="92"/>
      <c r="BU750" s="92"/>
      <c r="BV750" s="92"/>
      <c r="BW750" s="92"/>
      <c r="BX750" s="92"/>
      <c r="BY750" s="92"/>
      <c r="BZ750" s="92"/>
    </row>
    <row r="751" spans="1:78" ht="12.9">
      <c r="A751" s="89"/>
      <c r="B751" s="89"/>
      <c r="C751" s="89"/>
      <c r="D751" s="89"/>
      <c r="E751" s="89"/>
      <c r="F751" s="89"/>
      <c r="G751" s="89"/>
      <c r="H751" s="105"/>
      <c r="I751" s="106"/>
      <c r="J751" s="106"/>
      <c r="K751" s="89"/>
      <c r="L751" s="89"/>
      <c r="M751" s="89"/>
      <c r="N751" s="107"/>
      <c r="O751" s="107"/>
      <c r="P751" s="89"/>
      <c r="Q751" s="89"/>
      <c r="R751" s="89"/>
      <c r="S751" s="89"/>
      <c r="T751" s="89"/>
      <c r="U751" s="89"/>
      <c r="V751" s="89"/>
      <c r="W751" s="89"/>
      <c r="X751" s="89"/>
      <c r="Y751" s="89"/>
      <c r="Z751" s="77"/>
      <c r="AA751" s="77"/>
      <c r="AB751" s="94"/>
      <c r="AC751" s="94"/>
      <c r="AD751" s="94"/>
      <c r="AE751" s="94"/>
      <c r="AF751" s="91"/>
      <c r="AG751" s="92"/>
      <c r="AH751" s="92"/>
      <c r="AI751" s="93"/>
      <c r="AJ751" s="94"/>
      <c r="AK751" s="92"/>
      <c r="AL751" s="94"/>
      <c r="AM751" s="94"/>
      <c r="AN751" s="94"/>
      <c r="AO751" s="94"/>
      <c r="AP751" s="94"/>
      <c r="AQ751" s="94"/>
      <c r="AR751" s="94"/>
      <c r="AS751" s="94"/>
      <c r="AT751" s="94"/>
      <c r="AU751" s="92"/>
      <c r="AV751" s="94"/>
      <c r="AW751" s="94"/>
      <c r="AX751" s="94"/>
      <c r="AY751" s="94"/>
      <c r="AZ751" s="94"/>
      <c r="BA751" s="94"/>
      <c r="BB751" s="94"/>
      <c r="BC751" s="94"/>
      <c r="BD751" s="94"/>
      <c r="BE751" s="94"/>
      <c r="BF751" s="94"/>
      <c r="BG751" s="94"/>
      <c r="BH751" s="94"/>
      <c r="BI751" s="94"/>
      <c r="BJ751" s="94"/>
      <c r="BK751" s="94"/>
      <c r="BL751" s="92"/>
      <c r="BM751" s="94"/>
      <c r="BN751" s="94"/>
      <c r="BO751" s="94"/>
      <c r="BP751" s="94"/>
      <c r="BQ751" s="92"/>
      <c r="BR751" s="92"/>
      <c r="BS751" s="92"/>
      <c r="BT751" s="92"/>
      <c r="BU751" s="92"/>
      <c r="BV751" s="92"/>
      <c r="BW751" s="92"/>
      <c r="BX751" s="92"/>
      <c r="BY751" s="92"/>
      <c r="BZ751" s="92"/>
    </row>
    <row r="752" spans="1:78" ht="12.9">
      <c r="A752" s="89"/>
      <c r="B752" s="89"/>
      <c r="C752" s="89"/>
      <c r="D752" s="89"/>
      <c r="E752" s="89"/>
      <c r="F752" s="89"/>
      <c r="G752" s="89"/>
      <c r="H752" s="105"/>
      <c r="I752" s="106"/>
      <c r="J752" s="106"/>
      <c r="K752" s="89"/>
      <c r="L752" s="89"/>
      <c r="M752" s="89"/>
      <c r="N752" s="107"/>
      <c r="O752" s="107"/>
      <c r="P752" s="89"/>
      <c r="Q752" s="89"/>
      <c r="R752" s="89"/>
      <c r="S752" s="89"/>
      <c r="T752" s="89"/>
      <c r="U752" s="89"/>
      <c r="V752" s="89"/>
      <c r="W752" s="89"/>
      <c r="X752" s="89"/>
      <c r="Y752" s="89"/>
      <c r="Z752" s="77"/>
      <c r="AA752" s="77"/>
      <c r="AB752" s="94"/>
      <c r="AC752" s="94"/>
      <c r="AD752" s="94"/>
      <c r="AE752" s="94"/>
      <c r="AF752" s="91"/>
      <c r="AG752" s="92"/>
      <c r="AH752" s="92"/>
      <c r="AI752" s="93"/>
      <c r="AJ752" s="94"/>
      <c r="AK752" s="92"/>
      <c r="AL752" s="94"/>
      <c r="AM752" s="94"/>
      <c r="AN752" s="94"/>
      <c r="AO752" s="94"/>
      <c r="AP752" s="94"/>
      <c r="AQ752" s="94"/>
      <c r="AR752" s="94"/>
      <c r="AS752" s="94"/>
      <c r="AT752" s="94"/>
      <c r="AU752" s="92"/>
      <c r="AV752" s="94"/>
      <c r="AW752" s="94"/>
      <c r="AX752" s="94"/>
      <c r="AY752" s="94"/>
      <c r="AZ752" s="94"/>
      <c r="BA752" s="94"/>
      <c r="BB752" s="94"/>
      <c r="BC752" s="94"/>
      <c r="BD752" s="94"/>
      <c r="BE752" s="94"/>
      <c r="BF752" s="94"/>
      <c r="BG752" s="94"/>
      <c r="BH752" s="94"/>
      <c r="BI752" s="94"/>
      <c r="BJ752" s="94"/>
      <c r="BK752" s="94"/>
      <c r="BL752" s="92"/>
      <c r="BM752" s="94"/>
      <c r="BN752" s="94"/>
      <c r="BO752" s="94"/>
      <c r="BP752" s="94"/>
      <c r="BQ752" s="92"/>
      <c r="BR752" s="92"/>
      <c r="BS752" s="92"/>
      <c r="BT752" s="92"/>
      <c r="BU752" s="92"/>
      <c r="BV752" s="92"/>
      <c r="BW752" s="92"/>
      <c r="BX752" s="92"/>
      <c r="BY752" s="92"/>
      <c r="BZ752" s="92"/>
    </row>
    <row r="753" spans="1:78" ht="12.9">
      <c r="A753" s="89"/>
      <c r="B753" s="89"/>
      <c r="C753" s="89"/>
      <c r="D753" s="89"/>
      <c r="E753" s="89"/>
      <c r="F753" s="89"/>
      <c r="G753" s="89"/>
      <c r="H753" s="105"/>
      <c r="I753" s="106"/>
      <c r="J753" s="106"/>
      <c r="K753" s="89"/>
      <c r="L753" s="89"/>
      <c r="M753" s="89"/>
      <c r="N753" s="107"/>
      <c r="O753" s="107"/>
      <c r="P753" s="89"/>
      <c r="Q753" s="89"/>
      <c r="R753" s="89"/>
      <c r="S753" s="89"/>
      <c r="T753" s="89"/>
      <c r="U753" s="89"/>
      <c r="V753" s="89"/>
      <c r="W753" s="89"/>
      <c r="X753" s="89"/>
      <c r="Y753" s="89"/>
      <c r="Z753" s="77"/>
      <c r="AA753" s="77"/>
      <c r="AB753" s="94"/>
      <c r="AC753" s="94"/>
      <c r="AD753" s="94"/>
      <c r="AE753" s="94"/>
      <c r="AF753" s="91"/>
      <c r="AG753" s="92"/>
      <c r="AH753" s="92"/>
      <c r="AI753" s="93"/>
      <c r="AJ753" s="94"/>
      <c r="AK753" s="92"/>
      <c r="AL753" s="94"/>
      <c r="AM753" s="94"/>
      <c r="AN753" s="94"/>
      <c r="AO753" s="94"/>
      <c r="AP753" s="94"/>
      <c r="AQ753" s="94"/>
      <c r="AR753" s="94"/>
      <c r="AS753" s="94"/>
      <c r="AT753" s="94"/>
      <c r="AU753" s="92"/>
      <c r="AV753" s="94"/>
      <c r="AW753" s="94"/>
      <c r="AX753" s="94"/>
      <c r="AY753" s="94"/>
      <c r="AZ753" s="94"/>
      <c r="BA753" s="94"/>
      <c r="BB753" s="94"/>
      <c r="BC753" s="94"/>
      <c r="BD753" s="94"/>
      <c r="BE753" s="94"/>
      <c r="BF753" s="94"/>
      <c r="BG753" s="94"/>
      <c r="BH753" s="94"/>
      <c r="BI753" s="94"/>
      <c r="BJ753" s="94"/>
      <c r="BK753" s="94"/>
      <c r="BL753" s="92"/>
      <c r="BM753" s="94"/>
      <c r="BN753" s="94"/>
      <c r="BO753" s="94"/>
      <c r="BP753" s="94"/>
      <c r="BQ753" s="92"/>
      <c r="BR753" s="92"/>
      <c r="BS753" s="92"/>
      <c r="BT753" s="92"/>
      <c r="BU753" s="92"/>
      <c r="BV753" s="92"/>
      <c r="BW753" s="92"/>
      <c r="BX753" s="92"/>
      <c r="BY753" s="92"/>
      <c r="BZ753" s="92"/>
    </row>
    <row r="754" spans="1:78" ht="12.9">
      <c r="A754" s="89"/>
      <c r="B754" s="89"/>
      <c r="C754" s="89"/>
      <c r="D754" s="89"/>
      <c r="E754" s="89"/>
      <c r="F754" s="89"/>
      <c r="G754" s="89"/>
      <c r="H754" s="105"/>
      <c r="I754" s="106"/>
      <c r="J754" s="106"/>
      <c r="K754" s="89"/>
      <c r="L754" s="89"/>
      <c r="M754" s="89"/>
      <c r="N754" s="107"/>
      <c r="O754" s="107"/>
      <c r="P754" s="89"/>
      <c r="Q754" s="89"/>
      <c r="R754" s="89"/>
      <c r="S754" s="89"/>
      <c r="T754" s="89"/>
      <c r="U754" s="89"/>
      <c r="V754" s="89"/>
      <c r="W754" s="89"/>
      <c r="X754" s="89"/>
      <c r="Y754" s="89"/>
      <c r="Z754" s="77"/>
      <c r="AA754" s="77"/>
      <c r="AB754" s="94"/>
      <c r="AC754" s="94"/>
      <c r="AD754" s="94"/>
      <c r="AE754" s="94"/>
      <c r="AF754" s="91"/>
      <c r="AG754" s="92"/>
      <c r="AH754" s="92"/>
      <c r="AI754" s="93"/>
      <c r="AJ754" s="94"/>
      <c r="AK754" s="92"/>
      <c r="AL754" s="94"/>
      <c r="AM754" s="94"/>
      <c r="AN754" s="94"/>
      <c r="AO754" s="94"/>
      <c r="AP754" s="94"/>
      <c r="AQ754" s="94"/>
      <c r="AR754" s="94"/>
      <c r="AS754" s="94"/>
      <c r="AT754" s="94"/>
      <c r="AU754" s="92"/>
      <c r="AV754" s="94"/>
      <c r="AW754" s="94"/>
      <c r="AX754" s="94"/>
      <c r="AY754" s="94"/>
      <c r="AZ754" s="94"/>
      <c r="BA754" s="94"/>
      <c r="BB754" s="94"/>
      <c r="BC754" s="94"/>
      <c r="BD754" s="94"/>
      <c r="BE754" s="94"/>
      <c r="BF754" s="94"/>
      <c r="BG754" s="94"/>
      <c r="BH754" s="94"/>
      <c r="BI754" s="94"/>
      <c r="BJ754" s="94"/>
      <c r="BK754" s="94"/>
      <c r="BL754" s="92"/>
      <c r="BM754" s="94"/>
      <c r="BN754" s="94"/>
      <c r="BO754" s="94"/>
      <c r="BP754" s="94"/>
      <c r="BQ754" s="92"/>
      <c r="BR754" s="92"/>
      <c r="BS754" s="92"/>
      <c r="BT754" s="92"/>
      <c r="BU754" s="92"/>
      <c r="BV754" s="92"/>
      <c r="BW754" s="92"/>
      <c r="BX754" s="92"/>
      <c r="BY754" s="92"/>
      <c r="BZ754" s="92"/>
    </row>
    <row r="755" spans="1:78" ht="12.9">
      <c r="A755" s="89"/>
      <c r="B755" s="89"/>
      <c r="C755" s="89"/>
      <c r="D755" s="89"/>
      <c r="E755" s="89"/>
      <c r="F755" s="89"/>
      <c r="G755" s="89"/>
      <c r="H755" s="105"/>
      <c r="I755" s="106"/>
      <c r="J755" s="106"/>
      <c r="K755" s="89"/>
      <c r="L755" s="89"/>
      <c r="M755" s="89"/>
      <c r="N755" s="107"/>
      <c r="O755" s="107"/>
      <c r="P755" s="89"/>
      <c r="Q755" s="89"/>
      <c r="R755" s="89"/>
      <c r="S755" s="89"/>
      <c r="T755" s="89"/>
      <c r="U755" s="89"/>
      <c r="V755" s="89"/>
      <c r="W755" s="89"/>
      <c r="X755" s="89"/>
      <c r="Y755" s="89"/>
      <c r="Z755" s="77"/>
      <c r="AA755" s="77"/>
      <c r="AB755" s="94"/>
      <c r="AC755" s="94"/>
      <c r="AD755" s="94"/>
      <c r="AE755" s="94"/>
      <c r="AF755" s="91"/>
      <c r="AG755" s="92"/>
      <c r="AH755" s="92"/>
      <c r="AI755" s="93"/>
      <c r="AJ755" s="94"/>
      <c r="AK755" s="92"/>
      <c r="AL755" s="94"/>
      <c r="AM755" s="94"/>
      <c r="AN755" s="94"/>
      <c r="AO755" s="94"/>
      <c r="AP755" s="94"/>
      <c r="AQ755" s="94"/>
      <c r="AR755" s="94"/>
      <c r="AS755" s="94"/>
      <c r="AT755" s="94"/>
      <c r="AU755" s="92"/>
      <c r="AV755" s="94"/>
      <c r="AW755" s="94"/>
      <c r="AX755" s="94"/>
      <c r="AY755" s="94"/>
      <c r="AZ755" s="94"/>
      <c r="BA755" s="94"/>
      <c r="BB755" s="94"/>
      <c r="BC755" s="94"/>
      <c r="BD755" s="94"/>
      <c r="BE755" s="94"/>
      <c r="BF755" s="94"/>
      <c r="BG755" s="94"/>
      <c r="BH755" s="94"/>
      <c r="BI755" s="94"/>
      <c r="BJ755" s="94"/>
      <c r="BK755" s="94"/>
      <c r="BL755" s="92"/>
      <c r="BM755" s="94"/>
      <c r="BN755" s="94"/>
      <c r="BO755" s="94"/>
      <c r="BP755" s="94"/>
      <c r="BQ755" s="92"/>
      <c r="BR755" s="92"/>
      <c r="BS755" s="92"/>
      <c r="BT755" s="92"/>
      <c r="BU755" s="92"/>
      <c r="BV755" s="92"/>
      <c r="BW755" s="92"/>
      <c r="BX755" s="92"/>
      <c r="BY755" s="92"/>
      <c r="BZ755" s="92"/>
    </row>
    <row r="756" spans="1:78" ht="12.9">
      <c r="A756" s="89"/>
      <c r="B756" s="89"/>
      <c r="C756" s="89"/>
      <c r="D756" s="89"/>
      <c r="E756" s="89"/>
      <c r="F756" s="89"/>
      <c r="G756" s="89"/>
      <c r="H756" s="105"/>
      <c r="I756" s="106"/>
      <c r="J756" s="106"/>
      <c r="K756" s="89"/>
      <c r="L756" s="89"/>
      <c r="M756" s="89"/>
      <c r="N756" s="107"/>
      <c r="O756" s="107"/>
      <c r="P756" s="89"/>
      <c r="Q756" s="89"/>
      <c r="R756" s="89"/>
      <c r="S756" s="89"/>
      <c r="T756" s="89"/>
      <c r="U756" s="89"/>
      <c r="V756" s="89"/>
      <c r="W756" s="89"/>
      <c r="X756" s="89"/>
      <c r="Y756" s="89"/>
      <c r="Z756" s="77"/>
      <c r="AA756" s="77"/>
      <c r="AB756" s="94"/>
      <c r="AC756" s="94"/>
      <c r="AD756" s="94"/>
      <c r="AE756" s="94"/>
      <c r="AF756" s="91"/>
      <c r="AG756" s="92"/>
      <c r="AH756" s="92"/>
      <c r="AI756" s="93"/>
      <c r="AJ756" s="94"/>
      <c r="AK756" s="92"/>
      <c r="AL756" s="94"/>
      <c r="AM756" s="94"/>
      <c r="AN756" s="94"/>
      <c r="AO756" s="94"/>
      <c r="AP756" s="94"/>
      <c r="AQ756" s="94"/>
      <c r="AR756" s="94"/>
      <c r="AS756" s="94"/>
      <c r="AT756" s="94"/>
      <c r="AU756" s="92"/>
      <c r="AV756" s="94"/>
      <c r="AW756" s="94"/>
      <c r="AX756" s="94"/>
      <c r="AY756" s="94"/>
      <c r="AZ756" s="94"/>
      <c r="BA756" s="94"/>
      <c r="BB756" s="94"/>
      <c r="BC756" s="94"/>
      <c r="BD756" s="94"/>
      <c r="BE756" s="94"/>
      <c r="BF756" s="94"/>
      <c r="BG756" s="94"/>
      <c r="BH756" s="94"/>
      <c r="BI756" s="94"/>
      <c r="BJ756" s="94"/>
      <c r="BK756" s="94"/>
      <c r="BL756" s="92"/>
      <c r="BM756" s="94"/>
      <c r="BN756" s="94"/>
      <c r="BO756" s="94"/>
      <c r="BP756" s="94"/>
      <c r="BQ756" s="92"/>
      <c r="BR756" s="92"/>
      <c r="BS756" s="92"/>
      <c r="BT756" s="92"/>
      <c r="BU756" s="92"/>
      <c r="BV756" s="92"/>
      <c r="BW756" s="92"/>
      <c r="BX756" s="92"/>
      <c r="BY756" s="92"/>
      <c r="BZ756" s="92"/>
    </row>
    <row r="757" spans="1:78" ht="12.9">
      <c r="A757" s="89"/>
      <c r="B757" s="89"/>
      <c r="C757" s="89"/>
      <c r="D757" s="89"/>
      <c r="E757" s="89"/>
      <c r="F757" s="89"/>
      <c r="G757" s="89"/>
      <c r="H757" s="105"/>
      <c r="I757" s="106"/>
      <c r="J757" s="106"/>
      <c r="K757" s="89"/>
      <c r="L757" s="89"/>
      <c r="M757" s="89"/>
      <c r="N757" s="107"/>
      <c r="O757" s="107"/>
      <c r="P757" s="89"/>
      <c r="Q757" s="89"/>
      <c r="R757" s="89"/>
      <c r="S757" s="89"/>
      <c r="T757" s="89"/>
      <c r="U757" s="89"/>
      <c r="V757" s="89"/>
      <c r="W757" s="89"/>
      <c r="X757" s="89"/>
      <c r="Y757" s="89"/>
      <c r="Z757" s="77"/>
      <c r="AA757" s="77"/>
      <c r="AB757" s="94"/>
      <c r="AC757" s="94"/>
      <c r="AD757" s="94"/>
      <c r="AE757" s="94"/>
      <c r="AF757" s="91"/>
      <c r="AG757" s="92"/>
      <c r="AH757" s="92"/>
      <c r="AI757" s="93"/>
      <c r="AJ757" s="94"/>
      <c r="AK757" s="92"/>
      <c r="AL757" s="94"/>
      <c r="AM757" s="94"/>
      <c r="AN757" s="94"/>
      <c r="AO757" s="94"/>
      <c r="AP757" s="94"/>
      <c r="AQ757" s="94"/>
      <c r="AR757" s="94"/>
      <c r="AS757" s="94"/>
      <c r="AT757" s="94"/>
      <c r="AU757" s="92"/>
      <c r="AV757" s="94"/>
      <c r="AW757" s="94"/>
      <c r="AX757" s="94"/>
      <c r="AY757" s="94"/>
      <c r="AZ757" s="94"/>
      <c r="BA757" s="94"/>
      <c r="BB757" s="94"/>
      <c r="BC757" s="94"/>
      <c r="BD757" s="94"/>
      <c r="BE757" s="94"/>
      <c r="BF757" s="94"/>
      <c r="BG757" s="94"/>
      <c r="BH757" s="94"/>
      <c r="BI757" s="94"/>
      <c r="BJ757" s="94"/>
      <c r="BK757" s="94"/>
      <c r="BL757" s="92"/>
      <c r="BM757" s="94"/>
      <c r="BN757" s="94"/>
      <c r="BO757" s="94"/>
      <c r="BP757" s="94"/>
      <c r="BQ757" s="92"/>
      <c r="BR757" s="92"/>
      <c r="BS757" s="92"/>
      <c r="BT757" s="92"/>
      <c r="BU757" s="92"/>
      <c r="BV757" s="92"/>
      <c r="BW757" s="92"/>
      <c r="BX757" s="92"/>
      <c r="BY757" s="92"/>
      <c r="BZ757" s="92"/>
    </row>
    <row r="758" spans="1:78" ht="12.9">
      <c r="A758" s="89"/>
      <c r="B758" s="89"/>
      <c r="C758" s="89"/>
      <c r="D758" s="89"/>
      <c r="E758" s="89"/>
      <c r="F758" s="89"/>
      <c r="G758" s="89"/>
      <c r="H758" s="105"/>
      <c r="I758" s="106"/>
      <c r="J758" s="106"/>
      <c r="K758" s="89"/>
      <c r="L758" s="89"/>
      <c r="M758" s="89"/>
      <c r="N758" s="107"/>
      <c r="O758" s="107"/>
      <c r="P758" s="89"/>
      <c r="Q758" s="89"/>
      <c r="R758" s="89"/>
      <c r="S758" s="89"/>
      <c r="T758" s="89"/>
      <c r="U758" s="89"/>
      <c r="V758" s="89"/>
      <c r="W758" s="89"/>
      <c r="X758" s="89"/>
      <c r="Y758" s="89"/>
      <c r="Z758" s="77"/>
      <c r="AA758" s="77"/>
      <c r="AB758" s="94"/>
      <c r="AC758" s="94"/>
      <c r="AD758" s="94"/>
      <c r="AE758" s="94"/>
      <c r="AF758" s="91"/>
      <c r="AG758" s="92"/>
      <c r="AH758" s="92"/>
      <c r="AI758" s="93"/>
      <c r="AJ758" s="94"/>
      <c r="AK758" s="92"/>
      <c r="AL758" s="94"/>
      <c r="AM758" s="94"/>
      <c r="AN758" s="94"/>
      <c r="AO758" s="94"/>
      <c r="AP758" s="94"/>
      <c r="AQ758" s="94"/>
      <c r="AR758" s="94"/>
      <c r="AS758" s="94"/>
      <c r="AT758" s="94"/>
      <c r="AU758" s="92"/>
      <c r="AV758" s="94"/>
      <c r="AW758" s="94"/>
      <c r="AX758" s="94"/>
      <c r="AY758" s="94"/>
      <c r="AZ758" s="94"/>
      <c r="BA758" s="94"/>
      <c r="BB758" s="94"/>
      <c r="BC758" s="94"/>
      <c r="BD758" s="94"/>
      <c r="BE758" s="94"/>
      <c r="BF758" s="94"/>
      <c r="BG758" s="94"/>
      <c r="BH758" s="94"/>
      <c r="BI758" s="94"/>
      <c r="BJ758" s="94"/>
      <c r="BK758" s="94"/>
      <c r="BL758" s="92"/>
      <c r="BM758" s="94"/>
      <c r="BN758" s="94"/>
      <c r="BO758" s="94"/>
      <c r="BP758" s="94"/>
      <c r="BQ758" s="92"/>
      <c r="BR758" s="92"/>
      <c r="BS758" s="92"/>
      <c r="BT758" s="92"/>
      <c r="BU758" s="92"/>
      <c r="BV758" s="92"/>
      <c r="BW758" s="92"/>
      <c r="BX758" s="92"/>
      <c r="BY758" s="92"/>
      <c r="BZ758" s="92"/>
    </row>
    <row r="759" spans="1:78" ht="12.9">
      <c r="A759" s="89"/>
      <c r="B759" s="89"/>
      <c r="C759" s="89"/>
      <c r="D759" s="89"/>
      <c r="E759" s="89"/>
      <c r="F759" s="89"/>
      <c r="G759" s="89"/>
      <c r="H759" s="105"/>
      <c r="I759" s="106"/>
      <c r="J759" s="106"/>
      <c r="K759" s="89"/>
      <c r="L759" s="89"/>
      <c r="M759" s="89"/>
      <c r="N759" s="107"/>
      <c r="O759" s="107"/>
      <c r="P759" s="89"/>
      <c r="Q759" s="89"/>
      <c r="R759" s="89"/>
      <c r="S759" s="89"/>
      <c r="T759" s="89"/>
      <c r="U759" s="89"/>
      <c r="V759" s="89"/>
      <c r="W759" s="89"/>
      <c r="X759" s="89"/>
      <c r="Y759" s="89"/>
      <c r="Z759" s="77"/>
      <c r="AA759" s="77"/>
      <c r="AB759" s="94"/>
      <c r="AC759" s="94"/>
      <c r="AD759" s="94"/>
      <c r="AE759" s="94"/>
      <c r="AF759" s="91"/>
      <c r="AG759" s="92"/>
      <c r="AH759" s="92"/>
      <c r="AI759" s="93"/>
      <c r="AJ759" s="94"/>
      <c r="AK759" s="92"/>
      <c r="AL759" s="94"/>
      <c r="AM759" s="94"/>
      <c r="AN759" s="94"/>
      <c r="AO759" s="94"/>
      <c r="AP759" s="94"/>
      <c r="AQ759" s="94"/>
      <c r="AR759" s="94"/>
      <c r="AS759" s="94"/>
      <c r="AT759" s="94"/>
      <c r="AU759" s="92"/>
      <c r="AV759" s="94"/>
      <c r="AW759" s="94"/>
      <c r="AX759" s="94"/>
      <c r="AY759" s="94"/>
      <c r="AZ759" s="94"/>
      <c r="BA759" s="94"/>
      <c r="BB759" s="94"/>
      <c r="BC759" s="94"/>
      <c r="BD759" s="94"/>
      <c r="BE759" s="94"/>
      <c r="BF759" s="94"/>
      <c r="BG759" s="94"/>
      <c r="BH759" s="94"/>
      <c r="BI759" s="94"/>
      <c r="BJ759" s="94"/>
      <c r="BK759" s="94"/>
      <c r="BL759" s="92"/>
      <c r="BM759" s="94"/>
      <c r="BN759" s="94"/>
      <c r="BO759" s="94"/>
      <c r="BP759" s="94"/>
      <c r="BQ759" s="92"/>
      <c r="BR759" s="92"/>
      <c r="BS759" s="92"/>
      <c r="BT759" s="92"/>
      <c r="BU759" s="92"/>
      <c r="BV759" s="92"/>
      <c r="BW759" s="92"/>
      <c r="BX759" s="92"/>
      <c r="BY759" s="92"/>
      <c r="BZ759" s="92"/>
    </row>
    <row r="760" spans="1:78" ht="12.9">
      <c r="A760" s="89"/>
      <c r="B760" s="89"/>
      <c r="C760" s="89"/>
      <c r="D760" s="89"/>
      <c r="E760" s="89"/>
      <c r="F760" s="89"/>
      <c r="G760" s="89"/>
      <c r="H760" s="105"/>
      <c r="I760" s="106"/>
      <c r="J760" s="106"/>
      <c r="K760" s="89"/>
      <c r="L760" s="89"/>
      <c r="M760" s="89"/>
      <c r="N760" s="107"/>
      <c r="O760" s="107"/>
      <c r="P760" s="89"/>
      <c r="Q760" s="89"/>
      <c r="R760" s="89"/>
      <c r="S760" s="89"/>
      <c r="T760" s="89"/>
      <c r="U760" s="89"/>
      <c r="V760" s="89"/>
      <c r="W760" s="89"/>
      <c r="X760" s="89"/>
      <c r="Y760" s="89"/>
      <c r="Z760" s="77"/>
      <c r="AA760" s="77"/>
      <c r="AB760" s="94"/>
      <c r="AC760" s="94"/>
      <c r="AD760" s="94"/>
      <c r="AE760" s="94"/>
      <c r="AF760" s="91"/>
      <c r="AG760" s="92"/>
      <c r="AH760" s="92"/>
      <c r="AI760" s="93"/>
      <c r="AJ760" s="94"/>
      <c r="AK760" s="92"/>
      <c r="AL760" s="94"/>
      <c r="AM760" s="94"/>
      <c r="AN760" s="94"/>
      <c r="AO760" s="94"/>
      <c r="AP760" s="94"/>
      <c r="AQ760" s="94"/>
      <c r="AR760" s="94"/>
      <c r="AS760" s="94"/>
      <c r="AT760" s="94"/>
      <c r="AU760" s="92"/>
      <c r="AV760" s="94"/>
      <c r="AW760" s="94"/>
      <c r="AX760" s="94"/>
      <c r="AY760" s="94"/>
      <c r="AZ760" s="94"/>
      <c r="BA760" s="94"/>
      <c r="BB760" s="94"/>
      <c r="BC760" s="94"/>
      <c r="BD760" s="94"/>
      <c r="BE760" s="94"/>
      <c r="BF760" s="94"/>
      <c r="BG760" s="94"/>
      <c r="BH760" s="94"/>
      <c r="BI760" s="94"/>
      <c r="BJ760" s="94"/>
      <c r="BK760" s="94"/>
      <c r="BL760" s="92"/>
      <c r="BM760" s="94"/>
      <c r="BN760" s="94"/>
      <c r="BO760" s="94"/>
      <c r="BP760" s="94"/>
      <c r="BQ760" s="92"/>
      <c r="BR760" s="92"/>
      <c r="BS760" s="92"/>
      <c r="BT760" s="92"/>
      <c r="BU760" s="92"/>
      <c r="BV760" s="92"/>
      <c r="BW760" s="92"/>
      <c r="BX760" s="92"/>
      <c r="BY760" s="92"/>
      <c r="BZ760" s="92"/>
    </row>
    <row r="761" spans="1:78" ht="12.9">
      <c r="A761" s="89"/>
      <c r="B761" s="89"/>
      <c r="C761" s="89"/>
      <c r="D761" s="89"/>
      <c r="E761" s="89"/>
      <c r="F761" s="89"/>
      <c r="G761" s="89"/>
      <c r="H761" s="105"/>
      <c r="I761" s="106"/>
      <c r="J761" s="106"/>
      <c r="K761" s="89"/>
      <c r="L761" s="89"/>
      <c r="M761" s="89"/>
      <c r="N761" s="107"/>
      <c r="O761" s="107"/>
      <c r="P761" s="89"/>
      <c r="Q761" s="89"/>
      <c r="R761" s="89"/>
      <c r="S761" s="89"/>
      <c r="T761" s="89"/>
      <c r="U761" s="89"/>
      <c r="V761" s="89"/>
      <c r="W761" s="89"/>
      <c r="X761" s="89"/>
      <c r="Y761" s="89"/>
      <c r="Z761" s="77"/>
      <c r="AA761" s="77"/>
      <c r="AB761" s="94"/>
      <c r="AC761" s="94"/>
      <c r="AD761" s="94"/>
      <c r="AE761" s="94"/>
      <c r="AF761" s="91"/>
      <c r="AG761" s="92"/>
      <c r="AH761" s="92"/>
      <c r="AI761" s="93"/>
      <c r="AJ761" s="94"/>
      <c r="AK761" s="92"/>
      <c r="AL761" s="94"/>
      <c r="AM761" s="94"/>
      <c r="AN761" s="94"/>
      <c r="AO761" s="94"/>
      <c r="AP761" s="94"/>
      <c r="AQ761" s="94"/>
      <c r="AR761" s="94"/>
      <c r="AS761" s="94"/>
      <c r="AT761" s="94"/>
      <c r="AU761" s="92"/>
      <c r="AV761" s="94"/>
      <c r="AW761" s="94"/>
      <c r="AX761" s="94"/>
      <c r="AY761" s="94"/>
      <c r="AZ761" s="94"/>
      <c r="BA761" s="94"/>
      <c r="BB761" s="94"/>
      <c r="BC761" s="94"/>
      <c r="BD761" s="94"/>
      <c r="BE761" s="94"/>
      <c r="BF761" s="94"/>
      <c r="BG761" s="94"/>
      <c r="BH761" s="94"/>
      <c r="BI761" s="94"/>
      <c r="BJ761" s="94"/>
      <c r="BK761" s="94"/>
      <c r="BL761" s="92"/>
      <c r="BM761" s="94"/>
      <c r="BN761" s="94"/>
      <c r="BO761" s="94"/>
      <c r="BP761" s="94"/>
      <c r="BQ761" s="92"/>
      <c r="BR761" s="92"/>
      <c r="BS761" s="92"/>
      <c r="BT761" s="92"/>
      <c r="BU761" s="92"/>
      <c r="BV761" s="92"/>
      <c r="BW761" s="92"/>
      <c r="BX761" s="92"/>
      <c r="BY761" s="92"/>
      <c r="BZ761" s="92"/>
    </row>
    <row r="762" spans="1:78" ht="12.9">
      <c r="A762" s="89"/>
      <c r="B762" s="89"/>
      <c r="C762" s="89"/>
      <c r="D762" s="89"/>
      <c r="E762" s="89"/>
      <c r="F762" s="89"/>
      <c r="G762" s="89"/>
      <c r="H762" s="105"/>
      <c r="I762" s="106"/>
      <c r="J762" s="106"/>
      <c r="K762" s="89"/>
      <c r="L762" s="89"/>
      <c r="M762" s="89"/>
      <c r="N762" s="107"/>
      <c r="O762" s="107"/>
      <c r="P762" s="89"/>
      <c r="Q762" s="89"/>
      <c r="R762" s="89"/>
      <c r="S762" s="89"/>
      <c r="T762" s="89"/>
      <c r="U762" s="89"/>
      <c r="V762" s="89"/>
      <c r="W762" s="89"/>
      <c r="X762" s="89"/>
      <c r="Y762" s="89"/>
      <c r="Z762" s="77"/>
      <c r="AA762" s="77"/>
      <c r="AB762" s="94"/>
      <c r="AC762" s="94"/>
      <c r="AD762" s="94"/>
      <c r="AE762" s="94"/>
      <c r="AF762" s="91"/>
      <c r="AG762" s="92"/>
      <c r="AH762" s="92"/>
      <c r="AI762" s="93"/>
      <c r="AJ762" s="94"/>
      <c r="AK762" s="92"/>
      <c r="AL762" s="94"/>
      <c r="AM762" s="94"/>
      <c r="AN762" s="94"/>
      <c r="AO762" s="94"/>
      <c r="AP762" s="94"/>
      <c r="AQ762" s="94"/>
      <c r="AR762" s="94"/>
      <c r="AS762" s="94"/>
      <c r="AT762" s="94"/>
      <c r="AU762" s="92"/>
      <c r="AV762" s="94"/>
      <c r="AW762" s="94"/>
      <c r="AX762" s="94"/>
      <c r="AY762" s="94"/>
      <c r="AZ762" s="94"/>
      <c r="BA762" s="94"/>
      <c r="BB762" s="94"/>
      <c r="BC762" s="94"/>
      <c r="BD762" s="94"/>
      <c r="BE762" s="94"/>
      <c r="BF762" s="94"/>
      <c r="BG762" s="94"/>
      <c r="BH762" s="94"/>
      <c r="BI762" s="94"/>
      <c r="BJ762" s="94"/>
      <c r="BK762" s="94"/>
      <c r="BL762" s="92"/>
      <c r="BM762" s="94"/>
      <c r="BN762" s="94"/>
      <c r="BO762" s="94"/>
      <c r="BP762" s="94"/>
      <c r="BQ762" s="92"/>
      <c r="BR762" s="92"/>
      <c r="BS762" s="92"/>
      <c r="BT762" s="92"/>
      <c r="BU762" s="92"/>
      <c r="BV762" s="92"/>
      <c r="BW762" s="92"/>
      <c r="BX762" s="92"/>
      <c r="BY762" s="92"/>
      <c r="BZ762" s="92"/>
    </row>
    <row r="763" spans="1:78" ht="12.9">
      <c r="A763" s="89"/>
      <c r="B763" s="89"/>
      <c r="C763" s="89"/>
      <c r="D763" s="89"/>
      <c r="E763" s="89"/>
      <c r="F763" s="89"/>
      <c r="G763" s="89"/>
      <c r="H763" s="105"/>
      <c r="I763" s="106"/>
      <c r="J763" s="106"/>
      <c r="K763" s="89"/>
      <c r="L763" s="89"/>
      <c r="M763" s="89"/>
      <c r="N763" s="107"/>
      <c r="O763" s="107"/>
      <c r="P763" s="89"/>
      <c r="Q763" s="89"/>
      <c r="R763" s="89"/>
      <c r="S763" s="89"/>
      <c r="T763" s="89"/>
      <c r="U763" s="89"/>
      <c r="V763" s="89"/>
      <c r="W763" s="89"/>
      <c r="X763" s="89"/>
      <c r="Y763" s="89"/>
      <c r="Z763" s="77"/>
      <c r="AA763" s="77"/>
      <c r="AB763" s="94"/>
      <c r="AC763" s="94"/>
      <c r="AD763" s="94"/>
      <c r="AE763" s="94"/>
      <c r="AF763" s="91"/>
      <c r="AG763" s="92"/>
      <c r="AH763" s="92"/>
      <c r="AI763" s="93"/>
      <c r="AJ763" s="94"/>
      <c r="AK763" s="92"/>
      <c r="AL763" s="94"/>
      <c r="AM763" s="94"/>
      <c r="AN763" s="94"/>
      <c r="AO763" s="94"/>
      <c r="AP763" s="94"/>
      <c r="AQ763" s="94"/>
      <c r="AR763" s="94"/>
      <c r="AS763" s="94"/>
      <c r="AT763" s="94"/>
      <c r="AU763" s="92"/>
      <c r="AV763" s="94"/>
      <c r="AW763" s="94"/>
      <c r="AX763" s="94"/>
      <c r="AY763" s="94"/>
      <c r="AZ763" s="94"/>
      <c r="BA763" s="94"/>
      <c r="BB763" s="94"/>
      <c r="BC763" s="94"/>
      <c r="BD763" s="94"/>
      <c r="BE763" s="94"/>
      <c r="BF763" s="94"/>
      <c r="BG763" s="94"/>
      <c r="BH763" s="94"/>
      <c r="BI763" s="94"/>
      <c r="BJ763" s="94"/>
      <c r="BK763" s="94"/>
      <c r="BL763" s="92"/>
      <c r="BM763" s="94"/>
      <c r="BN763" s="94"/>
      <c r="BO763" s="94"/>
      <c r="BP763" s="94"/>
      <c r="BQ763" s="92"/>
      <c r="BR763" s="92"/>
      <c r="BS763" s="92"/>
      <c r="BT763" s="92"/>
      <c r="BU763" s="92"/>
      <c r="BV763" s="92"/>
      <c r="BW763" s="92"/>
      <c r="BX763" s="92"/>
      <c r="BY763" s="92"/>
      <c r="BZ763" s="92"/>
    </row>
    <row r="764" spans="1:78" ht="12.9">
      <c r="A764" s="89"/>
      <c r="B764" s="89"/>
      <c r="C764" s="89"/>
      <c r="D764" s="89"/>
      <c r="E764" s="89"/>
      <c r="F764" s="89"/>
      <c r="G764" s="89"/>
      <c r="H764" s="105"/>
      <c r="I764" s="106"/>
      <c r="J764" s="106"/>
      <c r="K764" s="89"/>
      <c r="L764" s="89"/>
      <c r="M764" s="89"/>
      <c r="N764" s="107"/>
      <c r="O764" s="107"/>
      <c r="P764" s="89"/>
      <c r="Q764" s="89"/>
      <c r="R764" s="89"/>
      <c r="S764" s="89"/>
      <c r="T764" s="89"/>
      <c r="U764" s="89"/>
      <c r="V764" s="89"/>
      <c r="W764" s="89"/>
      <c r="X764" s="89"/>
      <c r="Y764" s="89"/>
      <c r="Z764" s="77"/>
      <c r="AA764" s="77"/>
      <c r="AB764" s="94"/>
      <c r="AC764" s="94"/>
      <c r="AD764" s="94"/>
      <c r="AE764" s="94"/>
      <c r="AF764" s="91"/>
      <c r="AG764" s="92"/>
      <c r="AH764" s="92"/>
      <c r="AI764" s="93"/>
      <c r="AJ764" s="94"/>
      <c r="AK764" s="92"/>
      <c r="AL764" s="94"/>
      <c r="AM764" s="94"/>
      <c r="AN764" s="94"/>
      <c r="AO764" s="94"/>
      <c r="AP764" s="94"/>
      <c r="AQ764" s="94"/>
      <c r="AR764" s="94"/>
      <c r="AS764" s="94"/>
      <c r="AT764" s="94"/>
      <c r="AU764" s="92"/>
      <c r="AV764" s="94"/>
      <c r="AW764" s="94"/>
      <c r="AX764" s="94"/>
      <c r="AY764" s="94"/>
      <c r="AZ764" s="94"/>
      <c r="BA764" s="94"/>
      <c r="BB764" s="94"/>
      <c r="BC764" s="94"/>
      <c r="BD764" s="94"/>
      <c r="BE764" s="94"/>
      <c r="BF764" s="94"/>
      <c r="BG764" s="94"/>
      <c r="BH764" s="94"/>
      <c r="BI764" s="94"/>
      <c r="BJ764" s="94"/>
      <c r="BK764" s="94"/>
      <c r="BL764" s="92"/>
      <c r="BM764" s="94"/>
      <c r="BN764" s="94"/>
      <c r="BO764" s="94"/>
      <c r="BP764" s="94"/>
      <c r="BQ764" s="92"/>
      <c r="BR764" s="92"/>
      <c r="BS764" s="92"/>
      <c r="BT764" s="92"/>
      <c r="BU764" s="92"/>
      <c r="BV764" s="92"/>
      <c r="BW764" s="92"/>
      <c r="BX764" s="92"/>
      <c r="BY764" s="92"/>
      <c r="BZ764" s="92"/>
    </row>
    <row r="765" spans="1:78" ht="12.9">
      <c r="A765" s="89"/>
      <c r="B765" s="89"/>
      <c r="C765" s="89"/>
      <c r="D765" s="89"/>
      <c r="E765" s="89"/>
      <c r="F765" s="89"/>
      <c r="G765" s="89"/>
      <c r="H765" s="105"/>
      <c r="I765" s="106"/>
      <c r="J765" s="106"/>
      <c r="K765" s="89"/>
      <c r="L765" s="89"/>
      <c r="M765" s="89"/>
      <c r="N765" s="107"/>
      <c r="O765" s="107"/>
      <c r="P765" s="89"/>
      <c r="Q765" s="89"/>
      <c r="R765" s="89"/>
      <c r="S765" s="89"/>
      <c r="T765" s="89"/>
      <c r="U765" s="89"/>
      <c r="V765" s="89"/>
      <c r="W765" s="89"/>
      <c r="X765" s="89"/>
      <c r="Y765" s="89"/>
      <c r="Z765" s="77"/>
      <c r="AA765" s="77"/>
      <c r="AB765" s="94"/>
      <c r="AC765" s="94"/>
      <c r="AD765" s="94"/>
      <c r="AE765" s="94"/>
      <c r="AF765" s="91"/>
      <c r="AG765" s="92"/>
      <c r="AH765" s="92"/>
      <c r="AI765" s="93"/>
      <c r="AJ765" s="94"/>
      <c r="AK765" s="92"/>
      <c r="AL765" s="94"/>
      <c r="AM765" s="94"/>
      <c r="AN765" s="94"/>
      <c r="AO765" s="94"/>
      <c r="AP765" s="94"/>
      <c r="AQ765" s="94"/>
      <c r="AR765" s="94"/>
      <c r="AS765" s="94"/>
      <c r="AT765" s="94"/>
      <c r="AU765" s="92"/>
      <c r="AV765" s="94"/>
      <c r="AW765" s="94"/>
      <c r="AX765" s="94"/>
      <c r="AY765" s="94"/>
      <c r="AZ765" s="94"/>
      <c r="BA765" s="94"/>
      <c r="BB765" s="94"/>
      <c r="BC765" s="94"/>
      <c r="BD765" s="94"/>
      <c r="BE765" s="94"/>
      <c r="BF765" s="94"/>
      <c r="BG765" s="94"/>
      <c r="BH765" s="94"/>
      <c r="BI765" s="94"/>
      <c r="BJ765" s="94"/>
      <c r="BK765" s="94"/>
      <c r="BL765" s="92"/>
      <c r="BM765" s="94"/>
      <c r="BN765" s="94"/>
      <c r="BO765" s="94"/>
      <c r="BP765" s="94"/>
      <c r="BQ765" s="92"/>
      <c r="BR765" s="92"/>
      <c r="BS765" s="92"/>
      <c r="BT765" s="92"/>
      <c r="BU765" s="92"/>
      <c r="BV765" s="92"/>
      <c r="BW765" s="92"/>
      <c r="BX765" s="92"/>
      <c r="BY765" s="92"/>
      <c r="BZ765" s="92"/>
    </row>
    <row r="766" spans="1:78" ht="12.9">
      <c r="A766" s="89"/>
      <c r="B766" s="89"/>
      <c r="C766" s="89"/>
      <c r="D766" s="89"/>
      <c r="E766" s="89"/>
      <c r="F766" s="89"/>
      <c r="G766" s="89"/>
      <c r="H766" s="105"/>
      <c r="I766" s="106"/>
      <c r="J766" s="106"/>
      <c r="K766" s="89"/>
      <c r="L766" s="89"/>
      <c r="M766" s="89"/>
      <c r="N766" s="107"/>
      <c r="O766" s="107"/>
      <c r="P766" s="89"/>
      <c r="Q766" s="89"/>
      <c r="R766" s="89"/>
      <c r="S766" s="89"/>
      <c r="T766" s="89"/>
      <c r="U766" s="89"/>
      <c r="V766" s="89"/>
      <c r="W766" s="89"/>
      <c r="X766" s="89"/>
      <c r="Y766" s="89"/>
      <c r="Z766" s="77"/>
      <c r="AA766" s="77"/>
      <c r="AB766" s="94"/>
      <c r="AC766" s="94"/>
      <c r="AD766" s="94"/>
      <c r="AE766" s="94"/>
      <c r="AF766" s="91"/>
      <c r="AG766" s="92"/>
      <c r="AH766" s="92"/>
      <c r="AI766" s="93"/>
      <c r="AJ766" s="94"/>
      <c r="AK766" s="92"/>
      <c r="AL766" s="94"/>
      <c r="AM766" s="94"/>
      <c r="AN766" s="94"/>
      <c r="AO766" s="94"/>
      <c r="AP766" s="94"/>
      <c r="AQ766" s="94"/>
      <c r="AR766" s="94"/>
      <c r="AS766" s="94"/>
      <c r="AT766" s="94"/>
      <c r="AU766" s="92"/>
      <c r="AV766" s="94"/>
      <c r="AW766" s="94"/>
      <c r="AX766" s="94"/>
      <c r="AY766" s="94"/>
      <c r="AZ766" s="94"/>
      <c r="BA766" s="94"/>
      <c r="BB766" s="94"/>
      <c r="BC766" s="94"/>
      <c r="BD766" s="94"/>
      <c r="BE766" s="94"/>
      <c r="BF766" s="94"/>
      <c r="BG766" s="94"/>
      <c r="BH766" s="94"/>
      <c r="BI766" s="94"/>
      <c r="BJ766" s="94"/>
      <c r="BK766" s="94"/>
      <c r="BL766" s="92"/>
      <c r="BM766" s="94"/>
      <c r="BN766" s="94"/>
      <c r="BO766" s="94"/>
      <c r="BP766" s="94"/>
      <c r="BQ766" s="92"/>
      <c r="BR766" s="92"/>
      <c r="BS766" s="92"/>
      <c r="BT766" s="92"/>
      <c r="BU766" s="92"/>
      <c r="BV766" s="92"/>
      <c r="BW766" s="92"/>
      <c r="BX766" s="92"/>
      <c r="BY766" s="92"/>
      <c r="BZ766" s="92"/>
    </row>
    <row r="767" spans="1:78" ht="12.9">
      <c r="A767" s="89"/>
      <c r="B767" s="89"/>
      <c r="C767" s="89"/>
      <c r="D767" s="89"/>
      <c r="E767" s="89"/>
      <c r="F767" s="89"/>
      <c r="G767" s="89"/>
      <c r="H767" s="105"/>
      <c r="I767" s="106"/>
      <c r="J767" s="106"/>
      <c r="K767" s="89"/>
      <c r="L767" s="89"/>
      <c r="M767" s="89"/>
      <c r="N767" s="107"/>
      <c r="O767" s="107"/>
      <c r="P767" s="89"/>
      <c r="Q767" s="89"/>
      <c r="R767" s="89"/>
      <c r="S767" s="89"/>
      <c r="T767" s="89"/>
      <c r="U767" s="89"/>
      <c r="V767" s="89"/>
      <c r="W767" s="89"/>
      <c r="X767" s="89"/>
      <c r="Y767" s="89"/>
      <c r="Z767" s="77"/>
      <c r="AA767" s="77"/>
      <c r="AB767" s="94"/>
      <c r="AC767" s="94"/>
      <c r="AD767" s="94"/>
      <c r="AE767" s="94"/>
      <c r="AF767" s="91"/>
      <c r="AG767" s="92"/>
      <c r="AH767" s="92"/>
      <c r="AI767" s="93"/>
      <c r="AJ767" s="94"/>
      <c r="AK767" s="92"/>
      <c r="AL767" s="94"/>
      <c r="AM767" s="94"/>
      <c r="AN767" s="94"/>
      <c r="AO767" s="94"/>
      <c r="AP767" s="94"/>
      <c r="AQ767" s="94"/>
      <c r="AR767" s="94"/>
      <c r="AS767" s="94"/>
      <c r="AT767" s="94"/>
      <c r="AU767" s="92"/>
      <c r="AV767" s="94"/>
      <c r="AW767" s="94"/>
      <c r="AX767" s="94"/>
      <c r="AY767" s="94"/>
      <c r="AZ767" s="94"/>
      <c r="BA767" s="94"/>
      <c r="BB767" s="94"/>
      <c r="BC767" s="94"/>
      <c r="BD767" s="94"/>
      <c r="BE767" s="94"/>
      <c r="BF767" s="94"/>
      <c r="BG767" s="94"/>
      <c r="BH767" s="94"/>
      <c r="BI767" s="94"/>
      <c r="BJ767" s="94"/>
      <c r="BK767" s="94"/>
      <c r="BL767" s="92"/>
      <c r="BM767" s="94"/>
      <c r="BN767" s="94"/>
      <c r="BO767" s="94"/>
      <c r="BP767" s="94"/>
      <c r="BQ767" s="92"/>
      <c r="BR767" s="92"/>
      <c r="BS767" s="92"/>
      <c r="BT767" s="92"/>
      <c r="BU767" s="92"/>
      <c r="BV767" s="92"/>
      <c r="BW767" s="92"/>
      <c r="BX767" s="92"/>
      <c r="BY767" s="92"/>
      <c r="BZ767" s="92"/>
    </row>
    <row r="768" spans="1:78" ht="12.9">
      <c r="A768" s="89"/>
      <c r="B768" s="89"/>
      <c r="C768" s="89"/>
      <c r="D768" s="89"/>
      <c r="E768" s="89"/>
      <c r="F768" s="89"/>
      <c r="G768" s="89"/>
      <c r="H768" s="105"/>
      <c r="I768" s="106"/>
      <c r="J768" s="106"/>
      <c r="K768" s="89"/>
      <c r="L768" s="89"/>
      <c r="M768" s="89"/>
      <c r="N768" s="107"/>
      <c r="O768" s="107"/>
      <c r="P768" s="89"/>
      <c r="Q768" s="89"/>
      <c r="R768" s="89"/>
      <c r="S768" s="89"/>
      <c r="T768" s="89"/>
      <c r="U768" s="89"/>
      <c r="V768" s="89"/>
      <c r="W768" s="89"/>
      <c r="X768" s="89"/>
      <c r="Y768" s="89"/>
      <c r="Z768" s="77"/>
      <c r="AA768" s="77"/>
      <c r="AB768" s="94"/>
      <c r="AC768" s="94"/>
      <c r="AD768" s="94"/>
      <c r="AE768" s="94"/>
      <c r="AF768" s="91"/>
      <c r="AG768" s="92"/>
      <c r="AH768" s="92"/>
      <c r="AI768" s="93"/>
      <c r="AJ768" s="94"/>
      <c r="AK768" s="92"/>
      <c r="AL768" s="94"/>
      <c r="AM768" s="94"/>
      <c r="AN768" s="94"/>
      <c r="AO768" s="94"/>
      <c r="AP768" s="94"/>
      <c r="AQ768" s="94"/>
      <c r="AR768" s="94"/>
      <c r="AS768" s="94"/>
      <c r="AT768" s="94"/>
      <c r="AU768" s="92"/>
      <c r="AV768" s="94"/>
      <c r="AW768" s="94"/>
      <c r="AX768" s="94"/>
      <c r="AY768" s="94"/>
      <c r="AZ768" s="94"/>
      <c r="BA768" s="94"/>
      <c r="BB768" s="94"/>
      <c r="BC768" s="94"/>
      <c r="BD768" s="94"/>
      <c r="BE768" s="94"/>
      <c r="BF768" s="94"/>
      <c r="BG768" s="94"/>
      <c r="BH768" s="94"/>
      <c r="BI768" s="94"/>
      <c r="BJ768" s="94"/>
      <c r="BK768" s="94"/>
      <c r="BL768" s="92"/>
      <c r="BM768" s="94"/>
      <c r="BN768" s="94"/>
      <c r="BO768" s="94"/>
      <c r="BP768" s="94"/>
      <c r="BQ768" s="92"/>
      <c r="BR768" s="92"/>
      <c r="BS768" s="92"/>
      <c r="BT768" s="92"/>
      <c r="BU768" s="92"/>
      <c r="BV768" s="92"/>
      <c r="BW768" s="92"/>
      <c r="BX768" s="92"/>
      <c r="BY768" s="92"/>
      <c r="BZ768" s="92"/>
    </row>
    <row r="769" spans="1:78" ht="12.9">
      <c r="A769" s="89"/>
      <c r="B769" s="89"/>
      <c r="C769" s="89"/>
      <c r="D769" s="89"/>
      <c r="E769" s="89"/>
      <c r="F769" s="89"/>
      <c r="G769" s="89"/>
      <c r="H769" s="105"/>
      <c r="I769" s="106"/>
      <c r="J769" s="106"/>
      <c r="K769" s="89"/>
      <c r="L769" s="89"/>
      <c r="M769" s="89"/>
      <c r="N769" s="107"/>
      <c r="O769" s="107"/>
      <c r="P769" s="89"/>
      <c r="Q769" s="89"/>
      <c r="R769" s="89"/>
      <c r="S769" s="89"/>
      <c r="T769" s="89"/>
      <c r="U769" s="89"/>
      <c r="V769" s="89"/>
      <c r="W769" s="89"/>
      <c r="X769" s="89"/>
      <c r="Y769" s="89"/>
      <c r="Z769" s="77"/>
      <c r="AA769" s="77"/>
      <c r="AB769" s="94"/>
      <c r="AC769" s="94"/>
      <c r="AD769" s="94"/>
      <c r="AE769" s="94"/>
      <c r="AF769" s="91"/>
      <c r="AG769" s="92"/>
      <c r="AH769" s="92"/>
      <c r="AI769" s="93"/>
      <c r="AJ769" s="94"/>
      <c r="AK769" s="92"/>
      <c r="AL769" s="94"/>
      <c r="AM769" s="94"/>
      <c r="AN769" s="94"/>
      <c r="AO769" s="94"/>
      <c r="AP769" s="94"/>
      <c r="AQ769" s="94"/>
      <c r="AR769" s="94"/>
      <c r="AS769" s="94"/>
      <c r="AT769" s="94"/>
      <c r="AU769" s="92"/>
      <c r="AV769" s="94"/>
      <c r="AW769" s="94"/>
      <c r="AX769" s="94"/>
      <c r="AY769" s="94"/>
      <c r="AZ769" s="94"/>
      <c r="BA769" s="94"/>
      <c r="BB769" s="94"/>
      <c r="BC769" s="94"/>
      <c r="BD769" s="94"/>
      <c r="BE769" s="94"/>
      <c r="BF769" s="94"/>
      <c r="BG769" s="94"/>
      <c r="BH769" s="94"/>
      <c r="BI769" s="94"/>
      <c r="BJ769" s="94"/>
      <c r="BK769" s="94"/>
      <c r="BL769" s="92"/>
      <c r="BM769" s="94"/>
      <c r="BN769" s="94"/>
      <c r="BO769" s="94"/>
      <c r="BP769" s="94"/>
      <c r="BQ769" s="92"/>
      <c r="BR769" s="92"/>
      <c r="BS769" s="92"/>
      <c r="BT769" s="92"/>
      <c r="BU769" s="92"/>
      <c r="BV769" s="92"/>
      <c r="BW769" s="92"/>
      <c r="BX769" s="92"/>
      <c r="BY769" s="92"/>
      <c r="BZ769" s="92"/>
    </row>
    <row r="770" spans="1:78" ht="12.9">
      <c r="A770" s="89"/>
      <c r="B770" s="89"/>
      <c r="C770" s="89"/>
      <c r="D770" s="89"/>
      <c r="E770" s="89"/>
      <c r="F770" s="89"/>
      <c r="G770" s="89"/>
      <c r="H770" s="105"/>
      <c r="I770" s="106"/>
      <c r="J770" s="106"/>
      <c r="K770" s="89"/>
      <c r="L770" s="89"/>
      <c r="M770" s="89"/>
      <c r="N770" s="107"/>
      <c r="O770" s="107"/>
      <c r="P770" s="89"/>
      <c r="Q770" s="89"/>
      <c r="R770" s="89"/>
      <c r="S770" s="89"/>
      <c r="T770" s="89"/>
      <c r="U770" s="89"/>
      <c r="V770" s="89"/>
      <c r="W770" s="89"/>
      <c r="X770" s="89"/>
      <c r="Y770" s="89"/>
      <c r="Z770" s="77"/>
      <c r="AA770" s="77"/>
      <c r="AB770" s="94"/>
      <c r="AC770" s="94"/>
      <c r="AD770" s="94"/>
      <c r="AE770" s="94"/>
      <c r="AF770" s="91"/>
      <c r="AG770" s="92"/>
      <c r="AH770" s="92"/>
      <c r="AI770" s="93"/>
      <c r="AJ770" s="94"/>
      <c r="AK770" s="92"/>
      <c r="AL770" s="94"/>
      <c r="AM770" s="94"/>
      <c r="AN770" s="94"/>
      <c r="AO770" s="94"/>
      <c r="AP770" s="94"/>
      <c r="AQ770" s="94"/>
      <c r="AR770" s="94"/>
      <c r="AS770" s="94"/>
      <c r="AT770" s="94"/>
      <c r="AU770" s="92"/>
      <c r="AV770" s="94"/>
      <c r="AW770" s="94"/>
      <c r="AX770" s="94"/>
      <c r="AY770" s="94"/>
      <c r="AZ770" s="94"/>
      <c r="BA770" s="94"/>
      <c r="BB770" s="94"/>
      <c r="BC770" s="94"/>
      <c r="BD770" s="94"/>
      <c r="BE770" s="94"/>
      <c r="BF770" s="94"/>
      <c r="BG770" s="94"/>
      <c r="BH770" s="94"/>
      <c r="BI770" s="94"/>
      <c r="BJ770" s="94"/>
      <c r="BK770" s="94"/>
      <c r="BL770" s="92"/>
      <c r="BM770" s="94"/>
      <c r="BN770" s="94"/>
      <c r="BO770" s="94"/>
      <c r="BP770" s="94"/>
      <c r="BQ770" s="92"/>
      <c r="BR770" s="92"/>
      <c r="BS770" s="92"/>
      <c r="BT770" s="92"/>
      <c r="BU770" s="92"/>
      <c r="BV770" s="92"/>
      <c r="BW770" s="92"/>
      <c r="BX770" s="92"/>
      <c r="BY770" s="92"/>
      <c r="BZ770" s="92"/>
    </row>
    <row r="771" spans="1:78" ht="12.9">
      <c r="A771" s="89"/>
      <c r="B771" s="89"/>
      <c r="C771" s="89"/>
      <c r="D771" s="89"/>
      <c r="E771" s="89"/>
      <c r="F771" s="89"/>
      <c r="G771" s="89"/>
      <c r="H771" s="105"/>
      <c r="I771" s="106"/>
      <c r="J771" s="106"/>
      <c r="K771" s="89"/>
      <c r="L771" s="89"/>
      <c r="M771" s="89"/>
      <c r="N771" s="107"/>
      <c r="O771" s="107"/>
      <c r="P771" s="89"/>
      <c r="Q771" s="89"/>
      <c r="R771" s="89"/>
      <c r="S771" s="89"/>
      <c r="T771" s="89"/>
      <c r="U771" s="89"/>
      <c r="V771" s="89"/>
      <c r="W771" s="89"/>
      <c r="X771" s="89"/>
      <c r="Y771" s="89"/>
      <c r="Z771" s="77"/>
      <c r="AA771" s="77"/>
      <c r="AB771" s="94"/>
      <c r="AC771" s="94"/>
      <c r="AD771" s="94"/>
      <c r="AE771" s="94"/>
      <c r="AF771" s="91"/>
      <c r="AG771" s="92"/>
      <c r="AH771" s="92"/>
      <c r="AI771" s="93"/>
      <c r="AJ771" s="94"/>
      <c r="AK771" s="92"/>
      <c r="AL771" s="94"/>
      <c r="AM771" s="94"/>
      <c r="AN771" s="94"/>
      <c r="AO771" s="94"/>
      <c r="AP771" s="94"/>
      <c r="AQ771" s="94"/>
      <c r="AR771" s="94"/>
      <c r="AS771" s="94"/>
      <c r="AT771" s="94"/>
      <c r="AU771" s="92"/>
      <c r="AV771" s="94"/>
      <c r="AW771" s="94"/>
      <c r="AX771" s="94"/>
      <c r="AY771" s="94"/>
      <c r="AZ771" s="94"/>
      <c r="BA771" s="94"/>
      <c r="BB771" s="94"/>
      <c r="BC771" s="94"/>
      <c r="BD771" s="94"/>
      <c r="BE771" s="94"/>
      <c r="BF771" s="94"/>
      <c r="BG771" s="94"/>
      <c r="BH771" s="94"/>
      <c r="BI771" s="94"/>
      <c r="BJ771" s="94"/>
      <c r="BK771" s="94"/>
      <c r="BL771" s="92"/>
      <c r="BM771" s="94"/>
      <c r="BN771" s="94"/>
      <c r="BO771" s="94"/>
      <c r="BP771" s="94"/>
      <c r="BQ771" s="92"/>
      <c r="BR771" s="92"/>
      <c r="BS771" s="92"/>
      <c r="BT771" s="92"/>
      <c r="BU771" s="92"/>
      <c r="BV771" s="92"/>
      <c r="BW771" s="92"/>
      <c r="BX771" s="92"/>
      <c r="BY771" s="92"/>
      <c r="BZ771" s="92"/>
    </row>
    <row r="772" spans="1:78" ht="12.9">
      <c r="A772" s="89"/>
      <c r="B772" s="89"/>
      <c r="C772" s="89"/>
      <c r="D772" s="89"/>
      <c r="E772" s="89"/>
      <c r="F772" s="89"/>
      <c r="G772" s="89"/>
      <c r="H772" s="105"/>
      <c r="I772" s="106"/>
      <c r="J772" s="106"/>
      <c r="K772" s="89"/>
      <c r="L772" s="89"/>
      <c r="M772" s="89"/>
      <c r="N772" s="107"/>
      <c r="O772" s="107"/>
      <c r="P772" s="89"/>
      <c r="Q772" s="89"/>
      <c r="R772" s="89"/>
      <c r="S772" s="89"/>
      <c r="T772" s="89"/>
      <c r="U772" s="89"/>
      <c r="V772" s="89"/>
      <c r="W772" s="89"/>
      <c r="X772" s="89"/>
      <c r="Y772" s="89"/>
      <c r="Z772" s="77"/>
      <c r="AA772" s="77"/>
      <c r="AB772" s="94"/>
      <c r="AC772" s="94"/>
      <c r="AD772" s="94"/>
      <c r="AE772" s="94"/>
      <c r="AF772" s="91"/>
      <c r="AG772" s="92"/>
      <c r="AH772" s="92"/>
      <c r="AI772" s="93"/>
      <c r="AJ772" s="94"/>
      <c r="AK772" s="92"/>
      <c r="AL772" s="94"/>
      <c r="AM772" s="94"/>
      <c r="AN772" s="94"/>
      <c r="AO772" s="94"/>
      <c r="AP772" s="94"/>
      <c r="AQ772" s="94"/>
      <c r="AR772" s="94"/>
      <c r="AS772" s="94"/>
      <c r="AT772" s="94"/>
      <c r="AU772" s="92"/>
      <c r="AV772" s="94"/>
      <c r="AW772" s="94"/>
      <c r="AX772" s="94"/>
      <c r="AY772" s="94"/>
      <c r="AZ772" s="94"/>
      <c r="BA772" s="94"/>
      <c r="BB772" s="94"/>
      <c r="BC772" s="94"/>
      <c r="BD772" s="94"/>
      <c r="BE772" s="94"/>
      <c r="BF772" s="94"/>
      <c r="BG772" s="94"/>
      <c r="BH772" s="94"/>
      <c r="BI772" s="94"/>
      <c r="BJ772" s="94"/>
      <c r="BK772" s="94"/>
      <c r="BL772" s="92"/>
      <c r="BM772" s="94"/>
      <c r="BN772" s="94"/>
      <c r="BO772" s="94"/>
      <c r="BP772" s="94"/>
      <c r="BQ772" s="92"/>
      <c r="BR772" s="92"/>
      <c r="BS772" s="92"/>
      <c r="BT772" s="92"/>
      <c r="BU772" s="92"/>
      <c r="BV772" s="92"/>
      <c r="BW772" s="92"/>
      <c r="BX772" s="92"/>
      <c r="BY772" s="92"/>
      <c r="BZ772" s="92"/>
    </row>
    <row r="773" spans="1:78" ht="12.9">
      <c r="A773" s="89"/>
      <c r="B773" s="89"/>
      <c r="C773" s="89"/>
      <c r="D773" s="89"/>
      <c r="E773" s="89"/>
      <c r="F773" s="89"/>
      <c r="G773" s="89"/>
      <c r="H773" s="105"/>
      <c r="I773" s="106"/>
      <c r="J773" s="106"/>
      <c r="K773" s="89"/>
      <c r="L773" s="89"/>
      <c r="M773" s="89"/>
      <c r="N773" s="107"/>
      <c r="O773" s="107"/>
      <c r="P773" s="89"/>
      <c r="Q773" s="89"/>
      <c r="R773" s="89"/>
      <c r="S773" s="89"/>
      <c r="T773" s="89"/>
      <c r="U773" s="89"/>
      <c r="V773" s="89"/>
      <c r="W773" s="89"/>
      <c r="X773" s="89"/>
      <c r="Y773" s="89"/>
      <c r="Z773" s="77"/>
      <c r="AA773" s="77"/>
      <c r="AB773" s="94"/>
      <c r="AC773" s="94"/>
      <c r="AD773" s="94"/>
      <c r="AE773" s="94"/>
      <c r="AF773" s="91"/>
      <c r="AG773" s="92"/>
      <c r="AH773" s="92"/>
      <c r="AI773" s="93"/>
      <c r="AJ773" s="94"/>
      <c r="AK773" s="92"/>
      <c r="AL773" s="94"/>
      <c r="AM773" s="94"/>
      <c r="AN773" s="94"/>
      <c r="AO773" s="94"/>
      <c r="AP773" s="94"/>
      <c r="AQ773" s="94"/>
      <c r="AR773" s="94"/>
      <c r="AS773" s="94"/>
      <c r="AT773" s="94"/>
      <c r="AU773" s="92"/>
      <c r="AV773" s="94"/>
      <c r="AW773" s="94"/>
      <c r="AX773" s="94"/>
      <c r="AY773" s="94"/>
      <c r="AZ773" s="94"/>
      <c r="BA773" s="94"/>
      <c r="BB773" s="94"/>
      <c r="BC773" s="94"/>
      <c r="BD773" s="94"/>
      <c r="BE773" s="94"/>
      <c r="BF773" s="94"/>
      <c r="BG773" s="94"/>
      <c r="BH773" s="94"/>
      <c r="BI773" s="94"/>
      <c r="BJ773" s="94"/>
      <c r="BK773" s="94"/>
      <c r="BL773" s="92"/>
      <c r="BM773" s="94"/>
      <c r="BN773" s="94"/>
      <c r="BO773" s="94"/>
      <c r="BP773" s="94"/>
      <c r="BQ773" s="92"/>
      <c r="BR773" s="92"/>
      <c r="BS773" s="92"/>
      <c r="BT773" s="92"/>
      <c r="BU773" s="92"/>
      <c r="BV773" s="92"/>
      <c r="BW773" s="92"/>
      <c r="BX773" s="92"/>
      <c r="BY773" s="92"/>
      <c r="BZ773" s="92"/>
    </row>
    <row r="774" spans="1:78" ht="12.9">
      <c r="A774" s="89"/>
      <c r="B774" s="89"/>
      <c r="C774" s="89"/>
      <c r="D774" s="89"/>
      <c r="E774" s="89"/>
      <c r="F774" s="89"/>
      <c r="G774" s="89"/>
      <c r="H774" s="105"/>
      <c r="I774" s="106"/>
      <c r="J774" s="106"/>
      <c r="K774" s="89"/>
      <c r="L774" s="89"/>
      <c r="M774" s="89"/>
      <c r="N774" s="107"/>
      <c r="O774" s="107"/>
      <c r="P774" s="89"/>
      <c r="Q774" s="89"/>
      <c r="R774" s="89"/>
      <c r="S774" s="89"/>
      <c r="T774" s="89"/>
      <c r="U774" s="89"/>
      <c r="V774" s="89"/>
      <c r="W774" s="89"/>
      <c r="X774" s="89"/>
      <c r="Y774" s="89"/>
      <c r="Z774" s="77"/>
      <c r="AA774" s="77"/>
      <c r="AB774" s="94"/>
      <c r="AC774" s="94"/>
      <c r="AD774" s="94"/>
      <c r="AE774" s="94"/>
      <c r="AF774" s="91"/>
      <c r="AG774" s="92"/>
      <c r="AH774" s="92"/>
      <c r="AI774" s="93"/>
      <c r="AJ774" s="94"/>
      <c r="AK774" s="92"/>
      <c r="AL774" s="94"/>
      <c r="AM774" s="94"/>
      <c r="AN774" s="94"/>
      <c r="AO774" s="94"/>
      <c r="AP774" s="94"/>
      <c r="AQ774" s="94"/>
      <c r="AR774" s="94"/>
      <c r="AS774" s="94"/>
      <c r="AT774" s="94"/>
      <c r="AU774" s="92"/>
      <c r="AV774" s="94"/>
      <c r="AW774" s="94"/>
      <c r="AX774" s="94"/>
      <c r="AY774" s="94"/>
      <c r="AZ774" s="94"/>
      <c r="BA774" s="94"/>
      <c r="BB774" s="94"/>
      <c r="BC774" s="94"/>
      <c r="BD774" s="94"/>
      <c r="BE774" s="94"/>
      <c r="BF774" s="94"/>
      <c r="BG774" s="94"/>
      <c r="BH774" s="94"/>
      <c r="BI774" s="94"/>
      <c r="BJ774" s="94"/>
      <c r="BK774" s="94"/>
      <c r="BL774" s="92"/>
      <c r="BM774" s="94"/>
      <c r="BN774" s="94"/>
      <c r="BO774" s="94"/>
      <c r="BP774" s="94"/>
      <c r="BQ774" s="92"/>
      <c r="BR774" s="92"/>
      <c r="BS774" s="92"/>
      <c r="BT774" s="92"/>
      <c r="BU774" s="92"/>
      <c r="BV774" s="92"/>
      <c r="BW774" s="92"/>
      <c r="BX774" s="92"/>
      <c r="BY774" s="92"/>
      <c r="BZ774" s="92"/>
    </row>
    <row r="775" spans="1:78" ht="12.9">
      <c r="A775" s="89"/>
      <c r="B775" s="89"/>
      <c r="C775" s="89"/>
      <c r="D775" s="89"/>
      <c r="E775" s="89"/>
      <c r="F775" s="89"/>
      <c r="G775" s="89"/>
      <c r="H775" s="105"/>
      <c r="I775" s="106"/>
      <c r="J775" s="106"/>
      <c r="K775" s="89"/>
      <c r="L775" s="89"/>
      <c r="M775" s="89"/>
      <c r="N775" s="107"/>
      <c r="O775" s="107"/>
      <c r="P775" s="89"/>
      <c r="Q775" s="89"/>
      <c r="R775" s="89"/>
      <c r="S775" s="89"/>
      <c r="T775" s="89"/>
      <c r="U775" s="89"/>
      <c r="V775" s="89"/>
      <c r="W775" s="89"/>
      <c r="X775" s="89"/>
      <c r="Y775" s="89"/>
      <c r="Z775" s="77"/>
      <c r="AA775" s="77"/>
      <c r="AB775" s="94"/>
      <c r="AC775" s="94"/>
      <c r="AD775" s="94"/>
      <c r="AE775" s="94"/>
      <c r="AF775" s="91"/>
      <c r="AG775" s="92"/>
      <c r="AH775" s="92"/>
      <c r="AI775" s="93"/>
      <c r="AJ775" s="94"/>
      <c r="AK775" s="92"/>
      <c r="AL775" s="94"/>
      <c r="AM775" s="94"/>
      <c r="AN775" s="94"/>
      <c r="AO775" s="94"/>
      <c r="AP775" s="94"/>
      <c r="AQ775" s="94"/>
      <c r="AR775" s="94"/>
      <c r="AS775" s="94"/>
      <c r="AT775" s="94"/>
      <c r="AU775" s="92"/>
      <c r="AV775" s="94"/>
      <c r="AW775" s="94"/>
      <c r="AX775" s="94"/>
      <c r="AY775" s="94"/>
      <c r="AZ775" s="94"/>
      <c r="BA775" s="94"/>
      <c r="BB775" s="94"/>
      <c r="BC775" s="94"/>
      <c r="BD775" s="94"/>
      <c r="BE775" s="94"/>
      <c r="BF775" s="94"/>
      <c r="BG775" s="94"/>
      <c r="BH775" s="94"/>
      <c r="BI775" s="94"/>
      <c r="BJ775" s="94"/>
      <c r="BK775" s="94"/>
      <c r="BL775" s="92"/>
      <c r="BM775" s="94"/>
      <c r="BN775" s="94"/>
      <c r="BO775" s="94"/>
      <c r="BP775" s="94"/>
      <c r="BQ775" s="92"/>
      <c r="BR775" s="92"/>
      <c r="BS775" s="92"/>
      <c r="BT775" s="92"/>
      <c r="BU775" s="92"/>
      <c r="BV775" s="92"/>
      <c r="BW775" s="92"/>
      <c r="BX775" s="92"/>
      <c r="BY775" s="92"/>
      <c r="BZ775" s="92"/>
    </row>
    <row r="776" spans="1:78" ht="12.9">
      <c r="A776" s="89"/>
      <c r="B776" s="89"/>
      <c r="C776" s="89"/>
      <c r="D776" s="89"/>
      <c r="E776" s="89"/>
      <c r="F776" s="89"/>
      <c r="G776" s="89"/>
      <c r="H776" s="105"/>
      <c r="I776" s="106"/>
      <c r="J776" s="106"/>
      <c r="K776" s="89"/>
      <c r="L776" s="89"/>
      <c r="M776" s="89"/>
      <c r="N776" s="107"/>
      <c r="O776" s="107"/>
      <c r="P776" s="89"/>
      <c r="Q776" s="89"/>
      <c r="R776" s="89"/>
      <c r="S776" s="89"/>
      <c r="T776" s="89"/>
      <c r="U776" s="89"/>
      <c r="V776" s="89"/>
      <c r="W776" s="89"/>
      <c r="X776" s="89"/>
      <c r="Y776" s="89"/>
      <c r="Z776" s="77"/>
      <c r="AA776" s="77"/>
      <c r="AB776" s="94"/>
      <c r="AC776" s="94"/>
      <c r="AD776" s="94"/>
      <c r="AE776" s="94"/>
      <c r="AF776" s="91"/>
      <c r="AG776" s="92"/>
      <c r="AH776" s="92"/>
      <c r="AI776" s="93"/>
      <c r="AJ776" s="94"/>
      <c r="AK776" s="92"/>
      <c r="AL776" s="94"/>
      <c r="AM776" s="94"/>
      <c r="AN776" s="94"/>
      <c r="AO776" s="94"/>
      <c r="AP776" s="94"/>
      <c r="AQ776" s="94"/>
      <c r="AR776" s="94"/>
      <c r="AS776" s="94"/>
      <c r="AT776" s="94"/>
      <c r="AU776" s="92"/>
      <c r="AV776" s="94"/>
      <c r="AW776" s="94"/>
      <c r="AX776" s="94"/>
      <c r="AY776" s="94"/>
      <c r="AZ776" s="94"/>
      <c r="BA776" s="94"/>
      <c r="BB776" s="94"/>
      <c r="BC776" s="94"/>
      <c r="BD776" s="94"/>
      <c r="BE776" s="94"/>
      <c r="BF776" s="94"/>
      <c r="BG776" s="94"/>
      <c r="BH776" s="94"/>
      <c r="BI776" s="94"/>
      <c r="BJ776" s="94"/>
      <c r="BK776" s="94"/>
      <c r="BL776" s="92"/>
      <c r="BM776" s="94"/>
      <c r="BN776" s="94"/>
      <c r="BO776" s="94"/>
      <c r="BP776" s="94"/>
      <c r="BQ776" s="92"/>
      <c r="BR776" s="92"/>
      <c r="BS776" s="92"/>
      <c r="BT776" s="92"/>
      <c r="BU776" s="92"/>
      <c r="BV776" s="92"/>
      <c r="BW776" s="92"/>
      <c r="BX776" s="92"/>
      <c r="BY776" s="92"/>
      <c r="BZ776" s="92"/>
    </row>
    <row r="777" spans="1:78" ht="12.9">
      <c r="A777" s="89"/>
      <c r="B777" s="89"/>
      <c r="C777" s="89"/>
      <c r="D777" s="89"/>
      <c r="E777" s="89"/>
      <c r="F777" s="89"/>
      <c r="G777" s="89"/>
      <c r="H777" s="105"/>
      <c r="I777" s="106"/>
      <c r="J777" s="106"/>
      <c r="K777" s="89"/>
      <c r="L777" s="89"/>
      <c r="M777" s="89"/>
      <c r="N777" s="107"/>
      <c r="O777" s="107"/>
      <c r="P777" s="89"/>
      <c r="Q777" s="89"/>
      <c r="R777" s="89"/>
      <c r="S777" s="89"/>
      <c r="T777" s="89"/>
      <c r="U777" s="89"/>
      <c r="V777" s="89"/>
      <c r="W777" s="89"/>
      <c r="X777" s="89"/>
      <c r="Y777" s="89"/>
      <c r="Z777" s="77"/>
      <c r="AA777" s="77"/>
      <c r="AB777" s="94"/>
      <c r="AC777" s="94"/>
      <c r="AD777" s="94"/>
      <c r="AE777" s="94"/>
      <c r="AF777" s="91"/>
      <c r="AG777" s="92"/>
      <c r="AH777" s="92"/>
      <c r="AI777" s="93"/>
      <c r="AJ777" s="94"/>
      <c r="AK777" s="92"/>
      <c r="AL777" s="94"/>
      <c r="AM777" s="94"/>
      <c r="AN777" s="94"/>
      <c r="AO777" s="94"/>
      <c r="AP777" s="94"/>
      <c r="AQ777" s="94"/>
      <c r="AR777" s="94"/>
      <c r="AS777" s="94"/>
      <c r="AT777" s="94"/>
      <c r="AU777" s="92"/>
      <c r="AV777" s="94"/>
      <c r="AW777" s="94"/>
      <c r="AX777" s="94"/>
      <c r="AY777" s="94"/>
      <c r="AZ777" s="94"/>
      <c r="BA777" s="94"/>
      <c r="BB777" s="94"/>
      <c r="BC777" s="94"/>
      <c r="BD777" s="94"/>
      <c r="BE777" s="94"/>
      <c r="BF777" s="94"/>
      <c r="BG777" s="94"/>
      <c r="BH777" s="94"/>
      <c r="BI777" s="94"/>
      <c r="BJ777" s="94"/>
      <c r="BK777" s="94"/>
      <c r="BL777" s="92"/>
      <c r="BM777" s="94"/>
      <c r="BN777" s="94"/>
      <c r="BO777" s="94"/>
      <c r="BP777" s="94"/>
      <c r="BQ777" s="92"/>
      <c r="BR777" s="92"/>
      <c r="BS777" s="92"/>
      <c r="BT777" s="92"/>
      <c r="BU777" s="92"/>
      <c r="BV777" s="92"/>
      <c r="BW777" s="92"/>
      <c r="BX777" s="92"/>
      <c r="BY777" s="92"/>
      <c r="BZ777" s="92"/>
    </row>
    <row r="778" spans="1:78" ht="12.9">
      <c r="A778" s="89"/>
      <c r="B778" s="89"/>
      <c r="C778" s="89"/>
      <c r="D778" s="89"/>
      <c r="E778" s="89"/>
      <c r="F778" s="89"/>
      <c r="G778" s="89"/>
      <c r="H778" s="105"/>
      <c r="I778" s="106"/>
      <c r="J778" s="106"/>
      <c r="K778" s="89"/>
      <c r="L778" s="89"/>
      <c r="M778" s="89"/>
      <c r="N778" s="107"/>
      <c r="O778" s="107"/>
      <c r="P778" s="89"/>
      <c r="Q778" s="89"/>
      <c r="R778" s="89"/>
      <c r="S778" s="89"/>
      <c r="T778" s="89"/>
      <c r="U778" s="89"/>
      <c r="V778" s="89"/>
      <c r="W778" s="89"/>
      <c r="X778" s="89"/>
      <c r="Y778" s="89"/>
      <c r="Z778" s="77"/>
      <c r="AA778" s="77"/>
      <c r="AB778" s="94"/>
      <c r="AC778" s="94"/>
      <c r="AD778" s="94"/>
      <c r="AE778" s="94"/>
      <c r="AF778" s="91"/>
      <c r="AG778" s="92"/>
      <c r="AH778" s="92"/>
      <c r="AI778" s="93"/>
      <c r="AJ778" s="94"/>
      <c r="AK778" s="92"/>
      <c r="AL778" s="94"/>
      <c r="AM778" s="94"/>
      <c r="AN778" s="94"/>
      <c r="AO778" s="94"/>
      <c r="AP778" s="94"/>
      <c r="AQ778" s="94"/>
      <c r="AR778" s="94"/>
      <c r="AS778" s="94"/>
      <c r="AT778" s="94"/>
      <c r="AU778" s="92"/>
      <c r="AV778" s="94"/>
      <c r="AW778" s="94"/>
      <c r="AX778" s="94"/>
      <c r="AY778" s="94"/>
      <c r="AZ778" s="94"/>
      <c r="BA778" s="94"/>
      <c r="BB778" s="94"/>
      <c r="BC778" s="94"/>
      <c r="BD778" s="94"/>
      <c r="BE778" s="94"/>
      <c r="BF778" s="94"/>
      <c r="BG778" s="94"/>
      <c r="BH778" s="94"/>
      <c r="BI778" s="94"/>
      <c r="BJ778" s="94"/>
      <c r="BK778" s="94"/>
      <c r="BL778" s="92"/>
      <c r="BM778" s="94"/>
      <c r="BN778" s="94"/>
      <c r="BO778" s="94"/>
      <c r="BP778" s="94"/>
      <c r="BQ778" s="92"/>
      <c r="BR778" s="92"/>
      <c r="BS778" s="92"/>
      <c r="BT778" s="92"/>
      <c r="BU778" s="92"/>
      <c r="BV778" s="92"/>
      <c r="BW778" s="92"/>
      <c r="BX778" s="92"/>
      <c r="BY778" s="92"/>
      <c r="BZ778" s="92"/>
    </row>
    <row r="779" spans="1:78" ht="12.9">
      <c r="A779" s="89"/>
      <c r="B779" s="89"/>
      <c r="C779" s="89"/>
      <c r="D779" s="89"/>
      <c r="E779" s="89"/>
      <c r="F779" s="89"/>
      <c r="G779" s="89"/>
      <c r="H779" s="105"/>
      <c r="I779" s="106"/>
      <c r="J779" s="106"/>
      <c r="K779" s="89"/>
      <c r="L779" s="89"/>
      <c r="M779" s="89"/>
      <c r="N779" s="107"/>
      <c r="O779" s="107"/>
      <c r="P779" s="89"/>
      <c r="Q779" s="89"/>
      <c r="R779" s="89"/>
      <c r="S779" s="89"/>
      <c r="T779" s="89"/>
      <c r="U779" s="89"/>
      <c r="V779" s="89"/>
      <c r="W779" s="89"/>
      <c r="X779" s="89"/>
      <c r="Y779" s="89"/>
      <c r="Z779" s="77"/>
      <c r="AA779" s="77"/>
      <c r="AB779" s="94"/>
      <c r="AC779" s="94"/>
      <c r="AD779" s="94"/>
      <c r="AE779" s="94"/>
      <c r="AF779" s="91"/>
      <c r="AG779" s="92"/>
      <c r="AH779" s="92"/>
      <c r="AI779" s="93"/>
      <c r="AJ779" s="94"/>
      <c r="AK779" s="92"/>
      <c r="AL779" s="94"/>
      <c r="AM779" s="94"/>
      <c r="AN779" s="94"/>
      <c r="AO779" s="94"/>
      <c r="AP779" s="94"/>
      <c r="AQ779" s="94"/>
      <c r="AR779" s="94"/>
      <c r="AS779" s="94"/>
      <c r="AT779" s="94"/>
      <c r="AU779" s="92"/>
      <c r="AV779" s="94"/>
      <c r="AW779" s="94"/>
      <c r="AX779" s="94"/>
      <c r="AY779" s="94"/>
      <c r="AZ779" s="94"/>
      <c r="BA779" s="94"/>
      <c r="BB779" s="94"/>
      <c r="BC779" s="94"/>
      <c r="BD779" s="94"/>
      <c r="BE779" s="94"/>
      <c r="BF779" s="94"/>
      <c r="BG779" s="94"/>
      <c r="BH779" s="94"/>
      <c r="BI779" s="94"/>
      <c r="BJ779" s="94"/>
      <c r="BK779" s="94"/>
      <c r="BL779" s="92"/>
      <c r="BM779" s="94"/>
      <c r="BN779" s="94"/>
      <c r="BO779" s="94"/>
      <c r="BP779" s="94"/>
      <c r="BQ779" s="92"/>
      <c r="BR779" s="92"/>
      <c r="BS779" s="92"/>
      <c r="BT779" s="92"/>
      <c r="BU779" s="92"/>
      <c r="BV779" s="92"/>
      <c r="BW779" s="92"/>
      <c r="BX779" s="92"/>
      <c r="BY779" s="92"/>
      <c r="BZ779" s="92"/>
    </row>
    <row r="780" spans="1:78" ht="12.9">
      <c r="A780" s="89"/>
      <c r="B780" s="89"/>
      <c r="C780" s="89"/>
      <c r="D780" s="89"/>
      <c r="E780" s="89"/>
      <c r="F780" s="89"/>
      <c r="G780" s="89"/>
      <c r="H780" s="105"/>
      <c r="I780" s="106"/>
      <c r="J780" s="106"/>
      <c r="K780" s="89"/>
      <c r="L780" s="89"/>
      <c r="M780" s="89"/>
      <c r="N780" s="107"/>
      <c r="O780" s="107"/>
      <c r="P780" s="89"/>
      <c r="Q780" s="89"/>
      <c r="R780" s="89"/>
      <c r="S780" s="89"/>
      <c r="T780" s="89"/>
      <c r="U780" s="89"/>
      <c r="V780" s="89"/>
      <c r="W780" s="89"/>
      <c r="X780" s="89"/>
      <c r="Y780" s="89"/>
      <c r="Z780" s="77"/>
      <c r="AA780" s="77"/>
      <c r="AB780" s="94"/>
      <c r="AC780" s="94"/>
      <c r="AD780" s="94"/>
      <c r="AE780" s="94"/>
      <c r="AF780" s="91"/>
      <c r="AG780" s="92"/>
      <c r="AH780" s="92"/>
      <c r="AI780" s="93"/>
      <c r="AJ780" s="94"/>
      <c r="AK780" s="92"/>
      <c r="AL780" s="94"/>
      <c r="AM780" s="94"/>
      <c r="AN780" s="94"/>
      <c r="AO780" s="94"/>
      <c r="AP780" s="94"/>
      <c r="AQ780" s="94"/>
      <c r="AR780" s="94"/>
      <c r="AS780" s="94"/>
      <c r="AT780" s="94"/>
      <c r="AU780" s="92"/>
      <c r="AV780" s="94"/>
      <c r="AW780" s="94"/>
      <c r="AX780" s="94"/>
      <c r="AY780" s="94"/>
      <c r="AZ780" s="94"/>
      <c r="BA780" s="94"/>
      <c r="BB780" s="94"/>
      <c r="BC780" s="94"/>
      <c r="BD780" s="94"/>
      <c r="BE780" s="94"/>
      <c r="BF780" s="94"/>
      <c r="BG780" s="94"/>
      <c r="BH780" s="94"/>
      <c r="BI780" s="94"/>
      <c r="BJ780" s="94"/>
      <c r="BK780" s="94"/>
      <c r="BL780" s="92"/>
      <c r="BM780" s="94"/>
      <c r="BN780" s="94"/>
      <c r="BO780" s="94"/>
      <c r="BP780" s="94"/>
      <c r="BQ780" s="92"/>
      <c r="BR780" s="92"/>
      <c r="BS780" s="92"/>
      <c r="BT780" s="92"/>
      <c r="BU780" s="92"/>
      <c r="BV780" s="92"/>
      <c r="BW780" s="92"/>
      <c r="BX780" s="92"/>
      <c r="BY780" s="92"/>
      <c r="BZ780" s="92"/>
    </row>
    <row r="781" spans="1:78" ht="12.9">
      <c r="A781" s="89"/>
      <c r="B781" s="89"/>
      <c r="C781" s="89"/>
      <c r="D781" s="89"/>
      <c r="E781" s="89"/>
      <c r="F781" s="89"/>
      <c r="G781" s="89"/>
      <c r="H781" s="105"/>
      <c r="I781" s="106"/>
      <c r="J781" s="106"/>
      <c r="K781" s="89"/>
      <c r="L781" s="89"/>
      <c r="M781" s="89"/>
      <c r="N781" s="107"/>
      <c r="O781" s="107"/>
      <c r="P781" s="89"/>
      <c r="Q781" s="89"/>
      <c r="R781" s="89"/>
      <c r="S781" s="89"/>
      <c r="T781" s="89"/>
      <c r="U781" s="89"/>
      <c r="V781" s="89"/>
      <c r="W781" s="89"/>
      <c r="X781" s="89"/>
      <c r="Y781" s="89"/>
      <c r="Z781" s="77"/>
      <c r="AA781" s="77"/>
      <c r="AB781" s="94"/>
      <c r="AC781" s="94"/>
      <c r="AD781" s="94"/>
      <c r="AE781" s="94"/>
      <c r="AF781" s="91"/>
      <c r="AG781" s="92"/>
      <c r="AH781" s="92"/>
      <c r="AI781" s="93"/>
      <c r="AJ781" s="94"/>
      <c r="AK781" s="92"/>
      <c r="AL781" s="94"/>
      <c r="AM781" s="94"/>
      <c r="AN781" s="94"/>
      <c r="AO781" s="94"/>
      <c r="AP781" s="94"/>
      <c r="AQ781" s="94"/>
      <c r="AR781" s="94"/>
      <c r="AS781" s="94"/>
      <c r="AT781" s="94"/>
      <c r="AU781" s="92"/>
      <c r="AV781" s="94"/>
      <c r="AW781" s="94"/>
      <c r="AX781" s="94"/>
      <c r="AY781" s="94"/>
      <c r="AZ781" s="94"/>
      <c r="BA781" s="94"/>
      <c r="BB781" s="94"/>
      <c r="BC781" s="94"/>
      <c r="BD781" s="94"/>
      <c r="BE781" s="94"/>
      <c r="BF781" s="94"/>
      <c r="BG781" s="94"/>
      <c r="BH781" s="94"/>
      <c r="BI781" s="94"/>
      <c r="BJ781" s="94"/>
      <c r="BK781" s="94"/>
      <c r="BL781" s="92"/>
      <c r="BM781" s="94"/>
      <c r="BN781" s="94"/>
      <c r="BO781" s="94"/>
      <c r="BP781" s="94"/>
      <c r="BQ781" s="92"/>
      <c r="BR781" s="92"/>
      <c r="BS781" s="92"/>
      <c r="BT781" s="92"/>
      <c r="BU781" s="92"/>
      <c r="BV781" s="92"/>
      <c r="BW781" s="92"/>
      <c r="BX781" s="92"/>
      <c r="BY781" s="92"/>
      <c r="BZ781" s="92"/>
    </row>
    <row r="782" spans="1:78" ht="12.9">
      <c r="A782" s="89"/>
      <c r="B782" s="89"/>
      <c r="C782" s="89"/>
      <c r="D782" s="89"/>
      <c r="E782" s="89"/>
      <c r="F782" s="89"/>
      <c r="G782" s="89"/>
      <c r="H782" s="105"/>
      <c r="I782" s="106"/>
      <c r="J782" s="106"/>
      <c r="K782" s="89"/>
      <c r="L782" s="89"/>
      <c r="M782" s="89"/>
      <c r="N782" s="107"/>
      <c r="O782" s="107"/>
      <c r="P782" s="89"/>
      <c r="Q782" s="89"/>
      <c r="R782" s="89"/>
      <c r="S782" s="89"/>
      <c r="T782" s="89"/>
      <c r="U782" s="89"/>
      <c r="V782" s="89"/>
      <c r="W782" s="89"/>
      <c r="X782" s="89"/>
      <c r="Y782" s="89"/>
      <c r="Z782" s="77"/>
      <c r="AA782" s="77"/>
      <c r="AB782" s="94"/>
      <c r="AC782" s="94"/>
      <c r="AD782" s="94"/>
      <c r="AE782" s="94"/>
      <c r="AF782" s="91"/>
      <c r="AG782" s="92"/>
      <c r="AH782" s="92"/>
      <c r="AI782" s="93"/>
      <c r="AJ782" s="94"/>
      <c r="AK782" s="92"/>
      <c r="AL782" s="94"/>
      <c r="AM782" s="94"/>
      <c r="AN782" s="94"/>
      <c r="AO782" s="94"/>
      <c r="AP782" s="94"/>
      <c r="AQ782" s="94"/>
      <c r="AR782" s="94"/>
      <c r="AS782" s="94"/>
      <c r="AT782" s="94"/>
      <c r="AU782" s="92"/>
      <c r="AV782" s="94"/>
      <c r="AW782" s="94"/>
      <c r="AX782" s="94"/>
      <c r="AY782" s="94"/>
      <c r="AZ782" s="94"/>
      <c r="BA782" s="94"/>
      <c r="BB782" s="94"/>
      <c r="BC782" s="94"/>
      <c r="BD782" s="94"/>
      <c r="BE782" s="94"/>
      <c r="BF782" s="94"/>
      <c r="BG782" s="94"/>
      <c r="BH782" s="94"/>
      <c r="BI782" s="94"/>
      <c r="BJ782" s="94"/>
      <c r="BK782" s="94"/>
      <c r="BL782" s="92"/>
      <c r="BM782" s="94"/>
      <c r="BN782" s="94"/>
      <c r="BO782" s="94"/>
      <c r="BP782" s="94"/>
      <c r="BQ782" s="92"/>
      <c r="BR782" s="92"/>
      <c r="BS782" s="92"/>
      <c r="BT782" s="92"/>
      <c r="BU782" s="92"/>
      <c r="BV782" s="92"/>
      <c r="BW782" s="92"/>
      <c r="BX782" s="92"/>
      <c r="BY782" s="92"/>
      <c r="BZ782" s="92"/>
    </row>
    <row r="783" spans="1:78" ht="12.9">
      <c r="A783" s="89"/>
      <c r="B783" s="89"/>
      <c r="C783" s="89"/>
      <c r="D783" s="89"/>
      <c r="E783" s="89"/>
      <c r="F783" s="89"/>
      <c r="G783" s="89"/>
      <c r="H783" s="105"/>
      <c r="I783" s="106"/>
      <c r="J783" s="106"/>
      <c r="K783" s="89"/>
      <c r="L783" s="89"/>
      <c r="M783" s="89"/>
      <c r="N783" s="107"/>
      <c r="O783" s="107"/>
      <c r="P783" s="89"/>
      <c r="Q783" s="89"/>
      <c r="R783" s="89"/>
      <c r="S783" s="89"/>
      <c r="T783" s="89"/>
      <c r="U783" s="89"/>
      <c r="V783" s="89"/>
      <c r="W783" s="89"/>
      <c r="X783" s="89"/>
      <c r="Y783" s="89"/>
      <c r="Z783" s="77"/>
      <c r="AA783" s="77"/>
      <c r="AB783" s="94"/>
      <c r="AC783" s="94"/>
      <c r="AD783" s="94"/>
      <c r="AE783" s="94"/>
      <c r="AF783" s="91"/>
      <c r="AG783" s="92"/>
      <c r="AH783" s="92"/>
      <c r="AI783" s="93"/>
      <c r="AJ783" s="94"/>
      <c r="AK783" s="92"/>
      <c r="AL783" s="94"/>
      <c r="AM783" s="94"/>
      <c r="AN783" s="94"/>
      <c r="AO783" s="94"/>
      <c r="AP783" s="94"/>
      <c r="AQ783" s="94"/>
      <c r="AR783" s="94"/>
      <c r="AS783" s="94"/>
      <c r="AT783" s="94"/>
      <c r="AU783" s="92"/>
      <c r="AV783" s="94"/>
      <c r="AW783" s="94"/>
      <c r="AX783" s="94"/>
      <c r="AY783" s="94"/>
      <c r="AZ783" s="94"/>
      <c r="BA783" s="94"/>
      <c r="BB783" s="94"/>
      <c r="BC783" s="94"/>
      <c r="BD783" s="94"/>
      <c r="BE783" s="94"/>
      <c r="BF783" s="94"/>
      <c r="BG783" s="94"/>
      <c r="BH783" s="94"/>
      <c r="BI783" s="94"/>
      <c r="BJ783" s="94"/>
      <c r="BK783" s="94"/>
      <c r="BL783" s="92"/>
      <c r="BM783" s="94"/>
      <c r="BN783" s="94"/>
      <c r="BO783" s="94"/>
      <c r="BP783" s="94"/>
      <c r="BQ783" s="92"/>
      <c r="BR783" s="92"/>
      <c r="BS783" s="92"/>
      <c r="BT783" s="92"/>
      <c r="BU783" s="92"/>
      <c r="BV783" s="92"/>
      <c r="BW783" s="92"/>
      <c r="BX783" s="92"/>
      <c r="BY783" s="92"/>
      <c r="BZ783" s="92"/>
    </row>
    <row r="784" spans="1:78" ht="12.9">
      <c r="A784" s="89"/>
      <c r="B784" s="89"/>
      <c r="C784" s="89"/>
      <c r="D784" s="89"/>
      <c r="E784" s="89"/>
      <c r="F784" s="89"/>
      <c r="G784" s="89"/>
      <c r="H784" s="105"/>
      <c r="I784" s="106"/>
      <c r="J784" s="106"/>
      <c r="K784" s="89"/>
      <c r="L784" s="89"/>
      <c r="M784" s="89"/>
      <c r="N784" s="107"/>
      <c r="O784" s="107"/>
      <c r="P784" s="89"/>
      <c r="Q784" s="89"/>
      <c r="R784" s="89"/>
      <c r="S784" s="89"/>
      <c r="T784" s="89"/>
      <c r="U784" s="89"/>
      <c r="V784" s="89"/>
      <c r="W784" s="89"/>
      <c r="X784" s="89"/>
      <c r="Y784" s="89"/>
      <c r="Z784" s="77"/>
      <c r="AA784" s="77"/>
      <c r="AB784" s="94"/>
      <c r="AC784" s="94"/>
      <c r="AD784" s="94"/>
      <c r="AE784" s="94"/>
      <c r="AF784" s="91"/>
      <c r="AG784" s="92"/>
      <c r="AH784" s="92"/>
      <c r="AI784" s="93"/>
      <c r="AJ784" s="94"/>
      <c r="AK784" s="92"/>
      <c r="AL784" s="94"/>
      <c r="AM784" s="94"/>
      <c r="AN784" s="94"/>
      <c r="AO784" s="94"/>
      <c r="AP784" s="94"/>
      <c r="AQ784" s="94"/>
      <c r="AR784" s="94"/>
      <c r="AS784" s="94"/>
      <c r="AT784" s="94"/>
      <c r="AU784" s="92"/>
      <c r="AV784" s="94"/>
      <c r="AW784" s="94"/>
      <c r="AX784" s="94"/>
      <c r="AY784" s="94"/>
      <c r="AZ784" s="94"/>
      <c r="BA784" s="94"/>
      <c r="BB784" s="94"/>
      <c r="BC784" s="94"/>
      <c r="BD784" s="94"/>
      <c r="BE784" s="94"/>
      <c r="BF784" s="94"/>
      <c r="BG784" s="94"/>
      <c r="BH784" s="94"/>
      <c r="BI784" s="94"/>
      <c r="BJ784" s="94"/>
      <c r="BK784" s="94"/>
      <c r="BL784" s="92"/>
      <c r="BM784" s="94"/>
      <c r="BN784" s="94"/>
      <c r="BO784" s="94"/>
      <c r="BP784" s="94"/>
      <c r="BQ784" s="92"/>
      <c r="BR784" s="92"/>
      <c r="BS784" s="92"/>
      <c r="BT784" s="92"/>
      <c r="BU784" s="92"/>
      <c r="BV784" s="92"/>
      <c r="BW784" s="92"/>
      <c r="BX784" s="92"/>
      <c r="BY784" s="92"/>
      <c r="BZ784" s="92"/>
    </row>
    <row r="785" spans="1:78" ht="12.9">
      <c r="A785" s="89"/>
      <c r="B785" s="89"/>
      <c r="C785" s="89"/>
      <c r="D785" s="89"/>
      <c r="E785" s="89"/>
      <c r="F785" s="89"/>
      <c r="G785" s="89"/>
      <c r="H785" s="105"/>
      <c r="I785" s="106"/>
      <c r="J785" s="106"/>
      <c r="K785" s="89"/>
      <c r="L785" s="89"/>
      <c r="M785" s="89"/>
      <c r="N785" s="107"/>
      <c r="O785" s="107"/>
      <c r="P785" s="89"/>
      <c r="Q785" s="89"/>
      <c r="R785" s="89"/>
      <c r="S785" s="89"/>
      <c r="T785" s="89"/>
      <c r="U785" s="89"/>
      <c r="V785" s="89"/>
      <c r="W785" s="89"/>
      <c r="X785" s="89"/>
      <c r="Y785" s="89"/>
      <c r="Z785" s="77"/>
      <c r="AA785" s="77"/>
      <c r="AB785" s="94"/>
      <c r="AC785" s="94"/>
      <c r="AD785" s="94"/>
      <c r="AE785" s="94"/>
      <c r="AF785" s="91"/>
      <c r="AG785" s="92"/>
      <c r="AH785" s="92"/>
      <c r="AI785" s="93"/>
      <c r="AJ785" s="94"/>
      <c r="AK785" s="92"/>
      <c r="AL785" s="94"/>
      <c r="AM785" s="94"/>
      <c r="AN785" s="94"/>
      <c r="AO785" s="94"/>
      <c r="AP785" s="94"/>
      <c r="AQ785" s="94"/>
      <c r="AR785" s="94"/>
      <c r="AS785" s="94"/>
      <c r="AT785" s="94"/>
      <c r="AU785" s="92"/>
      <c r="AV785" s="94"/>
      <c r="AW785" s="94"/>
      <c r="AX785" s="94"/>
      <c r="AY785" s="94"/>
      <c r="AZ785" s="94"/>
      <c r="BA785" s="94"/>
      <c r="BB785" s="94"/>
      <c r="BC785" s="94"/>
      <c r="BD785" s="94"/>
      <c r="BE785" s="94"/>
      <c r="BF785" s="94"/>
      <c r="BG785" s="94"/>
      <c r="BH785" s="94"/>
      <c r="BI785" s="94"/>
      <c r="BJ785" s="94"/>
      <c r="BK785" s="94"/>
      <c r="BL785" s="92"/>
      <c r="BM785" s="94"/>
      <c r="BN785" s="94"/>
      <c r="BO785" s="94"/>
      <c r="BP785" s="94"/>
      <c r="BQ785" s="92"/>
      <c r="BR785" s="92"/>
      <c r="BS785" s="92"/>
      <c r="BT785" s="92"/>
      <c r="BU785" s="92"/>
      <c r="BV785" s="92"/>
      <c r="BW785" s="92"/>
      <c r="BX785" s="92"/>
      <c r="BY785" s="92"/>
      <c r="BZ785" s="92"/>
    </row>
    <row r="786" spans="1:78" ht="12.9">
      <c r="A786" s="89"/>
      <c r="B786" s="89"/>
      <c r="C786" s="89"/>
      <c r="D786" s="89"/>
      <c r="E786" s="89"/>
      <c r="F786" s="89"/>
      <c r="G786" s="89"/>
      <c r="H786" s="105"/>
      <c r="I786" s="106"/>
      <c r="J786" s="106"/>
      <c r="K786" s="89"/>
      <c r="L786" s="89"/>
      <c r="M786" s="89"/>
      <c r="N786" s="107"/>
      <c r="O786" s="107"/>
      <c r="P786" s="89"/>
      <c r="Q786" s="89"/>
      <c r="R786" s="89"/>
      <c r="S786" s="89"/>
      <c r="T786" s="89"/>
      <c r="U786" s="89"/>
      <c r="V786" s="89"/>
      <c r="W786" s="89"/>
      <c r="X786" s="89"/>
      <c r="Y786" s="89"/>
      <c r="Z786" s="77"/>
      <c r="AA786" s="77"/>
      <c r="AB786" s="94"/>
      <c r="AC786" s="94"/>
      <c r="AD786" s="94"/>
      <c r="AE786" s="94"/>
      <c r="AF786" s="91"/>
      <c r="AG786" s="92"/>
      <c r="AH786" s="92"/>
      <c r="AI786" s="93"/>
      <c r="AJ786" s="94"/>
      <c r="AK786" s="92"/>
      <c r="AL786" s="94"/>
      <c r="AM786" s="94"/>
      <c r="AN786" s="94"/>
      <c r="AO786" s="94"/>
      <c r="AP786" s="94"/>
      <c r="AQ786" s="94"/>
      <c r="AR786" s="94"/>
      <c r="AS786" s="94"/>
      <c r="AT786" s="94"/>
      <c r="AU786" s="92"/>
      <c r="AV786" s="94"/>
      <c r="AW786" s="94"/>
      <c r="AX786" s="94"/>
      <c r="AY786" s="94"/>
      <c r="AZ786" s="94"/>
      <c r="BA786" s="94"/>
      <c r="BB786" s="94"/>
      <c r="BC786" s="94"/>
      <c r="BD786" s="94"/>
      <c r="BE786" s="94"/>
      <c r="BF786" s="94"/>
      <c r="BG786" s="94"/>
      <c r="BH786" s="94"/>
      <c r="BI786" s="94"/>
      <c r="BJ786" s="94"/>
      <c r="BK786" s="94"/>
      <c r="BL786" s="92"/>
      <c r="BM786" s="94"/>
      <c r="BN786" s="94"/>
      <c r="BO786" s="94"/>
      <c r="BP786" s="94"/>
      <c r="BQ786" s="92"/>
      <c r="BR786" s="92"/>
      <c r="BS786" s="92"/>
      <c r="BT786" s="92"/>
      <c r="BU786" s="92"/>
      <c r="BV786" s="92"/>
      <c r="BW786" s="92"/>
      <c r="BX786" s="92"/>
      <c r="BY786" s="92"/>
      <c r="BZ786" s="92"/>
    </row>
    <row r="787" spans="1:78" ht="12.9">
      <c r="A787" s="89"/>
      <c r="B787" s="89"/>
      <c r="C787" s="89"/>
      <c r="D787" s="89"/>
      <c r="E787" s="89"/>
      <c r="F787" s="89"/>
      <c r="G787" s="89"/>
      <c r="H787" s="105"/>
      <c r="I787" s="106"/>
      <c r="J787" s="106"/>
      <c r="K787" s="89"/>
      <c r="L787" s="89"/>
      <c r="M787" s="89"/>
      <c r="N787" s="107"/>
      <c r="O787" s="107"/>
      <c r="P787" s="89"/>
      <c r="Q787" s="89"/>
      <c r="R787" s="89"/>
      <c r="S787" s="89"/>
      <c r="T787" s="89"/>
      <c r="U787" s="89"/>
      <c r="V787" s="89"/>
      <c r="W787" s="89"/>
      <c r="X787" s="89"/>
      <c r="Y787" s="89"/>
      <c r="Z787" s="77"/>
      <c r="AA787" s="77"/>
      <c r="AB787" s="94"/>
      <c r="AC787" s="94"/>
      <c r="AD787" s="94"/>
      <c r="AE787" s="94"/>
      <c r="AF787" s="91"/>
      <c r="AG787" s="92"/>
      <c r="AH787" s="92"/>
      <c r="AI787" s="93"/>
      <c r="AJ787" s="94"/>
      <c r="AK787" s="92"/>
      <c r="AL787" s="94"/>
      <c r="AM787" s="94"/>
      <c r="AN787" s="94"/>
      <c r="AO787" s="94"/>
      <c r="AP787" s="94"/>
      <c r="AQ787" s="94"/>
      <c r="AR787" s="94"/>
      <c r="AS787" s="94"/>
      <c r="AT787" s="94"/>
      <c r="AU787" s="92"/>
      <c r="AV787" s="94"/>
      <c r="AW787" s="94"/>
      <c r="AX787" s="94"/>
      <c r="AY787" s="94"/>
      <c r="AZ787" s="94"/>
      <c r="BA787" s="94"/>
      <c r="BB787" s="94"/>
      <c r="BC787" s="94"/>
      <c r="BD787" s="94"/>
      <c r="BE787" s="94"/>
      <c r="BF787" s="94"/>
      <c r="BG787" s="94"/>
      <c r="BH787" s="94"/>
      <c r="BI787" s="94"/>
      <c r="BJ787" s="94"/>
      <c r="BK787" s="94"/>
      <c r="BL787" s="92"/>
      <c r="BM787" s="94"/>
      <c r="BN787" s="94"/>
      <c r="BO787" s="94"/>
      <c r="BP787" s="94"/>
      <c r="BQ787" s="92"/>
      <c r="BR787" s="92"/>
      <c r="BS787" s="92"/>
      <c r="BT787" s="92"/>
      <c r="BU787" s="92"/>
      <c r="BV787" s="92"/>
      <c r="BW787" s="92"/>
      <c r="BX787" s="92"/>
      <c r="BY787" s="92"/>
      <c r="BZ787" s="92"/>
    </row>
    <row r="788" spans="1:78" ht="12.9">
      <c r="A788" s="89"/>
      <c r="B788" s="89"/>
      <c r="C788" s="89"/>
      <c r="D788" s="89"/>
      <c r="E788" s="89"/>
      <c r="F788" s="89"/>
      <c r="G788" s="89"/>
      <c r="H788" s="105"/>
      <c r="I788" s="106"/>
      <c r="J788" s="106"/>
      <c r="K788" s="89"/>
      <c r="L788" s="89"/>
      <c r="M788" s="89"/>
      <c r="N788" s="107"/>
      <c r="O788" s="107"/>
      <c r="P788" s="89"/>
      <c r="Q788" s="89"/>
      <c r="R788" s="89"/>
      <c r="S788" s="89"/>
      <c r="T788" s="89"/>
      <c r="U788" s="89"/>
      <c r="V788" s="89"/>
      <c r="W788" s="89"/>
      <c r="X788" s="89"/>
      <c r="Y788" s="89"/>
      <c r="Z788" s="77"/>
      <c r="AA788" s="77"/>
      <c r="AB788" s="94"/>
      <c r="AC788" s="94"/>
      <c r="AD788" s="94"/>
      <c r="AE788" s="94"/>
      <c r="AF788" s="91"/>
      <c r="AG788" s="92"/>
      <c r="AH788" s="92"/>
      <c r="AI788" s="93"/>
      <c r="AJ788" s="94"/>
      <c r="AK788" s="92"/>
      <c r="AL788" s="94"/>
      <c r="AM788" s="94"/>
      <c r="AN788" s="94"/>
      <c r="AO788" s="94"/>
      <c r="AP788" s="94"/>
      <c r="AQ788" s="94"/>
      <c r="AR788" s="94"/>
      <c r="AS788" s="94"/>
      <c r="AT788" s="94"/>
      <c r="AU788" s="92"/>
      <c r="AV788" s="94"/>
      <c r="AW788" s="94"/>
      <c r="AX788" s="94"/>
      <c r="AY788" s="94"/>
      <c r="AZ788" s="94"/>
      <c r="BA788" s="94"/>
      <c r="BB788" s="94"/>
      <c r="BC788" s="94"/>
      <c r="BD788" s="94"/>
      <c r="BE788" s="94"/>
      <c r="BF788" s="94"/>
      <c r="BG788" s="94"/>
      <c r="BH788" s="94"/>
      <c r="BI788" s="94"/>
      <c r="BJ788" s="94"/>
      <c r="BK788" s="94"/>
      <c r="BL788" s="92"/>
      <c r="BM788" s="94"/>
      <c r="BN788" s="94"/>
      <c r="BO788" s="94"/>
      <c r="BP788" s="94"/>
      <c r="BQ788" s="92"/>
      <c r="BR788" s="92"/>
      <c r="BS788" s="92"/>
      <c r="BT788" s="92"/>
      <c r="BU788" s="92"/>
      <c r="BV788" s="92"/>
      <c r="BW788" s="92"/>
      <c r="BX788" s="92"/>
      <c r="BY788" s="92"/>
      <c r="BZ788" s="92"/>
    </row>
    <row r="789" spans="1:78" ht="12.9">
      <c r="A789" s="89"/>
      <c r="B789" s="89"/>
      <c r="C789" s="89"/>
      <c r="D789" s="89"/>
      <c r="E789" s="89"/>
      <c r="F789" s="89"/>
      <c r="G789" s="89"/>
      <c r="H789" s="105"/>
      <c r="I789" s="106"/>
      <c r="J789" s="106"/>
      <c r="K789" s="89"/>
      <c r="L789" s="89"/>
      <c r="M789" s="89"/>
      <c r="N789" s="107"/>
      <c r="O789" s="107"/>
      <c r="P789" s="89"/>
      <c r="Q789" s="89"/>
      <c r="R789" s="89"/>
      <c r="S789" s="89"/>
      <c r="T789" s="89"/>
      <c r="U789" s="89"/>
      <c r="V789" s="89"/>
      <c r="W789" s="89"/>
      <c r="X789" s="89"/>
      <c r="Y789" s="89"/>
      <c r="Z789" s="77"/>
      <c r="AA789" s="77"/>
      <c r="AB789" s="94"/>
      <c r="AC789" s="94"/>
      <c r="AD789" s="94"/>
      <c r="AE789" s="94"/>
      <c r="AF789" s="91"/>
      <c r="AG789" s="92"/>
      <c r="AH789" s="92"/>
      <c r="AI789" s="93"/>
      <c r="AJ789" s="94"/>
      <c r="AK789" s="92"/>
      <c r="AL789" s="94"/>
      <c r="AM789" s="94"/>
      <c r="AN789" s="94"/>
      <c r="AO789" s="94"/>
      <c r="AP789" s="94"/>
      <c r="AQ789" s="94"/>
      <c r="AR789" s="94"/>
      <c r="AS789" s="94"/>
      <c r="AT789" s="94"/>
      <c r="AU789" s="92"/>
      <c r="AV789" s="94"/>
      <c r="AW789" s="94"/>
      <c r="AX789" s="94"/>
      <c r="AY789" s="94"/>
      <c r="AZ789" s="94"/>
      <c r="BA789" s="94"/>
      <c r="BB789" s="94"/>
      <c r="BC789" s="94"/>
      <c r="BD789" s="94"/>
      <c r="BE789" s="94"/>
      <c r="BF789" s="94"/>
      <c r="BG789" s="94"/>
      <c r="BH789" s="94"/>
      <c r="BI789" s="94"/>
      <c r="BJ789" s="94"/>
      <c r="BK789" s="94"/>
      <c r="BL789" s="92"/>
      <c r="BM789" s="94"/>
      <c r="BN789" s="94"/>
      <c r="BO789" s="94"/>
      <c r="BP789" s="94"/>
      <c r="BQ789" s="92"/>
      <c r="BR789" s="92"/>
      <c r="BS789" s="92"/>
      <c r="BT789" s="92"/>
      <c r="BU789" s="92"/>
      <c r="BV789" s="92"/>
      <c r="BW789" s="92"/>
      <c r="BX789" s="92"/>
      <c r="BY789" s="92"/>
      <c r="BZ789" s="92"/>
    </row>
    <row r="790" spans="1:78" ht="12.9">
      <c r="A790" s="89"/>
      <c r="B790" s="89"/>
      <c r="C790" s="89"/>
      <c r="D790" s="89"/>
      <c r="E790" s="89"/>
      <c r="F790" s="89"/>
      <c r="G790" s="89"/>
      <c r="H790" s="105"/>
      <c r="I790" s="106"/>
      <c r="J790" s="106"/>
      <c r="K790" s="89"/>
      <c r="L790" s="89"/>
      <c r="M790" s="89"/>
      <c r="N790" s="107"/>
      <c r="O790" s="107"/>
      <c r="P790" s="89"/>
      <c r="Q790" s="89"/>
      <c r="R790" s="89"/>
      <c r="S790" s="89"/>
      <c r="T790" s="89"/>
      <c r="U790" s="89"/>
      <c r="V790" s="89"/>
      <c r="W790" s="89"/>
      <c r="X790" s="89"/>
      <c r="Y790" s="89"/>
      <c r="Z790" s="77"/>
      <c r="AA790" s="77"/>
      <c r="AB790" s="94"/>
      <c r="AC790" s="94"/>
      <c r="AD790" s="94"/>
      <c r="AE790" s="94"/>
      <c r="AF790" s="91"/>
      <c r="AG790" s="92"/>
      <c r="AH790" s="92"/>
      <c r="AI790" s="93"/>
      <c r="AJ790" s="94"/>
      <c r="AK790" s="92"/>
      <c r="AL790" s="94"/>
      <c r="AM790" s="94"/>
      <c r="AN790" s="94"/>
      <c r="AO790" s="94"/>
      <c r="AP790" s="94"/>
      <c r="AQ790" s="94"/>
      <c r="AR790" s="94"/>
      <c r="AS790" s="94"/>
      <c r="AT790" s="94"/>
      <c r="AU790" s="92"/>
      <c r="AV790" s="94"/>
      <c r="AW790" s="94"/>
      <c r="AX790" s="94"/>
      <c r="AY790" s="94"/>
      <c r="AZ790" s="94"/>
      <c r="BA790" s="94"/>
      <c r="BB790" s="94"/>
      <c r="BC790" s="94"/>
      <c r="BD790" s="94"/>
      <c r="BE790" s="94"/>
      <c r="BF790" s="94"/>
      <c r="BG790" s="94"/>
      <c r="BH790" s="94"/>
      <c r="BI790" s="94"/>
      <c r="BJ790" s="94"/>
      <c r="BK790" s="94"/>
      <c r="BL790" s="92"/>
      <c r="BM790" s="94"/>
      <c r="BN790" s="94"/>
      <c r="BO790" s="94"/>
      <c r="BP790" s="94"/>
      <c r="BQ790" s="92"/>
      <c r="BR790" s="92"/>
      <c r="BS790" s="92"/>
      <c r="BT790" s="92"/>
      <c r="BU790" s="92"/>
      <c r="BV790" s="92"/>
      <c r="BW790" s="92"/>
      <c r="BX790" s="92"/>
      <c r="BY790" s="92"/>
      <c r="BZ790" s="92"/>
    </row>
    <row r="791" spans="1:78" ht="12.9">
      <c r="A791" s="89"/>
      <c r="B791" s="89"/>
      <c r="C791" s="89"/>
      <c r="D791" s="89"/>
      <c r="E791" s="89"/>
      <c r="F791" s="89"/>
      <c r="G791" s="89"/>
      <c r="H791" s="105"/>
      <c r="I791" s="106"/>
      <c r="J791" s="106"/>
      <c r="K791" s="89"/>
      <c r="L791" s="89"/>
      <c r="M791" s="89"/>
      <c r="N791" s="107"/>
      <c r="O791" s="107"/>
      <c r="P791" s="89"/>
      <c r="Q791" s="89"/>
      <c r="R791" s="89"/>
      <c r="S791" s="89"/>
      <c r="T791" s="89"/>
      <c r="U791" s="89"/>
      <c r="V791" s="89"/>
      <c r="W791" s="89"/>
      <c r="X791" s="89"/>
      <c r="Y791" s="89"/>
      <c r="Z791" s="77"/>
      <c r="AA791" s="77"/>
      <c r="AB791" s="94"/>
      <c r="AC791" s="94"/>
      <c r="AD791" s="94"/>
      <c r="AE791" s="94"/>
      <c r="AF791" s="91"/>
      <c r="AG791" s="92"/>
      <c r="AH791" s="92"/>
      <c r="AI791" s="93"/>
      <c r="AJ791" s="94"/>
      <c r="AK791" s="92"/>
      <c r="AL791" s="94"/>
      <c r="AM791" s="94"/>
      <c r="AN791" s="94"/>
      <c r="AO791" s="94"/>
      <c r="AP791" s="94"/>
      <c r="AQ791" s="94"/>
      <c r="AR791" s="94"/>
      <c r="AS791" s="94"/>
      <c r="AT791" s="94"/>
      <c r="AU791" s="92"/>
      <c r="AV791" s="94"/>
      <c r="AW791" s="94"/>
      <c r="AX791" s="94"/>
      <c r="AY791" s="94"/>
      <c r="AZ791" s="94"/>
      <c r="BA791" s="94"/>
      <c r="BB791" s="94"/>
      <c r="BC791" s="94"/>
      <c r="BD791" s="94"/>
      <c r="BE791" s="94"/>
      <c r="BF791" s="94"/>
      <c r="BG791" s="94"/>
      <c r="BH791" s="94"/>
      <c r="BI791" s="94"/>
      <c r="BJ791" s="94"/>
      <c r="BK791" s="94"/>
      <c r="BL791" s="92"/>
      <c r="BM791" s="94"/>
      <c r="BN791" s="94"/>
      <c r="BO791" s="94"/>
      <c r="BP791" s="94"/>
      <c r="BQ791" s="92"/>
      <c r="BR791" s="92"/>
      <c r="BS791" s="92"/>
      <c r="BT791" s="92"/>
      <c r="BU791" s="92"/>
      <c r="BV791" s="92"/>
      <c r="BW791" s="92"/>
      <c r="BX791" s="92"/>
      <c r="BY791" s="92"/>
      <c r="BZ791" s="92"/>
    </row>
    <row r="792" spans="1:78" ht="12.9">
      <c r="A792" s="89"/>
      <c r="B792" s="89"/>
      <c r="C792" s="89"/>
      <c r="D792" s="89"/>
      <c r="E792" s="89"/>
      <c r="F792" s="89"/>
      <c r="G792" s="89"/>
      <c r="H792" s="105"/>
      <c r="I792" s="106"/>
      <c r="J792" s="106"/>
      <c r="K792" s="89"/>
      <c r="L792" s="89"/>
      <c r="M792" s="89"/>
      <c r="N792" s="107"/>
      <c r="O792" s="107"/>
      <c r="P792" s="89"/>
      <c r="Q792" s="89"/>
      <c r="R792" s="89"/>
      <c r="S792" s="89"/>
      <c r="T792" s="89"/>
      <c r="U792" s="89"/>
      <c r="V792" s="89"/>
      <c r="W792" s="89"/>
      <c r="X792" s="89"/>
      <c r="Y792" s="89"/>
      <c r="Z792" s="77"/>
      <c r="AA792" s="77"/>
      <c r="AB792" s="94"/>
      <c r="AC792" s="94"/>
      <c r="AD792" s="94"/>
      <c r="AE792" s="94"/>
      <c r="AF792" s="91"/>
      <c r="AG792" s="92"/>
      <c r="AH792" s="92"/>
      <c r="AI792" s="93"/>
      <c r="AJ792" s="94"/>
      <c r="AK792" s="92"/>
      <c r="AL792" s="94"/>
      <c r="AM792" s="94"/>
      <c r="AN792" s="94"/>
      <c r="AO792" s="94"/>
      <c r="AP792" s="94"/>
      <c r="AQ792" s="94"/>
      <c r="AR792" s="94"/>
      <c r="AS792" s="94"/>
      <c r="AT792" s="94"/>
      <c r="AU792" s="92"/>
      <c r="AV792" s="94"/>
      <c r="AW792" s="94"/>
      <c r="AX792" s="94"/>
      <c r="AY792" s="94"/>
      <c r="AZ792" s="94"/>
      <c r="BA792" s="94"/>
      <c r="BB792" s="94"/>
      <c r="BC792" s="94"/>
      <c r="BD792" s="94"/>
      <c r="BE792" s="94"/>
      <c r="BF792" s="94"/>
      <c r="BG792" s="94"/>
      <c r="BH792" s="94"/>
      <c r="BI792" s="94"/>
      <c r="BJ792" s="94"/>
      <c r="BK792" s="94"/>
      <c r="BL792" s="92"/>
      <c r="BM792" s="94"/>
      <c r="BN792" s="94"/>
      <c r="BO792" s="94"/>
      <c r="BP792" s="94"/>
      <c r="BQ792" s="92"/>
      <c r="BR792" s="92"/>
      <c r="BS792" s="92"/>
      <c r="BT792" s="92"/>
      <c r="BU792" s="92"/>
      <c r="BV792" s="92"/>
      <c r="BW792" s="92"/>
      <c r="BX792" s="92"/>
      <c r="BY792" s="92"/>
      <c r="BZ792" s="92"/>
    </row>
    <row r="793" spans="1:78" ht="12.9">
      <c r="A793" s="89"/>
      <c r="B793" s="89"/>
      <c r="C793" s="89"/>
      <c r="D793" s="89"/>
      <c r="E793" s="89"/>
      <c r="F793" s="89"/>
      <c r="G793" s="89"/>
      <c r="H793" s="105"/>
      <c r="I793" s="106"/>
      <c r="J793" s="106"/>
      <c r="K793" s="89"/>
      <c r="L793" s="89"/>
      <c r="M793" s="89"/>
      <c r="N793" s="107"/>
      <c r="O793" s="107"/>
      <c r="P793" s="89"/>
      <c r="Q793" s="89"/>
      <c r="R793" s="89"/>
      <c r="S793" s="89"/>
      <c r="T793" s="89"/>
      <c r="U793" s="89"/>
      <c r="V793" s="89"/>
      <c r="W793" s="89"/>
      <c r="X793" s="89"/>
      <c r="Y793" s="89"/>
      <c r="Z793" s="77"/>
      <c r="AA793" s="77"/>
      <c r="AB793" s="94"/>
      <c r="AC793" s="94"/>
      <c r="AD793" s="94"/>
      <c r="AE793" s="94"/>
      <c r="AF793" s="91"/>
      <c r="AG793" s="92"/>
      <c r="AH793" s="92"/>
      <c r="AI793" s="93"/>
      <c r="AJ793" s="94"/>
      <c r="AK793" s="92"/>
      <c r="AL793" s="94"/>
      <c r="AM793" s="94"/>
      <c r="AN793" s="94"/>
      <c r="AO793" s="94"/>
      <c r="AP793" s="94"/>
      <c r="AQ793" s="94"/>
      <c r="AR793" s="94"/>
      <c r="AS793" s="94"/>
      <c r="AT793" s="94"/>
      <c r="AU793" s="92"/>
      <c r="AV793" s="94"/>
      <c r="AW793" s="94"/>
      <c r="AX793" s="94"/>
      <c r="AY793" s="94"/>
      <c r="AZ793" s="94"/>
      <c r="BA793" s="94"/>
      <c r="BB793" s="94"/>
      <c r="BC793" s="94"/>
      <c r="BD793" s="94"/>
      <c r="BE793" s="94"/>
      <c r="BF793" s="94"/>
      <c r="BG793" s="94"/>
      <c r="BH793" s="94"/>
      <c r="BI793" s="94"/>
      <c r="BJ793" s="94"/>
      <c r="BK793" s="94"/>
      <c r="BL793" s="92"/>
      <c r="BM793" s="94"/>
      <c r="BN793" s="94"/>
      <c r="BO793" s="94"/>
      <c r="BP793" s="94"/>
      <c r="BQ793" s="92"/>
      <c r="BR793" s="92"/>
      <c r="BS793" s="92"/>
      <c r="BT793" s="92"/>
      <c r="BU793" s="92"/>
      <c r="BV793" s="92"/>
      <c r="BW793" s="92"/>
      <c r="BX793" s="92"/>
      <c r="BY793" s="92"/>
      <c r="BZ793" s="92"/>
    </row>
    <row r="794" spans="1:78" ht="12.9">
      <c r="A794" s="89"/>
      <c r="B794" s="89"/>
      <c r="C794" s="89"/>
      <c r="D794" s="89"/>
      <c r="E794" s="89"/>
      <c r="F794" s="89"/>
      <c r="G794" s="89"/>
      <c r="H794" s="105"/>
      <c r="I794" s="106"/>
      <c r="J794" s="106"/>
      <c r="K794" s="89"/>
      <c r="L794" s="89"/>
      <c r="M794" s="89"/>
      <c r="N794" s="107"/>
      <c r="O794" s="107"/>
      <c r="P794" s="89"/>
      <c r="Q794" s="89"/>
      <c r="R794" s="89"/>
      <c r="S794" s="89"/>
      <c r="T794" s="89"/>
      <c r="U794" s="89"/>
      <c r="V794" s="89"/>
      <c r="W794" s="89"/>
      <c r="X794" s="89"/>
      <c r="Y794" s="89"/>
      <c r="Z794" s="77"/>
      <c r="AA794" s="77"/>
      <c r="AB794" s="94"/>
      <c r="AC794" s="94"/>
      <c r="AD794" s="94"/>
      <c r="AE794" s="94"/>
      <c r="AF794" s="91"/>
      <c r="AG794" s="92"/>
      <c r="AH794" s="92"/>
      <c r="AI794" s="93"/>
      <c r="AJ794" s="94"/>
      <c r="AK794" s="92"/>
      <c r="AL794" s="94"/>
      <c r="AM794" s="94"/>
      <c r="AN794" s="94"/>
      <c r="AO794" s="94"/>
      <c r="AP794" s="94"/>
      <c r="AQ794" s="94"/>
      <c r="AR794" s="94"/>
      <c r="AS794" s="94"/>
      <c r="AT794" s="94"/>
      <c r="AU794" s="92"/>
      <c r="AV794" s="94"/>
      <c r="AW794" s="94"/>
      <c r="AX794" s="94"/>
      <c r="AY794" s="94"/>
      <c r="AZ794" s="94"/>
      <c r="BA794" s="94"/>
      <c r="BB794" s="94"/>
      <c r="BC794" s="94"/>
      <c r="BD794" s="94"/>
      <c r="BE794" s="94"/>
      <c r="BF794" s="94"/>
      <c r="BG794" s="94"/>
      <c r="BH794" s="94"/>
      <c r="BI794" s="94"/>
      <c r="BJ794" s="94"/>
      <c r="BK794" s="94"/>
      <c r="BL794" s="92"/>
      <c r="BM794" s="94"/>
      <c r="BN794" s="94"/>
      <c r="BO794" s="94"/>
      <c r="BP794" s="94"/>
      <c r="BQ794" s="92"/>
      <c r="BR794" s="92"/>
      <c r="BS794" s="92"/>
      <c r="BT794" s="92"/>
      <c r="BU794" s="92"/>
      <c r="BV794" s="92"/>
      <c r="BW794" s="92"/>
      <c r="BX794" s="92"/>
      <c r="BY794" s="92"/>
      <c r="BZ794" s="92"/>
    </row>
    <row r="795" spans="1:78" ht="12.9">
      <c r="A795" s="89"/>
      <c r="B795" s="89"/>
      <c r="C795" s="89"/>
      <c r="D795" s="89"/>
      <c r="E795" s="89"/>
      <c r="F795" s="89"/>
      <c r="G795" s="89"/>
      <c r="H795" s="105"/>
      <c r="I795" s="106"/>
      <c r="J795" s="106"/>
      <c r="K795" s="89"/>
      <c r="L795" s="89"/>
      <c r="M795" s="89"/>
      <c r="N795" s="107"/>
      <c r="O795" s="107"/>
      <c r="P795" s="89"/>
      <c r="Q795" s="89"/>
      <c r="R795" s="89"/>
      <c r="S795" s="89"/>
      <c r="T795" s="89"/>
      <c r="U795" s="89"/>
      <c r="V795" s="89"/>
      <c r="W795" s="89"/>
      <c r="X795" s="89"/>
      <c r="Y795" s="89"/>
      <c r="Z795" s="77"/>
      <c r="AA795" s="77"/>
      <c r="AB795" s="94"/>
      <c r="AC795" s="94"/>
      <c r="AD795" s="94"/>
      <c r="AE795" s="94"/>
      <c r="AF795" s="91"/>
      <c r="AG795" s="92"/>
      <c r="AH795" s="92"/>
      <c r="AI795" s="93"/>
      <c r="AJ795" s="94"/>
      <c r="AK795" s="92"/>
      <c r="AL795" s="94"/>
      <c r="AM795" s="94"/>
      <c r="AN795" s="94"/>
      <c r="AO795" s="94"/>
      <c r="AP795" s="94"/>
      <c r="AQ795" s="94"/>
      <c r="AR795" s="94"/>
      <c r="AS795" s="94"/>
      <c r="AT795" s="94"/>
      <c r="AU795" s="92"/>
      <c r="AV795" s="94"/>
      <c r="AW795" s="94"/>
      <c r="AX795" s="94"/>
      <c r="AY795" s="94"/>
      <c r="AZ795" s="94"/>
      <c r="BA795" s="94"/>
      <c r="BB795" s="94"/>
      <c r="BC795" s="94"/>
      <c r="BD795" s="94"/>
      <c r="BE795" s="94"/>
      <c r="BF795" s="94"/>
      <c r="BG795" s="94"/>
      <c r="BH795" s="94"/>
      <c r="BI795" s="94"/>
      <c r="BJ795" s="94"/>
      <c r="BK795" s="94"/>
      <c r="BL795" s="92"/>
      <c r="BM795" s="94"/>
      <c r="BN795" s="94"/>
      <c r="BO795" s="94"/>
      <c r="BP795" s="94"/>
      <c r="BQ795" s="92"/>
      <c r="BR795" s="92"/>
      <c r="BS795" s="92"/>
      <c r="BT795" s="92"/>
      <c r="BU795" s="92"/>
      <c r="BV795" s="92"/>
      <c r="BW795" s="92"/>
      <c r="BX795" s="92"/>
      <c r="BY795" s="92"/>
      <c r="BZ795" s="92"/>
    </row>
    <row r="796" spans="1:78" ht="12.9">
      <c r="A796" s="89"/>
      <c r="B796" s="89"/>
      <c r="C796" s="89"/>
      <c r="D796" s="89"/>
      <c r="E796" s="89"/>
      <c r="F796" s="89"/>
      <c r="G796" s="89"/>
      <c r="H796" s="105"/>
      <c r="I796" s="106"/>
      <c r="J796" s="106"/>
      <c r="K796" s="89"/>
      <c r="L796" s="89"/>
      <c r="M796" s="89"/>
      <c r="N796" s="107"/>
      <c r="O796" s="107"/>
      <c r="P796" s="89"/>
      <c r="Q796" s="89"/>
      <c r="R796" s="89"/>
      <c r="S796" s="89"/>
      <c r="T796" s="89"/>
      <c r="U796" s="89"/>
      <c r="V796" s="89"/>
      <c r="W796" s="89"/>
      <c r="X796" s="89"/>
      <c r="Y796" s="89"/>
      <c r="Z796" s="77"/>
      <c r="AA796" s="77"/>
      <c r="AB796" s="94"/>
      <c r="AC796" s="94"/>
      <c r="AD796" s="94"/>
      <c r="AE796" s="94"/>
      <c r="AF796" s="91"/>
      <c r="AG796" s="92"/>
      <c r="AH796" s="92"/>
      <c r="AI796" s="93"/>
      <c r="AJ796" s="94"/>
      <c r="AK796" s="92"/>
      <c r="AL796" s="94"/>
      <c r="AM796" s="94"/>
      <c r="AN796" s="94"/>
      <c r="AO796" s="94"/>
      <c r="AP796" s="94"/>
      <c r="AQ796" s="94"/>
      <c r="AR796" s="94"/>
      <c r="AS796" s="94"/>
      <c r="AT796" s="94"/>
      <c r="AU796" s="92"/>
      <c r="AV796" s="94"/>
      <c r="AW796" s="94"/>
      <c r="AX796" s="94"/>
      <c r="AY796" s="94"/>
      <c r="AZ796" s="94"/>
      <c r="BA796" s="94"/>
      <c r="BB796" s="94"/>
      <c r="BC796" s="94"/>
      <c r="BD796" s="94"/>
      <c r="BE796" s="94"/>
      <c r="BF796" s="94"/>
      <c r="BG796" s="94"/>
      <c r="BH796" s="94"/>
      <c r="BI796" s="94"/>
      <c r="BJ796" s="94"/>
      <c r="BK796" s="94"/>
      <c r="BL796" s="92"/>
      <c r="BM796" s="94"/>
      <c r="BN796" s="94"/>
      <c r="BO796" s="94"/>
      <c r="BP796" s="94"/>
      <c r="BQ796" s="92"/>
      <c r="BR796" s="92"/>
      <c r="BS796" s="92"/>
      <c r="BT796" s="92"/>
      <c r="BU796" s="92"/>
      <c r="BV796" s="92"/>
      <c r="BW796" s="92"/>
      <c r="BX796" s="92"/>
      <c r="BY796" s="92"/>
      <c r="BZ796" s="92"/>
    </row>
    <row r="797" spans="1:78" ht="12.9">
      <c r="A797" s="89"/>
      <c r="B797" s="89"/>
      <c r="C797" s="89"/>
      <c r="D797" s="89"/>
      <c r="E797" s="89"/>
      <c r="F797" s="89"/>
      <c r="G797" s="89"/>
      <c r="H797" s="105"/>
      <c r="I797" s="106"/>
      <c r="J797" s="106"/>
      <c r="K797" s="89"/>
      <c r="L797" s="89"/>
      <c r="M797" s="89"/>
      <c r="N797" s="107"/>
      <c r="O797" s="107"/>
      <c r="P797" s="89"/>
      <c r="Q797" s="89"/>
      <c r="R797" s="89"/>
      <c r="S797" s="89"/>
      <c r="T797" s="89"/>
      <c r="U797" s="89"/>
      <c r="V797" s="89"/>
      <c r="W797" s="89"/>
      <c r="X797" s="89"/>
      <c r="Y797" s="89"/>
      <c r="Z797" s="77"/>
      <c r="AA797" s="77"/>
      <c r="AB797" s="94"/>
      <c r="AC797" s="94"/>
      <c r="AD797" s="94"/>
      <c r="AE797" s="94"/>
      <c r="AF797" s="91"/>
      <c r="AG797" s="92"/>
      <c r="AH797" s="92"/>
      <c r="AI797" s="93"/>
      <c r="AJ797" s="94"/>
      <c r="AK797" s="92"/>
      <c r="AL797" s="94"/>
      <c r="AM797" s="94"/>
      <c r="AN797" s="94"/>
      <c r="AO797" s="94"/>
      <c r="AP797" s="94"/>
      <c r="AQ797" s="94"/>
      <c r="AR797" s="94"/>
      <c r="AS797" s="94"/>
      <c r="AT797" s="94"/>
      <c r="AU797" s="92"/>
      <c r="AV797" s="94"/>
      <c r="AW797" s="94"/>
      <c r="AX797" s="94"/>
      <c r="AY797" s="94"/>
      <c r="AZ797" s="94"/>
      <c r="BA797" s="94"/>
      <c r="BB797" s="94"/>
      <c r="BC797" s="94"/>
      <c r="BD797" s="94"/>
      <c r="BE797" s="94"/>
      <c r="BF797" s="94"/>
      <c r="BG797" s="94"/>
      <c r="BH797" s="94"/>
      <c r="BI797" s="94"/>
      <c r="BJ797" s="94"/>
      <c r="BK797" s="94"/>
      <c r="BL797" s="92"/>
      <c r="BM797" s="94"/>
      <c r="BN797" s="94"/>
      <c r="BO797" s="94"/>
      <c r="BP797" s="94"/>
      <c r="BQ797" s="92"/>
      <c r="BR797" s="92"/>
      <c r="BS797" s="92"/>
      <c r="BT797" s="92"/>
      <c r="BU797" s="92"/>
      <c r="BV797" s="92"/>
      <c r="BW797" s="92"/>
      <c r="BX797" s="92"/>
      <c r="BY797" s="92"/>
      <c r="BZ797" s="92"/>
    </row>
    <row r="798" spans="1:78" ht="12.9">
      <c r="A798" s="89"/>
      <c r="B798" s="89"/>
      <c r="C798" s="89"/>
      <c r="D798" s="89"/>
      <c r="E798" s="89"/>
      <c r="F798" s="89"/>
      <c r="G798" s="89"/>
      <c r="H798" s="105"/>
      <c r="I798" s="106"/>
      <c r="J798" s="106"/>
      <c r="K798" s="89"/>
      <c r="L798" s="89"/>
      <c r="M798" s="89"/>
      <c r="N798" s="107"/>
      <c r="O798" s="107"/>
      <c r="P798" s="89"/>
      <c r="Q798" s="89"/>
      <c r="R798" s="89"/>
      <c r="S798" s="89"/>
      <c r="T798" s="89"/>
      <c r="U798" s="89"/>
      <c r="V798" s="89"/>
      <c r="W798" s="89"/>
      <c r="X798" s="89"/>
      <c r="Y798" s="89"/>
      <c r="Z798" s="77"/>
      <c r="AA798" s="77"/>
      <c r="AB798" s="94"/>
      <c r="AC798" s="94"/>
      <c r="AD798" s="94"/>
      <c r="AE798" s="94"/>
      <c r="AF798" s="91"/>
      <c r="AG798" s="92"/>
      <c r="AH798" s="92"/>
      <c r="AI798" s="93"/>
      <c r="AJ798" s="94"/>
      <c r="AK798" s="92"/>
      <c r="AL798" s="94"/>
      <c r="AM798" s="94"/>
      <c r="AN798" s="94"/>
      <c r="AO798" s="94"/>
      <c r="AP798" s="94"/>
      <c r="AQ798" s="94"/>
      <c r="AR798" s="94"/>
      <c r="AS798" s="94"/>
      <c r="AT798" s="94"/>
      <c r="AU798" s="92"/>
      <c r="AV798" s="94"/>
      <c r="AW798" s="94"/>
      <c r="AX798" s="94"/>
      <c r="AY798" s="94"/>
      <c r="AZ798" s="94"/>
      <c r="BA798" s="94"/>
      <c r="BB798" s="94"/>
      <c r="BC798" s="94"/>
      <c r="BD798" s="94"/>
      <c r="BE798" s="94"/>
      <c r="BF798" s="94"/>
      <c r="BG798" s="94"/>
      <c r="BH798" s="94"/>
      <c r="BI798" s="94"/>
      <c r="BJ798" s="94"/>
      <c r="BK798" s="94"/>
      <c r="BL798" s="92"/>
      <c r="BM798" s="94"/>
      <c r="BN798" s="94"/>
      <c r="BO798" s="94"/>
      <c r="BP798" s="94"/>
      <c r="BQ798" s="92"/>
      <c r="BR798" s="92"/>
      <c r="BS798" s="92"/>
      <c r="BT798" s="92"/>
      <c r="BU798" s="92"/>
      <c r="BV798" s="92"/>
      <c r="BW798" s="92"/>
      <c r="BX798" s="92"/>
      <c r="BY798" s="92"/>
      <c r="BZ798" s="92"/>
    </row>
    <row r="799" spans="1:78" ht="12.9">
      <c r="A799" s="89"/>
      <c r="B799" s="89"/>
      <c r="C799" s="89"/>
      <c r="D799" s="89"/>
      <c r="E799" s="89"/>
      <c r="F799" s="89"/>
      <c r="G799" s="89"/>
      <c r="H799" s="105"/>
      <c r="I799" s="106"/>
      <c r="J799" s="106"/>
      <c r="K799" s="89"/>
      <c r="L799" s="89"/>
      <c r="M799" s="89"/>
      <c r="N799" s="107"/>
      <c r="O799" s="107"/>
      <c r="P799" s="89"/>
      <c r="Q799" s="89"/>
      <c r="R799" s="89"/>
      <c r="S799" s="89"/>
      <c r="T799" s="89"/>
      <c r="U799" s="89"/>
      <c r="V799" s="89"/>
      <c r="W799" s="89"/>
      <c r="X799" s="89"/>
      <c r="Y799" s="89"/>
      <c r="Z799" s="77"/>
      <c r="AA799" s="77"/>
      <c r="AB799" s="94"/>
      <c r="AC799" s="94"/>
      <c r="AD799" s="94"/>
      <c r="AE799" s="94"/>
      <c r="AF799" s="91"/>
      <c r="AG799" s="92"/>
      <c r="AH799" s="92"/>
      <c r="AI799" s="93"/>
      <c r="AJ799" s="94"/>
      <c r="AK799" s="92"/>
      <c r="AL799" s="94"/>
      <c r="AM799" s="94"/>
      <c r="AN799" s="94"/>
      <c r="AO799" s="94"/>
      <c r="AP799" s="94"/>
      <c r="AQ799" s="94"/>
      <c r="AR799" s="94"/>
      <c r="AS799" s="94"/>
      <c r="AT799" s="94"/>
      <c r="AU799" s="92"/>
      <c r="AV799" s="94"/>
      <c r="AW799" s="94"/>
      <c r="AX799" s="94"/>
      <c r="AY799" s="94"/>
      <c r="AZ799" s="94"/>
      <c r="BA799" s="94"/>
      <c r="BB799" s="94"/>
      <c r="BC799" s="94"/>
      <c r="BD799" s="94"/>
      <c r="BE799" s="94"/>
      <c r="BF799" s="94"/>
      <c r="BG799" s="94"/>
      <c r="BH799" s="94"/>
      <c r="BI799" s="94"/>
      <c r="BJ799" s="94"/>
      <c r="BK799" s="94"/>
      <c r="BL799" s="92"/>
      <c r="BM799" s="94"/>
      <c r="BN799" s="94"/>
      <c r="BO799" s="94"/>
      <c r="BP799" s="94"/>
      <c r="BQ799" s="92"/>
      <c r="BR799" s="92"/>
      <c r="BS799" s="92"/>
      <c r="BT799" s="92"/>
      <c r="BU799" s="92"/>
      <c r="BV799" s="92"/>
      <c r="BW799" s="92"/>
      <c r="BX799" s="92"/>
      <c r="BY799" s="92"/>
      <c r="BZ799" s="92"/>
    </row>
    <row r="800" spans="1:78" ht="12.9">
      <c r="A800" s="89"/>
      <c r="B800" s="89"/>
      <c r="C800" s="89"/>
      <c r="D800" s="89"/>
      <c r="E800" s="89"/>
      <c r="F800" s="89"/>
      <c r="G800" s="89"/>
      <c r="H800" s="105"/>
      <c r="I800" s="106"/>
      <c r="J800" s="106"/>
      <c r="K800" s="89"/>
      <c r="L800" s="89"/>
      <c r="M800" s="89"/>
      <c r="N800" s="107"/>
      <c r="O800" s="107"/>
      <c r="P800" s="89"/>
      <c r="Q800" s="89"/>
      <c r="R800" s="89"/>
      <c r="S800" s="89"/>
      <c r="T800" s="89"/>
      <c r="U800" s="89"/>
      <c r="V800" s="89"/>
      <c r="W800" s="89"/>
      <c r="X800" s="89"/>
      <c r="Y800" s="89"/>
      <c r="Z800" s="77"/>
      <c r="AA800" s="77"/>
      <c r="AB800" s="94"/>
      <c r="AC800" s="94"/>
      <c r="AD800" s="94"/>
      <c r="AE800" s="94"/>
      <c r="AF800" s="91"/>
      <c r="AG800" s="92"/>
      <c r="AH800" s="92"/>
      <c r="AI800" s="93"/>
      <c r="AJ800" s="94"/>
      <c r="AK800" s="92"/>
      <c r="AL800" s="94"/>
      <c r="AM800" s="94"/>
      <c r="AN800" s="94"/>
      <c r="AO800" s="94"/>
      <c r="AP800" s="94"/>
      <c r="AQ800" s="94"/>
      <c r="AR800" s="94"/>
      <c r="AS800" s="94"/>
      <c r="AT800" s="94"/>
      <c r="AU800" s="92"/>
      <c r="AV800" s="94"/>
      <c r="AW800" s="94"/>
      <c r="AX800" s="94"/>
      <c r="AY800" s="94"/>
      <c r="AZ800" s="94"/>
      <c r="BA800" s="94"/>
      <c r="BB800" s="94"/>
      <c r="BC800" s="94"/>
      <c r="BD800" s="94"/>
      <c r="BE800" s="94"/>
      <c r="BF800" s="94"/>
      <c r="BG800" s="94"/>
      <c r="BH800" s="94"/>
      <c r="BI800" s="94"/>
      <c r="BJ800" s="94"/>
      <c r="BK800" s="94"/>
      <c r="BL800" s="92"/>
      <c r="BM800" s="94"/>
      <c r="BN800" s="94"/>
      <c r="BO800" s="94"/>
      <c r="BP800" s="94"/>
      <c r="BQ800" s="92"/>
      <c r="BR800" s="92"/>
      <c r="BS800" s="92"/>
      <c r="BT800" s="92"/>
      <c r="BU800" s="92"/>
      <c r="BV800" s="92"/>
      <c r="BW800" s="92"/>
      <c r="BX800" s="92"/>
      <c r="BY800" s="92"/>
      <c r="BZ800" s="92"/>
    </row>
    <row r="801" spans="1:78" ht="12.9">
      <c r="A801" s="89"/>
      <c r="B801" s="89"/>
      <c r="C801" s="89"/>
      <c r="D801" s="89"/>
      <c r="E801" s="89"/>
      <c r="F801" s="89"/>
      <c r="G801" s="89"/>
      <c r="H801" s="105"/>
      <c r="I801" s="106"/>
      <c r="J801" s="106"/>
      <c r="K801" s="89"/>
      <c r="L801" s="89"/>
      <c r="M801" s="89"/>
      <c r="N801" s="107"/>
      <c r="O801" s="107"/>
      <c r="P801" s="89"/>
      <c r="Q801" s="89"/>
      <c r="R801" s="89"/>
      <c r="S801" s="89"/>
      <c r="T801" s="89"/>
      <c r="U801" s="89"/>
      <c r="V801" s="89"/>
      <c r="W801" s="89"/>
      <c r="X801" s="89"/>
      <c r="Y801" s="89"/>
      <c r="Z801" s="77"/>
      <c r="AA801" s="77"/>
      <c r="AB801" s="94"/>
      <c r="AC801" s="94"/>
      <c r="AD801" s="94"/>
      <c r="AE801" s="94"/>
      <c r="AF801" s="91"/>
      <c r="AG801" s="92"/>
      <c r="AH801" s="92"/>
      <c r="AI801" s="93"/>
      <c r="AJ801" s="94"/>
      <c r="AK801" s="92"/>
      <c r="AL801" s="94"/>
      <c r="AM801" s="94"/>
      <c r="AN801" s="94"/>
      <c r="AO801" s="94"/>
      <c r="AP801" s="94"/>
      <c r="AQ801" s="94"/>
      <c r="AR801" s="94"/>
      <c r="AS801" s="94"/>
      <c r="AT801" s="94"/>
      <c r="AU801" s="92"/>
      <c r="AV801" s="94"/>
      <c r="AW801" s="94"/>
      <c r="AX801" s="94"/>
      <c r="AY801" s="94"/>
      <c r="AZ801" s="94"/>
      <c r="BA801" s="94"/>
      <c r="BB801" s="94"/>
      <c r="BC801" s="94"/>
      <c r="BD801" s="94"/>
      <c r="BE801" s="94"/>
      <c r="BF801" s="94"/>
      <c r="BG801" s="94"/>
      <c r="BH801" s="94"/>
      <c r="BI801" s="94"/>
      <c r="BJ801" s="94"/>
      <c r="BK801" s="94"/>
      <c r="BL801" s="92"/>
      <c r="BM801" s="94"/>
      <c r="BN801" s="94"/>
      <c r="BO801" s="94"/>
      <c r="BP801" s="94"/>
      <c r="BQ801" s="92"/>
      <c r="BR801" s="92"/>
      <c r="BS801" s="92"/>
      <c r="BT801" s="92"/>
      <c r="BU801" s="92"/>
      <c r="BV801" s="92"/>
      <c r="BW801" s="92"/>
      <c r="BX801" s="92"/>
      <c r="BY801" s="92"/>
      <c r="BZ801" s="92"/>
    </row>
    <row r="802" spans="1:78" ht="12.9">
      <c r="A802" s="89"/>
      <c r="B802" s="89"/>
      <c r="C802" s="89"/>
      <c r="D802" s="89"/>
      <c r="E802" s="89"/>
      <c r="F802" s="89"/>
      <c r="G802" s="89"/>
      <c r="H802" s="105"/>
      <c r="I802" s="106"/>
      <c r="J802" s="106"/>
      <c r="K802" s="89"/>
      <c r="L802" s="89"/>
      <c r="M802" s="89"/>
      <c r="N802" s="107"/>
      <c r="O802" s="107"/>
      <c r="P802" s="89"/>
      <c r="Q802" s="89"/>
      <c r="R802" s="89"/>
      <c r="S802" s="89"/>
      <c r="T802" s="89"/>
      <c r="U802" s="89"/>
      <c r="V802" s="89"/>
      <c r="W802" s="89"/>
      <c r="X802" s="89"/>
      <c r="Y802" s="89"/>
      <c r="Z802" s="77"/>
      <c r="AA802" s="77"/>
      <c r="AB802" s="94"/>
      <c r="AC802" s="94"/>
      <c r="AD802" s="94"/>
      <c r="AE802" s="94"/>
      <c r="AF802" s="91"/>
      <c r="AG802" s="92"/>
      <c r="AH802" s="92"/>
      <c r="AI802" s="93"/>
      <c r="AJ802" s="94"/>
      <c r="AK802" s="92"/>
      <c r="AL802" s="94"/>
      <c r="AM802" s="94"/>
      <c r="AN802" s="94"/>
      <c r="AO802" s="94"/>
      <c r="AP802" s="94"/>
      <c r="AQ802" s="94"/>
      <c r="AR802" s="94"/>
      <c r="AS802" s="94"/>
      <c r="AT802" s="94"/>
      <c r="AU802" s="92"/>
      <c r="AV802" s="94"/>
      <c r="AW802" s="94"/>
      <c r="AX802" s="94"/>
      <c r="AY802" s="94"/>
      <c r="AZ802" s="94"/>
      <c r="BA802" s="94"/>
      <c r="BB802" s="94"/>
      <c r="BC802" s="94"/>
      <c r="BD802" s="94"/>
      <c r="BE802" s="94"/>
      <c r="BF802" s="94"/>
      <c r="BG802" s="94"/>
      <c r="BH802" s="94"/>
      <c r="BI802" s="94"/>
      <c r="BJ802" s="94"/>
      <c r="BK802" s="94"/>
      <c r="BL802" s="92"/>
      <c r="BM802" s="94"/>
      <c r="BN802" s="94"/>
      <c r="BO802" s="94"/>
      <c r="BP802" s="94"/>
      <c r="BQ802" s="92"/>
      <c r="BR802" s="92"/>
      <c r="BS802" s="92"/>
      <c r="BT802" s="92"/>
      <c r="BU802" s="92"/>
      <c r="BV802" s="92"/>
      <c r="BW802" s="92"/>
      <c r="BX802" s="92"/>
      <c r="BY802" s="92"/>
      <c r="BZ802" s="92"/>
    </row>
    <row r="803" spans="1:78" ht="12.9">
      <c r="A803" s="89"/>
      <c r="B803" s="89"/>
      <c r="C803" s="89"/>
      <c r="D803" s="89"/>
      <c r="E803" s="89"/>
      <c r="F803" s="89"/>
      <c r="G803" s="89"/>
      <c r="H803" s="105"/>
      <c r="I803" s="106"/>
      <c r="J803" s="106"/>
      <c r="K803" s="89"/>
      <c r="L803" s="89"/>
      <c r="M803" s="89"/>
      <c r="N803" s="107"/>
      <c r="O803" s="107"/>
      <c r="P803" s="89"/>
      <c r="Q803" s="89"/>
      <c r="R803" s="89"/>
      <c r="S803" s="89"/>
      <c r="T803" s="89"/>
      <c r="U803" s="89"/>
      <c r="V803" s="89"/>
      <c r="W803" s="89"/>
      <c r="X803" s="89"/>
      <c r="Y803" s="89"/>
      <c r="Z803" s="77"/>
      <c r="AA803" s="77"/>
      <c r="AB803" s="94"/>
      <c r="AC803" s="94"/>
      <c r="AD803" s="94"/>
      <c r="AE803" s="94"/>
      <c r="AF803" s="91"/>
      <c r="AG803" s="92"/>
      <c r="AH803" s="92"/>
      <c r="AI803" s="93"/>
      <c r="AJ803" s="94"/>
      <c r="AK803" s="92"/>
      <c r="AL803" s="94"/>
      <c r="AM803" s="94"/>
      <c r="AN803" s="94"/>
      <c r="AO803" s="94"/>
      <c r="AP803" s="94"/>
      <c r="AQ803" s="94"/>
      <c r="AR803" s="94"/>
      <c r="AS803" s="94"/>
      <c r="AT803" s="94"/>
      <c r="AU803" s="92"/>
      <c r="AV803" s="94"/>
      <c r="AW803" s="94"/>
      <c r="AX803" s="94"/>
      <c r="AY803" s="94"/>
      <c r="AZ803" s="94"/>
      <c r="BA803" s="94"/>
      <c r="BB803" s="94"/>
      <c r="BC803" s="94"/>
      <c r="BD803" s="94"/>
      <c r="BE803" s="94"/>
      <c r="BF803" s="94"/>
      <c r="BG803" s="94"/>
      <c r="BH803" s="94"/>
      <c r="BI803" s="94"/>
      <c r="BJ803" s="94"/>
      <c r="BK803" s="94"/>
      <c r="BL803" s="92"/>
      <c r="BM803" s="94"/>
      <c r="BN803" s="94"/>
      <c r="BO803" s="94"/>
      <c r="BP803" s="94"/>
      <c r="BQ803" s="92"/>
      <c r="BR803" s="92"/>
      <c r="BS803" s="92"/>
      <c r="BT803" s="92"/>
      <c r="BU803" s="92"/>
      <c r="BV803" s="92"/>
      <c r="BW803" s="92"/>
      <c r="BX803" s="92"/>
      <c r="BY803" s="92"/>
      <c r="BZ803" s="92"/>
    </row>
    <row r="804" spans="1:78" ht="12.9">
      <c r="A804" s="89"/>
      <c r="B804" s="89"/>
      <c r="C804" s="89"/>
      <c r="D804" s="89"/>
      <c r="E804" s="89"/>
      <c r="F804" s="89"/>
      <c r="G804" s="89"/>
      <c r="H804" s="105"/>
      <c r="I804" s="106"/>
      <c r="J804" s="106"/>
      <c r="K804" s="89"/>
      <c r="L804" s="89"/>
      <c r="M804" s="89"/>
      <c r="N804" s="107"/>
      <c r="O804" s="107"/>
      <c r="P804" s="89"/>
      <c r="Q804" s="89"/>
      <c r="R804" s="89"/>
      <c r="S804" s="89"/>
      <c r="T804" s="89"/>
      <c r="U804" s="89"/>
      <c r="V804" s="89"/>
      <c r="W804" s="89"/>
      <c r="X804" s="89"/>
      <c r="Y804" s="89"/>
      <c r="Z804" s="77"/>
      <c r="AA804" s="77"/>
      <c r="AB804" s="94"/>
      <c r="AC804" s="94"/>
      <c r="AD804" s="94"/>
      <c r="AE804" s="94"/>
      <c r="AF804" s="91"/>
      <c r="AG804" s="92"/>
      <c r="AH804" s="92"/>
      <c r="AI804" s="93"/>
      <c r="AJ804" s="94"/>
      <c r="AK804" s="92"/>
      <c r="AL804" s="94"/>
      <c r="AM804" s="94"/>
      <c r="AN804" s="94"/>
      <c r="AO804" s="94"/>
      <c r="AP804" s="94"/>
      <c r="AQ804" s="94"/>
      <c r="AR804" s="94"/>
      <c r="AS804" s="94"/>
      <c r="AT804" s="94"/>
      <c r="AU804" s="92"/>
      <c r="AV804" s="94"/>
      <c r="AW804" s="94"/>
      <c r="AX804" s="94"/>
      <c r="AY804" s="94"/>
      <c r="AZ804" s="94"/>
      <c r="BA804" s="94"/>
      <c r="BB804" s="94"/>
      <c r="BC804" s="94"/>
      <c r="BD804" s="94"/>
      <c r="BE804" s="94"/>
      <c r="BF804" s="94"/>
      <c r="BG804" s="94"/>
      <c r="BH804" s="94"/>
      <c r="BI804" s="94"/>
      <c r="BJ804" s="94"/>
      <c r="BK804" s="94"/>
      <c r="BL804" s="92"/>
      <c r="BM804" s="94"/>
      <c r="BN804" s="94"/>
      <c r="BO804" s="94"/>
      <c r="BP804" s="94"/>
      <c r="BQ804" s="92"/>
      <c r="BR804" s="92"/>
      <c r="BS804" s="92"/>
      <c r="BT804" s="92"/>
      <c r="BU804" s="92"/>
      <c r="BV804" s="92"/>
      <c r="BW804" s="92"/>
      <c r="BX804" s="92"/>
      <c r="BY804" s="92"/>
      <c r="BZ804" s="92"/>
    </row>
    <row r="805" spans="1:78" ht="12.9">
      <c r="A805" s="89"/>
      <c r="B805" s="89"/>
      <c r="C805" s="89"/>
      <c r="D805" s="89"/>
      <c r="E805" s="89"/>
      <c r="F805" s="89"/>
      <c r="G805" s="89"/>
      <c r="H805" s="105"/>
      <c r="I805" s="106"/>
      <c r="J805" s="106"/>
      <c r="K805" s="89"/>
      <c r="L805" s="89"/>
      <c r="M805" s="89"/>
      <c r="N805" s="107"/>
      <c r="O805" s="107"/>
      <c r="P805" s="89"/>
      <c r="Q805" s="89"/>
      <c r="R805" s="89"/>
      <c r="S805" s="89"/>
      <c r="T805" s="89"/>
      <c r="U805" s="89"/>
      <c r="V805" s="89"/>
      <c r="W805" s="89"/>
      <c r="X805" s="89"/>
      <c r="Y805" s="89"/>
      <c r="Z805" s="77"/>
      <c r="AA805" s="77"/>
      <c r="AB805" s="94"/>
      <c r="AC805" s="94"/>
      <c r="AD805" s="94"/>
      <c r="AE805" s="94"/>
      <c r="AF805" s="91"/>
      <c r="AG805" s="92"/>
      <c r="AH805" s="92"/>
      <c r="AI805" s="93"/>
      <c r="AJ805" s="94"/>
      <c r="AK805" s="92"/>
      <c r="AL805" s="94"/>
      <c r="AM805" s="94"/>
      <c r="AN805" s="94"/>
      <c r="AO805" s="94"/>
      <c r="AP805" s="94"/>
      <c r="AQ805" s="94"/>
      <c r="AR805" s="94"/>
      <c r="AS805" s="94"/>
      <c r="AT805" s="94"/>
      <c r="AU805" s="92"/>
      <c r="AV805" s="94"/>
      <c r="AW805" s="94"/>
      <c r="AX805" s="94"/>
      <c r="AY805" s="94"/>
      <c r="AZ805" s="94"/>
      <c r="BA805" s="94"/>
      <c r="BB805" s="94"/>
      <c r="BC805" s="94"/>
      <c r="BD805" s="94"/>
      <c r="BE805" s="94"/>
      <c r="BF805" s="94"/>
      <c r="BG805" s="94"/>
      <c r="BH805" s="94"/>
      <c r="BI805" s="94"/>
      <c r="BJ805" s="94"/>
      <c r="BK805" s="94"/>
      <c r="BL805" s="92"/>
      <c r="BM805" s="94"/>
      <c r="BN805" s="94"/>
      <c r="BO805" s="94"/>
      <c r="BP805" s="94"/>
      <c r="BQ805" s="92"/>
      <c r="BR805" s="92"/>
      <c r="BS805" s="92"/>
      <c r="BT805" s="92"/>
      <c r="BU805" s="92"/>
      <c r="BV805" s="92"/>
      <c r="BW805" s="92"/>
      <c r="BX805" s="92"/>
      <c r="BY805" s="92"/>
      <c r="BZ805" s="92"/>
    </row>
    <row r="806" spans="1:78" ht="12.9">
      <c r="A806" s="89"/>
      <c r="B806" s="89"/>
      <c r="C806" s="89"/>
      <c r="D806" s="89"/>
      <c r="E806" s="89"/>
      <c r="F806" s="89"/>
      <c r="G806" s="89"/>
      <c r="H806" s="105"/>
      <c r="I806" s="106"/>
      <c r="J806" s="106"/>
      <c r="K806" s="89"/>
      <c r="L806" s="89"/>
      <c r="M806" s="89"/>
      <c r="N806" s="107"/>
      <c r="O806" s="107"/>
      <c r="P806" s="89"/>
      <c r="Q806" s="89"/>
      <c r="R806" s="89"/>
      <c r="S806" s="89"/>
      <c r="T806" s="89"/>
      <c r="U806" s="89"/>
      <c r="V806" s="89"/>
      <c r="W806" s="89"/>
      <c r="X806" s="89"/>
      <c r="Y806" s="89"/>
      <c r="Z806" s="77"/>
      <c r="AA806" s="77"/>
      <c r="AB806" s="94"/>
      <c r="AC806" s="94"/>
      <c r="AD806" s="94"/>
      <c r="AE806" s="94"/>
      <c r="AF806" s="91"/>
      <c r="AG806" s="92"/>
      <c r="AH806" s="92"/>
      <c r="AI806" s="93"/>
      <c r="AJ806" s="94"/>
      <c r="AK806" s="92"/>
      <c r="AL806" s="94"/>
      <c r="AM806" s="94"/>
      <c r="AN806" s="94"/>
      <c r="AO806" s="94"/>
      <c r="AP806" s="94"/>
      <c r="AQ806" s="94"/>
      <c r="AR806" s="94"/>
      <c r="AS806" s="94"/>
      <c r="AT806" s="94"/>
      <c r="AU806" s="92"/>
      <c r="AV806" s="94"/>
      <c r="AW806" s="94"/>
      <c r="AX806" s="94"/>
      <c r="AY806" s="94"/>
      <c r="AZ806" s="94"/>
      <c r="BA806" s="94"/>
      <c r="BB806" s="94"/>
      <c r="BC806" s="94"/>
      <c r="BD806" s="94"/>
      <c r="BE806" s="94"/>
      <c r="BF806" s="94"/>
      <c r="BG806" s="94"/>
      <c r="BH806" s="94"/>
      <c r="BI806" s="94"/>
      <c r="BJ806" s="94"/>
      <c r="BK806" s="94"/>
      <c r="BL806" s="92"/>
      <c r="BM806" s="94"/>
      <c r="BN806" s="94"/>
      <c r="BO806" s="94"/>
      <c r="BP806" s="94"/>
      <c r="BQ806" s="92"/>
      <c r="BR806" s="92"/>
      <c r="BS806" s="92"/>
      <c r="BT806" s="92"/>
      <c r="BU806" s="92"/>
      <c r="BV806" s="92"/>
      <c r="BW806" s="92"/>
      <c r="BX806" s="92"/>
      <c r="BY806" s="92"/>
      <c r="BZ806" s="92"/>
    </row>
    <row r="807" spans="1:78" ht="12.9">
      <c r="A807" s="89"/>
      <c r="B807" s="89"/>
      <c r="C807" s="89"/>
      <c r="D807" s="89"/>
      <c r="E807" s="89"/>
      <c r="F807" s="89"/>
      <c r="G807" s="89"/>
      <c r="H807" s="105"/>
      <c r="I807" s="106"/>
      <c r="J807" s="106"/>
      <c r="K807" s="89"/>
      <c r="L807" s="89"/>
      <c r="M807" s="89"/>
      <c r="N807" s="107"/>
      <c r="O807" s="107"/>
      <c r="P807" s="89"/>
      <c r="Q807" s="89"/>
      <c r="R807" s="89"/>
      <c r="S807" s="89"/>
      <c r="T807" s="89"/>
      <c r="U807" s="89"/>
      <c r="V807" s="89"/>
      <c r="W807" s="89"/>
      <c r="X807" s="89"/>
      <c r="Y807" s="89"/>
      <c r="Z807" s="77"/>
      <c r="AA807" s="77"/>
      <c r="AB807" s="94"/>
      <c r="AC807" s="94"/>
      <c r="AD807" s="94"/>
      <c r="AE807" s="94"/>
      <c r="AF807" s="91"/>
      <c r="AG807" s="92"/>
      <c r="AH807" s="92"/>
      <c r="AI807" s="93"/>
      <c r="AJ807" s="94"/>
      <c r="AK807" s="92"/>
      <c r="AL807" s="94"/>
      <c r="AM807" s="94"/>
      <c r="AN807" s="94"/>
      <c r="AO807" s="94"/>
      <c r="AP807" s="94"/>
      <c r="AQ807" s="94"/>
      <c r="AR807" s="94"/>
      <c r="AS807" s="94"/>
      <c r="AT807" s="94"/>
      <c r="AU807" s="92"/>
      <c r="AV807" s="94"/>
      <c r="AW807" s="94"/>
      <c r="AX807" s="94"/>
      <c r="AY807" s="94"/>
      <c r="AZ807" s="94"/>
      <c r="BA807" s="94"/>
      <c r="BB807" s="94"/>
      <c r="BC807" s="94"/>
      <c r="BD807" s="94"/>
      <c r="BE807" s="94"/>
      <c r="BF807" s="94"/>
      <c r="BG807" s="94"/>
      <c r="BH807" s="94"/>
      <c r="BI807" s="94"/>
      <c r="BJ807" s="94"/>
      <c r="BK807" s="94"/>
      <c r="BL807" s="92"/>
      <c r="BM807" s="94"/>
      <c r="BN807" s="94"/>
      <c r="BO807" s="94"/>
      <c r="BP807" s="94"/>
      <c r="BQ807" s="92"/>
      <c r="BR807" s="92"/>
      <c r="BS807" s="92"/>
      <c r="BT807" s="92"/>
      <c r="BU807" s="92"/>
      <c r="BV807" s="92"/>
      <c r="BW807" s="92"/>
      <c r="BX807" s="92"/>
      <c r="BY807" s="92"/>
      <c r="BZ807" s="92"/>
    </row>
    <row r="808" spans="1:78" ht="12.9">
      <c r="A808" s="89"/>
      <c r="B808" s="89"/>
      <c r="C808" s="89"/>
      <c r="D808" s="89"/>
      <c r="E808" s="89"/>
      <c r="F808" s="89"/>
      <c r="G808" s="89"/>
      <c r="H808" s="105"/>
      <c r="I808" s="106"/>
      <c r="J808" s="106"/>
      <c r="K808" s="89"/>
      <c r="L808" s="89"/>
      <c r="M808" s="89"/>
      <c r="N808" s="107"/>
      <c r="O808" s="107"/>
      <c r="P808" s="89"/>
      <c r="Q808" s="89"/>
      <c r="R808" s="89"/>
      <c r="S808" s="89"/>
      <c r="T808" s="89"/>
      <c r="U808" s="89"/>
      <c r="V808" s="89"/>
      <c r="W808" s="89"/>
      <c r="X808" s="89"/>
      <c r="Y808" s="89"/>
      <c r="Z808" s="77"/>
      <c r="AA808" s="77"/>
      <c r="AB808" s="94"/>
      <c r="AC808" s="94"/>
      <c r="AD808" s="94"/>
      <c r="AE808" s="94"/>
      <c r="AF808" s="91"/>
      <c r="AG808" s="92"/>
      <c r="AH808" s="92"/>
      <c r="AI808" s="93"/>
      <c r="AJ808" s="94"/>
      <c r="AK808" s="92"/>
      <c r="AL808" s="94"/>
      <c r="AM808" s="94"/>
      <c r="AN808" s="94"/>
      <c r="AO808" s="94"/>
      <c r="AP808" s="94"/>
      <c r="AQ808" s="94"/>
      <c r="AR808" s="94"/>
      <c r="AS808" s="94"/>
      <c r="AT808" s="94"/>
      <c r="AU808" s="92"/>
      <c r="AV808" s="94"/>
      <c r="AW808" s="94"/>
      <c r="AX808" s="94"/>
      <c r="AY808" s="94"/>
      <c r="AZ808" s="94"/>
      <c r="BA808" s="94"/>
      <c r="BB808" s="94"/>
      <c r="BC808" s="94"/>
      <c r="BD808" s="94"/>
      <c r="BE808" s="94"/>
      <c r="BF808" s="94"/>
      <c r="BG808" s="94"/>
      <c r="BH808" s="94"/>
      <c r="BI808" s="94"/>
      <c r="BJ808" s="94"/>
      <c r="BK808" s="94"/>
      <c r="BL808" s="92"/>
      <c r="BM808" s="94"/>
      <c r="BN808" s="94"/>
      <c r="BO808" s="94"/>
      <c r="BP808" s="94"/>
      <c r="BQ808" s="92"/>
      <c r="BR808" s="92"/>
      <c r="BS808" s="92"/>
      <c r="BT808" s="92"/>
      <c r="BU808" s="92"/>
      <c r="BV808" s="92"/>
      <c r="BW808" s="92"/>
      <c r="BX808" s="92"/>
      <c r="BY808" s="92"/>
      <c r="BZ808" s="92"/>
    </row>
    <row r="809" spans="1:78" ht="12.9">
      <c r="A809" s="89"/>
      <c r="B809" s="89"/>
      <c r="C809" s="89"/>
      <c r="D809" s="89"/>
      <c r="E809" s="89"/>
      <c r="F809" s="89"/>
      <c r="G809" s="89"/>
      <c r="H809" s="105"/>
      <c r="I809" s="106"/>
      <c r="J809" s="106"/>
      <c r="K809" s="89"/>
      <c r="L809" s="89"/>
      <c r="M809" s="89"/>
      <c r="N809" s="107"/>
      <c r="O809" s="107"/>
      <c r="P809" s="89"/>
      <c r="Q809" s="89"/>
      <c r="R809" s="89"/>
      <c r="S809" s="89"/>
      <c r="T809" s="89"/>
      <c r="U809" s="89"/>
      <c r="V809" s="89"/>
      <c r="W809" s="89"/>
      <c r="X809" s="89"/>
      <c r="Y809" s="89"/>
      <c r="Z809" s="77"/>
      <c r="AA809" s="77"/>
      <c r="AB809" s="94"/>
      <c r="AC809" s="94"/>
      <c r="AD809" s="94"/>
      <c r="AE809" s="94"/>
      <c r="AF809" s="91"/>
      <c r="AG809" s="92"/>
      <c r="AH809" s="92"/>
      <c r="AI809" s="93"/>
      <c r="AJ809" s="94"/>
      <c r="AK809" s="92"/>
      <c r="AL809" s="94"/>
      <c r="AM809" s="94"/>
      <c r="AN809" s="94"/>
      <c r="AO809" s="94"/>
      <c r="AP809" s="94"/>
      <c r="AQ809" s="94"/>
      <c r="AR809" s="94"/>
      <c r="AS809" s="94"/>
      <c r="AT809" s="94"/>
      <c r="AU809" s="92"/>
      <c r="AV809" s="94"/>
      <c r="AW809" s="94"/>
      <c r="AX809" s="94"/>
      <c r="AY809" s="94"/>
      <c r="AZ809" s="94"/>
      <c r="BA809" s="94"/>
      <c r="BB809" s="94"/>
      <c r="BC809" s="94"/>
      <c r="BD809" s="94"/>
      <c r="BE809" s="94"/>
      <c r="BF809" s="94"/>
      <c r="BG809" s="94"/>
      <c r="BH809" s="94"/>
      <c r="BI809" s="94"/>
      <c r="BJ809" s="94"/>
      <c r="BK809" s="94"/>
      <c r="BL809" s="92"/>
      <c r="BM809" s="94"/>
      <c r="BN809" s="94"/>
      <c r="BO809" s="94"/>
      <c r="BP809" s="94"/>
      <c r="BQ809" s="92"/>
      <c r="BR809" s="92"/>
      <c r="BS809" s="92"/>
      <c r="BT809" s="92"/>
      <c r="BU809" s="92"/>
      <c r="BV809" s="92"/>
      <c r="BW809" s="92"/>
      <c r="BX809" s="92"/>
      <c r="BY809" s="92"/>
      <c r="BZ809" s="92"/>
    </row>
    <row r="810" spans="1:78" ht="12.9">
      <c r="A810" s="89"/>
      <c r="B810" s="89"/>
      <c r="C810" s="89"/>
      <c r="D810" s="89"/>
      <c r="E810" s="89"/>
      <c r="F810" s="89"/>
      <c r="G810" s="89"/>
      <c r="H810" s="105"/>
      <c r="I810" s="106"/>
      <c r="J810" s="106"/>
      <c r="K810" s="89"/>
      <c r="L810" s="89"/>
      <c r="M810" s="89"/>
      <c r="N810" s="107"/>
      <c r="O810" s="107"/>
      <c r="P810" s="89"/>
      <c r="Q810" s="89"/>
      <c r="R810" s="89"/>
      <c r="S810" s="89"/>
      <c r="T810" s="89"/>
      <c r="U810" s="89"/>
      <c r="V810" s="89"/>
      <c r="W810" s="89"/>
      <c r="X810" s="89"/>
      <c r="Y810" s="89"/>
      <c r="Z810" s="77"/>
      <c r="AA810" s="77"/>
      <c r="AB810" s="94"/>
      <c r="AC810" s="94"/>
      <c r="AD810" s="94"/>
      <c r="AE810" s="94"/>
      <c r="AF810" s="91"/>
      <c r="AG810" s="92"/>
      <c r="AH810" s="92"/>
      <c r="AI810" s="93"/>
      <c r="AJ810" s="94"/>
      <c r="AK810" s="92"/>
      <c r="AL810" s="94"/>
      <c r="AM810" s="94"/>
      <c r="AN810" s="94"/>
      <c r="AO810" s="94"/>
      <c r="AP810" s="94"/>
      <c r="AQ810" s="94"/>
      <c r="AR810" s="94"/>
      <c r="AS810" s="94"/>
      <c r="AT810" s="94"/>
      <c r="AU810" s="92"/>
      <c r="AV810" s="94"/>
      <c r="AW810" s="94"/>
      <c r="AX810" s="94"/>
      <c r="AY810" s="94"/>
      <c r="AZ810" s="94"/>
      <c r="BA810" s="94"/>
      <c r="BB810" s="94"/>
      <c r="BC810" s="94"/>
      <c r="BD810" s="94"/>
      <c r="BE810" s="94"/>
      <c r="BF810" s="94"/>
      <c r="BG810" s="94"/>
      <c r="BH810" s="94"/>
      <c r="BI810" s="94"/>
      <c r="BJ810" s="94"/>
      <c r="BK810" s="94"/>
      <c r="BL810" s="92"/>
      <c r="BM810" s="94"/>
      <c r="BN810" s="94"/>
      <c r="BO810" s="94"/>
      <c r="BP810" s="94"/>
      <c r="BQ810" s="92"/>
      <c r="BR810" s="92"/>
      <c r="BS810" s="92"/>
      <c r="BT810" s="92"/>
      <c r="BU810" s="92"/>
      <c r="BV810" s="92"/>
      <c r="BW810" s="92"/>
      <c r="BX810" s="92"/>
      <c r="BY810" s="92"/>
      <c r="BZ810" s="92"/>
    </row>
    <row r="811" spans="1:78" ht="12.9">
      <c r="A811" s="89"/>
      <c r="B811" s="89"/>
      <c r="C811" s="89"/>
      <c r="D811" s="89"/>
      <c r="E811" s="89"/>
      <c r="F811" s="89"/>
      <c r="G811" s="89"/>
      <c r="H811" s="105"/>
      <c r="I811" s="106"/>
      <c r="J811" s="106"/>
      <c r="K811" s="89"/>
      <c r="L811" s="89"/>
      <c r="M811" s="89"/>
      <c r="N811" s="107"/>
      <c r="O811" s="107"/>
      <c r="P811" s="89"/>
      <c r="Q811" s="89"/>
      <c r="R811" s="89"/>
      <c r="S811" s="89"/>
      <c r="T811" s="89"/>
      <c r="U811" s="89"/>
      <c r="V811" s="89"/>
      <c r="W811" s="89"/>
      <c r="X811" s="89"/>
      <c r="Y811" s="89"/>
      <c r="Z811" s="77"/>
      <c r="AA811" s="77"/>
      <c r="AB811" s="94"/>
      <c r="AC811" s="94"/>
      <c r="AD811" s="94"/>
      <c r="AE811" s="94"/>
      <c r="AF811" s="91"/>
      <c r="AG811" s="92"/>
      <c r="AH811" s="92"/>
      <c r="AI811" s="93"/>
      <c r="AJ811" s="94"/>
      <c r="AK811" s="92"/>
      <c r="AL811" s="94"/>
      <c r="AM811" s="94"/>
      <c r="AN811" s="94"/>
      <c r="AO811" s="94"/>
      <c r="AP811" s="94"/>
      <c r="AQ811" s="94"/>
      <c r="AR811" s="94"/>
      <c r="AS811" s="94"/>
      <c r="AT811" s="94"/>
      <c r="AU811" s="92"/>
      <c r="AV811" s="94"/>
      <c r="AW811" s="94"/>
      <c r="AX811" s="94"/>
      <c r="AY811" s="94"/>
      <c r="AZ811" s="94"/>
      <c r="BA811" s="94"/>
      <c r="BB811" s="94"/>
      <c r="BC811" s="94"/>
      <c r="BD811" s="94"/>
      <c r="BE811" s="94"/>
      <c r="BF811" s="94"/>
      <c r="BG811" s="94"/>
      <c r="BH811" s="94"/>
      <c r="BI811" s="94"/>
      <c r="BJ811" s="94"/>
      <c r="BK811" s="94"/>
      <c r="BL811" s="92"/>
      <c r="BM811" s="94"/>
      <c r="BN811" s="94"/>
      <c r="BO811" s="94"/>
      <c r="BP811" s="94"/>
      <c r="BQ811" s="92"/>
      <c r="BR811" s="92"/>
      <c r="BS811" s="92"/>
      <c r="BT811" s="92"/>
      <c r="BU811" s="92"/>
      <c r="BV811" s="92"/>
      <c r="BW811" s="92"/>
      <c r="BX811" s="92"/>
      <c r="BY811" s="92"/>
      <c r="BZ811" s="92"/>
    </row>
    <row r="812" spans="1:78" ht="12.9">
      <c r="A812" s="89"/>
      <c r="B812" s="89"/>
      <c r="C812" s="89"/>
      <c r="D812" s="89"/>
      <c r="E812" s="89"/>
      <c r="F812" s="89"/>
      <c r="G812" s="89"/>
      <c r="H812" s="105"/>
      <c r="I812" s="106"/>
      <c r="J812" s="106"/>
      <c r="K812" s="89"/>
      <c r="L812" s="89"/>
      <c r="M812" s="89"/>
      <c r="N812" s="107"/>
      <c r="O812" s="107"/>
      <c r="P812" s="89"/>
      <c r="Q812" s="89"/>
      <c r="R812" s="89"/>
      <c r="S812" s="89"/>
      <c r="T812" s="89"/>
      <c r="U812" s="89"/>
      <c r="V812" s="89"/>
      <c r="W812" s="89"/>
      <c r="X812" s="89"/>
      <c r="Y812" s="89"/>
      <c r="Z812" s="77"/>
      <c r="AA812" s="77"/>
      <c r="AB812" s="94"/>
      <c r="AC812" s="94"/>
      <c r="AD812" s="94"/>
      <c r="AE812" s="94"/>
      <c r="AF812" s="91"/>
      <c r="AG812" s="92"/>
      <c r="AH812" s="92"/>
      <c r="AI812" s="93"/>
      <c r="AJ812" s="94"/>
      <c r="AK812" s="92"/>
      <c r="AL812" s="94"/>
      <c r="AM812" s="94"/>
      <c r="AN812" s="94"/>
      <c r="AO812" s="94"/>
      <c r="AP812" s="94"/>
      <c r="AQ812" s="94"/>
      <c r="AR812" s="94"/>
      <c r="AS812" s="94"/>
      <c r="AT812" s="94"/>
      <c r="AU812" s="92"/>
      <c r="AV812" s="94"/>
      <c r="AW812" s="94"/>
      <c r="AX812" s="94"/>
      <c r="AY812" s="94"/>
      <c r="AZ812" s="94"/>
      <c r="BA812" s="94"/>
      <c r="BB812" s="94"/>
      <c r="BC812" s="94"/>
      <c r="BD812" s="94"/>
      <c r="BE812" s="94"/>
      <c r="BF812" s="94"/>
      <c r="BG812" s="94"/>
      <c r="BH812" s="94"/>
      <c r="BI812" s="94"/>
      <c r="BJ812" s="94"/>
      <c r="BK812" s="94"/>
      <c r="BL812" s="92"/>
      <c r="BM812" s="94"/>
      <c r="BN812" s="94"/>
      <c r="BO812" s="94"/>
      <c r="BP812" s="94"/>
      <c r="BQ812" s="92"/>
      <c r="BR812" s="92"/>
      <c r="BS812" s="92"/>
      <c r="BT812" s="92"/>
      <c r="BU812" s="92"/>
      <c r="BV812" s="92"/>
      <c r="BW812" s="92"/>
      <c r="BX812" s="92"/>
      <c r="BY812" s="92"/>
      <c r="BZ812" s="92"/>
    </row>
    <row r="813" spans="1:78" ht="12.9">
      <c r="A813" s="89"/>
      <c r="B813" s="89"/>
      <c r="C813" s="89"/>
      <c r="D813" s="89"/>
      <c r="E813" s="89"/>
      <c r="F813" s="89"/>
      <c r="G813" s="89"/>
      <c r="H813" s="105"/>
      <c r="I813" s="106"/>
      <c r="J813" s="106"/>
      <c r="K813" s="89"/>
      <c r="L813" s="89"/>
      <c r="M813" s="89"/>
      <c r="N813" s="107"/>
      <c r="O813" s="107"/>
      <c r="P813" s="89"/>
      <c r="Q813" s="89"/>
      <c r="R813" s="89"/>
      <c r="S813" s="89"/>
      <c r="T813" s="89"/>
      <c r="U813" s="89"/>
      <c r="V813" s="89"/>
      <c r="W813" s="89"/>
      <c r="X813" s="89"/>
      <c r="Y813" s="89"/>
      <c r="Z813" s="77"/>
      <c r="AA813" s="77"/>
      <c r="AB813" s="94"/>
      <c r="AC813" s="94"/>
      <c r="AD813" s="94"/>
      <c r="AE813" s="94"/>
      <c r="AF813" s="91"/>
      <c r="AG813" s="92"/>
      <c r="AH813" s="92"/>
      <c r="AI813" s="93"/>
      <c r="AJ813" s="94"/>
      <c r="AK813" s="92"/>
      <c r="AL813" s="94"/>
      <c r="AM813" s="94"/>
      <c r="AN813" s="94"/>
      <c r="AO813" s="94"/>
      <c r="AP813" s="94"/>
      <c r="AQ813" s="94"/>
      <c r="AR813" s="94"/>
      <c r="AS813" s="94"/>
      <c r="AT813" s="94"/>
      <c r="AU813" s="92"/>
      <c r="AV813" s="94"/>
      <c r="AW813" s="94"/>
      <c r="AX813" s="94"/>
      <c r="AY813" s="94"/>
      <c r="AZ813" s="94"/>
      <c r="BA813" s="94"/>
      <c r="BB813" s="94"/>
      <c r="BC813" s="94"/>
      <c r="BD813" s="94"/>
      <c r="BE813" s="94"/>
      <c r="BF813" s="94"/>
      <c r="BG813" s="94"/>
      <c r="BH813" s="94"/>
      <c r="BI813" s="94"/>
      <c r="BJ813" s="94"/>
      <c r="BK813" s="94"/>
      <c r="BL813" s="92"/>
      <c r="BM813" s="94"/>
      <c r="BN813" s="94"/>
      <c r="BO813" s="94"/>
      <c r="BP813" s="94"/>
      <c r="BQ813" s="92"/>
      <c r="BR813" s="92"/>
      <c r="BS813" s="92"/>
      <c r="BT813" s="92"/>
      <c r="BU813" s="92"/>
      <c r="BV813" s="92"/>
      <c r="BW813" s="92"/>
      <c r="BX813" s="92"/>
      <c r="BY813" s="92"/>
      <c r="BZ813" s="92"/>
    </row>
    <row r="814" spans="1:78" ht="12.9">
      <c r="A814" s="89"/>
      <c r="B814" s="89"/>
      <c r="C814" s="89"/>
      <c r="D814" s="89"/>
      <c r="E814" s="89"/>
      <c r="F814" s="89"/>
      <c r="G814" s="89"/>
      <c r="H814" s="105"/>
      <c r="I814" s="106"/>
      <c r="J814" s="106"/>
      <c r="K814" s="89"/>
      <c r="L814" s="89"/>
      <c r="M814" s="89"/>
      <c r="N814" s="107"/>
      <c r="O814" s="107"/>
      <c r="P814" s="89"/>
      <c r="Q814" s="89"/>
      <c r="R814" s="89"/>
      <c r="S814" s="89"/>
      <c r="T814" s="89"/>
      <c r="U814" s="89"/>
      <c r="V814" s="89"/>
      <c r="W814" s="89"/>
      <c r="X814" s="89"/>
      <c r="Y814" s="89"/>
      <c r="Z814" s="77"/>
      <c r="AA814" s="77"/>
      <c r="AB814" s="94"/>
      <c r="AC814" s="94"/>
      <c r="AD814" s="94"/>
      <c r="AE814" s="94"/>
      <c r="AF814" s="91"/>
      <c r="AG814" s="92"/>
      <c r="AH814" s="92"/>
      <c r="AI814" s="93"/>
      <c r="AJ814" s="94"/>
      <c r="AK814" s="92"/>
      <c r="AL814" s="94"/>
      <c r="AM814" s="94"/>
      <c r="AN814" s="94"/>
      <c r="AO814" s="94"/>
      <c r="AP814" s="94"/>
      <c r="AQ814" s="94"/>
      <c r="AR814" s="94"/>
      <c r="AS814" s="94"/>
      <c r="AT814" s="94"/>
      <c r="AU814" s="92"/>
      <c r="AV814" s="94"/>
      <c r="AW814" s="94"/>
      <c r="AX814" s="94"/>
      <c r="AY814" s="94"/>
      <c r="AZ814" s="94"/>
      <c r="BA814" s="94"/>
      <c r="BB814" s="94"/>
      <c r="BC814" s="94"/>
      <c r="BD814" s="94"/>
      <c r="BE814" s="94"/>
      <c r="BF814" s="94"/>
      <c r="BG814" s="94"/>
      <c r="BH814" s="94"/>
      <c r="BI814" s="94"/>
      <c r="BJ814" s="94"/>
      <c r="BK814" s="94"/>
      <c r="BL814" s="92"/>
      <c r="BM814" s="94"/>
      <c r="BN814" s="94"/>
      <c r="BO814" s="94"/>
      <c r="BP814" s="94"/>
      <c r="BQ814" s="92"/>
      <c r="BR814" s="92"/>
      <c r="BS814" s="92"/>
      <c r="BT814" s="92"/>
      <c r="BU814" s="92"/>
      <c r="BV814" s="92"/>
      <c r="BW814" s="92"/>
      <c r="BX814" s="92"/>
      <c r="BY814" s="92"/>
      <c r="BZ814" s="92"/>
    </row>
    <row r="815" spans="1:78" ht="12.9">
      <c r="A815" s="89"/>
      <c r="B815" s="89"/>
      <c r="C815" s="89"/>
      <c r="D815" s="89"/>
      <c r="E815" s="89"/>
      <c r="F815" s="89"/>
      <c r="G815" s="89"/>
      <c r="H815" s="105"/>
      <c r="I815" s="106"/>
      <c r="J815" s="106"/>
      <c r="K815" s="89"/>
      <c r="L815" s="89"/>
      <c r="M815" s="89"/>
      <c r="N815" s="107"/>
      <c r="O815" s="107"/>
      <c r="P815" s="89"/>
      <c r="Q815" s="89"/>
      <c r="R815" s="89"/>
      <c r="S815" s="89"/>
      <c r="T815" s="89"/>
      <c r="U815" s="89"/>
      <c r="V815" s="89"/>
      <c r="W815" s="89"/>
      <c r="X815" s="89"/>
      <c r="Y815" s="89"/>
      <c r="Z815" s="77"/>
      <c r="AA815" s="77"/>
      <c r="AB815" s="94"/>
      <c r="AC815" s="94"/>
      <c r="AD815" s="94"/>
      <c r="AE815" s="94"/>
      <c r="AF815" s="91"/>
      <c r="AG815" s="92"/>
      <c r="AH815" s="92"/>
      <c r="AI815" s="93"/>
      <c r="AJ815" s="94"/>
      <c r="AK815" s="92"/>
      <c r="AL815" s="94"/>
      <c r="AM815" s="94"/>
      <c r="AN815" s="94"/>
      <c r="AO815" s="94"/>
      <c r="AP815" s="94"/>
      <c r="AQ815" s="94"/>
      <c r="AR815" s="94"/>
      <c r="AS815" s="94"/>
      <c r="AT815" s="94"/>
      <c r="AU815" s="92"/>
      <c r="AV815" s="94"/>
      <c r="AW815" s="94"/>
      <c r="AX815" s="94"/>
      <c r="AY815" s="94"/>
      <c r="AZ815" s="94"/>
      <c r="BA815" s="94"/>
      <c r="BB815" s="94"/>
      <c r="BC815" s="94"/>
      <c r="BD815" s="94"/>
      <c r="BE815" s="94"/>
      <c r="BF815" s="94"/>
      <c r="BG815" s="94"/>
      <c r="BH815" s="94"/>
      <c r="BI815" s="94"/>
      <c r="BJ815" s="94"/>
      <c r="BK815" s="94"/>
      <c r="BL815" s="92"/>
      <c r="BM815" s="94"/>
      <c r="BN815" s="94"/>
      <c r="BO815" s="94"/>
      <c r="BP815" s="94"/>
      <c r="BQ815" s="92"/>
      <c r="BR815" s="92"/>
      <c r="BS815" s="92"/>
      <c r="BT815" s="92"/>
      <c r="BU815" s="92"/>
      <c r="BV815" s="92"/>
      <c r="BW815" s="92"/>
      <c r="BX815" s="92"/>
      <c r="BY815" s="92"/>
      <c r="BZ815" s="92"/>
    </row>
    <row r="816" spans="1:78" ht="12.9">
      <c r="A816" s="89"/>
      <c r="B816" s="89"/>
      <c r="C816" s="89"/>
      <c r="D816" s="89"/>
      <c r="E816" s="89"/>
      <c r="F816" s="89"/>
      <c r="G816" s="89"/>
      <c r="H816" s="105"/>
      <c r="I816" s="106"/>
      <c r="J816" s="106"/>
      <c r="K816" s="89"/>
      <c r="L816" s="89"/>
      <c r="M816" s="89"/>
      <c r="N816" s="107"/>
      <c r="O816" s="107"/>
      <c r="P816" s="89"/>
      <c r="Q816" s="89"/>
      <c r="R816" s="89"/>
      <c r="S816" s="89"/>
      <c r="T816" s="89"/>
      <c r="U816" s="89"/>
      <c r="V816" s="89"/>
      <c r="W816" s="89"/>
      <c r="X816" s="89"/>
      <c r="Y816" s="89"/>
      <c r="Z816" s="77"/>
      <c r="AA816" s="77"/>
      <c r="AB816" s="94"/>
      <c r="AC816" s="94"/>
      <c r="AD816" s="94"/>
      <c r="AE816" s="94"/>
      <c r="AF816" s="91"/>
      <c r="AG816" s="92"/>
      <c r="AH816" s="92"/>
      <c r="AI816" s="93"/>
      <c r="AJ816" s="94"/>
      <c r="AK816" s="92"/>
      <c r="AL816" s="94"/>
      <c r="AM816" s="94"/>
      <c r="AN816" s="94"/>
      <c r="AO816" s="94"/>
      <c r="AP816" s="94"/>
      <c r="AQ816" s="94"/>
      <c r="AR816" s="94"/>
      <c r="AS816" s="94"/>
      <c r="AT816" s="94"/>
      <c r="AU816" s="92"/>
      <c r="AV816" s="94"/>
      <c r="AW816" s="94"/>
      <c r="AX816" s="94"/>
      <c r="AY816" s="94"/>
      <c r="AZ816" s="94"/>
      <c r="BA816" s="94"/>
      <c r="BB816" s="94"/>
      <c r="BC816" s="94"/>
      <c r="BD816" s="94"/>
      <c r="BE816" s="94"/>
      <c r="BF816" s="94"/>
      <c r="BG816" s="94"/>
      <c r="BH816" s="94"/>
      <c r="BI816" s="94"/>
      <c r="BJ816" s="94"/>
      <c r="BK816" s="94"/>
      <c r="BL816" s="92"/>
      <c r="BM816" s="94"/>
      <c r="BN816" s="94"/>
      <c r="BO816" s="94"/>
      <c r="BP816" s="94"/>
      <c r="BQ816" s="92"/>
      <c r="BR816" s="92"/>
      <c r="BS816" s="92"/>
      <c r="BT816" s="92"/>
      <c r="BU816" s="92"/>
      <c r="BV816" s="92"/>
      <c r="BW816" s="92"/>
      <c r="BX816" s="92"/>
      <c r="BY816" s="92"/>
      <c r="BZ816" s="92"/>
    </row>
    <row r="817" spans="1:78" ht="12.9">
      <c r="A817" s="89"/>
      <c r="B817" s="89"/>
      <c r="C817" s="89"/>
      <c r="D817" s="89"/>
      <c r="E817" s="89"/>
      <c r="F817" s="89"/>
      <c r="G817" s="89"/>
      <c r="H817" s="105"/>
      <c r="I817" s="106"/>
      <c r="J817" s="106"/>
      <c r="K817" s="89"/>
      <c r="L817" s="89"/>
      <c r="M817" s="89"/>
      <c r="N817" s="107"/>
      <c r="O817" s="107"/>
      <c r="P817" s="89"/>
      <c r="Q817" s="89"/>
      <c r="R817" s="89"/>
      <c r="S817" s="89"/>
      <c r="T817" s="89"/>
      <c r="U817" s="89"/>
      <c r="V817" s="89"/>
      <c r="W817" s="89"/>
      <c r="X817" s="89"/>
      <c r="Y817" s="89"/>
      <c r="Z817" s="77"/>
      <c r="AA817" s="77"/>
      <c r="AB817" s="94"/>
      <c r="AC817" s="94"/>
      <c r="AD817" s="94"/>
      <c r="AE817" s="94"/>
      <c r="AF817" s="91"/>
      <c r="AG817" s="92"/>
      <c r="AH817" s="92"/>
      <c r="AI817" s="93"/>
      <c r="AJ817" s="94"/>
      <c r="AK817" s="92"/>
      <c r="AL817" s="94"/>
      <c r="AM817" s="94"/>
      <c r="AN817" s="94"/>
      <c r="AO817" s="94"/>
      <c r="AP817" s="94"/>
      <c r="AQ817" s="94"/>
      <c r="AR817" s="94"/>
      <c r="AS817" s="94"/>
      <c r="AT817" s="94"/>
      <c r="AU817" s="92"/>
      <c r="AV817" s="94"/>
      <c r="AW817" s="94"/>
      <c r="AX817" s="94"/>
      <c r="AY817" s="94"/>
      <c r="AZ817" s="94"/>
      <c r="BA817" s="94"/>
      <c r="BB817" s="94"/>
      <c r="BC817" s="94"/>
      <c r="BD817" s="94"/>
      <c r="BE817" s="94"/>
      <c r="BF817" s="94"/>
      <c r="BG817" s="94"/>
      <c r="BH817" s="94"/>
      <c r="BI817" s="94"/>
      <c r="BJ817" s="94"/>
      <c r="BK817" s="94"/>
      <c r="BL817" s="92"/>
      <c r="BM817" s="94"/>
      <c r="BN817" s="94"/>
      <c r="BO817" s="94"/>
      <c r="BP817" s="94"/>
      <c r="BQ817" s="92"/>
      <c r="BR817" s="92"/>
      <c r="BS817" s="92"/>
      <c r="BT817" s="92"/>
      <c r="BU817" s="92"/>
      <c r="BV817" s="92"/>
      <c r="BW817" s="92"/>
      <c r="BX817" s="92"/>
      <c r="BY817" s="92"/>
      <c r="BZ817" s="92"/>
    </row>
    <row r="818" spans="1:78" ht="12.9">
      <c r="A818" s="89"/>
      <c r="B818" s="89"/>
      <c r="C818" s="89"/>
      <c r="D818" s="89"/>
      <c r="E818" s="89"/>
      <c r="F818" s="89"/>
      <c r="G818" s="89"/>
      <c r="H818" s="105"/>
      <c r="I818" s="106"/>
      <c r="J818" s="106"/>
      <c r="K818" s="89"/>
      <c r="L818" s="89"/>
      <c r="M818" s="89"/>
      <c r="N818" s="107"/>
      <c r="O818" s="107"/>
      <c r="P818" s="89"/>
      <c r="Q818" s="89"/>
      <c r="R818" s="89"/>
      <c r="S818" s="89"/>
      <c r="T818" s="89"/>
      <c r="U818" s="89"/>
      <c r="V818" s="89"/>
      <c r="W818" s="89"/>
      <c r="X818" s="89"/>
      <c r="Y818" s="89"/>
      <c r="Z818" s="77"/>
      <c r="AA818" s="77"/>
      <c r="AB818" s="94"/>
      <c r="AC818" s="94"/>
      <c r="AD818" s="94"/>
      <c r="AE818" s="94"/>
      <c r="AF818" s="91"/>
      <c r="AG818" s="92"/>
      <c r="AH818" s="92"/>
      <c r="AI818" s="93"/>
      <c r="AJ818" s="94"/>
      <c r="AK818" s="92"/>
      <c r="AL818" s="94"/>
      <c r="AM818" s="94"/>
      <c r="AN818" s="94"/>
      <c r="AO818" s="94"/>
      <c r="AP818" s="94"/>
      <c r="AQ818" s="94"/>
      <c r="AR818" s="94"/>
      <c r="AS818" s="94"/>
      <c r="AT818" s="94"/>
      <c r="AU818" s="92"/>
      <c r="AV818" s="94"/>
      <c r="AW818" s="94"/>
      <c r="AX818" s="94"/>
      <c r="AY818" s="94"/>
      <c r="AZ818" s="94"/>
      <c r="BA818" s="94"/>
      <c r="BB818" s="94"/>
      <c r="BC818" s="94"/>
      <c r="BD818" s="94"/>
      <c r="BE818" s="94"/>
      <c r="BF818" s="94"/>
      <c r="BG818" s="94"/>
      <c r="BH818" s="94"/>
      <c r="BI818" s="94"/>
      <c r="BJ818" s="94"/>
      <c r="BK818" s="94"/>
      <c r="BL818" s="92"/>
      <c r="BM818" s="94"/>
      <c r="BN818" s="94"/>
      <c r="BO818" s="94"/>
      <c r="BP818" s="94"/>
      <c r="BQ818" s="92"/>
      <c r="BR818" s="92"/>
      <c r="BS818" s="92"/>
      <c r="BT818" s="92"/>
      <c r="BU818" s="92"/>
      <c r="BV818" s="92"/>
      <c r="BW818" s="92"/>
      <c r="BX818" s="92"/>
      <c r="BY818" s="92"/>
      <c r="BZ818" s="92"/>
    </row>
    <row r="819" spans="1:78" ht="12.9">
      <c r="A819" s="89"/>
      <c r="B819" s="89"/>
      <c r="C819" s="89"/>
      <c r="D819" s="89"/>
      <c r="E819" s="89"/>
      <c r="F819" s="89"/>
      <c r="G819" s="89"/>
      <c r="H819" s="105"/>
      <c r="I819" s="106"/>
      <c r="J819" s="106"/>
      <c r="K819" s="89"/>
      <c r="L819" s="89"/>
      <c r="M819" s="89"/>
      <c r="N819" s="107"/>
      <c r="O819" s="107"/>
      <c r="P819" s="89"/>
      <c r="Q819" s="89"/>
      <c r="R819" s="89"/>
      <c r="S819" s="89"/>
      <c r="T819" s="89"/>
      <c r="U819" s="89"/>
      <c r="V819" s="89"/>
      <c r="W819" s="89"/>
      <c r="X819" s="89"/>
      <c r="Y819" s="89"/>
      <c r="Z819" s="77"/>
      <c r="AA819" s="77"/>
      <c r="AB819" s="94"/>
      <c r="AC819" s="94"/>
      <c r="AD819" s="94"/>
      <c r="AE819" s="94"/>
      <c r="AF819" s="91"/>
      <c r="AG819" s="92"/>
      <c r="AH819" s="92"/>
      <c r="AI819" s="93"/>
      <c r="AJ819" s="94"/>
      <c r="AK819" s="92"/>
      <c r="AL819" s="94"/>
      <c r="AM819" s="94"/>
      <c r="AN819" s="94"/>
      <c r="AO819" s="94"/>
      <c r="AP819" s="94"/>
      <c r="AQ819" s="94"/>
      <c r="AR819" s="94"/>
      <c r="AS819" s="94"/>
      <c r="AT819" s="94"/>
      <c r="AU819" s="92"/>
      <c r="AV819" s="94"/>
      <c r="AW819" s="94"/>
      <c r="AX819" s="94"/>
      <c r="AY819" s="94"/>
      <c r="AZ819" s="94"/>
      <c r="BA819" s="94"/>
      <c r="BB819" s="94"/>
      <c r="BC819" s="94"/>
      <c r="BD819" s="94"/>
      <c r="BE819" s="94"/>
      <c r="BF819" s="94"/>
      <c r="BG819" s="94"/>
      <c r="BH819" s="94"/>
      <c r="BI819" s="94"/>
      <c r="BJ819" s="94"/>
      <c r="BK819" s="94"/>
      <c r="BL819" s="92"/>
      <c r="BM819" s="94"/>
      <c r="BN819" s="94"/>
      <c r="BO819" s="94"/>
      <c r="BP819" s="94"/>
      <c r="BQ819" s="92"/>
      <c r="BR819" s="92"/>
      <c r="BS819" s="92"/>
      <c r="BT819" s="92"/>
      <c r="BU819" s="92"/>
      <c r="BV819" s="92"/>
      <c r="BW819" s="92"/>
      <c r="BX819" s="92"/>
      <c r="BY819" s="92"/>
      <c r="BZ819" s="92"/>
    </row>
    <row r="820" spans="1:78" ht="12.9">
      <c r="A820" s="89"/>
      <c r="B820" s="89"/>
      <c r="C820" s="89"/>
      <c r="D820" s="89"/>
      <c r="E820" s="89"/>
      <c r="F820" s="89"/>
      <c r="G820" s="89"/>
      <c r="H820" s="105"/>
      <c r="I820" s="106"/>
      <c r="J820" s="106"/>
      <c r="K820" s="89"/>
      <c r="L820" s="89"/>
      <c r="M820" s="89"/>
      <c r="N820" s="107"/>
      <c r="O820" s="107"/>
      <c r="P820" s="89"/>
      <c r="Q820" s="89"/>
      <c r="R820" s="89"/>
      <c r="S820" s="89"/>
      <c r="T820" s="89"/>
      <c r="U820" s="89"/>
      <c r="V820" s="89"/>
      <c r="W820" s="89"/>
      <c r="X820" s="89"/>
      <c r="Y820" s="89"/>
      <c r="Z820" s="77"/>
      <c r="AA820" s="77"/>
      <c r="AB820" s="94"/>
      <c r="AC820" s="94"/>
      <c r="AD820" s="94"/>
      <c r="AE820" s="94"/>
      <c r="AF820" s="91"/>
      <c r="AG820" s="92"/>
      <c r="AH820" s="92"/>
      <c r="AI820" s="93"/>
      <c r="AJ820" s="94"/>
      <c r="AK820" s="92"/>
      <c r="AL820" s="94"/>
      <c r="AM820" s="94"/>
      <c r="AN820" s="94"/>
      <c r="AO820" s="94"/>
      <c r="AP820" s="94"/>
      <c r="AQ820" s="94"/>
      <c r="AR820" s="94"/>
      <c r="AS820" s="94"/>
      <c r="AT820" s="94"/>
      <c r="AU820" s="92"/>
      <c r="AV820" s="94"/>
      <c r="AW820" s="94"/>
      <c r="AX820" s="94"/>
      <c r="AY820" s="94"/>
      <c r="AZ820" s="94"/>
      <c r="BA820" s="94"/>
      <c r="BB820" s="94"/>
      <c r="BC820" s="94"/>
      <c r="BD820" s="94"/>
      <c r="BE820" s="94"/>
      <c r="BF820" s="94"/>
      <c r="BG820" s="94"/>
      <c r="BH820" s="94"/>
      <c r="BI820" s="94"/>
      <c r="BJ820" s="94"/>
      <c r="BK820" s="94"/>
      <c r="BL820" s="92"/>
      <c r="BM820" s="94"/>
      <c r="BN820" s="94"/>
      <c r="BO820" s="94"/>
      <c r="BP820" s="94"/>
      <c r="BQ820" s="92"/>
      <c r="BR820" s="92"/>
      <c r="BS820" s="92"/>
      <c r="BT820" s="92"/>
      <c r="BU820" s="92"/>
      <c r="BV820" s="92"/>
      <c r="BW820" s="92"/>
      <c r="BX820" s="92"/>
      <c r="BY820" s="92"/>
      <c r="BZ820" s="92"/>
    </row>
    <row r="821" spans="1:78" ht="12.9">
      <c r="A821" s="89"/>
      <c r="B821" s="89"/>
      <c r="C821" s="89"/>
      <c r="D821" s="89"/>
      <c r="E821" s="89"/>
      <c r="F821" s="89"/>
      <c r="G821" s="89"/>
      <c r="H821" s="105"/>
      <c r="I821" s="106"/>
      <c r="J821" s="106"/>
      <c r="K821" s="89"/>
      <c r="L821" s="89"/>
      <c r="M821" s="89"/>
      <c r="N821" s="107"/>
      <c r="O821" s="107"/>
      <c r="P821" s="89"/>
      <c r="Q821" s="89"/>
      <c r="R821" s="89"/>
      <c r="S821" s="89"/>
      <c r="T821" s="89"/>
      <c r="U821" s="89"/>
      <c r="V821" s="89"/>
      <c r="W821" s="89"/>
      <c r="X821" s="89"/>
      <c r="Y821" s="89"/>
      <c r="Z821" s="77"/>
      <c r="AA821" s="77"/>
      <c r="AB821" s="94"/>
      <c r="AC821" s="94"/>
      <c r="AD821" s="94"/>
      <c r="AE821" s="94"/>
      <c r="AF821" s="91"/>
      <c r="AG821" s="92"/>
      <c r="AH821" s="92"/>
      <c r="AI821" s="93"/>
      <c r="AJ821" s="94"/>
      <c r="AK821" s="92"/>
      <c r="AL821" s="94"/>
      <c r="AM821" s="94"/>
      <c r="AN821" s="94"/>
      <c r="AO821" s="94"/>
      <c r="AP821" s="94"/>
      <c r="AQ821" s="94"/>
      <c r="AR821" s="94"/>
      <c r="AS821" s="94"/>
      <c r="AT821" s="94"/>
      <c r="AU821" s="92"/>
      <c r="AV821" s="94"/>
      <c r="AW821" s="94"/>
      <c r="AX821" s="94"/>
      <c r="AY821" s="94"/>
      <c r="AZ821" s="94"/>
      <c r="BA821" s="94"/>
      <c r="BB821" s="94"/>
      <c r="BC821" s="94"/>
      <c r="BD821" s="94"/>
      <c r="BE821" s="94"/>
      <c r="BF821" s="94"/>
      <c r="BG821" s="94"/>
      <c r="BH821" s="94"/>
      <c r="BI821" s="94"/>
      <c r="BJ821" s="94"/>
      <c r="BK821" s="94"/>
      <c r="BL821" s="92"/>
      <c r="BM821" s="94"/>
      <c r="BN821" s="94"/>
      <c r="BO821" s="94"/>
      <c r="BP821" s="94"/>
      <c r="BQ821" s="92"/>
      <c r="BR821" s="92"/>
      <c r="BS821" s="92"/>
      <c r="BT821" s="92"/>
      <c r="BU821" s="92"/>
      <c r="BV821" s="92"/>
      <c r="BW821" s="92"/>
      <c r="BX821" s="92"/>
      <c r="BY821" s="92"/>
      <c r="BZ821" s="92"/>
    </row>
    <row r="822" spans="1:78" ht="12.9">
      <c r="A822" s="89"/>
      <c r="B822" s="89"/>
      <c r="C822" s="89"/>
      <c r="D822" s="89"/>
      <c r="E822" s="89"/>
      <c r="F822" s="89"/>
      <c r="G822" s="89"/>
      <c r="H822" s="105"/>
      <c r="I822" s="106"/>
      <c r="J822" s="106"/>
      <c r="K822" s="89"/>
      <c r="L822" s="89"/>
      <c r="M822" s="89"/>
      <c r="N822" s="107"/>
      <c r="O822" s="107"/>
      <c r="P822" s="89"/>
      <c r="Q822" s="89"/>
      <c r="R822" s="89"/>
      <c r="S822" s="89"/>
      <c r="T822" s="89"/>
      <c r="U822" s="89"/>
      <c r="V822" s="89"/>
      <c r="W822" s="89"/>
      <c r="X822" s="89"/>
      <c r="Y822" s="89"/>
      <c r="Z822" s="77"/>
      <c r="AA822" s="77"/>
      <c r="AB822" s="94"/>
      <c r="AC822" s="94"/>
      <c r="AD822" s="94"/>
      <c r="AE822" s="94"/>
      <c r="AF822" s="91"/>
      <c r="AG822" s="92"/>
      <c r="AH822" s="92"/>
      <c r="AI822" s="93"/>
      <c r="AJ822" s="94"/>
      <c r="AK822" s="92"/>
      <c r="AL822" s="94"/>
      <c r="AM822" s="94"/>
      <c r="AN822" s="94"/>
      <c r="AO822" s="94"/>
      <c r="AP822" s="94"/>
      <c r="AQ822" s="94"/>
      <c r="AR822" s="94"/>
      <c r="AS822" s="94"/>
      <c r="AT822" s="94"/>
      <c r="AU822" s="92"/>
      <c r="AV822" s="94"/>
      <c r="AW822" s="94"/>
      <c r="AX822" s="94"/>
      <c r="AY822" s="94"/>
      <c r="AZ822" s="94"/>
      <c r="BA822" s="94"/>
      <c r="BB822" s="94"/>
      <c r="BC822" s="94"/>
      <c r="BD822" s="94"/>
      <c r="BE822" s="94"/>
      <c r="BF822" s="94"/>
      <c r="BG822" s="94"/>
      <c r="BH822" s="94"/>
      <c r="BI822" s="94"/>
      <c r="BJ822" s="94"/>
      <c r="BK822" s="94"/>
      <c r="BL822" s="92"/>
      <c r="BM822" s="94"/>
      <c r="BN822" s="94"/>
      <c r="BO822" s="94"/>
      <c r="BP822" s="94"/>
      <c r="BQ822" s="92"/>
      <c r="BR822" s="92"/>
      <c r="BS822" s="92"/>
      <c r="BT822" s="92"/>
      <c r="BU822" s="92"/>
      <c r="BV822" s="92"/>
      <c r="BW822" s="92"/>
      <c r="BX822" s="92"/>
      <c r="BY822" s="92"/>
      <c r="BZ822" s="92"/>
    </row>
    <row r="823" spans="1:78" ht="12.9">
      <c r="A823" s="89"/>
      <c r="B823" s="89"/>
      <c r="C823" s="89"/>
      <c r="D823" s="89"/>
      <c r="E823" s="89"/>
      <c r="F823" s="89"/>
      <c r="G823" s="89"/>
      <c r="H823" s="105"/>
      <c r="I823" s="106"/>
      <c r="J823" s="106"/>
      <c r="K823" s="89"/>
      <c r="L823" s="89"/>
      <c r="M823" s="89"/>
      <c r="N823" s="107"/>
      <c r="O823" s="107"/>
      <c r="P823" s="89"/>
      <c r="Q823" s="89"/>
      <c r="R823" s="89"/>
      <c r="S823" s="89"/>
      <c r="T823" s="89"/>
      <c r="U823" s="89"/>
      <c r="V823" s="89"/>
      <c r="W823" s="89"/>
      <c r="X823" s="89"/>
      <c r="Y823" s="89"/>
      <c r="Z823" s="77"/>
      <c r="AA823" s="77"/>
      <c r="AB823" s="94"/>
      <c r="AC823" s="94"/>
      <c r="AD823" s="94"/>
      <c r="AE823" s="94"/>
      <c r="AF823" s="91"/>
      <c r="AG823" s="92"/>
      <c r="AH823" s="92"/>
      <c r="AI823" s="93"/>
      <c r="AJ823" s="94"/>
      <c r="AK823" s="92"/>
      <c r="AL823" s="94"/>
      <c r="AM823" s="94"/>
      <c r="AN823" s="94"/>
      <c r="AO823" s="94"/>
      <c r="AP823" s="94"/>
      <c r="AQ823" s="94"/>
      <c r="AR823" s="94"/>
      <c r="AS823" s="94"/>
      <c r="AT823" s="94"/>
      <c r="AU823" s="92"/>
      <c r="AV823" s="94"/>
      <c r="AW823" s="94"/>
      <c r="AX823" s="94"/>
      <c r="AY823" s="94"/>
      <c r="AZ823" s="94"/>
      <c r="BA823" s="94"/>
      <c r="BB823" s="94"/>
      <c r="BC823" s="94"/>
      <c r="BD823" s="94"/>
      <c r="BE823" s="94"/>
      <c r="BF823" s="94"/>
      <c r="BG823" s="94"/>
      <c r="BH823" s="94"/>
      <c r="BI823" s="94"/>
      <c r="BJ823" s="94"/>
      <c r="BK823" s="94"/>
      <c r="BL823" s="92"/>
      <c r="BM823" s="94"/>
      <c r="BN823" s="94"/>
      <c r="BO823" s="94"/>
      <c r="BP823" s="94"/>
      <c r="BQ823" s="92"/>
      <c r="BR823" s="92"/>
      <c r="BS823" s="92"/>
      <c r="BT823" s="92"/>
      <c r="BU823" s="92"/>
      <c r="BV823" s="92"/>
      <c r="BW823" s="92"/>
      <c r="BX823" s="92"/>
      <c r="BY823" s="92"/>
      <c r="BZ823" s="92"/>
    </row>
    <row r="824" spans="1:78" ht="12.9">
      <c r="A824" s="89"/>
      <c r="B824" s="89"/>
      <c r="C824" s="89"/>
      <c r="D824" s="89"/>
      <c r="E824" s="89"/>
      <c r="F824" s="89"/>
      <c r="G824" s="89"/>
      <c r="H824" s="105"/>
      <c r="I824" s="106"/>
      <c r="J824" s="106"/>
      <c r="K824" s="89"/>
      <c r="L824" s="89"/>
      <c r="M824" s="89"/>
      <c r="N824" s="107"/>
      <c r="O824" s="107"/>
      <c r="P824" s="89"/>
      <c r="Q824" s="89"/>
      <c r="R824" s="89"/>
      <c r="S824" s="89"/>
      <c r="T824" s="89"/>
      <c r="U824" s="89"/>
      <c r="V824" s="89"/>
      <c r="W824" s="89"/>
      <c r="X824" s="89"/>
      <c r="Y824" s="89"/>
      <c r="Z824" s="77"/>
      <c r="AA824" s="77"/>
      <c r="AB824" s="94"/>
      <c r="AC824" s="94"/>
      <c r="AD824" s="94"/>
      <c r="AE824" s="94"/>
      <c r="AF824" s="91"/>
      <c r="AG824" s="92"/>
      <c r="AH824" s="92"/>
      <c r="AI824" s="93"/>
      <c r="AJ824" s="94"/>
      <c r="AK824" s="92"/>
      <c r="AL824" s="94"/>
      <c r="AM824" s="94"/>
      <c r="AN824" s="94"/>
      <c r="AO824" s="94"/>
      <c r="AP824" s="94"/>
      <c r="AQ824" s="94"/>
      <c r="AR824" s="94"/>
      <c r="AS824" s="94"/>
      <c r="AT824" s="94"/>
      <c r="AU824" s="92"/>
      <c r="AV824" s="94"/>
      <c r="AW824" s="94"/>
      <c r="AX824" s="94"/>
      <c r="AY824" s="94"/>
      <c r="AZ824" s="94"/>
      <c r="BA824" s="94"/>
      <c r="BB824" s="94"/>
      <c r="BC824" s="94"/>
      <c r="BD824" s="94"/>
      <c r="BE824" s="94"/>
      <c r="BF824" s="94"/>
      <c r="BG824" s="94"/>
      <c r="BH824" s="94"/>
      <c r="BI824" s="94"/>
      <c r="BJ824" s="94"/>
      <c r="BK824" s="94"/>
      <c r="BL824" s="92"/>
      <c r="BM824" s="94"/>
      <c r="BN824" s="94"/>
      <c r="BO824" s="94"/>
      <c r="BP824" s="94"/>
      <c r="BQ824" s="92"/>
      <c r="BR824" s="92"/>
      <c r="BS824" s="92"/>
      <c r="BT824" s="92"/>
      <c r="BU824" s="92"/>
      <c r="BV824" s="92"/>
      <c r="BW824" s="92"/>
      <c r="BX824" s="92"/>
      <c r="BY824" s="92"/>
      <c r="BZ824" s="92"/>
    </row>
    <row r="825" spans="1:78" ht="12.9">
      <c r="A825" s="89"/>
      <c r="B825" s="89"/>
      <c r="C825" s="89"/>
      <c r="D825" s="89"/>
      <c r="E825" s="89"/>
      <c r="F825" s="89"/>
      <c r="G825" s="89"/>
      <c r="H825" s="105"/>
      <c r="I825" s="106"/>
      <c r="J825" s="106"/>
      <c r="K825" s="89"/>
      <c r="L825" s="89"/>
      <c r="M825" s="89"/>
      <c r="N825" s="107"/>
      <c r="O825" s="107"/>
      <c r="P825" s="89"/>
      <c r="Q825" s="89"/>
      <c r="R825" s="89"/>
      <c r="S825" s="89"/>
      <c r="T825" s="89"/>
      <c r="U825" s="89"/>
      <c r="V825" s="89"/>
      <c r="W825" s="89"/>
      <c r="X825" s="89"/>
      <c r="Y825" s="89"/>
      <c r="Z825" s="77"/>
      <c r="AA825" s="77"/>
      <c r="AB825" s="94"/>
      <c r="AC825" s="94"/>
      <c r="AD825" s="94"/>
      <c r="AE825" s="94"/>
      <c r="AF825" s="91"/>
      <c r="AG825" s="92"/>
      <c r="AH825" s="92"/>
      <c r="AI825" s="93"/>
      <c r="AJ825" s="94"/>
      <c r="AK825" s="92"/>
      <c r="AL825" s="94"/>
      <c r="AM825" s="94"/>
      <c r="AN825" s="94"/>
      <c r="AO825" s="94"/>
      <c r="AP825" s="94"/>
      <c r="AQ825" s="94"/>
      <c r="AR825" s="94"/>
      <c r="AS825" s="94"/>
      <c r="AT825" s="94"/>
      <c r="AU825" s="92"/>
      <c r="AV825" s="94"/>
      <c r="AW825" s="94"/>
      <c r="AX825" s="94"/>
      <c r="AY825" s="94"/>
      <c r="AZ825" s="94"/>
      <c r="BA825" s="94"/>
      <c r="BB825" s="94"/>
      <c r="BC825" s="94"/>
      <c r="BD825" s="94"/>
      <c r="BE825" s="94"/>
      <c r="BF825" s="94"/>
      <c r="BG825" s="94"/>
      <c r="BH825" s="94"/>
      <c r="BI825" s="94"/>
      <c r="BJ825" s="94"/>
      <c r="BK825" s="94"/>
      <c r="BL825" s="92"/>
      <c r="BM825" s="94"/>
      <c r="BN825" s="94"/>
      <c r="BO825" s="94"/>
      <c r="BP825" s="94"/>
      <c r="BQ825" s="92"/>
      <c r="BR825" s="92"/>
      <c r="BS825" s="92"/>
      <c r="BT825" s="92"/>
      <c r="BU825" s="92"/>
      <c r="BV825" s="92"/>
      <c r="BW825" s="92"/>
      <c r="BX825" s="92"/>
      <c r="BY825" s="92"/>
      <c r="BZ825" s="92"/>
    </row>
    <row r="826" spans="1:78" ht="12.9">
      <c r="A826" s="89"/>
      <c r="B826" s="89"/>
      <c r="C826" s="89"/>
      <c r="D826" s="89"/>
      <c r="E826" s="89"/>
      <c r="F826" s="89"/>
      <c r="G826" s="89"/>
      <c r="H826" s="105"/>
      <c r="I826" s="106"/>
      <c r="J826" s="106"/>
      <c r="K826" s="89"/>
      <c r="L826" s="89"/>
      <c r="M826" s="89"/>
      <c r="N826" s="107"/>
      <c r="O826" s="107"/>
      <c r="P826" s="89"/>
      <c r="Q826" s="89"/>
      <c r="R826" s="89"/>
      <c r="S826" s="89"/>
      <c r="T826" s="89"/>
      <c r="U826" s="89"/>
      <c r="V826" s="89"/>
      <c r="W826" s="89"/>
      <c r="X826" s="89"/>
      <c r="Y826" s="89"/>
      <c r="Z826" s="77"/>
      <c r="AA826" s="77"/>
      <c r="AB826" s="94"/>
      <c r="AC826" s="94"/>
      <c r="AD826" s="94"/>
      <c r="AE826" s="94"/>
      <c r="AF826" s="91"/>
      <c r="AG826" s="92"/>
      <c r="AH826" s="92"/>
      <c r="AI826" s="93"/>
      <c r="AJ826" s="94"/>
      <c r="AK826" s="92"/>
      <c r="AL826" s="94"/>
      <c r="AM826" s="94"/>
      <c r="AN826" s="94"/>
      <c r="AO826" s="94"/>
      <c r="AP826" s="94"/>
      <c r="AQ826" s="94"/>
      <c r="AR826" s="94"/>
      <c r="AS826" s="94"/>
      <c r="AT826" s="94"/>
      <c r="AU826" s="92"/>
      <c r="AV826" s="94"/>
      <c r="AW826" s="94"/>
      <c r="AX826" s="94"/>
      <c r="AY826" s="94"/>
      <c r="AZ826" s="94"/>
      <c r="BA826" s="94"/>
      <c r="BB826" s="94"/>
      <c r="BC826" s="94"/>
      <c r="BD826" s="94"/>
      <c r="BE826" s="94"/>
      <c r="BF826" s="94"/>
      <c r="BG826" s="94"/>
      <c r="BH826" s="94"/>
      <c r="BI826" s="94"/>
      <c r="BJ826" s="94"/>
      <c r="BK826" s="94"/>
      <c r="BL826" s="92"/>
      <c r="BM826" s="94"/>
      <c r="BN826" s="94"/>
      <c r="BO826" s="94"/>
      <c r="BP826" s="94"/>
      <c r="BQ826" s="92"/>
      <c r="BR826" s="92"/>
      <c r="BS826" s="92"/>
      <c r="BT826" s="92"/>
      <c r="BU826" s="92"/>
      <c r="BV826" s="92"/>
      <c r="BW826" s="92"/>
      <c r="BX826" s="92"/>
      <c r="BY826" s="92"/>
      <c r="BZ826" s="92"/>
    </row>
    <row r="827" spans="1:78" ht="12.9">
      <c r="A827" s="89"/>
      <c r="B827" s="89"/>
      <c r="C827" s="89"/>
      <c r="D827" s="89"/>
      <c r="E827" s="89"/>
      <c r="F827" s="89"/>
      <c r="G827" s="89"/>
      <c r="H827" s="105"/>
      <c r="I827" s="106"/>
      <c r="J827" s="106"/>
      <c r="K827" s="89"/>
      <c r="L827" s="89"/>
      <c r="M827" s="89"/>
      <c r="N827" s="107"/>
      <c r="O827" s="107"/>
      <c r="P827" s="89"/>
      <c r="Q827" s="89"/>
      <c r="R827" s="89"/>
      <c r="S827" s="89"/>
      <c r="T827" s="89"/>
      <c r="U827" s="89"/>
      <c r="V827" s="89"/>
      <c r="W827" s="89"/>
      <c r="X827" s="89"/>
      <c r="Y827" s="89"/>
      <c r="Z827" s="77"/>
      <c r="AA827" s="77"/>
      <c r="AB827" s="94"/>
      <c r="AC827" s="94"/>
      <c r="AD827" s="94"/>
      <c r="AE827" s="94"/>
      <c r="AF827" s="91"/>
      <c r="AG827" s="92"/>
      <c r="AH827" s="92"/>
      <c r="AI827" s="93"/>
      <c r="AJ827" s="94"/>
      <c r="AK827" s="92"/>
      <c r="AL827" s="94"/>
      <c r="AM827" s="94"/>
      <c r="AN827" s="94"/>
      <c r="AO827" s="94"/>
      <c r="AP827" s="94"/>
      <c r="AQ827" s="94"/>
      <c r="AR827" s="94"/>
      <c r="AS827" s="94"/>
      <c r="AT827" s="94"/>
      <c r="AU827" s="92"/>
      <c r="AV827" s="94"/>
      <c r="AW827" s="94"/>
      <c r="AX827" s="94"/>
      <c r="AY827" s="94"/>
      <c r="AZ827" s="94"/>
      <c r="BA827" s="94"/>
      <c r="BB827" s="94"/>
      <c r="BC827" s="94"/>
      <c r="BD827" s="94"/>
      <c r="BE827" s="94"/>
      <c r="BF827" s="94"/>
      <c r="BG827" s="94"/>
      <c r="BH827" s="94"/>
      <c r="BI827" s="94"/>
      <c r="BJ827" s="94"/>
      <c r="BK827" s="94"/>
      <c r="BL827" s="92"/>
      <c r="BM827" s="94"/>
      <c r="BN827" s="94"/>
      <c r="BO827" s="94"/>
      <c r="BP827" s="94"/>
      <c r="BQ827" s="92"/>
      <c r="BR827" s="92"/>
      <c r="BS827" s="92"/>
      <c r="BT827" s="92"/>
      <c r="BU827" s="92"/>
      <c r="BV827" s="92"/>
      <c r="BW827" s="92"/>
      <c r="BX827" s="92"/>
      <c r="BY827" s="92"/>
      <c r="BZ827" s="92"/>
    </row>
    <row r="828" spans="1:78" ht="12.9">
      <c r="A828" s="89"/>
      <c r="B828" s="89"/>
      <c r="C828" s="89"/>
      <c r="D828" s="89"/>
      <c r="E828" s="89"/>
      <c r="F828" s="89"/>
      <c r="G828" s="89"/>
      <c r="H828" s="105"/>
      <c r="I828" s="106"/>
      <c r="J828" s="106"/>
      <c r="K828" s="89"/>
      <c r="L828" s="89"/>
      <c r="M828" s="89"/>
      <c r="N828" s="107"/>
      <c r="O828" s="107"/>
      <c r="P828" s="89"/>
      <c r="Q828" s="89"/>
      <c r="R828" s="89"/>
      <c r="S828" s="89"/>
      <c r="T828" s="89"/>
      <c r="U828" s="89"/>
      <c r="V828" s="89"/>
      <c r="W828" s="89"/>
      <c r="X828" s="89"/>
      <c r="Y828" s="89"/>
      <c r="Z828" s="77"/>
      <c r="AA828" s="77"/>
      <c r="AB828" s="94"/>
      <c r="AC828" s="94"/>
      <c r="AD828" s="94"/>
      <c r="AE828" s="94"/>
      <c r="AF828" s="91"/>
      <c r="AG828" s="92"/>
      <c r="AH828" s="92"/>
      <c r="AI828" s="93"/>
      <c r="AJ828" s="94"/>
      <c r="AK828" s="92"/>
      <c r="AL828" s="94"/>
      <c r="AM828" s="94"/>
      <c r="AN828" s="94"/>
      <c r="AO828" s="94"/>
      <c r="AP828" s="94"/>
      <c r="AQ828" s="94"/>
      <c r="AR828" s="94"/>
      <c r="AS828" s="94"/>
      <c r="AT828" s="94"/>
      <c r="AU828" s="92"/>
      <c r="AV828" s="94"/>
      <c r="AW828" s="94"/>
      <c r="AX828" s="94"/>
      <c r="AY828" s="94"/>
      <c r="AZ828" s="94"/>
      <c r="BA828" s="94"/>
      <c r="BB828" s="94"/>
      <c r="BC828" s="94"/>
      <c r="BD828" s="94"/>
      <c r="BE828" s="94"/>
      <c r="BF828" s="94"/>
      <c r="BG828" s="94"/>
      <c r="BH828" s="94"/>
      <c r="BI828" s="94"/>
      <c r="BJ828" s="94"/>
      <c r="BK828" s="94"/>
      <c r="BL828" s="92"/>
      <c r="BM828" s="94"/>
      <c r="BN828" s="94"/>
      <c r="BO828" s="94"/>
      <c r="BP828" s="94"/>
      <c r="BQ828" s="92"/>
      <c r="BR828" s="92"/>
      <c r="BS828" s="92"/>
      <c r="BT828" s="92"/>
      <c r="BU828" s="92"/>
      <c r="BV828" s="92"/>
      <c r="BW828" s="92"/>
      <c r="BX828" s="92"/>
      <c r="BY828" s="92"/>
      <c r="BZ828" s="92"/>
    </row>
    <row r="829" spans="1:78" ht="12.9">
      <c r="A829" s="89"/>
      <c r="B829" s="89"/>
      <c r="C829" s="89"/>
      <c r="D829" s="89"/>
      <c r="E829" s="89"/>
      <c r="F829" s="89"/>
      <c r="G829" s="89"/>
      <c r="H829" s="105"/>
      <c r="I829" s="106"/>
      <c r="J829" s="106"/>
      <c r="K829" s="89"/>
      <c r="L829" s="89"/>
      <c r="M829" s="89"/>
      <c r="N829" s="107"/>
      <c r="O829" s="107"/>
      <c r="P829" s="89"/>
      <c r="Q829" s="89"/>
      <c r="R829" s="89"/>
      <c r="S829" s="89"/>
      <c r="T829" s="89"/>
      <c r="U829" s="89"/>
      <c r="V829" s="89"/>
      <c r="W829" s="89"/>
      <c r="X829" s="89"/>
      <c r="Y829" s="89"/>
      <c r="Z829" s="77"/>
      <c r="AA829" s="77"/>
      <c r="AB829" s="94"/>
      <c r="AC829" s="94"/>
      <c r="AD829" s="94"/>
      <c r="AE829" s="94"/>
      <c r="AF829" s="91"/>
      <c r="AG829" s="92"/>
      <c r="AH829" s="92"/>
      <c r="AI829" s="93"/>
      <c r="AJ829" s="94"/>
      <c r="AK829" s="92"/>
      <c r="AL829" s="94"/>
      <c r="AM829" s="94"/>
      <c r="AN829" s="94"/>
      <c r="AO829" s="94"/>
      <c r="AP829" s="94"/>
      <c r="AQ829" s="94"/>
      <c r="AR829" s="94"/>
      <c r="AS829" s="94"/>
      <c r="AT829" s="94"/>
      <c r="AU829" s="92"/>
      <c r="AV829" s="94"/>
      <c r="AW829" s="94"/>
      <c r="AX829" s="94"/>
      <c r="AY829" s="94"/>
      <c r="AZ829" s="94"/>
      <c r="BA829" s="94"/>
      <c r="BB829" s="94"/>
      <c r="BC829" s="94"/>
      <c r="BD829" s="94"/>
      <c r="BE829" s="94"/>
      <c r="BF829" s="94"/>
      <c r="BG829" s="94"/>
      <c r="BH829" s="94"/>
      <c r="BI829" s="94"/>
      <c r="BJ829" s="94"/>
      <c r="BK829" s="94"/>
      <c r="BL829" s="92"/>
      <c r="BM829" s="94"/>
      <c r="BN829" s="94"/>
      <c r="BO829" s="94"/>
      <c r="BP829" s="94"/>
      <c r="BQ829" s="92"/>
      <c r="BR829" s="92"/>
      <c r="BS829" s="92"/>
      <c r="BT829" s="92"/>
      <c r="BU829" s="92"/>
      <c r="BV829" s="92"/>
      <c r="BW829" s="92"/>
      <c r="BX829" s="92"/>
      <c r="BY829" s="92"/>
      <c r="BZ829" s="92"/>
    </row>
    <row r="830" spans="1:78" ht="12.9">
      <c r="A830" s="89"/>
      <c r="B830" s="89"/>
      <c r="C830" s="89"/>
      <c r="D830" s="89"/>
      <c r="E830" s="89"/>
      <c r="F830" s="89"/>
      <c r="G830" s="89"/>
      <c r="H830" s="105"/>
      <c r="I830" s="106"/>
      <c r="J830" s="106"/>
      <c r="K830" s="89"/>
      <c r="L830" s="89"/>
      <c r="M830" s="89"/>
      <c r="N830" s="107"/>
      <c r="O830" s="107"/>
      <c r="P830" s="89"/>
      <c r="Q830" s="89"/>
      <c r="R830" s="89"/>
      <c r="S830" s="89"/>
      <c r="T830" s="89"/>
      <c r="U830" s="89"/>
      <c r="V830" s="89"/>
      <c r="W830" s="89"/>
      <c r="X830" s="89"/>
      <c r="Y830" s="89"/>
      <c r="Z830" s="77"/>
      <c r="AA830" s="77"/>
      <c r="AB830" s="94"/>
      <c r="AC830" s="94"/>
      <c r="AD830" s="94"/>
      <c r="AE830" s="94"/>
      <c r="AF830" s="91"/>
      <c r="AG830" s="92"/>
      <c r="AH830" s="92"/>
      <c r="AI830" s="93"/>
      <c r="AJ830" s="94"/>
      <c r="AK830" s="92"/>
      <c r="AL830" s="94"/>
      <c r="AM830" s="94"/>
      <c r="AN830" s="94"/>
      <c r="AO830" s="94"/>
      <c r="AP830" s="94"/>
      <c r="AQ830" s="94"/>
      <c r="AR830" s="94"/>
      <c r="AS830" s="94"/>
      <c r="AT830" s="94"/>
      <c r="AU830" s="92"/>
      <c r="AV830" s="94"/>
      <c r="AW830" s="94"/>
      <c r="AX830" s="94"/>
      <c r="AY830" s="94"/>
      <c r="AZ830" s="94"/>
      <c r="BA830" s="94"/>
      <c r="BB830" s="94"/>
      <c r="BC830" s="94"/>
      <c r="BD830" s="94"/>
      <c r="BE830" s="94"/>
      <c r="BF830" s="94"/>
      <c r="BG830" s="94"/>
      <c r="BH830" s="94"/>
      <c r="BI830" s="94"/>
      <c r="BJ830" s="94"/>
      <c r="BK830" s="94"/>
      <c r="BL830" s="92"/>
      <c r="BM830" s="94"/>
      <c r="BN830" s="94"/>
      <c r="BO830" s="94"/>
      <c r="BP830" s="94"/>
      <c r="BQ830" s="92"/>
      <c r="BR830" s="92"/>
      <c r="BS830" s="92"/>
      <c r="BT830" s="92"/>
      <c r="BU830" s="92"/>
      <c r="BV830" s="92"/>
      <c r="BW830" s="92"/>
      <c r="BX830" s="92"/>
      <c r="BY830" s="92"/>
      <c r="BZ830" s="92"/>
    </row>
    <row r="831" spans="1:78" ht="12.9">
      <c r="A831" s="89"/>
      <c r="B831" s="89"/>
      <c r="C831" s="89"/>
      <c r="D831" s="89"/>
      <c r="E831" s="89"/>
      <c r="F831" s="89"/>
      <c r="G831" s="89"/>
      <c r="H831" s="105"/>
      <c r="I831" s="106"/>
      <c r="J831" s="106"/>
      <c r="K831" s="89"/>
      <c r="L831" s="89"/>
      <c r="M831" s="89"/>
      <c r="N831" s="107"/>
      <c r="O831" s="107"/>
      <c r="P831" s="89"/>
      <c r="Q831" s="89"/>
      <c r="R831" s="89"/>
      <c r="S831" s="89"/>
      <c r="T831" s="89"/>
      <c r="U831" s="89"/>
      <c r="V831" s="89"/>
      <c r="W831" s="89"/>
      <c r="X831" s="89"/>
      <c r="Y831" s="89"/>
      <c r="Z831" s="77"/>
      <c r="AA831" s="77"/>
      <c r="AB831" s="94"/>
      <c r="AC831" s="94"/>
      <c r="AD831" s="94"/>
      <c r="AE831" s="94"/>
      <c r="AF831" s="91"/>
      <c r="AG831" s="92"/>
      <c r="AH831" s="92"/>
      <c r="AI831" s="93"/>
      <c r="AJ831" s="94"/>
      <c r="AK831" s="92"/>
      <c r="AL831" s="94"/>
      <c r="AM831" s="94"/>
      <c r="AN831" s="94"/>
      <c r="AO831" s="94"/>
      <c r="AP831" s="94"/>
      <c r="AQ831" s="94"/>
      <c r="AR831" s="94"/>
      <c r="AS831" s="94"/>
      <c r="AT831" s="94"/>
      <c r="AU831" s="92"/>
      <c r="AV831" s="94"/>
      <c r="AW831" s="94"/>
      <c r="AX831" s="94"/>
      <c r="AY831" s="94"/>
      <c r="AZ831" s="94"/>
      <c r="BA831" s="94"/>
      <c r="BB831" s="94"/>
      <c r="BC831" s="94"/>
      <c r="BD831" s="94"/>
      <c r="BE831" s="94"/>
      <c r="BF831" s="94"/>
      <c r="BG831" s="94"/>
      <c r="BH831" s="94"/>
      <c r="BI831" s="94"/>
      <c r="BJ831" s="94"/>
      <c r="BK831" s="94"/>
      <c r="BL831" s="92"/>
      <c r="BM831" s="94"/>
      <c r="BN831" s="94"/>
      <c r="BO831" s="94"/>
      <c r="BP831" s="94"/>
      <c r="BQ831" s="92"/>
      <c r="BR831" s="92"/>
      <c r="BS831" s="92"/>
      <c r="BT831" s="92"/>
      <c r="BU831" s="92"/>
      <c r="BV831" s="92"/>
      <c r="BW831" s="92"/>
      <c r="BX831" s="92"/>
      <c r="BY831" s="92"/>
      <c r="BZ831" s="92"/>
    </row>
    <row r="832" spans="1:78" ht="12.9">
      <c r="A832" s="89"/>
      <c r="B832" s="89"/>
      <c r="C832" s="89"/>
      <c r="D832" s="89"/>
      <c r="E832" s="89"/>
      <c r="F832" s="89"/>
      <c r="G832" s="89"/>
      <c r="H832" s="105"/>
      <c r="I832" s="106"/>
      <c r="J832" s="106"/>
      <c r="K832" s="89"/>
      <c r="L832" s="89"/>
      <c r="M832" s="89"/>
      <c r="N832" s="107"/>
      <c r="O832" s="107"/>
      <c r="P832" s="89"/>
      <c r="Q832" s="89"/>
      <c r="R832" s="89"/>
      <c r="S832" s="89"/>
      <c r="T832" s="89"/>
      <c r="U832" s="89"/>
      <c r="V832" s="89"/>
      <c r="W832" s="89"/>
      <c r="X832" s="89"/>
      <c r="Y832" s="89"/>
      <c r="Z832" s="77"/>
      <c r="AA832" s="77"/>
      <c r="AB832" s="94"/>
      <c r="AC832" s="94"/>
      <c r="AD832" s="94"/>
      <c r="AE832" s="94"/>
      <c r="AF832" s="91"/>
      <c r="AG832" s="92"/>
      <c r="AH832" s="92"/>
      <c r="AI832" s="93"/>
      <c r="AJ832" s="94"/>
      <c r="AK832" s="92"/>
      <c r="AL832" s="94"/>
      <c r="AM832" s="94"/>
      <c r="AN832" s="94"/>
      <c r="AO832" s="94"/>
      <c r="AP832" s="94"/>
      <c r="AQ832" s="94"/>
      <c r="AR832" s="94"/>
      <c r="AS832" s="94"/>
      <c r="AT832" s="94"/>
      <c r="AU832" s="92"/>
      <c r="AV832" s="94"/>
      <c r="AW832" s="94"/>
      <c r="AX832" s="94"/>
      <c r="AY832" s="94"/>
      <c r="AZ832" s="94"/>
      <c r="BA832" s="94"/>
      <c r="BB832" s="94"/>
      <c r="BC832" s="94"/>
      <c r="BD832" s="94"/>
      <c r="BE832" s="94"/>
      <c r="BF832" s="94"/>
      <c r="BG832" s="94"/>
      <c r="BH832" s="94"/>
      <c r="BI832" s="94"/>
      <c r="BJ832" s="94"/>
      <c r="BK832" s="94"/>
      <c r="BL832" s="92"/>
      <c r="BM832" s="94"/>
      <c r="BN832" s="94"/>
      <c r="BO832" s="94"/>
      <c r="BP832" s="94"/>
      <c r="BQ832" s="92"/>
      <c r="BR832" s="92"/>
      <c r="BS832" s="92"/>
      <c r="BT832" s="92"/>
      <c r="BU832" s="92"/>
      <c r="BV832" s="92"/>
      <c r="BW832" s="92"/>
      <c r="BX832" s="92"/>
      <c r="BY832" s="92"/>
      <c r="BZ832" s="92"/>
    </row>
    <row r="833" spans="1:78" ht="12.9">
      <c r="A833" s="89"/>
      <c r="B833" s="89"/>
      <c r="C833" s="89"/>
      <c r="D833" s="89"/>
      <c r="E833" s="89"/>
      <c r="F833" s="89"/>
      <c r="G833" s="89"/>
      <c r="H833" s="105"/>
      <c r="I833" s="106"/>
      <c r="J833" s="106"/>
      <c r="K833" s="89"/>
      <c r="L833" s="89"/>
      <c r="M833" s="89"/>
      <c r="N833" s="107"/>
      <c r="O833" s="107"/>
      <c r="P833" s="89"/>
      <c r="Q833" s="89"/>
      <c r="R833" s="89"/>
      <c r="S833" s="89"/>
      <c r="T833" s="89"/>
      <c r="U833" s="89"/>
      <c r="V833" s="89"/>
      <c r="W833" s="89"/>
      <c r="X833" s="89"/>
      <c r="Y833" s="89"/>
      <c r="Z833" s="77"/>
      <c r="AA833" s="77"/>
      <c r="AB833" s="94"/>
      <c r="AC833" s="94"/>
      <c r="AD833" s="94"/>
      <c r="AE833" s="94"/>
      <c r="AF833" s="91"/>
      <c r="AG833" s="92"/>
      <c r="AH833" s="92"/>
      <c r="AI833" s="93"/>
      <c r="AJ833" s="94"/>
      <c r="AK833" s="92"/>
      <c r="AL833" s="94"/>
      <c r="AM833" s="94"/>
      <c r="AN833" s="94"/>
      <c r="AO833" s="94"/>
      <c r="AP833" s="94"/>
      <c r="AQ833" s="94"/>
      <c r="AR833" s="94"/>
      <c r="AS833" s="94"/>
      <c r="AT833" s="94"/>
      <c r="AU833" s="92"/>
      <c r="AV833" s="94"/>
      <c r="AW833" s="94"/>
      <c r="AX833" s="94"/>
      <c r="AY833" s="94"/>
      <c r="AZ833" s="94"/>
      <c r="BA833" s="94"/>
      <c r="BB833" s="94"/>
      <c r="BC833" s="94"/>
      <c r="BD833" s="94"/>
      <c r="BE833" s="94"/>
      <c r="BF833" s="94"/>
      <c r="BG833" s="94"/>
      <c r="BH833" s="94"/>
      <c r="BI833" s="94"/>
      <c r="BJ833" s="94"/>
      <c r="BK833" s="94"/>
      <c r="BL833" s="92"/>
      <c r="BM833" s="94"/>
      <c r="BN833" s="94"/>
      <c r="BO833" s="94"/>
      <c r="BP833" s="94"/>
      <c r="BQ833" s="92"/>
      <c r="BR833" s="92"/>
      <c r="BS833" s="92"/>
      <c r="BT833" s="92"/>
      <c r="BU833" s="92"/>
      <c r="BV833" s="92"/>
      <c r="BW833" s="92"/>
      <c r="BX833" s="92"/>
      <c r="BY833" s="92"/>
      <c r="BZ833" s="92"/>
    </row>
    <row r="834" spans="1:78" ht="12.9">
      <c r="A834" s="89"/>
      <c r="B834" s="89"/>
      <c r="C834" s="89"/>
      <c r="D834" s="89"/>
      <c r="E834" s="89"/>
      <c r="F834" s="89"/>
      <c r="G834" s="89"/>
      <c r="H834" s="105"/>
      <c r="I834" s="106"/>
      <c r="J834" s="106"/>
      <c r="K834" s="89"/>
      <c r="L834" s="89"/>
      <c r="M834" s="89"/>
      <c r="N834" s="107"/>
      <c r="O834" s="107"/>
      <c r="P834" s="89"/>
      <c r="Q834" s="89"/>
      <c r="R834" s="89"/>
      <c r="S834" s="89"/>
      <c r="T834" s="89"/>
      <c r="U834" s="89"/>
      <c r="V834" s="89"/>
      <c r="W834" s="89"/>
      <c r="X834" s="89"/>
      <c r="Y834" s="89"/>
      <c r="Z834" s="77"/>
      <c r="AA834" s="77"/>
      <c r="AB834" s="94"/>
      <c r="AC834" s="94"/>
      <c r="AD834" s="94"/>
      <c r="AE834" s="94"/>
      <c r="AF834" s="91"/>
      <c r="AG834" s="92"/>
      <c r="AH834" s="92"/>
      <c r="AI834" s="93"/>
      <c r="AJ834" s="94"/>
      <c r="AK834" s="92"/>
      <c r="AL834" s="94"/>
      <c r="AM834" s="94"/>
      <c r="AN834" s="94"/>
      <c r="AO834" s="94"/>
      <c r="AP834" s="94"/>
      <c r="AQ834" s="94"/>
      <c r="AR834" s="94"/>
      <c r="AS834" s="94"/>
      <c r="AT834" s="94"/>
      <c r="AU834" s="92"/>
      <c r="AV834" s="94"/>
      <c r="AW834" s="94"/>
      <c r="AX834" s="94"/>
      <c r="AY834" s="94"/>
      <c r="AZ834" s="94"/>
      <c r="BA834" s="94"/>
      <c r="BB834" s="94"/>
      <c r="BC834" s="94"/>
      <c r="BD834" s="94"/>
      <c r="BE834" s="94"/>
      <c r="BF834" s="94"/>
      <c r="BG834" s="94"/>
      <c r="BH834" s="94"/>
      <c r="BI834" s="94"/>
      <c r="BJ834" s="94"/>
      <c r="BK834" s="94"/>
      <c r="BL834" s="92"/>
      <c r="BM834" s="94"/>
      <c r="BN834" s="94"/>
      <c r="BO834" s="94"/>
      <c r="BP834" s="94"/>
      <c r="BQ834" s="92"/>
      <c r="BR834" s="92"/>
      <c r="BS834" s="92"/>
      <c r="BT834" s="92"/>
      <c r="BU834" s="92"/>
      <c r="BV834" s="92"/>
      <c r="BW834" s="92"/>
      <c r="BX834" s="92"/>
      <c r="BY834" s="92"/>
      <c r="BZ834" s="92"/>
    </row>
    <row r="835" spans="1:78" ht="12.9">
      <c r="A835" s="89"/>
      <c r="B835" s="89"/>
      <c r="C835" s="89"/>
      <c r="D835" s="89"/>
      <c r="E835" s="89"/>
      <c r="F835" s="89"/>
      <c r="G835" s="89"/>
      <c r="H835" s="105"/>
      <c r="I835" s="106"/>
      <c r="J835" s="106"/>
      <c r="K835" s="89"/>
      <c r="L835" s="89"/>
      <c r="M835" s="89"/>
      <c r="N835" s="107"/>
      <c r="O835" s="107"/>
      <c r="P835" s="89"/>
      <c r="Q835" s="89"/>
      <c r="R835" s="89"/>
      <c r="S835" s="89"/>
      <c r="T835" s="89"/>
      <c r="U835" s="89"/>
      <c r="V835" s="89"/>
      <c r="W835" s="89"/>
      <c r="X835" s="89"/>
      <c r="Y835" s="89"/>
      <c r="Z835" s="77"/>
      <c r="AA835" s="77"/>
      <c r="AB835" s="94"/>
      <c r="AC835" s="94"/>
      <c r="AD835" s="94"/>
      <c r="AE835" s="94"/>
      <c r="AF835" s="91"/>
      <c r="AG835" s="92"/>
      <c r="AH835" s="92"/>
      <c r="AI835" s="93"/>
      <c r="AJ835" s="94"/>
      <c r="AK835" s="92"/>
      <c r="AL835" s="94"/>
      <c r="AM835" s="94"/>
      <c r="AN835" s="94"/>
      <c r="AO835" s="94"/>
      <c r="AP835" s="94"/>
      <c r="AQ835" s="94"/>
      <c r="AR835" s="94"/>
      <c r="AS835" s="94"/>
      <c r="AT835" s="94"/>
      <c r="AU835" s="92"/>
      <c r="AV835" s="94"/>
      <c r="AW835" s="94"/>
      <c r="AX835" s="94"/>
      <c r="AY835" s="94"/>
      <c r="AZ835" s="94"/>
      <c r="BA835" s="94"/>
      <c r="BB835" s="94"/>
      <c r="BC835" s="94"/>
      <c r="BD835" s="94"/>
      <c r="BE835" s="94"/>
      <c r="BF835" s="94"/>
      <c r="BG835" s="94"/>
      <c r="BH835" s="94"/>
      <c r="BI835" s="94"/>
      <c r="BJ835" s="94"/>
      <c r="BK835" s="94"/>
      <c r="BL835" s="92"/>
      <c r="BM835" s="94"/>
      <c r="BN835" s="94"/>
      <c r="BO835" s="94"/>
      <c r="BP835" s="94"/>
      <c r="BQ835" s="92"/>
      <c r="BR835" s="92"/>
      <c r="BS835" s="92"/>
      <c r="BT835" s="92"/>
      <c r="BU835" s="92"/>
      <c r="BV835" s="92"/>
      <c r="BW835" s="92"/>
      <c r="BX835" s="92"/>
      <c r="BY835" s="92"/>
      <c r="BZ835" s="92"/>
    </row>
    <row r="836" spans="1:78" ht="12.9">
      <c r="A836" s="89"/>
      <c r="B836" s="89"/>
      <c r="C836" s="89"/>
      <c r="D836" s="89"/>
      <c r="E836" s="89"/>
      <c r="F836" s="89"/>
      <c r="G836" s="89"/>
      <c r="H836" s="105"/>
      <c r="I836" s="106"/>
      <c r="J836" s="106"/>
      <c r="K836" s="89"/>
      <c r="L836" s="89"/>
      <c r="M836" s="89"/>
      <c r="N836" s="107"/>
      <c r="O836" s="107"/>
      <c r="P836" s="89"/>
      <c r="Q836" s="89"/>
      <c r="R836" s="89"/>
      <c r="S836" s="89"/>
      <c r="T836" s="89"/>
      <c r="U836" s="89"/>
      <c r="V836" s="89"/>
      <c r="W836" s="89"/>
      <c r="X836" s="89"/>
      <c r="Y836" s="89"/>
      <c r="Z836" s="77"/>
      <c r="AA836" s="77"/>
      <c r="AB836" s="94"/>
      <c r="AC836" s="94"/>
      <c r="AD836" s="94"/>
      <c r="AE836" s="94"/>
      <c r="AF836" s="91"/>
      <c r="AG836" s="92"/>
      <c r="AH836" s="92"/>
      <c r="AI836" s="93"/>
      <c r="AJ836" s="94"/>
      <c r="AK836" s="92"/>
      <c r="AL836" s="94"/>
      <c r="AM836" s="94"/>
      <c r="AN836" s="94"/>
      <c r="AO836" s="94"/>
      <c r="AP836" s="94"/>
      <c r="AQ836" s="94"/>
      <c r="AR836" s="94"/>
      <c r="AS836" s="94"/>
      <c r="AT836" s="94"/>
      <c r="AU836" s="92"/>
      <c r="AV836" s="94"/>
      <c r="AW836" s="94"/>
      <c r="AX836" s="94"/>
      <c r="AY836" s="94"/>
      <c r="AZ836" s="94"/>
      <c r="BA836" s="94"/>
      <c r="BB836" s="94"/>
      <c r="BC836" s="94"/>
      <c r="BD836" s="94"/>
      <c r="BE836" s="94"/>
      <c r="BF836" s="94"/>
      <c r="BG836" s="94"/>
      <c r="BH836" s="94"/>
      <c r="BI836" s="94"/>
      <c r="BJ836" s="94"/>
      <c r="BK836" s="94"/>
      <c r="BL836" s="92"/>
      <c r="BM836" s="94"/>
      <c r="BN836" s="94"/>
      <c r="BO836" s="94"/>
      <c r="BP836" s="94"/>
      <c r="BQ836" s="92"/>
      <c r="BR836" s="92"/>
      <c r="BS836" s="92"/>
      <c r="BT836" s="92"/>
      <c r="BU836" s="92"/>
      <c r="BV836" s="92"/>
      <c r="BW836" s="92"/>
      <c r="BX836" s="92"/>
      <c r="BY836" s="92"/>
      <c r="BZ836" s="92"/>
    </row>
    <row r="837" spans="1:78" ht="12.9">
      <c r="A837" s="89"/>
      <c r="B837" s="89"/>
      <c r="C837" s="89"/>
      <c r="D837" s="89"/>
      <c r="E837" s="89"/>
      <c r="F837" s="89"/>
      <c r="G837" s="89"/>
      <c r="H837" s="105"/>
      <c r="I837" s="106"/>
      <c r="J837" s="106"/>
      <c r="K837" s="89"/>
      <c r="L837" s="89"/>
      <c r="M837" s="89"/>
      <c r="N837" s="107"/>
      <c r="O837" s="107"/>
      <c r="P837" s="89"/>
      <c r="Q837" s="89"/>
      <c r="R837" s="89"/>
      <c r="S837" s="89"/>
      <c r="T837" s="89"/>
      <c r="U837" s="89"/>
      <c r="V837" s="89"/>
      <c r="W837" s="89"/>
      <c r="X837" s="89"/>
      <c r="Y837" s="89"/>
      <c r="Z837" s="77"/>
      <c r="AA837" s="77"/>
      <c r="AB837" s="94"/>
      <c r="AC837" s="94"/>
      <c r="AD837" s="94"/>
      <c r="AE837" s="94"/>
      <c r="AF837" s="91"/>
      <c r="AG837" s="92"/>
      <c r="AH837" s="92"/>
      <c r="AI837" s="93"/>
      <c r="AJ837" s="94"/>
      <c r="AK837" s="92"/>
      <c r="AL837" s="94"/>
      <c r="AM837" s="94"/>
      <c r="AN837" s="94"/>
      <c r="AO837" s="94"/>
      <c r="AP837" s="94"/>
      <c r="AQ837" s="94"/>
      <c r="AR837" s="94"/>
      <c r="AS837" s="94"/>
      <c r="AT837" s="94"/>
      <c r="AU837" s="92"/>
      <c r="AV837" s="94"/>
      <c r="AW837" s="94"/>
      <c r="AX837" s="94"/>
      <c r="AY837" s="94"/>
      <c r="AZ837" s="94"/>
      <c r="BA837" s="94"/>
      <c r="BB837" s="94"/>
      <c r="BC837" s="94"/>
      <c r="BD837" s="94"/>
      <c r="BE837" s="94"/>
      <c r="BF837" s="94"/>
      <c r="BG837" s="94"/>
      <c r="BH837" s="94"/>
      <c r="BI837" s="94"/>
      <c r="BJ837" s="94"/>
      <c r="BK837" s="94"/>
      <c r="BL837" s="92"/>
      <c r="BM837" s="94"/>
      <c r="BN837" s="94"/>
      <c r="BO837" s="94"/>
      <c r="BP837" s="94"/>
      <c r="BQ837" s="92"/>
      <c r="BR837" s="92"/>
      <c r="BS837" s="92"/>
      <c r="BT837" s="92"/>
      <c r="BU837" s="92"/>
      <c r="BV837" s="92"/>
      <c r="BW837" s="92"/>
      <c r="BX837" s="92"/>
      <c r="BY837" s="92"/>
      <c r="BZ837" s="92"/>
    </row>
    <row r="838" spans="1:78" ht="12.9">
      <c r="A838" s="89"/>
      <c r="B838" s="89"/>
      <c r="C838" s="89"/>
      <c r="D838" s="89"/>
      <c r="E838" s="89"/>
      <c r="F838" s="89"/>
      <c r="G838" s="89"/>
      <c r="H838" s="105"/>
      <c r="I838" s="106"/>
      <c r="J838" s="106"/>
      <c r="K838" s="89"/>
      <c r="L838" s="89"/>
      <c r="M838" s="89"/>
      <c r="N838" s="107"/>
      <c r="O838" s="107"/>
      <c r="P838" s="89"/>
      <c r="Q838" s="89"/>
      <c r="R838" s="89"/>
      <c r="S838" s="89"/>
      <c r="T838" s="89"/>
      <c r="U838" s="89"/>
      <c r="V838" s="89"/>
      <c r="W838" s="89"/>
      <c r="X838" s="89"/>
      <c r="Y838" s="89"/>
      <c r="Z838" s="77"/>
      <c r="AA838" s="77"/>
      <c r="AB838" s="94"/>
      <c r="AC838" s="94"/>
      <c r="AD838" s="94"/>
      <c r="AE838" s="94"/>
      <c r="AF838" s="91"/>
      <c r="AG838" s="92"/>
      <c r="AH838" s="92"/>
      <c r="AI838" s="93"/>
      <c r="AJ838" s="94"/>
      <c r="AK838" s="92"/>
      <c r="AL838" s="94"/>
      <c r="AM838" s="94"/>
      <c r="AN838" s="94"/>
      <c r="AO838" s="94"/>
      <c r="AP838" s="94"/>
      <c r="AQ838" s="94"/>
      <c r="AR838" s="94"/>
      <c r="AS838" s="94"/>
      <c r="AT838" s="94"/>
      <c r="AU838" s="92"/>
      <c r="AV838" s="94"/>
      <c r="AW838" s="94"/>
      <c r="AX838" s="94"/>
      <c r="AY838" s="94"/>
      <c r="AZ838" s="94"/>
      <c r="BA838" s="94"/>
      <c r="BB838" s="94"/>
      <c r="BC838" s="94"/>
      <c r="BD838" s="94"/>
      <c r="BE838" s="94"/>
      <c r="BF838" s="94"/>
      <c r="BG838" s="94"/>
      <c r="BH838" s="94"/>
      <c r="BI838" s="94"/>
      <c r="BJ838" s="94"/>
      <c r="BK838" s="94"/>
      <c r="BL838" s="92"/>
      <c r="BM838" s="94"/>
      <c r="BN838" s="94"/>
      <c r="BO838" s="94"/>
      <c r="BP838" s="94"/>
      <c r="BQ838" s="92"/>
      <c r="BR838" s="92"/>
      <c r="BS838" s="92"/>
      <c r="BT838" s="92"/>
      <c r="BU838" s="92"/>
      <c r="BV838" s="92"/>
      <c r="BW838" s="92"/>
      <c r="BX838" s="92"/>
      <c r="BY838" s="92"/>
      <c r="BZ838" s="92"/>
    </row>
    <row r="839" spans="1:78" ht="12.9">
      <c r="A839" s="89"/>
      <c r="B839" s="89"/>
      <c r="C839" s="89"/>
      <c r="D839" s="89"/>
      <c r="E839" s="89"/>
      <c r="F839" s="89"/>
      <c r="G839" s="89"/>
      <c r="H839" s="105"/>
      <c r="I839" s="106"/>
      <c r="J839" s="106"/>
      <c r="K839" s="89"/>
      <c r="L839" s="89"/>
      <c r="M839" s="89"/>
      <c r="N839" s="107"/>
      <c r="O839" s="107"/>
      <c r="P839" s="89"/>
      <c r="Q839" s="89"/>
      <c r="R839" s="89"/>
      <c r="S839" s="89"/>
      <c r="T839" s="89"/>
      <c r="U839" s="89"/>
      <c r="V839" s="89"/>
      <c r="W839" s="89"/>
      <c r="X839" s="89"/>
      <c r="Y839" s="89"/>
      <c r="Z839" s="77"/>
      <c r="AA839" s="77"/>
      <c r="AB839" s="94"/>
      <c r="AC839" s="94"/>
      <c r="AD839" s="94"/>
      <c r="AE839" s="94"/>
      <c r="AF839" s="91"/>
      <c r="AG839" s="92"/>
      <c r="AH839" s="92"/>
      <c r="AI839" s="93"/>
      <c r="AJ839" s="94"/>
      <c r="AK839" s="92"/>
      <c r="AL839" s="94"/>
      <c r="AM839" s="94"/>
      <c r="AN839" s="94"/>
      <c r="AO839" s="94"/>
      <c r="AP839" s="94"/>
      <c r="AQ839" s="94"/>
      <c r="AR839" s="94"/>
      <c r="AS839" s="94"/>
      <c r="AT839" s="94"/>
      <c r="AU839" s="92"/>
      <c r="AV839" s="94"/>
      <c r="AW839" s="94"/>
      <c r="AX839" s="94"/>
      <c r="AY839" s="94"/>
      <c r="AZ839" s="94"/>
      <c r="BA839" s="94"/>
      <c r="BB839" s="94"/>
      <c r="BC839" s="94"/>
      <c r="BD839" s="94"/>
      <c r="BE839" s="94"/>
      <c r="BF839" s="94"/>
      <c r="BG839" s="94"/>
      <c r="BH839" s="94"/>
      <c r="BI839" s="94"/>
      <c r="BJ839" s="94"/>
      <c r="BK839" s="94"/>
      <c r="BL839" s="92"/>
      <c r="BM839" s="94"/>
      <c r="BN839" s="94"/>
      <c r="BO839" s="94"/>
      <c r="BP839" s="94"/>
      <c r="BQ839" s="92"/>
      <c r="BR839" s="92"/>
      <c r="BS839" s="92"/>
      <c r="BT839" s="92"/>
      <c r="BU839" s="92"/>
      <c r="BV839" s="92"/>
      <c r="BW839" s="92"/>
      <c r="BX839" s="92"/>
      <c r="BY839" s="92"/>
      <c r="BZ839" s="92"/>
    </row>
    <row r="840" spans="1:78" ht="12.9">
      <c r="A840" s="89"/>
      <c r="B840" s="89"/>
      <c r="C840" s="89"/>
      <c r="D840" s="89"/>
      <c r="E840" s="89"/>
      <c r="F840" s="89"/>
      <c r="G840" s="89"/>
      <c r="H840" s="105"/>
      <c r="I840" s="106"/>
      <c r="J840" s="106"/>
      <c r="K840" s="89"/>
      <c r="L840" s="89"/>
      <c r="M840" s="89"/>
      <c r="N840" s="107"/>
      <c r="O840" s="107"/>
      <c r="P840" s="89"/>
      <c r="Q840" s="89"/>
      <c r="R840" s="89"/>
      <c r="S840" s="89"/>
      <c r="T840" s="89"/>
      <c r="U840" s="89"/>
      <c r="V840" s="89"/>
      <c r="W840" s="89"/>
      <c r="X840" s="89"/>
      <c r="Y840" s="89"/>
      <c r="Z840" s="77"/>
      <c r="AA840" s="77"/>
      <c r="AB840" s="94"/>
      <c r="AC840" s="94"/>
      <c r="AD840" s="94"/>
      <c r="AE840" s="94"/>
      <c r="AF840" s="91"/>
      <c r="AG840" s="92"/>
      <c r="AH840" s="92"/>
      <c r="AI840" s="93"/>
      <c r="AJ840" s="94"/>
      <c r="AK840" s="92"/>
      <c r="AL840" s="94"/>
      <c r="AM840" s="94"/>
      <c r="AN840" s="94"/>
      <c r="AO840" s="94"/>
      <c r="AP840" s="94"/>
      <c r="AQ840" s="94"/>
      <c r="AR840" s="94"/>
      <c r="AS840" s="94"/>
      <c r="AT840" s="94"/>
      <c r="AU840" s="92"/>
      <c r="AV840" s="94"/>
      <c r="AW840" s="94"/>
      <c r="AX840" s="94"/>
      <c r="AY840" s="94"/>
      <c r="AZ840" s="94"/>
      <c r="BA840" s="94"/>
      <c r="BB840" s="94"/>
      <c r="BC840" s="94"/>
      <c r="BD840" s="94"/>
      <c r="BE840" s="94"/>
      <c r="BF840" s="94"/>
      <c r="BG840" s="94"/>
      <c r="BH840" s="94"/>
      <c r="BI840" s="94"/>
      <c r="BJ840" s="94"/>
      <c r="BK840" s="94"/>
      <c r="BL840" s="92"/>
      <c r="BM840" s="94"/>
      <c r="BN840" s="94"/>
      <c r="BO840" s="94"/>
      <c r="BP840" s="94"/>
      <c r="BQ840" s="92"/>
      <c r="BR840" s="92"/>
      <c r="BS840" s="92"/>
      <c r="BT840" s="92"/>
      <c r="BU840" s="92"/>
      <c r="BV840" s="92"/>
      <c r="BW840" s="92"/>
      <c r="BX840" s="92"/>
      <c r="BY840" s="92"/>
      <c r="BZ840" s="92"/>
    </row>
    <row r="841" spans="1:78" ht="12.9">
      <c r="A841" s="89"/>
      <c r="B841" s="89"/>
      <c r="C841" s="89"/>
      <c r="D841" s="89"/>
      <c r="E841" s="89"/>
      <c r="F841" s="89"/>
      <c r="G841" s="89"/>
      <c r="H841" s="105"/>
      <c r="I841" s="106"/>
      <c r="J841" s="106"/>
      <c r="K841" s="89"/>
      <c r="L841" s="89"/>
      <c r="M841" s="89"/>
      <c r="N841" s="107"/>
      <c r="O841" s="107"/>
      <c r="P841" s="89"/>
      <c r="Q841" s="89"/>
      <c r="R841" s="89"/>
      <c r="S841" s="89"/>
      <c r="T841" s="89"/>
      <c r="U841" s="89"/>
      <c r="V841" s="89"/>
      <c r="W841" s="89"/>
      <c r="X841" s="89"/>
      <c r="Y841" s="89"/>
      <c r="Z841" s="77"/>
      <c r="AA841" s="77"/>
      <c r="AB841" s="94"/>
      <c r="AC841" s="94"/>
      <c r="AD841" s="94"/>
      <c r="AE841" s="94"/>
      <c r="AF841" s="91"/>
      <c r="AG841" s="92"/>
      <c r="AH841" s="92"/>
      <c r="AI841" s="93"/>
      <c r="AJ841" s="94"/>
      <c r="AK841" s="92"/>
      <c r="AL841" s="94"/>
      <c r="AM841" s="94"/>
      <c r="AN841" s="94"/>
      <c r="AO841" s="94"/>
      <c r="AP841" s="94"/>
      <c r="AQ841" s="94"/>
      <c r="AR841" s="94"/>
      <c r="AS841" s="94"/>
      <c r="AT841" s="94"/>
      <c r="AU841" s="92"/>
      <c r="AV841" s="94"/>
      <c r="AW841" s="94"/>
      <c r="AX841" s="94"/>
      <c r="AY841" s="94"/>
      <c r="AZ841" s="94"/>
      <c r="BA841" s="94"/>
      <c r="BB841" s="94"/>
      <c r="BC841" s="94"/>
      <c r="BD841" s="94"/>
      <c r="BE841" s="94"/>
      <c r="BF841" s="94"/>
      <c r="BG841" s="94"/>
      <c r="BH841" s="94"/>
      <c r="BI841" s="94"/>
      <c r="BJ841" s="94"/>
      <c r="BK841" s="94"/>
      <c r="BL841" s="92"/>
      <c r="BM841" s="94"/>
      <c r="BN841" s="94"/>
      <c r="BO841" s="94"/>
      <c r="BP841" s="94"/>
      <c r="BQ841" s="92"/>
      <c r="BR841" s="92"/>
      <c r="BS841" s="92"/>
      <c r="BT841" s="92"/>
      <c r="BU841" s="92"/>
      <c r="BV841" s="92"/>
      <c r="BW841" s="92"/>
      <c r="BX841" s="92"/>
      <c r="BY841" s="92"/>
      <c r="BZ841" s="92"/>
    </row>
    <row r="842" spans="1:78" ht="12.9">
      <c r="A842" s="89"/>
      <c r="B842" s="89"/>
      <c r="C842" s="89"/>
      <c r="D842" s="89"/>
      <c r="E842" s="89"/>
      <c r="F842" s="89"/>
      <c r="G842" s="89"/>
      <c r="H842" s="105"/>
      <c r="I842" s="106"/>
      <c r="J842" s="106"/>
      <c r="K842" s="89"/>
      <c r="L842" s="89"/>
      <c r="M842" s="89"/>
      <c r="N842" s="107"/>
      <c r="O842" s="107"/>
      <c r="P842" s="89"/>
      <c r="Q842" s="89"/>
      <c r="R842" s="89"/>
      <c r="S842" s="89"/>
      <c r="T842" s="89"/>
      <c r="U842" s="89"/>
      <c r="V842" s="89"/>
      <c r="W842" s="89"/>
      <c r="X842" s="89"/>
      <c r="Y842" s="89"/>
      <c r="Z842" s="77"/>
      <c r="AA842" s="77"/>
      <c r="AB842" s="94"/>
      <c r="AC842" s="94"/>
      <c r="AD842" s="94"/>
      <c r="AE842" s="94"/>
      <c r="AF842" s="91"/>
      <c r="AG842" s="92"/>
      <c r="AH842" s="92"/>
      <c r="AI842" s="93"/>
      <c r="AJ842" s="94"/>
      <c r="AK842" s="92"/>
      <c r="AL842" s="94"/>
      <c r="AM842" s="94"/>
      <c r="AN842" s="94"/>
      <c r="AO842" s="94"/>
      <c r="AP842" s="94"/>
      <c r="AQ842" s="94"/>
      <c r="AR842" s="94"/>
      <c r="AS842" s="94"/>
      <c r="AT842" s="94"/>
      <c r="AU842" s="92"/>
      <c r="AV842" s="94"/>
      <c r="AW842" s="94"/>
      <c r="AX842" s="94"/>
      <c r="AY842" s="94"/>
      <c r="AZ842" s="94"/>
      <c r="BA842" s="94"/>
      <c r="BB842" s="94"/>
      <c r="BC842" s="94"/>
      <c r="BD842" s="94"/>
      <c r="BE842" s="94"/>
      <c r="BF842" s="94"/>
      <c r="BG842" s="94"/>
      <c r="BH842" s="94"/>
      <c r="BI842" s="94"/>
      <c r="BJ842" s="94"/>
      <c r="BK842" s="94"/>
      <c r="BL842" s="92"/>
      <c r="BM842" s="94"/>
      <c r="BN842" s="94"/>
      <c r="BO842" s="94"/>
      <c r="BP842" s="94"/>
      <c r="BQ842" s="92"/>
      <c r="BR842" s="92"/>
      <c r="BS842" s="92"/>
      <c r="BT842" s="92"/>
      <c r="BU842" s="92"/>
      <c r="BV842" s="92"/>
      <c r="BW842" s="92"/>
      <c r="BX842" s="92"/>
      <c r="BY842" s="92"/>
      <c r="BZ842" s="92"/>
    </row>
    <row r="843" spans="1:78" ht="12.9">
      <c r="A843" s="89"/>
      <c r="B843" s="89"/>
      <c r="C843" s="89"/>
      <c r="D843" s="89"/>
      <c r="E843" s="89"/>
      <c r="F843" s="89"/>
      <c r="G843" s="89"/>
      <c r="H843" s="105"/>
      <c r="I843" s="106"/>
      <c r="J843" s="106"/>
      <c r="K843" s="89"/>
      <c r="L843" s="89"/>
      <c r="M843" s="89"/>
      <c r="N843" s="107"/>
      <c r="O843" s="107"/>
      <c r="P843" s="89"/>
      <c r="Q843" s="89"/>
      <c r="R843" s="89"/>
      <c r="S843" s="89"/>
      <c r="T843" s="89"/>
      <c r="U843" s="89"/>
      <c r="V843" s="89"/>
      <c r="W843" s="89"/>
      <c r="X843" s="89"/>
      <c r="Y843" s="89"/>
      <c r="Z843" s="77"/>
      <c r="AA843" s="77"/>
      <c r="AB843" s="94"/>
      <c r="AC843" s="94"/>
      <c r="AD843" s="94"/>
      <c r="AE843" s="94"/>
      <c r="AF843" s="91"/>
      <c r="AG843" s="92"/>
      <c r="AH843" s="92"/>
      <c r="AI843" s="93"/>
      <c r="AJ843" s="94"/>
      <c r="AK843" s="92"/>
      <c r="AL843" s="94"/>
      <c r="AM843" s="94"/>
      <c r="AN843" s="94"/>
      <c r="AO843" s="94"/>
      <c r="AP843" s="94"/>
      <c r="AQ843" s="94"/>
      <c r="AR843" s="94"/>
      <c r="AS843" s="94"/>
      <c r="AT843" s="94"/>
      <c r="AU843" s="92"/>
      <c r="AV843" s="94"/>
      <c r="AW843" s="94"/>
      <c r="AX843" s="94"/>
      <c r="AY843" s="94"/>
      <c r="AZ843" s="94"/>
      <c r="BA843" s="94"/>
      <c r="BB843" s="94"/>
      <c r="BC843" s="94"/>
      <c r="BD843" s="94"/>
      <c r="BE843" s="94"/>
      <c r="BF843" s="94"/>
      <c r="BG843" s="94"/>
      <c r="BH843" s="94"/>
      <c r="BI843" s="94"/>
      <c r="BJ843" s="94"/>
      <c r="BK843" s="94"/>
      <c r="BL843" s="92"/>
      <c r="BM843" s="94"/>
      <c r="BN843" s="94"/>
      <c r="BO843" s="94"/>
      <c r="BP843" s="94"/>
      <c r="BQ843" s="92"/>
      <c r="BR843" s="92"/>
      <c r="BS843" s="92"/>
      <c r="BT843" s="92"/>
      <c r="BU843" s="92"/>
      <c r="BV843" s="92"/>
      <c r="BW843" s="92"/>
      <c r="BX843" s="92"/>
      <c r="BY843" s="92"/>
      <c r="BZ843" s="92"/>
    </row>
    <row r="844" spans="1:78" ht="12.9">
      <c r="A844" s="89"/>
      <c r="B844" s="89"/>
      <c r="C844" s="89"/>
      <c r="D844" s="89"/>
      <c r="E844" s="89"/>
      <c r="F844" s="89"/>
      <c r="G844" s="89"/>
      <c r="H844" s="105"/>
      <c r="I844" s="106"/>
      <c r="J844" s="106"/>
      <c r="K844" s="89"/>
      <c r="L844" s="89"/>
      <c r="M844" s="89"/>
      <c r="N844" s="107"/>
      <c r="O844" s="107"/>
      <c r="P844" s="89"/>
      <c r="Q844" s="89"/>
      <c r="R844" s="89"/>
      <c r="S844" s="89"/>
      <c r="T844" s="89"/>
      <c r="U844" s="89"/>
      <c r="V844" s="89"/>
      <c r="W844" s="89"/>
      <c r="X844" s="89"/>
      <c r="Y844" s="89"/>
      <c r="Z844" s="77"/>
      <c r="AA844" s="77"/>
      <c r="AB844" s="94"/>
      <c r="AC844" s="94"/>
      <c r="AD844" s="94"/>
      <c r="AE844" s="94"/>
      <c r="AF844" s="91"/>
      <c r="AG844" s="92"/>
      <c r="AH844" s="92"/>
      <c r="AI844" s="93"/>
      <c r="AJ844" s="94"/>
      <c r="AK844" s="92"/>
      <c r="AL844" s="94"/>
      <c r="AM844" s="94"/>
      <c r="AN844" s="94"/>
      <c r="AO844" s="94"/>
      <c r="AP844" s="94"/>
      <c r="AQ844" s="94"/>
      <c r="AR844" s="94"/>
      <c r="AS844" s="94"/>
      <c r="AT844" s="94"/>
      <c r="AU844" s="92"/>
      <c r="AV844" s="94"/>
      <c r="AW844" s="94"/>
      <c r="AX844" s="94"/>
      <c r="AY844" s="94"/>
      <c r="AZ844" s="94"/>
      <c r="BA844" s="94"/>
      <c r="BB844" s="94"/>
      <c r="BC844" s="94"/>
      <c r="BD844" s="94"/>
      <c r="BE844" s="94"/>
      <c r="BF844" s="94"/>
      <c r="BG844" s="94"/>
      <c r="BH844" s="94"/>
      <c r="BI844" s="94"/>
      <c r="BJ844" s="94"/>
      <c r="BK844" s="94"/>
      <c r="BL844" s="92"/>
      <c r="BM844" s="94"/>
      <c r="BN844" s="94"/>
      <c r="BO844" s="94"/>
      <c r="BP844" s="94"/>
      <c r="BQ844" s="92"/>
      <c r="BR844" s="92"/>
      <c r="BS844" s="92"/>
      <c r="BT844" s="92"/>
      <c r="BU844" s="92"/>
      <c r="BV844" s="92"/>
      <c r="BW844" s="92"/>
      <c r="BX844" s="92"/>
      <c r="BY844" s="92"/>
      <c r="BZ844" s="92"/>
    </row>
    <row r="845" spans="1:78" ht="12.9">
      <c r="A845" s="89"/>
      <c r="B845" s="89"/>
      <c r="C845" s="89"/>
      <c r="D845" s="89"/>
      <c r="E845" s="89"/>
      <c r="F845" s="89"/>
      <c r="G845" s="89"/>
      <c r="H845" s="105"/>
      <c r="I845" s="106"/>
      <c r="J845" s="106"/>
      <c r="K845" s="89"/>
      <c r="L845" s="89"/>
      <c r="M845" s="89"/>
      <c r="N845" s="107"/>
      <c r="O845" s="107"/>
      <c r="P845" s="89"/>
      <c r="Q845" s="89"/>
      <c r="R845" s="89"/>
      <c r="S845" s="89"/>
      <c r="T845" s="89"/>
      <c r="U845" s="89"/>
      <c r="V845" s="89"/>
      <c r="W845" s="89"/>
      <c r="X845" s="89"/>
      <c r="Y845" s="89"/>
      <c r="Z845" s="77"/>
      <c r="AA845" s="77"/>
      <c r="AB845" s="94"/>
      <c r="AC845" s="94"/>
      <c r="AD845" s="94"/>
      <c r="AE845" s="94"/>
      <c r="AF845" s="91"/>
      <c r="AG845" s="92"/>
      <c r="AH845" s="92"/>
      <c r="AI845" s="93"/>
      <c r="AJ845" s="94"/>
      <c r="AK845" s="92"/>
      <c r="AL845" s="94"/>
      <c r="AM845" s="94"/>
      <c r="AN845" s="94"/>
      <c r="AO845" s="94"/>
      <c r="AP845" s="94"/>
      <c r="AQ845" s="94"/>
      <c r="AR845" s="94"/>
      <c r="AS845" s="94"/>
      <c r="AT845" s="94"/>
      <c r="AU845" s="92"/>
      <c r="AV845" s="94"/>
      <c r="AW845" s="94"/>
      <c r="AX845" s="94"/>
      <c r="AY845" s="94"/>
      <c r="AZ845" s="94"/>
      <c r="BA845" s="94"/>
      <c r="BB845" s="94"/>
      <c r="BC845" s="94"/>
      <c r="BD845" s="94"/>
      <c r="BE845" s="94"/>
      <c r="BF845" s="94"/>
      <c r="BG845" s="94"/>
      <c r="BH845" s="94"/>
      <c r="BI845" s="94"/>
      <c r="BJ845" s="94"/>
      <c r="BK845" s="94"/>
      <c r="BL845" s="92"/>
      <c r="BM845" s="94"/>
      <c r="BN845" s="94"/>
      <c r="BO845" s="94"/>
      <c r="BP845" s="94"/>
      <c r="BQ845" s="92"/>
      <c r="BR845" s="92"/>
      <c r="BS845" s="92"/>
      <c r="BT845" s="92"/>
      <c r="BU845" s="92"/>
      <c r="BV845" s="92"/>
      <c r="BW845" s="92"/>
      <c r="BX845" s="92"/>
      <c r="BY845" s="92"/>
      <c r="BZ845" s="92"/>
    </row>
    <row r="846" spans="1:78" ht="12.9">
      <c r="A846" s="89"/>
      <c r="B846" s="89"/>
      <c r="C846" s="89"/>
      <c r="D846" s="89"/>
      <c r="E846" s="89"/>
      <c r="F846" s="89"/>
      <c r="G846" s="89"/>
      <c r="H846" s="105"/>
      <c r="I846" s="106"/>
      <c r="J846" s="106"/>
      <c r="K846" s="89"/>
      <c r="L846" s="89"/>
      <c r="M846" s="89"/>
      <c r="N846" s="107"/>
      <c r="O846" s="107"/>
      <c r="P846" s="89"/>
      <c r="Q846" s="89"/>
      <c r="R846" s="89"/>
      <c r="S846" s="89"/>
      <c r="T846" s="89"/>
      <c r="U846" s="89"/>
      <c r="V846" s="89"/>
      <c r="W846" s="89"/>
      <c r="X846" s="89"/>
      <c r="Y846" s="89"/>
      <c r="Z846" s="77"/>
      <c r="AA846" s="77"/>
      <c r="AB846" s="94"/>
      <c r="AC846" s="94"/>
      <c r="AD846" s="94"/>
      <c r="AE846" s="94"/>
      <c r="AF846" s="91"/>
      <c r="AG846" s="92"/>
      <c r="AH846" s="92"/>
      <c r="AI846" s="93"/>
      <c r="AJ846" s="94"/>
      <c r="AK846" s="92"/>
      <c r="AL846" s="94"/>
      <c r="AM846" s="94"/>
      <c r="AN846" s="94"/>
      <c r="AO846" s="94"/>
      <c r="AP846" s="94"/>
      <c r="AQ846" s="94"/>
      <c r="AR846" s="94"/>
      <c r="AS846" s="94"/>
      <c r="AT846" s="94"/>
      <c r="AU846" s="92"/>
      <c r="AV846" s="94"/>
      <c r="AW846" s="94"/>
      <c r="AX846" s="94"/>
      <c r="AY846" s="94"/>
      <c r="AZ846" s="94"/>
      <c r="BA846" s="94"/>
      <c r="BB846" s="94"/>
      <c r="BC846" s="94"/>
      <c r="BD846" s="94"/>
      <c r="BE846" s="94"/>
      <c r="BF846" s="94"/>
      <c r="BG846" s="94"/>
      <c r="BH846" s="94"/>
      <c r="BI846" s="94"/>
      <c r="BJ846" s="94"/>
      <c r="BK846" s="94"/>
      <c r="BL846" s="92"/>
      <c r="BM846" s="94"/>
      <c r="BN846" s="94"/>
      <c r="BO846" s="94"/>
      <c r="BP846" s="94"/>
      <c r="BQ846" s="92"/>
      <c r="BR846" s="92"/>
      <c r="BS846" s="92"/>
      <c r="BT846" s="92"/>
      <c r="BU846" s="92"/>
      <c r="BV846" s="92"/>
      <c r="BW846" s="92"/>
      <c r="BX846" s="92"/>
      <c r="BY846" s="92"/>
      <c r="BZ846" s="92"/>
    </row>
    <row r="847" spans="1:78" ht="12.9">
      <c r="A847" s="89"/>
      <c r="B847" s="89"/>
      <c r="C847" s="89"/>
      <c r="D847" s="89"/>
      <c r="E847" s="89"/>
      <c r="F847" s="89"/>
      <c r="G847" s="89"/>
      <c r="H847" s="105"/>
      <c r="I847" s="106"/>
      <c r="J847" s="106"/>
      <c r="K847" s="89"/>
      <c r="L847" s="89"/>
      <c r="M847" s="89"/>
      <c r="N847" s="107"/>
      <c r="O847" s="107"/>
      <c r="P847" s="89"/>
      <c r="Q847" s="89"/>
      <c r="R847" s="89"/>
      <c r="S847" s="89"/>
      <c r="T847" s="89"/>
      <c r="U847" s="89"/>
      <c r="V847" s="89"/>
      <c r="W847" s="89"/>
      <c r="X847" s="89"/>
      <c r="Y847" s="89"/>
      <c r="Z847" s="77"/>
      <c r="AA847" s="77"/>
      <c r="AB847" s="94"/>
      <c r="AC847" s="94"/>
      <c r="AD847" s="94"/>
      <c r="AE847" s="94"/>
      <c r="AF847" s="91"/>
      <c r="AG847" s="92"/>
      <c r="AH847" s="92"/>
      <c r="AI847" s="93"/>
      <c r="AJ847" s="94"/>
      <c r="AK847" s="92"/>
      <c r="AL847" s="94"/>
      <c r="AM847" s="94"/>
      <c r="AN847" s="94"/>
      <c r="AO847" s="94"/>
      <c r="AP847" s="94"/>
      <c r="AQ847" s="94"/>
      <c r="AR847" s="94"/>
      <c r="AS847" s="94"/>
      <c r="AT847" s="94"/>
      <c r="AU847" s="92"/>
      <c r="AV847" s="94"/>
      <c r="AW847" s="94"/>
      <c r="AX847" s="94"/>
      <c r="AY847" s="94"/>
      <c r="AZ847" s="94"/>
      <c r="BA847" s="94"/>
      <c r="BB847" s="94"/>
      <c r="BC847" s="94"/>
      <c r="BD847" s="94"/>
      <c r="BE847" s="94"/>
      <c r="BF847" s="94"/>
      <c r="BG847" s="94"/>
      <c r="BH847" s="94"/>
      <c r="BI847" s="94"/>
      <c r="BJ847" s="94"/>
      <c r="BK847" s="94"/>
      <c r="BL847" s="92"/>
      <c r="BM847" s="94"/>
      <c r="BN847" s="94"/>
      <c r="BO847" s="94"/>
      <c r="BP847" s="94"/>
      <c r="BQ847" s="92"/>
      <c r="BR847" s="92"/>
      <c r="BS847" s="92"/>
      <c r="BT847" s="92"/>
      <c r="BU847" s="92"/>
      <c r="BV847" s="92"/>
      <c r="BW847" s="92"/>
      <c r="BX847" s="92"/>
      <c r="BY847" s="92"/>
      <c r="BZ847" s="92"/>
    </row>
    <row r="848" spans="1:78" ht="12.9">
      <c r="A848" s="89"/>
      <c r="B848" s="89"/>
      <c r="C848" s="89"/>
      <c r="D848" s="89"/>
      <c r="E848" s="89"/>
      <c r="F848" s="89"/>
      <c r="G848" s="89"/>
      <c r="H848" s="105"/>
      <c r="I848" s="106"/>
      <c r="J848" s="106"/>
      <c r="K848" s="89"/>
      <c r="L848" s="89"/>
      <c r="M848" s="89"/>
      <c r="N848" s="107"/>
      <c r="O848" s="107"/>
      <c r="P848" s="89"/>
      <c r="Q848" s="89"/>
      <c r="R848" s="89"/>
      <c r="S848" s="89"/>
      <c r="T848" s="89"/>
      <c r="U848" s="89"/>
      <c r="V848" s="89"/>
      <c r="W848" s="89"/>
      <c r="X848" s="89"/>
      <c r="Y848" s="89"/>
      <c r="Z848" s="77"/>
      <c r="AA848" s="77"/>
      <c r="AB848" s="94"/>
      <c r="AC848" s="94"/>
      <c r="AD848" s="94"/>
      <c r="AE848" s="94"/>
      <c r="AF848" s="91"/>
      <c r="AG848" s="92"/>
      <c r="AH848" s="92"/>
      <c r="AI848" s="93"/>
      <c r="AJ848" s="94"/>
      <c r="AK848" s="92"/>
      <c r="AL848" s="94"/>
      <c r="AM848" s="94"/>
      <c r="AN848" s="94"/>
      <c r="AO848" s="94"/>
      <c r="AP848" s="94"/>
      <c r="AQ848" s="94"/>
      <c r="AR848" s="94"/>
      <c r="AS848" s="94"/>
      <c r="AT848" s="94"/>
      <c r="AU848" s="92"/>
      <c r="AV848" s="94"/>
      <c r="AW848" s="94"/>
      <c r="AX848" s="94"/>
      <c r="AY848" s="94"/>
      <c r="AZ848" s="94"/>
      <c r="BA848" s="94"/>
      <c r="BB848" s="94"/>
      <c r="BC848" s="94"/>
      <c r="BD848" s="94"/>
      <c r="BE848" s="94"/>
      <c r="BF848" s="94"/>
      <c r="BG848" s="94"/>
      <c r="BH848" s="94"/>
      <c r="BI848" s="94"/>
      <c r="BJ848" s="94"/>
      <c r="BK848" s="94"/>
      <c r="BL848" s="92"/>
      <c r="BM848" s="94"/>
      <c r="BN848" s="94"/>
      <c r="BO848" s="94"/>
      <c r="BP848" s="94"/>
      <c r="BQ848" s="92"/>
      <c r="BR848" s="92"/>
      <c r="BS848" s="92"/>
      <c r="BT848" s="92"/>
      <c r="BU848" s="92"/>
      <c r="BV848" s="92"/>
      <c r="BW848" s="92"/>
      <c r="BX848" s="92"/>
      <c r="BY848" s="92"/>
      <c r="BZ848" s="92"/>
    </row>
    <row r="849" spans="1:78" ht="12.9">
      <c r="A849" s="89"/>
      <c r="B849" s="89"/>
      <c r="C849" s="89"/>
      <c r="D849" s="89"/>
      <c r="E849" s="89"/>
      <c r="F849" s="89"/>
      <c r="G849" s="89"/>
      <c r="H849" s="105"/>
      <c r="I849" s="106"/>
      <c r="J849" s="106"/>
      <c r="K849" s="89"/>
      <c r="L849" s="89"/>
      <c r="M849" s="89"/>
      <c r="N849" s="107"/>
      <c r="O849" s="107"/>
      <c r="P849" s="89"/>
      <c r="Q849" s="89"/>
      <c r="R849" s="89"/>
      <c r="S849" s="89"/>
      <c r="T849" s="89"/>
      <c r="U849" s="89"/>
      <c r="V849" s="89"/>
      <c r="W849" s="89"/>
      <c r="X849" s="89"/>
      <c r="Y849" s="89"/>
      <c r="Z849" s="77"/>
      <c r="AA849" s="77"/>
      <c r="AB849" s="94"/>
      <c r="AC849" s="94"/>
      <c r="AD849" s="94"/>
      <c r="AE849" s="94"/>
      <c r="AF849" s="91"/>
      <c r="AG849" s="92"/>
      <c r="AH849" s="92"/>
      <c r="AI849" s="93"/>
      <c r="AJ849" s="94"/>
      <c r="AK849" s="92"/>
      <c r="AL849" s="94"/>
      <c r="AM849" s="94"/>
      <c r="AN849" s="94"/>
      <c r="AO849" s="94"/>
      <c r="AP849" s="94"/>
      <c r="AQ849" s="94"/>
      <c r="AR849" s="94"/>
      <c r="AS849" s="94"/>
      <c r="AT849" s="94"/>
      <c r="AU849" s="92"/>
      <c r="AV849" s="94"/>
      <c r="AW849" s="94"/>
      <c r="AX849" s="94"/>
      <c r="AY849" s="94"/>
      <c r="AZ849" s="94"/>
      <c r="BA849" s="94"/>
      <c r="BB849" s="94"/>
      <c r="BC849" s="94"/>
      <c r="BD849" s="94"/>
      <c r="BE849" s="94"/>
      <c r="BF849" s="94"/>
      <c r="BG849" s="94"/>
      <c r="BH849" s="94"/>
      <c r="BI849" s="94"/>
      <c r="BJ849" s="94"/>
      <c r="BK849" s="94"/>
      <c r="BL849" s="92"/>
      <c r="BM849" s="94"/>
      <c r="BN849" s="94"/>
      <c r="BO849" s="94"/>
      <c r="BP849" s="94"/>
      <c r="BQ849" s="92"/>
      <c r="BR849" s="92"/>
      <c r="BS849" s="92"/>
      <c r="BT849" s="92"/>
      <c r="BU849" s="92"/>
      <c r="BV849" s="92"/>
      <c r="BW849" s="92"/>
      <c r="BX849" s="92"/>
      <c r="BY849" s="92"/>
      <c r="BZ849" s="92"/>
    </row>
    <row r="850" spans="1:78" ht="12.9">
      <c r="A850" s="89"/>
      <c r="B850" s="89"/>
      <c r="C850" s="89"/>
      <c r="D850" s="89"/>
      <c r="E850" s="89"/>
      <c r="F850" s="89"/>
      <c r="G850" s="89"/>
      <c r="H850" s="105"/>
      <c r="I850" s="106"/>
      <c r="J850" s="106"/>
      <c r="K850" s="89"/>
      <c r="L850" s="89"/>
      <c r="M850" s="89"/>
      <c r="N850" s="107"/>
      <c r="O850" s="107"/>
      <c r="P850" s="89"/>
      <c r="Q850" s="89"/>
      <c r="R850" s="89"/>
      <c r="S850" s="89"/>
      <c r="T850" s="89"/>
      <c r="U850" s="89"/>
      <c r="V850" s="89"/>
      <c r="W850" s="89"/>
      <c r="X850" s="89"/>
      <c r="Y850" s="89"/>
      <c r="Z850" s="77"/>
      <c r="AA850" s="77"/>
      <c r="AB850" s="94"/>
      <c r="AC850" s="94"/>
      <c r="AD850" s="94"/>
      <c r="AE850" s="94"/>
      <c r="AF850" s="91"/>
      <c r="AG850" s="92"/>
      <c r="AH850" s="92"/>
      <c r="AI850" s="93"/>
      <c r="AJ850" s="94"/>
      <c r="AK850" s="92"/>
      <c r="AL850" s="94"/>
      <c r="AM850" s="94"/>
      <c r="AN850" s="94"/>
      <c r="AO850" s="94"/>
      <c r="AP850" s="94"/>
      <c r="AQ850" s="94"/>
      <c r="AR850" s="94"/>
      <c r="AS850" s="94"/>
      <c r="AT850" s="94"/>
      <c r="AU850" s="92"/>
      <c r="AV850" s="94"/>
      <c r="AW850" s="94"/>
      <c r="AX850" s="94"/>
      <c r="AY850" s="94"/>
      <c r="AZ850" s="94"/>
      <c r="BA850" s="94"/>
      <c r="BB850" s="94"/>
      <c r="BC850" s="94"/>
      <c r="BD850" s="94"/>
      <c r="BE850" s="94"/>
      <c r="BF850" s="94"/>
      <c r="BG850" s="94"/>
      <c r="BH850" s="94"/>
      <c r="BI850" s="94"/>
      <c r="BJ850" s="94"/>
      <c r="BK850" s="94"/>
      <c r="BL850" s="92"/>
      <c r="BM850" s="94"/>
      <c r="BN850" s="94"/>
      <c r="BO850" s="94"/>
      <c r="BP850" s="94"/>
      <c r="BQ850" s="92"/>
      <c r="BR850" s="92"/>
      <c r="BS850" s="92"/>
      <c r="BT850" s="92"/>
      <c r="BU850" s="92"/>
      <c r="BV850" s="92"/>
      <c r="BW850" s="92"/>
      <c r="BX850" s="92"/>
      <c r="BY850" s="92"/>
      <c r="BZ850" s="92"/>
    </row>
    <row r="851" spans="1:78" ht="12.9">
      <c r="A851" s="89"/>
      <c r="B851" s="89"/>
      <c r="C851" s="89"/>
      <c r="D851" s="89"/>
      <c r="E851" s="89"/>
      <c r="F851" s="89"/>
      <c r="G851" s="89"/>
      <c r="H851" s="105"/>
      <c r="I851" s="106"/>
      <c r="J851" s="106"/>
      <c r="K851" s="89"/>
      <c r="L851" s="89"/>
      <c r="M851" s="89"/>
      <c r="N851" s="107"/>
      <c r="O851" s="107"/>
      <c r="P851" s="89"/>
      <c r="Q851" s="89"/>
      <c r="R851" s="89"/>
      <c r="S851" s="89"/>
      <c r="T851" s="89"/>
      <c r="U851" s="89"/>
      <c r="V851" s="89"/>
      <c r="W851" s="89"/>
      <c r="X851" s="89"/>
      <c r="Y851" s="89"/>
      <c r="Z851" s="77"/>
      <c r="AA851" s="77"/>
      <c r="AB851" s="94"/>
      <c r="AC851" s="94"/>
      <c r="AD851" s="94"/>
      <c r="AE851" s="94"/>
      <c r="AF851" s="91"/>
      <c r="AG851" s="92"/>
      <c r="AH851" s="92"/>
      <c r="AI851" s="93"/>
      <c r="AJ851" s="94"/>
      <c r="AK851" s="92"/>
      <c r="AL851" s="94"/>
      <c r="AM851" s="94"/>
      <c r="AN851" s="94"/>
      <c r="AO851" s="94"/>
      <c r="AP851" s="94"/>
      <c r="AQ851" s="94"/>
      <c r="AR851" s="94"/>
      <c r="AS851" s="94"/>
      <c r="AT851" s="94"/>
      <c r="AU851" s="92"/>
      <c r="AV851" s="94"/>
      <c r="AW851" s="94"/>
      <c r="AX851" s="94"/>
      <c r="AY851" s="94"/>
      <c r="AZ851" s="94"/>
      <c r="BA851" s="94"/>
      <c r="BB851" s="94"/>
      <c r="BC851" s="94"/>
      <c r="BD851" s="94"/>
      <c r="BE851" s="94"/>
      <c r="BF851" s="94"/>
      <c r="BG851" s="94"/>
      <c r="BH851" s="94"/>
      <c r="BI851" s="94"/>
      <c r="BJ851" s="94"/>
      <c r="BK851" s="94"/>
      <c r="BL851" s="92"/>
      <c r="BM851" s="94"/>
      <c r="BN851" s="94"/>
      <c r="BO851" s="94"/>
      <c r="BP851" s="94"/>
      <c r="BQ851" s="92"/>
      <c r="BR851" s="92"/>
      <c r="BS851" s="92"/>
      <c r="BT851" s="92"/>
      <c r="BU851" s="92"/>
      <c r="BV851" s="92"/>
      <c r="BW851" s="92"/>
      <c r="BX851" s="92"/>
      <c r="BY851" s="92"/>
      <c r="BZ851" s="92"/>
    </row>
    <row r="852" spans="1:78" ht="12.9">
      <c r="A852" s="89"/>
      <c r="B852" s="89"/>
      <c r="C852" s="89"/>
      <c r="D852" s="89"/>
      <c r="E852" s="89"/>
      <c r="F852" s="89"/>
      <c r="G852" s="89"/>
      <c r="H852" s="105"/>
      <c r="I852" s="106"/>
      <c r="J852" s="106"/>
      <c r="K852" s="89"/>
      <c r="L852" s="89"/>
      <c r="M852" s="89"/>
      <c r="N852" s="107"/>
      <c r="O852" s="107"/>
      <c r="P852" s="89"/>
      <c r="Q852" s="89"/>
      <c r="R852" s="89"/>
      <c r="S852" s="89"/>
      <c r="T852" s="89"/>
      <c r="U852" s="89"/>
      <c r="V852" s="89"/>
      <c r="W852" s="89"/>
      <c r="X852" s="89"/>
      <c r="Y852" s="89"/>
      <c r="Z852" s="77"/>
      <c r="AA852" s="77"/>
      <c r="AB852" s="94"/>
      <c r="AC852" s="94"/>
      <c r="AD852" s="94"/>
      <c r="AE852" s="94"/>
      <c r="AF852" s="91"/>
      <c r="AG852" s="92"/>
      <c r="AH852" s="92"/>
      <c r="AI852" s="93"/>
      <c r="AJ852" s="94"/>
      <c r="AK852" s="92"/>
      <c r="AL852" s="94"/>
      <c r="AM852" s="94"/>
      <c r="AN852" s="94"/>
      <c r="AO852" s="94"/>
      <c r="AP852" s="94"/>
      <c r="AQ852" s="94"/>
      <c r="AR852" s="94"/>
      <c r="AS852" s="94"/>
      <c r="AT852" s="94"/>
      <c r="AU852" s="92"/>
      <c r="AV852" s="94"/>
      <c r="AW852" s="94"/>
      <c r="AX852" s="94"/>
      <c r="AY852" s="94"/>
      <c r="AZ852" s="94"/>
      <c r="BA852" s="94"/>
      <c r="BB852" s="94"/>
      <c r="BC852" s="94"/>
      <c r="BD852" s="94"/>
      <c r="BE852" s="94"/>
      <c r="BF852" s="94"/>
      <c r="BG852" s="94"/>
      <c r="BH852" s="94"/>
      <c r="BI852" s="94"/>
      <c r="BJ852" s="94"/>
      <c r="BK852" s="94"/>
      <c r="BL852" s="92"/>
      <c r="BM852" s="94"/>
      <c r="BN852" s="94"/>
      <c r="BO852" s="94"/>
      <c r="BP852" s="94"/>
      <c r="BQ852" s="92"/>
      <c r="BR852" s="92"/>
      <c r="BS852" s="92"/>
      <c r="BT852" s="92"/>
      <c r="BU852" s="92"/>
      <c r="BV852" s="92"/>
      <c r="BW852" s="92"/>
      <c r="BX852" s="92"/>
      <c r="BY852" s="92"/>
      <c r="BZ852" s="92"/>
    </row>
    <row r="853" spans="1:78" ht="12.9">
      <c r="A853" s="89"/>
      <c r="B853" s="89"/>
      <c r="C853" s="89"/>
      <c r="D853" s="89"/>
      <c r="E853" s="89"/>
      <c r="F853" s="89"/>
      <c r="G853" s="89"/>
      <c r="H853" s="105"/>
      <c r="I853" s="106"/>
      <c r="J853" s="106"/>
      <c r="K853" s="89"/>
      <c r="L853" s="89"/>
      <c r="M853" s="89"/>
      <c r="N853" s="107"/>
      <c r="O853" s="107"/>
      <c r="P853" s="89"/>
      <c r="Q853" s="89"/>
      <c r="R853" s="89"/>
      <c r="S853" s="89"/>
      <c r="T853" s="89"/>
      <c r="U853" s="89"/>
      <c r="V853" s="89"/>
      <c r="W853" s="89"/>
      <c r="X853" s="89"/>
      <c r="Y853" s="89"/>
      <c r="Z853" s="77"/>
      <c r="AA853" s="77"/>
      <c r="AB853" s="94"/>
      <c r="AC853" s="94"/>
      <c r="AD853" s="94"/>
      <c r="AE853" s="94"/>
      <c r="AF853" s="91"/>
      <c r="AG853" s="92"/>
      <c r="AH853" s="92"/>
      <c r="AI853" s="93"/>
      <c r="AJ853" s="94"/>
      <c r="AK853" s="92"/>
      <c r="AL853" s="94"/>
      <c r="AM853" s="94"/>
      <c r="AN853" s="94"/>
      <c r="AO853" s="94"/>
      <c r="AP853" s="94"/>
      <c r="AQ853" s="94"/>
      <c r="AR853" s="94"/>
      <c r="AS853" s="94"/>
      <c r="AT853" s="94"/>
      <c r="AU853" s="92"/>
      <c r="AV853" s="94"/>
      <c r="AW853" s="94"/>
      <c r="AX853" s="94"/>
      <c r="AY853" s="94"/>
      <c r="AZ853" s="94"/>
      <c r="BA853" s="94"/>
      <c r="BB853" s="94"/>
      <c r="BC853" s="94"/>
      <c r="BD853" s="94"/>
      <c r="BE853" s="94"/>
      <c r="BF853" s="94"/>
      <c r="BG853" s="94"/>
      <c r="BH853" s="94"/>
      <c r="BI853" s="94"/>
      <c r="BJ853" s="94"/>
      <c r="BK853" s="94"/>
      <c r="BL853" s="92"/>
      <c r="BM853" s="94"/>
      <c r="BN853" s="94"/>
      <c r="BO853" s="94"/>
      <c r="BP853" s="94"/>
      <c r="BQ853" s="92"/>
      <c r="BR853" s="92"/>
      <c r="BS853" s="92"/>
      <c r="BT853" s="92"/>
      <c r="BU853" s="92"/>
      <c r="BV853" s="92"/>
      <c r="BW853" s="92"/>
      <c r="BX853" s="92"/>
      <c r="BY853" s="92"/>
      <c r="BZ853" s="92"/>
    </row>
    <row r="854" spans="1:78" ht="12.9">
      <c r="A854" s="89"/>
      <c r="B854" s="89"/>
      <c r="C854" s="89"/>
      <c r="D854" s="89"/>
      <c r="E854" s="89"/>
      <c r="F854" s="89"/>
      <c r="G854" s="89"/>
      <c r="H854" s="105"/>
      <c r="I854" s="106"/>
      <c r="J854" s="106"/>
      <c r="K854" s="89"/>
      <c r="L854" s="89"/>
      <c r="M854" s="89"/>
      <c r="N854" s="107"/>
      <c r="O854" s="107"/>
      <c r="P854" s="89"/>
      <c r="Q854" s="89"/>
      <c r="R854" s="89"/>
      <c r="S854" s="89"/>
      <c r="T854" s="89"/>
      <c r="U854" s="89"/>
      <c r="V854" s="89"/>
      <c r="W854" s="89"/>
      <c r="X854" s="89"/>
      <c r="Y854" s="89"/>
      <c r="Z854" s="77"/>
      <c r="AA854" s="77"/>
      <c r="AB854" s="94"/>
      <c r="AC854" s="94"/>
      <c r="AD854" s="94"/>
      <c r="AE854" s="94"/>
      <c r="AF854" s="91"/>
      <c r="AG854" s="92"/>
      <c r="AH854" s="92"/>
      <c r="AI854" s="93"/>
      <c r="AJ854" s="94"/>
      <c r="AK854" s="92"/>
      <c r="AL854" s="94"/>
      <c r="AM854" s="94"/>
      <c r="AN854" s="94"/>
      <c r="AO854" s="94"/>
      <c r="AP854" s="94"/>
      <c r="AQ854" s="94"/>
      <c r="AR854" s="94"/>
      <c r="AS854" s="94"/>
      <c r="AT854" s="94"/>
      <c r="AU854" s="92"/>
      <c r="AV854" s="94"/>
      <c r="AW854" s="94"/>
      <c r="AX854" s="94"/>
      <c r="AY854" s="94"/>
      <c r="AZ854" s="94"/>
      <c r="BA854" s="94"/>
      <c r="BB854" s="94"/>
      <c r="BC854" s="94"/>
      <c r="BD854" s="94"/>
      <c r="BE854" s="94"/>
      <c r="BF854" s="94"/>
      <c r="BG854" s="94"/>
      <c r="BH854" s="94"/>
      <c r="BI854" s="94"/>
      <c r="BJ854" s="94"/>
      <c r="BK854" s="94"/>
      <c r="BL854" s="92"/>
      <c r="BM854" s="94"/>
      <c r="BN854" s="94"/>
      <c r="BO854" s="94"/>
      <c r="BP854" s="94"/>
      <c r="BQ854" s="92"/>
      <c r="BR854" s="92"/>
      <c r="BS854" s="92"/>
      <c r="BT854" s="92"/>
      <c r="BU854" s="92"/>
      <c r="BV854" s="92"/>
      <c r="BW854" s="92"/>
      <c r="BX854" s="92"/>
      <c r="BY854" s="92"/>
      <c r="BZ854" s="92"/>
    </row>
    <row r="855" spans="1:78" ht="12.9">
      <c r="A855" s="89"/>
      <c r="B855" s="89"/>
      <c r="C855" s="89"/>
      <c r="D855" s="89"/>
      <c r="E855" s="89"/>
      <c r="F855" s="89"/>
      <c r="G855" s="89"/>
      <c r="H855" s="105"/>
      <c r="I855" s="106"/>
      <c r="J855" s="106"/>
      <c r="K855" s="89"/>
      <c r="L855" s="89"/>
      <c r="M855" s="89"/>
      <c r="N855" s="107"/>
      <c r="O855" s="107"/>
      <c r="P855" s="89"/>
      <c r="Q855" s="89"/>
      <c r="R855" s="89"/>
      <c r="S855" s="89"/>
      <c r="T855" s="89"/>
      <c r="U855" s="89"/>
      <c r="V855" s="89"/>
      <c r="W855" s="89"/>
      <c r="X855" s="89"/>
      <c r="Y855" s="89"/>
      <c r="Z855" s="77"/>
      <c r="AA855" s="77"/>
      <c r="AB855" s="94"/>
      <c r="AC855" s="94"/>
      <c r="AD855" s="94"/>
      <c r="AE855" s="94"/>
      <c r="AF855" s="91"/>
      <c r="AG855" s="92"/>
      <c r="AH855" s="92"/>
      <c r="AI855" s="93"/>
      <c r="AJ855" s="94"/>
      <c r="AK855" s="92"/>
      <c r="AL855" s="94"/>
      <c r="AM855" s="94"/>
      <c r="AN855" s="94"/>
      <c r="AO855" s="94"/>
      <c r="AP855" s="94"/>
      <c r="AQ855" s="94"/>
      <c r="AR855" s="94"/>
      <c r="AS855" s="94"/>
      <c r="AT855" s="94"/>
      <c r="AU855" s="92"/>
      <c r="AV855" s="94"/>
      <c r="AW855" s="94"/>
      <c r="AX855" s="94"/>
      <c r="AY855" s="94"/>
      <c r="AZ855" s="94"/>
      <c r="BA855" s="94"/>
      <c r="BB855" s="94"/>
      <c r="BC855" s="94"/>
      <c r="BD855" s="94"/>
      <c r="BE855" s="94"/>
      <c r="BF855" s="94"/>
      <c r="BG855" s="94"/>
      <c r="BH855" s="94"/>
      <c r="BI855" s="94"/>
      <c r="BJ855" s="94"/>
      <c r="BK855" s="94"/>
      <c r="BL855" s="92"/>
      <c r="BM855" s="94"/>
      <c r="BN855" s="94"/>
      <c r="BO855" s="94"/>
      <c r="BP855" s="94"/>
      <c r="BQ855" s="92"/>
      <c r="BR855" s="92"/>
      <c r="BS855" s="92"/>
      <c r="BT855" s="92"/>
      <c r="BU855" s="92"/>
      <c r="BV855" s="92"/>
      <c r="BW855" s="92"/>
      <c r="BX855" s="92"/>
      <c r="BY855" s="92"/>
      <c r="BZ855" s="92"/>
    </row>
    <row r="856" spans="1:78" ht="12.9">
      <c r="A856" s="89"/>
      <c r="B856" s="89"/>
      <c r="C856" s="89"/>
      <c r="D856" s="89"/>
      <c r="E856" s="89"/>
      <c r="F856" s="89"/>
      <c r="G856" s="89"/>
      <c r="H856" s="105"/>
      <c r="I856" s="106"/>
      <c r="J856" s="106"/>
      <c r="K856" s="89"/>
      <c r="L856" s="89"/>
      <c r="M856" s="89"/>
      <c r="N856" s="107"/>
      <c r="O856" s="107"/>
      <c r="P856" s="89"/>
      <c r="Q856" s="89"/>
      <c r="R856" s="89"/>
      <c r="S856" s="89"/>
      <c r="T856" s="89"/>
      <c r="U856" s="89"/>
      <c r="V856" s="89"/>
      <c r="W856" s="89"/>
      <c r="X856" s="89"/>
      <c r="Y856" s="89"/>
      <c r="Z856" s="77"/>
      <c r="AA856" s="77"/>
      <c r="AB856" s="94"/>
      <c r="AC856" s="94"/>
      <c r="AD856" s="94"/>
      <c r="AE856" s="94"/>
      <c r="AF856" s="91"/>
      <c r="AG856" s="92"/>
      <c r="AH856" s="92"/>
      <c r="AI856" s="93"/>
      <c r="AJ856" s="94"/>
      <c r="AK856" s="92"/>
      <c r="AL856" s="94"/>
      <c r="AM856" s="94"/>
      <c r="AN856" s="94"/>
      <c r="AO856" s="94"/>
      <c r="AP856" s="94"/>
      <c r="AQ856" s="94"/>
      <c r="AR856" s="94"/>
      <c r="AS856" s="94"/>
      <c r="AT856" s="94"/>
      <c r="AU856" s="92"/>
      <c r="AV856" s="94"/>
      <c r="AW856" s="94"/>
      <c r="AX856" s="94"/>
      <c r="AY856" s="94"/>
      <c r="AZ856" s="94"/>
      <c r="BA856" s="94"/>
      <c r="BB856" s="94"/>
      <c r="BC856" s="94"/>
      <c r="BD856" s="94"/>
      <c r="BE856" s="94"/>
      <c r="BF856" s="94"/>
      <c r="BG856" s="94"/>
      <c r="BH856" s="94"/>
      <c r="BI856" s="94"/>
      <c r="BJ856" s="94"/>
      <c r="BK856" s="94"/>
      <c r="BL856" s="92"/>
      <c r="BM856" s="94"/>
      <c r="BN856" s="94"/>
      <c r="BO856" s="94"/>
      <c r="BP856" s="94"/>
      <c r="BQ856" s="92"/>
      <c r="BR856" s="92"/>
      <c r="BS856" s="92"/>
      <c r="BT856" s="92"/>
      <c r="BU856" s="92"/>
      <c r="BV856" s="92"/>
      <c r="BW856" s="92"/>
      <c r="BX856" s="92"/>
      <c r="BY856" s="92"/>
      <c r="BZ856" s="92"/>
    </row>
    <row r="857" spans="1:78" ht="12.9">
      <c r="A857" s="89"/>
      <c r="B857" s="89"/>
      <c r="C857" s="89"/>
      <c r="D857" s="89"/>
      <c r="E857" s="89"/>
      <c r="F857" s="89"/>
      <c r="G857" s="89"/>
      <c r="H857" s="105"/>
      <c r="I857" s="106"/>
      <c r="J857" s="106"/>
      <c r="K857" s="89"/>
      <c r="L857" s="89"/>
      <c r="M857" s="89"/>
      <c r="N857" s="107"/>
      <c r="O857" s="107"/>
      <c r="P857" s="89"/>
      <c r="Q857" s="89"/>
      <c r="R857" s="89"/>
      <c r="S857" s="89"/>
      <c r="T857" s="89"/>
      <c r="U857" s="89"/>
      <c r="V857" s="89"/>
      <c r="W857" s="89"/>
      <c r="X857" s="89"/>
      <c r="Y857" s="89"/>
      <c r="Z857" s="77"/>
      <c r="AA857" s="77"/>
      <c r="AB857" s="94"/>
      <c r="AC857" s="94"/>
      <c r="AD857" s="94"/>
      <c r="AE857" s="94"/>
      <c r="AF857" s="91"/>
      <c r="AG857" s="92"/>
      <c r="AH857" s="92"/>
      <c r="AI857" s="93"/>
      <c r="AJ857" s="94"/>
      <c r="AK857" s="92"/>
      <c r="AL857" s="94"/>
      <c r="AM857" s="94"/>
      <c r="AN857" s="94"/>
      <c r="AO857" s="94"/>
      <c r="AP857" s="94"/>
      <c r="AQ857" s="94"/>
      <c r="AR857" s="94"/>
      <c r="AS857" s="94"/>
      <c r="AT857" s="94"/>
      <c r="AU857" s="92"/>
      <c r="AV857" s="94"/>
      <c r="AW857" s="94"/>
      <c r="AX857" s="94"/>
      <c r="AY857" s="94"/>
      <c r="AZ857" s="94"/>
      <c r="BA857" s="94"/>
      <c r="BB857" s="94"/>
      <c r="BC857" s="94"/>
      <c r="BD857" s="94"/>
      <c r="BE857" s="94"/>
      <c r="BF857" s="94"/>
      <c r="BG857" s="94"/>
      <c r="BH857" s="94"/>
      <c r="BI857" s="94"/>
      <c r="BJ857" s="94"/>
      <c r="BK857" s="94"/>
      <c r="BL857" s="92"/>
      <c r="BM857" s="94"/>
      <c r="BN857" s="94"/>
      <c r="BO857" s="94"/>
      <c r="BP857" s="94"/>
      <c r="BQ857" s="92"/>
      <c r="BR857" s="92"/>
      <c r="BS857" s="92"/>
      <c r="BT857" s="92"/>
      <c r="BU857" s="92"/>
      <c r="BV857" s="92"/>
      <c r="BW857" s="92"/>
      <c r="BX857" s="92"/>
      <c r="BY857" s="92"/>
      <c r="BZ857" s="92"/>
    </row>
    <row r="858" spans="1:78" ht="12.9">
      <c r="A858" s="89"/>
      <c r="B858" s="89"/>
      <c r="C858" s="89"/>
      <c r="D858" s="89"/>
      <c r="E858" s="89"/>
      <c r="F858" s="89"/>
      <c r="G858" s="89"/>
      <c r="H858" s="105"/>
      <c r="I858" s="106"/>
      <c r="J858" s="106"/>
      <c r="K858" s="89"/>
      <c r="L858" s="89"/>
      <c r="M858" s="89"/>
      <c r="N858" s="107"/>
      <c r="O858" s="107"/>
      <c r="P858" s="89"/>
      <c r="Q858" s="89"/>
      <c r="R858" s="89"/>
      <c r="S858" s="89"/>
      <c r="T858" s="89"/>
      <c r="U858" s="89"/>
      <c r="V858" s="89"/>
      <c r="W858" s="89"/>
      <c r="X858" s="89"/>
      <c r="Y858" s="89"/>
      <c r="Z858" s="77"/>
      <c r="AA858" s="77"/>
      <c r="AB858" s="94"/>
      <c r="AC858" s="94"/>
      <c r="AD858" s="94"/>
      <c r="AE858" s="94"/>
      <c r="AF858" s="91"/>
      <c r="AG858" s="92"/>
      <c r="AH858" s="92"/>
      <c r="AI858" s="93"/>
      <c r="AJ858" s="94"/>
      <c r="AK858" s="92"/>
      <c r="AL858" s="94"/>
      <c r="AM858" s="94"/>
      <c r="AN858" s="94"/>
      <c r="AO858" s="94"/>
      <c r="AP858" s="94"/>
      <c r="AQ858" s="94"/>
      <c r="AR858" s="94"/>
      <c r="AS858" s="94"/>
      <c r="AT858" s="94"/>
      <c r="AU858" s="92"/>
      <c r="AV858" s="94"/>
      <c r="AW858" s="94"/>
      <c r="AX858" s="94"/>
      <c r="AY858" s="94"/>
      <c r="AZ858" s="94"/>
      <c r="BA858" s="94"/>
      <c r="BB858" s="94"/>
      <c r="BC858" s="94"/>
      <c r="BD858" s="94"/>
      <c r="BE858" s="94"/>
      <c r="BF858" s="94"/>
      <c r="BG858" s="94"/>
      <c r="BH858" s="94"/>
      <c r="BI858" s="94"/>
      <c r="BJ858" s="94"/>
      <c r="BK858" s="94"/>
      <c r="BL858" s="92"/>
      <c r="BM858" s="94"/>
      <c r="BN858" s="94"/>
      <c r="BO858" s="94"/>
      <c r="BP858" s="94"/>
      <c r="BQ858" s="92"/>
      <c r="BR858" s="92"/>
      <c r="BS858" s="92"/>
      <c r="BT858" s="92"/>
      <c r="BU858" s="92"/>
      <c r="BV858" s="92"/>
      <c r="BW858" s="92"/>
      <c r="BX858" s="92"/>
      <c r="BY858" s="92"/>
      <c r="BZ858" s="92"/>
    </row>
    <row r="859" spans="1:78" ht="12.9">
      <c r="A859" s="89"/>
      <c r="B859" s="89"/>
      <c r="C859" s="89"/>
      <c r="D859" s="89"/>
      <c r="E859" s="89"/>
      <c r="F859" s="89"/>
      <c r="G859" s="89"/>
      <c r="H859" s="105"/>
      <c r="I859" s="106"/>
      <c r="J859" s="106"/>
      <c r="K859" s="89"/>
      <c r="L859" s="89"/>
      <c r="M859" s="89"/>
      <c r="N859" s="107"/>
      <c r="O859" s="107"/>
      <c r="P859" s="89"/>
      <c r="Q859" s="89"/>
      <c r="R859" s="89"/>
      <c r="S859" s="89"/>
      <c r="T859" s="89"/>
      <c r="U859" s="89"/>
      <c r="V859" s="89"/>
      <c r="W859" s="89"/>
      <c r="X859" s="89"/>
      <c r="Y859" s="89"/>
      <c r="Z859" s="77"/>
      <c r="AA859" s="77"/>
      <c r="AB859" s="94"/>
      <c r="AC859" s="94"/>
      <c r="AD859" s="94"/>
      <c r="AE859" s="94"/>
      <c r="AF859" s="91"/>
      <c r="AG859" s="92"/>
      <c r="AH859" s="92"/>
      <c r="AI859" s="93"/>
      <c r="AJ859" s="94"/>
      <c r="AK859" s="92"/>
      <c r="AL859" s="94"/>
      <c r="AM859" s="94"/>
      <c r="AN859" s="94"/>
      <c r="AO859" s="94"/>
      <c r="AP859" s="94"/>
      <c r="AQ859" s="94"/>
      <c r="AR859" s="94"/>
      <c r="AS859" s="94"/>
      <c r="AT859" s="94"/>
      <c r="AU859" s="92"/>
      <c r="AV859" s="94"/>
      <c r="AW859" s="94"/>
      <c r="AX859" s="94"/>
      <c r="AY859" s="94"/>
      <c r="AZ859" s="94"/>
      <c r="BA859" s="94"/>
      <c r="BB859" s="94"/>
      <c r="BC859" s="94"/>
      <c r="BD859" s="94"/>
      <c r="BE859" s="94"/>
      <c r="BF859" s="94"/>
      <c r="BG859" s="94"/>
      <c r="BH859" s="94"/>
      <c r="BI859" s="94"/>
      <c r="BJ859" s="94"/>
      <c r="BK859" s="94"/>
      <c r="BL859" s="92"/>
      <c r="BM859" s="94"/>
      <c r="BN859" s="94"/>
      <c r="BO859" s="94"/>
      <c r="BP859" s="94"/>
      <c r="BQ859" s="92"/>
      <c r="BR859" s="92"/>
      <c r="BS859" s="92"/>
      <c r="BT859" s="92"/>
      <c r="BU859" s="92"/>
      <c r="BV859" s="92"/>
      <c r="BW859" s="92"/>
      <c r="BX859" s="92"/>
      <c r="BY859" s="92"/>
      <c r="BZ859" s="92"/>
    </row>
    <row r="860" spans="1:78" ht="12.9">
      <c r="A860" s="89"/>
      <c r="B860" s="89"/>
      <c r="C860" s="89"/>
      <c r="D860" s="89"/>
      <c r="E860" s="89"/>
      <c r="F860" s="89"/>
      <c r="G860" s="89"/>
      <c r="H860" s="105"/>
      <c r="I860" s="106"/>
      <c r="J860" s="106"/>
      <c r="K860" s="89"/>
      <c r="L860" s="89"/>
      <c r="M860" s="89"/>
      <c r="N860" s="107"/>
      <c r="O860" s="107"/>
      <c r="P860" s="89"/>
      <c r="Q860" s="89"/>
      <c r="R860" s="89"/>
      <c r="S860" s="89"/>
      <c r="T860" s="89"/>
      <c r="U860" s="89"/>
      <c r="V860" s="89"/>
      <c r="W860" s="89"/>
      <c r="X860" s="89"/>
      <c r="Y860" s="89"/>
      <c r="Z860" s="77"/>
      <c r="AA860" s="77"/>
      <c r="AB860" s="94"/>
      <c r="AC860" s="94"/>
      <c r="AD860" s="94"/>
      <c r="AE860" s="94"/>
      <c r="AF860" s="91"/>
      <c r="AG860" s="92"/>
      <c r="AH860" s="92"/>
      <c r="AI860" s="93"/>
      <c r="AJ860" s="94"/>
      <c r="AK860" s="92"/>
      <c r="AL860" s="94"/>
      <c r="AM860" s="94"/>
      <c r="AN860" s="94"/>
      <c r="AO860" s="94"/>
      <c r="AP860" s="94"/>
      <c r="AQ860" s="94"/>
      <c r="AR860" s="94"/>
      <c r="AS860" s="94"/>
      <c r="AT860" s="94"/>
      <c r="AU860" s="92"/>
      <c r="AV860" s="94"/>
      <c r="AW860" s="94"/>
      <c r="AX860" s="94"/>
      <c r="AY860" s="94"/>
      <c r="AZ860" s="94"/>
      <c r="BA860" s="94"/>
      <c r="BB860" s="94"/>
      <c r="BC860" s="94"/>
      <c r="BD860" s="94"/>
      <c r="BE860" s="94"/>
      <c r="BF860" s="94"/>
      <c r="BG860" s="94"/>
      <c r="BH860" s="94"/>
      <c r="BI860" s="94"/>
      <c r="BJ860" s="94"/>
      <c r="BK860" s="94"/>
      <c r="BL860" s="92"/>
      <c r="BM860" s="94"/>
      <c r="BN860" s="94"/>
      <c r="BO860" s="94"/>
      <c r="BP860" s="94"/>
      <c r="BQ860" s="92"/>
      <c r="BR860" s="92"/>
      <c r="BS860" s="92"/>
      <c r="BT860" s="92"/>
      <c r="BU860" s="92"/>
      <c r="BV860" s="92"/>
      <c r="BW860" s="92"/>
      <c r="BX860" s="92"/>
      <c r="BY860" s="92"/>
      <c r="BZ860" s="92"/>
    </row>
    <row r="861" spans="1:78" ht="12.9">
      <c r="A861" s="89"/>
      <c r="B861" s="89"/>
      <c r="C861" s="89"/>
      <c r="D861" s="89"/>
      <c r="E861" s="89"/>
      <c r="F861" s="89"/>
      <c r="G861" s="89"/>
      <c r="H861" s="105"/>
      <c r="I861" s="106"/>
      <c r="J861" s="106"/>
      <c r="K861" s="89"/>
      <c r="L861" s="89"/>
      <c r="M861" s="89"/>
      <c r="N861" s="107"/>
      <c r="O861" s="107"/>
      <c r="P861" s="89"/>
      <c r="Q861" s="89"/>
      <c r="R861" s="89"/>
      <c r="S861" s="89"/>
      <c r="T861" s="89"/>
      <c r="U861" s="89"/>
      <c r="V861" s="89"/>
      <c r="W861" s="89"/>
      <c r="X861" s="89"/>
      <c r="Y861" s="89"/>
      <c r="Z861" s="77"/>
      <c r="AA861" s="77"/>
      <c r="AB861" s="94"/>
      <c r="AC861" s="94"/>
      <c r="AD861" s="94"/>
      <c r="AE861" s="94"/>
      <c r="AF861" s="91"/>
      <c r="AG861" s="92"/>
      <c r="AH861" s="92"/>
      <c r="AI861" s="93"/>
      <c r="AJ861" s="94"/>
      <c r="AK861" s="92"/>
      <c r="AL861" s="94"/>
      <c r="AM861" s="94"/>
      <c r="AN861" s="94"/>
      <c r="AO861" s="94"/>
      <c r="AP861" s="94"/>
      <c r="AQ861" s="94"/>
      <c r="AR861" s="94"/>
      <c r="AS861" s="94"/>
      <c r="AT861" s="94"/>
      <c r="AU861" s="92"/>
      <c r="AV861" s="94"/>
      <c r="AW861" s="94"/>
      <c r="AX861" s="94"/>
      <c r="AY861" s="94"/>
      <c r="AZ861" s="94"/>
      <c r="BA861" s="94"/>
      <c r="BB861" s="94"/>
      <c r="BC861" s="94"/>
      <c r="BD861" s="94"/>
      <c r="BE861" s="94"/>
      <c r="BF861" s="94"/>
      <c r="BG861" s="94"/>
      <c r="BH861" s="94"/>
      <c r="BI861" s="94"/>
      <c r="BJ861" s="94"/>
      <c r="BK861" s="94"/>
      <c r="BL861" s="92"/>
      <c r="BM861" s="94"/>
      <c r="BN861" s="94"/>
      <c r="BO861" s="94"/>
      <c r="BP861" s="94"/>
      <c r="BQ861" s="92"/>
      <c r="BR861" s="92"/>
      <c r="BS861" s="92"/>
      <c r="BT861" s="92"/>
      <c r="BU861" s="92"/>
      <c r="BV861" s="92"/>
      <c r="BW861" s="92"/>
      <c r="BX861" s="92"/>
      <c r="BY861" s="92"/>
      <c r="BZ861" s="92"/>
    </row>
    <row r="862" spans="1:78" ht="12.9">
      <c r="A862" s="89"/>
      <c r="B862" s="89"/>
      <c r="C862" s="89"/>
      <c r="D862" s="89"/>
      <c r="E862" s="89"/>
      <c r="F862" s="89"/>
      <c r="G862" s="89"/>
      <c r="H862" s="105"/>
      <c r="I862" s="106"/>
      <c r="J862" s="106"/>
      <c r="K862" s="89"/>
      <c r="L862" s="89"/>
      <c r="M862" s="89"/>
      <c r="N862" s="107"/>
      <c r="O862" s="107"/>
      <c r="P862" s="89"/>
      <c r="Q862" s="89"/>
      <c r="R862" s="89"/>
      <c r="S862" s="89"/>
      <c r="T862" s="89"/>
      <c r="U862" s="89"/>
      <c r="V862" s="89"/>
      <c r="W862" s="89"/>
      <c r="X862" s="89"/>
      <c r="Y862" s="89"/>
      <c r="Z862" s="77"/>
      <c r="AA862" s="77"/>
      <c r="AB862" s="94"/>
      <c r="AC862" s="94"/>
      <c r="AD862" s="94"/>
      <c r="AE862" s="94"/>
      <c r="AF862" s="91"/>
      <c r="AG862" s="92"/>
      <c r="AH862" s="92"/>
      <c r="AI862" s="93"/>
      <c r="AJ862" s="94"/>
      <c r="AK862" s="92"/>
      <c r="AL862" s="94"/>
      <c r="AM862" s="94"/>
      <c r="AN862" s="94"/>
      <c r="AO862" s="94"/>
      <c r="AP862" s="94"/>
      <c r="AQ862" s="94"/>
      <c r="AR862" s="94"/>
      <c r="AS862" s="94"/>
      <c r="AT862" s="94"/>
      <c r="AU862" s="92"/>
      <c r="AV862" s="94"/>
      <c r="AW862" s="94"/>
      <c r="AX862" s="94"/>
      <c r="AY862" s="94"/>
      <c r="AZ862" s="94"/>
      <c r="BA862" s="94"/>
      <c r="BB862" s="94"/>
      <c r="BC862" s="94"/>
      <c r="BD862" s="94"/>
      <c r="BE862" s="94"/>
      <c r="BF862" s="94"/>
      <c r="BG862" s="94"/>
      <c r="BH862" s="94"/>
      <c r="BI862" s="94"/>
      <c r="BJ862" s="94"/>
      <c r="BK862" s="94"/>
      <c r="BL862" s="92"/>
      <c r="BM862" s="94"/>
      <c r="BN862" s="94"/>
      <c r="BO862" s="94"/>
      <c r="BP862" s="94"/>
      <c r="BQ862" s="92"/>
      <c r="BR862" s="92"/>
      <c r="BS862" s="92"/>
      <c r="BT862" s="92"/>
      <c r="BU862" s="92"/>
      <c r="BV862" s="92"/>
      <c r="BW862" s="92"/>
      <c r="BX862" s="92"/>
      <c r="BY862" s="92"/>
      <c r="BZ862" s="92"/>
    </row>
    <row r="863" spans="1:78" ht="12.9">
      <c r="A863" s="89"/>
      <c r="B863" s="89"/>
      <c r="C863" s="89"/>
      <c r="D863" s="89"/>
      <c r="E863" s="89"/>
      <c r="F863" s="89"/>
      <c r="G863" s="89"/>
      <c r="H863" s="105"/>
      <c r="I863" s="106"/>
      <c r="J863" s="106"/>
      <c r="K863" s="89"/>
      <c r="L863" s="89"/>
      <c r="M863" s="89"/>
      <c r="N863" s="107"/>
      <c r="O863" s="107"/>
      <c r="P863" s="89"/>
      <c r="Q863" s="89"/>
      <c r="R863" s="89"/>
      <c r="S863" s="89"/>
      <c r="T863" s="89"/>
      <c r="U863" s="89"/>
      <c r="V863" s="89"/>
      <c r="W863" s="89"/>
      <c r="X863" s="89"/>
      <c r="Y863" s="89"/>
      <c r="Z863" s="77"/>
      <c r="AA863" s="77"/>
      <c r="AB863" s="94"/>
      <c r="AC863" s="94"/>
      <c r="AD863" s="94"/>
      <c r="AE863" s="94"/>
      <c r="AF863" s="91"/>
      <c r="AG863" s="92"/>
      <c r="AH863" s="92"/>
      <c r="AI863" s="93"/>
      <c r="AJ863" s="94"/>
      <c r="AK863" s="92"/>
      <c r="AL863" s="94"/>
      <c r="AM863" s="94"/>
      <c r="AN863" s="94"/>
      <c r="AO863" s="94"/>
      <c r="AP863" s="94"/>
      <c r="AQ863" s="94"/>
      <c r="AR863" s="94"/>
      <c r="AS863" s="94"/>
      <c r="AT863" s="94"/>
      <c r="AU863" s="92"/>
      <c r="AV863" s="94"/>
      <c r="AW863" s="94"/>
      <c r="AX863" s="94"/>
      <c r="AY863" s="94"/>
      <c r="AZ863" s="94"/>
      <c r="BA863" s="94"/>
      <c r="BB863" s="94"/>
      <c r="BC863" s="94"/>
      <c r="BD863" s="94"/>
      <c r="BE863" s="94"/>
      <c r="BF863" s="94"/>
      <c r="BG863" s="94"/>
      <c r="BH863" s="94"/>
      <c r="BI863" s="94"/>
      <c r="BJ863" s="94"/>
      <c r="BK863" s="94"/>
      <c r="BL863" s="92"/>
      <c r="BM863" s="94"/>
      <c r="BN863" s="94"/>
      <c r="BO863" s="94"/>
      <c r="BP863" s="94"/>
      <c r="BQ863" s="92"/>
      <c r="BR863" s="92"/>
      <c r="BS863" s="92"/>
      <c r="BT863" s="92"/>
      <c r="BU863" s="92"/>
      <c r="BV863" s="92"/>
      <c r="BW863" s="92"/>
      <c r="BX863" s="92"/>
      <c r="BY863" s="92"/>
      <c r="BZ863" s="92"/>
    </row>
    <row r="864" spans="1:78" ht="12.9">
      <c r="A864" s="89"/>
      <c r="B864" s="89"/>
      <c r="C864" s="89"/>
      <c r="D864" s="89"/>
      <c r="E864" s="89"/>
      <c r="F864" s="89"/>
      <c r="G864" s="89"/>
      <c r="H864" s="105"/>
      <c r="I864" s="106"/>
      <c r="J864" s="106"/>
      <c r="K864" s="89"/>
      <c r="L864" s="89"/>
      <c r="M864" s="89"/>
      <c r="N864" s="107"/>
      <c r="O864" s="107"/>
      <c r="P864" s="89"/>
      <c r="Q864" s="89"/>
      <c r="R864" s="89"/>
      <c r="S864" s="89"/>
      <c r="T864" s="89"/>
      <c r="U864" s="89"/>
      <c r="V864" s="89"/>
      <c r="W864" s="89"/>
      <c r="X864" s="89"/>
      <c r="Y864" s="89"/>
      <c r="Z864" s="77"/>
      <c r="AA864" s="77"/>
      <c r="AB864" s="94"/>
      <c r="AC864" s="94"/>
      <c r="AD864" s="94"/>
      <c r="AE864" s="94"/>
      <c r="AF864" s="91"/>
      <c r="AG864" s="92"/>
      <c r="AH864" s="92"/>
      <c r="AI864" s="93"/>
      <c r="AJ864" s="94"/>
      <c r="AK864" s="92"/>
      <c r="AL864" s="94"/>
      <c r="AM864" s="94"/>
      <c r="AN864" s="94"/>
      <c r="AO864" s="94"/>
      <c r="AP864" s="94"/>
      <c r="AQ864" s="94"/>
      <c r="AR864" s="94"/>
      <c r="AS864" s="94"/>
      <c r="AT864" s="94"/>
      <c r="AU864" s="92"/>
      <c r="AV864" s="94"/>
      <c r="AW864" s="94"/>
      <c r="AX864" s="94"/>
      <c r="AY864" s="94"/>
      <c r="AZ864" s="94"/>
      <c r="BA864" s="94"/>
      <c r="BB864" s="94"/>
      <c r="BC864" s="94"/>
      <c r="BD864" s="94"/>
      <c r="BE864" s="94"/>
      <c r="BF864" s="94"/>
      <c r="BG864" s="94"/>
      <c r="BH864" s="94"/>
      <c r="BI864" s="94"/>
      <c r="BJ864" s="94"/>
      <c r="BK864" s="94"/>
      <c r="BL864" s="92"/>
      <c r="BM864" s="94"/>
      <c r="BN864" s="94"/>
      <c r="BO864" s="94"/>
      <c r="BP864" s="94"/>
      <c r="BQ864" s="92"/>
      <c r="BR864" s="92"/>
      <c r="BS864" s="92"/>
      <c r="BT864" s="92"/>
      <c r="BU864" s="92"/>
      <c r="BV864" s="92"/>
      <c r="BW864" s="92"/>
      <c r="BX864" s="92"/>
      <c r="BY864" s="92"/>
      <c r="BZ864" s="92"/>
    </row>
    <row r="865" spans="1:78" ht="12.9">
      <c r="A865" s="89"/>
      <c r="B865" s="89"/>
      <c r="C865" s="89"/>
      <c r="D865" s="89"/>
      <c r="E865" s="89"/>
      <c r="F865" s="89"/>
      <c r="G865" s="89"/>
      <c r="H865" s="105"/>
      <c r="I865" s="106"/>
      <c r="J865" s="106"/>
      <c r="K865" s="89"/>
      <c r="L865" s="89"/>
      <c r="M865" s="89"/>
      <c r="N865" s="107"/>
      <c r="O865" s="107"/>
      <c r="P865" s="89"/>
      <c r="Q865" s="89"/>
      <c r="R865" s="89"/>
      <c r="S865" s="89"/>
      <c r="T865" s="89"/>
      <c r="U865" s="89"/>
      <c r="V865" s="89"/>
      <c r="W865" s="89"/>
      <c r="X865" s="89"/>
      <c r="Y865" s="89"/>
      <c r="Z865" s="77"/>
      <c r="AA865" s="77"/>
      <c r="AB865" s="94"/>
      <c r="AC865" s="94"/>
      <c r="AD865" s="94"/>
      <c r="AE865" s="94"/>
      <c r="AF865" s="91"/>
      <c r="AG865" s="92"/>
      <c r="AH865" s="92"/>
      <c r="AI865" s="93"/>
      <c r="AJ865" s="94"/>
      <c r="AK865" s="92"/>
      <c r="AL865" s="94"/>
      <c r="AM865" s="94"/>
      <c r="AN865" s="94"/>
      <c r="AO865" s="94"/>
      <c r="AP865" s="94"/>
      <c r="AQ865" s="94"/>
      <c r="AR865" s="94"/>
      <c r="AS865" s="94"/>
      <c r="AT865" s="94"/>
      <c r="AU865" s="92"/>
      <c r="AV865" s="94"/>
      <c r="AW865" s="94"/>
      <c r="AX865" s="94"/>
      <c r="AY865" s="94"/>
      <c r="AZ865" s="94"/>
      <c r="BA865" s="94"/>
      <c r="BB865" s="94"/>
      <c r="BC865" s="94"/>
      <c r="BD865" s="94"/>
      <c r="BE865" s="94"/>
      <c r="BF865" s="94"/>
      <c r="BG865" s="94"/>
      <c r="BH865" s="94"/>
      <c r="BI865" s="94"/>
      <c r="BJ865" s="94"/>
      <c r="BK865" s="94"/>
      <c r="BL865" s="92"/>
      <c r="BM865" s="94"/>
      <c r="BN865" s="94"/>
      <c r="BO865" s="94"/>
      <c r="BP865" s="94"/>
      <c r="BQ865" s="92"/>
      <c r="BR865" s="92"/>
      <c r="BS865" s="92"/>
      <c r="BT865" s="92"/>
      <c r="BU865" s="92"/>
      <c r="BV865" s="92"/>
      <c r="BW865" s="92"/>
      <c r="BX865" s="92"/>
      <c r="BY865" s="92"/>
      <c r="BZ865" s="92"/>
    </row>
    <row r="866" spans="1:78" ht="12.9">
      <c r="A866" s="89"/>
      <c r="B866" s="89"/>
      <c r="C866" s="89"/>
      <c r="D866" s="89"/>
      <c r="E866" s="89"/>
      <c r="F866" s="89"/>
      <c r="G866" s="89"/>
      <c r="H866" s="105"/>
      <c r="I866" s="106"/>
      <c r="J866" s="106"/>
      <c r="K866" s="89"/>
      <c r="L866" s="89"/>
      <c r="M866" s="89"/>
      <c r="N866" s="107"/>
      <c r="O866" s="107"/>
      <c r="P866" s="89"/>
      <c r="Q866" s="89"/>
      <c r="R866" s="89"/>
      <c r="S866" s="89"/>
      <c r="T866" s="89"/>
      <c r="U866" s="89"/>
      <c r="V866" s="89"/>
      <c r="W866" s="89"/>
      <c r="X866" s="89"/>
      <c r="Y866" s="89"/>
      <c r="Z866" s="77"/>
      <c r="AA866" s="77"/>
      <c r="AB866" s="94"/>
      <c r="AC866" s="94"/>
      <c r="AD866" s="94"/>
      <c r="AE866" s="94"/>
      <c r="AF866" s="91"/>
      <c r="AG866" s="92"/>
      <c r="AH866" s="92"/>
      <c r="AI866" s="93"/>
      <c r="AJ866" s="94"/>
      <c r="AK866" s="92"/>
      <c r="AL866" s="94"/>
      <c r="AM866" s="94"/>
      <c r="AN866" s="94"/>
      <c r="AO866" s="94"/>
      <c r="AP866" s="94"/>
      <c r="AQ866" s="94"/>
      <c r="AR866" s="94"/>
      <c r="AS866" s="94"/>
      <c r="AT866" s="94"/>
      <c r="AU866" s="92"/>
      <c r="AV866" s="94"/>
      <c r="AW866" s="94"/>
      <c r="AX866" s="94"/>
      <c r="AY866" s="94"/>
      <c r="AZ866" s="94"/>
      <c r="BA866" s="94"/>
      <c r="BB866" s="94"/>
      <c r="BC866" s="94"/>
      <c r="BD866" s="94"/>
      <c r="BE866" s="94"/>
      <c r="BF866" s="94"/>
      <c r="BG866" s="94"/>
      <c r="BH866" s="94"/>
      <c r="BI866" s="94"/>
      <c r="BJ866" s="94"/>
      <c r="BK866" s="94"/>
      <c r="BL866" s="92"/>
      <c r="BM866" s="94"/>
      <c r="BN866" s="94"/>
      <c r="BO866" s="94"/>
      <c r="BP866" s="94"/>
      <c r="BQ866" s="92"/>
      <c r="BR866" s="92"/>
      <c r="BS866" s="92"/>
      <c r="BT866" s="92"/>
      <c r="BU866" s="92"/>
      <c r="BV866" s="92"/>
      <c r="BW866" s="92"/>
      <c r="BX866" s="92"/>
      <c r="BY866" s="92"/>
      <c r="BZ866" s="92"/>
    </row>
    <row r="867" spans="1:78" ht="12.9">
      <c r="A867" s="89"/>
      <c r="B867" s="89"/>
      <c r="C867" s="89"/>
      <c r="D867" s="89"/>
      <c r="E867" s="89"/>
      <c r="F867" s="89"/>
      <c r="G867" s="89"/>
      <c r="H867" s="105"/>
      <c r="I867" s="106"/>
      <c r="J867" s="106"/>
      <c r="K867" s="89"/>
      <c r="L867" s="89"/>
      <c r="M867" s="89"/>
      <c r="N867" s="107"/>
      <c r="O867" s="107"/>
      <c r="P867" s="89"/>
      <c r="Q867" s="89"/>
      <c r="R867" s="89"/>
      <c r="S867" s="89"/>
      <c r="T867" s="89"/>
      <c r="U867" s="89"/>
      <c r="V867" s="89"/>
      <c r="W867" s="89"/>
      <c r="X867" s="89"/>
      <c r="Y867" s="89"/>
      <c r="Z867" s="77"/>
      <c r="AA867" s="77"/>
      <c r="AB867" s="94"/>
      <c r="AC867" s="94"/>
      <c r="AD867" s="94"/>
      <c r="AE867" s="94"/>
      <c r="AF867" s="91"/>
      <c r="AG867" s="92"/>
      <c r="AH867" s="92"/>
      <c r="AI867" s="93"/>
      <c r="AJ867" s="94"/>
      <c r="AK867" s="92"/>
      <c r="AL867" s="94"/>
      <c r="AM867" s="94"/>
      <c r="AN867" s="94"/>
      <c r="AO867" s="94"/>
      <c r="AP867" s="94"/>
      <c r="AQ867" s="94"/>
      <c r="AR867" s="94"/>
      <c r="AS867" s="94"/>
      <c r="AT867" s="94"/>
      <c r="AU867" s="92"/>
      <c r="AV867" s="94"/>
      <c r="AW867" s="94"/>
      <c r="AX867" s="94"/>
      <c r="AY867" s="94"/>
      <c r="AZ867" s="94"/>
      <c r="BA867" s="94"/>
      <c r="BB867" s="94"/>
      <c r="BC867" s="94"/>
      <c r="BD867" s="94"/>
      <c r="BE867" s="94"/>
      <c r="BF867" s="94"/>
      <c r="BG867" s="94"/>
      <c r="BH867" s="94"/>
      <c r="BI867" s="94"/>
      <c r="BJ867" s="94"/>
      <c r="BK867" s="94"/>
      <c r="BL867" s="92"/>
      <c r="BM867" s="94"/>
      <c r="BN867" s="94"/>
      <c r="BO867" s="94"/>
      <c r="BP867" s="94"/>
      <c r="BQ867" s="92"/>
      <c r="BR867" s="92"/>
      <c r="BS867" s="92"/>
      <c r="BT867" s="92"/>
      <c r="BU867" s="92"/>
      <c r="BV867" s="92"/>
      <c r="BW867" s="92"/>
      <c r="BX867" s="92"/>
      <c r="BY867" s="92"/>
      <c r="BZ867" s="92"/>
    </row>
    <row r="868" spans="1:78" ht="12.9">
      <c r="A868" s="89"/>
      <c r="B868" s="89"/>
      <c r="C868" s="89"/>
      <c r="D868" s="89"/>
      <c r="E868" s="89"/>
      <c r="F868" s="89"/>
      <c r="G868" s="89"/>
      <c r="H868" s="105"/>
      <c r="I868" s="106"/>
      <c r="J868" s="106"/>
      <c r="K868" s="89"/>
      <c r="L868" s="89"/>
      <c r="M868" s="89"/>
      <c r="N868" s="107"/>
      <c r="O868" s="107"/>
      <c r="P868" s="89"/>
      <c r="Q868" s="89"/>
      <c r="R868" s="89"/>
      <c r="S868" s="89"/>
      <c r="T868" s="89"/>
      <c r="U868" s="89"/>
      <c r="V868" s="89"/>
      <c r="W868" s="89"/>
      <c r="X868" s="89"/>
      <c r="Y868" s="89"/>
      <c r="Z868" s="77"/>
      <c r="AA868" s="77"/>
      <c r="AB868" s="94"/>
      <c r="AC868" s="94"/>
      <c r="AD868" s="94"/>
      <c r="AE868" s="94"/>
      <c r="AF868" s="91"/>
      <c r="AG868" s="92"/>
      <c r="AH868" s="92"/>
      <c r="AI868" s="93"/>
      <c r="AJ868" s="94"/>
      <c r="AK868" s="92"/>
      <c r="AL868" s="94"/>
      <c r="AM868" s="94"/>
      <c r="AN868" s="94"/>
      <c r="AO868" s="94"/>
      <c r="AP868" s="94"/>
      <c r="AQ868" s="94"/>
      <c r="AR868" s="94"/>
      <c r="AS868" s="94"/>
      <c r="AT868" s="94"/>
      <c r="AU868" s="92"/>
      <c r="AV868" s="94"/>
      <c r="AW868" s="94"/>
      <c r="AX868" s="94"/>
      <c r="AY868" s="94"/>
      <c r="AZ868" s="94"/>
      <c r="BA868" s="94"/>
      <c r="BB868" s="94"/>
      <c r="BC868" s="94"/>
      <c r="BD868" s="94"/>
      <c r="BE868" s="94"/>
      <c r="BF868" s="94"/>
      <c r="BG868" s="94"/>
      <c r="BH868" s="94"/>
      <c r="BI868" s="94"/>
      <c r="BJ868" s="94"/>
      <c r="BK868" s="94"/>
      <c r="BL868" s="92"/>
      <c r="BM868" s="94"/>
      <c r="BN868" s="94"/>
      <c r="BO868" s="94"/>
      <c r="BP868" s="94"/>
      <c r="BQ868" s="92"/>
      <c r="BR868" s="92"/>
      <c r="BS868" s="92"/>
      <c r="BT868" s="92"/>
      <c r="BU868" s="92"/>
      <c r="BV868" s="92"/>
      <c r="BW868" s="92"/>
      <c r="BX868" s="92"/>
      <c r="BY868" s="92"/>
      <c r="BZ868" s="92"/>
    </row>
    <row r="869" spans="1:78" ht="12.9">
      <c r="A869" s="89"/>
      <c r="B869" s="89"/>
      <c r="C869" s="89"/>
      <c r="D869" s="89"/>
      <c r="E869" s="89"/>
      <c r="F869" s="89"/>
      <c r="G869" s="89"/>
      <c r="H869" s="105"/>
      <c r="I869" s="106"/>
      <c r="J869" s="106"/>
      <c r="K869" s="89"/>
      <c r="L869" s="89"/>
      <c r="M869" s="89"/>
      <c r="N869" s="107"/>
      <c r="O869" s="107"/>
      <c r="P869" s="89"/>
      <c r="Q869" s="89"/>
      <c r="R869" s="89"/>
      <c r="S869" s="89"/>
      <c r="T869" s="89"/>
      <c r="U869" s="89"/>
      <c r="V869" s="89"/>
      <c r="W869" s="89"/>
      <c r="X869" s="89"/>
      <c r="Y869" s="89"/>
      <c r="Z869" s="77"/>
      <c r="AA869" s="77"/>
      <c r="AB869" s="94"/>
      <c r="AC869" s="94"/>
      <c r="AD869" s="94"/>
      <c r="AE869" s="94"/>
      <c r="AF869" s="91"/>
      <c r="AG869" s="92"/>
      <c r="AH869" s="92"/>
      <c r="AI869" s="93"/>
      <c r="AJ869" s="94"/>
      <c r="AK869" s="92"/>
      <c r="AL869" s="94"/>
      <c r="AM869" s="94"/>
      <c r="AN869" s="94"/>
      <c r="AO869" s="94"/>
      <c r="AP869" s="94"/>
      <c r="AQ869" s="94"/>
      <c r="AR869" s="94"/>
      <c r="AS869" s="94"/>
      <c r="AT869" s="94"/>
      <c r="AU869" s="92"/>
      <c r="AV869" s="94"/>
      <c r="AW869" s="94"/>
      <c r="AX869" s="94"/>
      <c r="AY869" s="94"/>
      <c r="AZ869" s="94"/>
      <c r="BA869" s="94"/>
      <c r="BB869" s="94"/>
      <c r="BC869" s="94"/>
      <c r="BD869" s="94"/>
      <c r="BE869" s="94"/>
      <c r="BF869" s="94"/>
      <c r="BG869" s="94"/>
      <c r="BH869" s="94"/>
      <c r="BI869" s="94"/>
      <c r="BJ869" s="94"/>
      <c r="BK869" s="94"/>
      <c r="BL869" s="92"/>
      <c r="BM869" s="94"/>
      <c r="BN869" s="94"/>
      <c r="BO869" s="94"/>
      <c r="BP869" s="94"/>
      <c r="BQ869" s="92"/>
      <c r="BR869" s="92"/>
      <c r="BS869" s="92"/>
      <c r="BT869" s="92"/>
      <c r="BU869" s="92"/>
      <c r="BV869" s="92"/>
      <c r="BW869" s="92"/>
      <c r="BX869" s="92"/>
      <c r="BY869" s="92"/>
      <c r="BZ869" s="92"/>
    </row>
    <row r="870" spans="1:78" ht="12.9">
      <c r="A870" s="89"/>
      <c r="B870" s="89"/>
      <c r="C870" s="89"/>
      <c r="D870" s="89"/>
      <c r="E870" s="89"/>
      <c r="F870" s="89"/>
      <c r="G870" s="89"/>
      <c r="H870" s="105"/>
      <c r="I870" s="106"/>
      <c r="J870" s="106"/>
      <c r="K870" s="89"/>
      <c r="L870" s="89"/>
      <c r="M870" s="89"/>
      <c r="N870" s="107"/>
      <c r="O870" s="107"/>
      <c r="P870" s="89"/>
      <c r="Q870" s="89"/>
      <c r="R870" s="89"/>
      <c r="S870" s="89"/>
      <c r="T870" s="89"/>
      <c r="U870" s="89"/>
      <c r="V870" s="89"/>
      <c r="W870" s="89"/>
      <c r="X870" s="89"/>
      <c r="Y870" s="89"/>
      <c r="Z870" s="77"/>
      <c r="AA870" s="77"/>
      <c r="AB870" s="94"/>
      <c r="AC870" s="94"/>
      <c r="AD870" s="94"/>
      <c r="AE870" s="94"/>
      <c r="AF870" s="91"/>
      <c r="AG870" s="92"/>
      <c r="AH870" s="92"/>
      <c r="AI870" s="93"/>
      <c r="AJ870" s="94"/>
      <c r="AK870" s="92"/>
      <c r="AL870" s="94"/>
      <c r="AM870" s="94"/>
      <c r="AN870" s="94"/>
      <c r="AO870" s="94"/>
      <c r="AP870" s="94"/>
      <c r="AQ870" s="94"/>
      <c r="AR870" s="94"/>
      <c r="AS870" s="94"/>
      <c r="AT870" s="94"/>
      <c r="AU870" s="92"/>
      <c r="AV870" s="94"/>
      <c r="AW870" s="94"/>
      <c r="AX870" s="94"/>
      <c r="AY870" s="94"/>
      <c r="AZ870" s="94"/>
      <c r="BA870" s="94"/>
      <c r="BB870" s="94"/>
      <c r="BC870" s="94"/>
      <c r="BD870" s="94"/>
      <c r="BE870" s="94"/>
      <c r="BF870" s="94"/>
      <c r="BG870" s="94"/>
      <c r="BH870" s="94"/>
      <c r="BI870" s="94"/>
      <c r="BJ870" s="94"/>
      <c r="BK870" s="94"/>
      <c r="BL870" s="92"/>
      <c r="BM870" s="94"/>
      <c r="BN870" s="94"/>
      <c r="BO870" s="94"/>
      <c r="BP870" s="94"/>
      <c r="BQ870" s="92"/>
      <c r="BR870" s="92"/>
      <c r="BS870" s="92"/>
      <c r="BT870" s="92"/>
      <c r="BU870" s="92"/>
      <c r="BV870" s="92"/>
      <c r="BW870" s="92"/>
      <c r="BX870" s="92"/>
      <c r="BY870" s="92"/>
      <c r="BZ870" s="92"/>
    </row>
    <row r="871" spans="1:78" ht="12.9">
      <c r="A871" s="89"/>
      <c r="B871" s="89"/>
      <c r="C871" s="89"/>
      <c r="D871" s="89"/>
      <c r="E871" s="89"/>
      <c r="F871" s="89"/>
      <c r="G871" s="89"/>
      <c r="H871" s="105"/>
      <c r="I871" s="106"/>
      <c r="J871" s="106"/>
      <c r="K871" s="89"/>
      <c r="L871" s="89"/>
      <c r="M871" s="89"/>
      <c r="N871" s="107"/>
      <c r="O871" s="107"/>
      <c r="P871" s="89"/>
      <c r="Q871" s="89"/>
      <c r="R871" s="89"/>
      <c r="S871" s="89"/>
      <c r="T871" s="89"/>
      <c r="U871" s="89"/>
      <c r="V871" s="89"/>
      <c r="W871" s="89"/>
      <c r="X871" s="89"/>
      <c r="Y871" s="89"/>
      <c r="Z871" s="77"/>
      <c r="AA871" s="77"/>
      <c r="AB871" s="94"/>
      <c r="AC871" s="94"/>
      <c r="AD871" s="94"/>
      <c r="AE871" s="94"/>
      <c r="AF871" s="91"/>
      <c r="AG871" s="92"/>
      <c r="AH871" s="92"/>
      <c r="AI871" s="93"/>
      <c r="AJ871" s="94"/>
      <c r="AK871" s="92"/>
      <c r="AL871" s="94"/>
      <c r="AM871" s="94"/>
      <c r="AN871" s="94"/>
      <c r="AO871" s="94"/>
      <c r="AP871" s="94"/>
      <c r="AQ871" s="94"/>
      <c r="AR871" s="94"/>
      <c r="AS871" s="94"/>
      <c r="AT871" s="94"/>
      <c r="AU871" s="92"/>
      <c r="AV871" s="94"/>
      <c r="AW871" s="94"/>
      <c r="AX871" s="94"/>
      <c r="AY871" s="94"/>
      <c r="AZ871" s="94"/>
      <c r="BA871" s="94"/>
      <c r="BB871" s="94"/>
      <c r="BC871" s="94"/>
      <c r="BD871" s="94"/>
      <c r="BE871" s="94"/>
      <c r="BF871" s="94"/>
      <c r="BG871" s="94"/>
      <c r="BH871" s="94"/>
      <c r="BI871" s="94"/>
      <c r="BJ871" s="94"/>
      <c r="BK871" s="94"/>
      <c r="BL871" s="92"/>
      <c r="BM871" s="94"/>
      <c r="BN871" s="94"/>
      <c r="BO871" s="94"/>
      <c r="BP871" s="94"/>
      <c r="BQ871" s="92"/>
      <c r="BR871" s="92"/>
      <c r="BS871" s="92"/>
      <c r="BT871" s="92"/>
      <c r="BU871" s="92"/>
      <c r="BV871" s="92"/>
      <c r="BW871" s="92"/>
      <c r="BX871" s="92"/>
      <c r="BY871" s="92"/>
      <c r="BZ871" s="92"/>
    </row>
    <row r="872" spans="1:78" ht="12.9">
      <c r="A872" s="89"/>
      <c r="B872" s="89"/>
      <c r="C872" s="89"/>
      <c r="D872" s="89"/>
      <c r="E872" s="89"/>
      <c r="F872" s="89"/>
      <c r="G872" s="89"/>
      <c r="H872" s="105"/>
      <c r="I872" s="106"/>
      <c r="J872" s="106"/>
      <c r="K872" s="89"/>
      <c r="L872" s="89"/>
      <c r="M872" s="89"/>
      <c r="N872" s="107"/>
      <c r="O872" s="107"/>
      <c r="P872" s="89"/>
      <c r="Q872" s="89"/>
      <c r="R872" s="89"/>
      <c r="S872" s="89"/>
      <c r="T872" s="89"/>
      <c r="U872" s="89"/>
      <c r="V872" s="89"/>
      <c r="W872" s="89"/>
      <c r="X872" s="89"/>
      <c r="Y872" s="89"/>
      <c r="Z872" s="77"/>
      <c r="AA872" s="77"/>
      <c r="AB872" s="94"/>
      <c r="AC872" s="94"/>
      <c r="AD872" s="94"/>
      <c r="AE872" s="94"/>
      <c r="AF872" s="91"/>
      <c r="AG872" s="92"/>
      <c r="AH872" s="92"/>
      <c r="AI872" s="93"/>
      <c r="AJ872" s="94"/>
      <c r="AK872" s="92"/>
      <c r="AL872" s="94"/>
      <c r="AM872" s="94"/>
      <c r="AN872" s="94"/>
      <c r="AO872" s="94"/>
      <c r="AP872" s="94"/>
      <c r="AQ872" s="94"/>
      <c r="AR872" s="94"/>
      <c r="AS872" s="94"/>
      <c r="AT872" s="94"/>
      <c r="AU872" s="92"/>
      <c r="AV872" s="94"/>
      <c r="AW872" s="94"/>
      <c r="AX872" s="94"/>
      <c r="AY872" s="94"/>
      <c r="AZ872" s="94"/>
      <c r="BA872" s="94"/>
      <c r="BB872" s="94"/>
      <c r="BC872" s="94"/>
      <c r="BD872" s="94"/>
      <c r="BE872" s="94"/>
      <c r="BF872" s="94"/>
      <c r="BG872" s="94"/>
      <c r="BH872" s="94"/>
      <c r="BI872" s="94"/>
      <c r="BJ872" s="94"/>
      <c r="BK872" s="94"/>
      <c r="BL872" s="92"/>
      <c r="BM872" s="94"/>
      <c r="BN872" s="94"/>
      <c r="BO872" s="94"/>
      <c r="BP872" s="94"/>
      <c r="BQ872" s="92"/>
      <c r="BR872" s="92"/>
      <c r="BS872" s="92"/>
      <c r="BT872" s="92"/>
      <c r="BU872" s="92"/>
      <c r="BV872" s="92"/>
      <c r="BW872" s="92"/>
      <c r="BX872" s="92"/>
      <c r="BY872" s="92"/>
      <c r="BZ872" s="92"/>
    </row>
    <row r="873" spans="1:78" ht="12.9">
      <c r="A873" s="89"/>
      <c r="B873" s="89"/>
      <c r="C873" s="89"/>
      <c r="D873" s="89"/>
      <c r="E873" s="89"/>
      <c r="F873" s="89"/>
      <c r="G873" s="89"/>
      <c r="H873" s="105"/>
      <c r="I873" s="106"/>
      <c r="J873" s="106"/>
      <c r="K873" s="89"/>
      <c r="L873" s="89"/>
      <c r="M873" s="89"/>
      <c r="N873" s="107"/>
      <c r="O873" s="107"/>
      <c r="P873" s="89"/>
      <c r="Q873" s="89"/>
      <c r="R873" s="89"/>
      <c r="S873" s="89"/>
      <c r="T873" s="89"/>
      <c r="U873" s="89"/>
      <c r="V873" s="89"/>
      <c r="W873" s="89"/>
      <c r="X873" s="89"/>
      <c r="Y873" s="89"/>
      <c r="Z873" s="77"/>
      <c r="AA873" s="77"/>
      <c r="AB873" s="94"/>
      <c r="AC873" s="94"/>
      <c r="AD873" s="94"/>
      <c r="AE873" s="94"/>
      <c r="AF873" s="91"/>
      <c r="AG873" s="92"/>
      <c r="AH873" s="92"/>
      <c r="AI873" s="93"/>
      <c r="AJ873" s="94"/>
      <c r="AK873" s="92"/>
      <c r="AL873" s="94"/>
      <c r="AM873" s="94"/>
      <c r="AN873" s="94"/>
      <c r="AO873" s="94"/>
      <c r="AP873" s="94"/>
      <c r="AQ873" s="94"/>
      <c r="AR873" s="94"/>
      <c r="AS873" s="94"/>
      <c r="AT873" s="94"/>
      <c r="AU873" s="92"/>
      <c r="AV873" s="94"/>
      <c r="AW873" s="94"/>
      <c r="AX873" s="94"/>
      <c r="AY873" s="94"/>
      <c r="AZ873" s="94"/>
      <c r="BA873" s="94"/>
      <c r="BB873" s="94"/>
      <c r="BC873" s="94"/>
      <c r="BD873" s="94"/>
      <c r="BE873" s="94"/>
      <c r="BF873" s="94"/>
      <c r="BG873" s="94"/>
      <c r="BH873" s="94"/>
      <c r="BI873" s="94"/>
      <c r="BJ873" s="94"/>
      <c r="BK873" s="94"/>
      <c r="BL873" s="92"/>
      <c r="BM873" s="94"/>
      <c r="BN873" s="94"/>
      <c r="BO873" s="94"/>
      <c r="BP873" s="94"/>
      <c r="BQ873" s="92"/>
      <c r="BR873" s="92"/>
      <c r="BS873" s="92"/>
      <c r="BT873" s="92"/>
      <c r="BU873" s="92"/>
      <c r="BV873" s="92"/>
      <c r="BW873" s="92"/>
      <c r="BX873" s="92"/>
      <c r="BY873" s="92"/>
      <c r="BZ873" s="92"/>
    </row>
    <row r="874" spans="1:78" ht="12.9">
      <c r="A874" s="89"/>
      <c r="B874" s="89"/>
      <c r="C874" s="89"/>
      <c r="D874" s="89"/>
      <c r="E874" s="89"/>
      <c r="F874" s="89"/>
      <c r="G874" s="89"/>
      <c r="H874" s="105"/>
      <c r="I874" s="106"/>
      <c r="J874" s="106"/>
      <c r="K874" s="89"/>
      <c r="L874" s="89"/>
      <c r="M874" s="89"/>
      <c r="N874" s="107"/>
      <c r="O874" s="107"/>
      <c r="P874" s="89"/>
      <c r="Q874" s="89"/>
      <c r="R874" s="89"/>
      <c r="S874" s="89"/>
      <c r="T874" s="89"/>
      <c r="U874" s="89"/>
      <c r="V874" s="89"/>
      <c r="W874" s="89"/>
      <c r="X874" s="89"/>
      <c r="Y874" s="89"/>
      <c r="Z874" s="77"/>
      <c r="AA874" s="77"/>
      <c r="AB874" s="94"/>
      <c r="AC874" s="94"/>
      <c r="AD874" s="94"/>
      <c r="AE874" s="94"/>
      <c r="AF874" s="91"/>
      <c r="AG874" s="92"/>
      <c r="AH874" s="92"/>
      <c r="AI874" s="93"/>
      <c r="AJ874" s="94"/>
      <c r="AK874" s="92"/>
      <c r="AL874" s="94"/>
      <c r="AM874" s="94"/>
      <c r="AN874" s="94"/>
      <c r="AO874" s="94"/>
      <c r="AP874" s="94"/>
      <c r="AQ874" s="94"/>
      <c r="AR874" s="94"/>
      <c r="AS874" s="94"/>
      <c r="AT874" s="94"/>
      <c r="AU874" s="92"/>
      <c r="AV874" s="94"/>
      <c r="AW874" s="94"/>
      <c r="AX874" s="94"/>
      <c r="AY874" s="94"/>
      <c r="AZ874" s="94"/>
      <c r="BA874" s="94"/>
      <c r="BB874" s="94"/>
      <c r="BC874" s="94"/>
      <c r="BD874" s="94"/>
      <c r="BE874" s="94"/>
      <c r="BF874" s="94"/>
      <c r="BG874" s="94"/>
      <c r="BH874" s="94"/>
      <c r="BI874" s="94"/>
      <c r="BJ874" s="94"/>
      <c r="BK874" s="94"/>
      <c r="BL874" s="92"/>
      <c r="BM874" s="94"/>
      <c r="BN874" s="94"/>
      <c r="BO874" s="94"/>
      <c r="BP874" s="94"/>
      <c r="BQ874" s="92"/>
      <c r="BR874" s="92"/>
      <c r="BS874" s="92"/>
      <c r="BT874" s="92"/>
      <c r="BU874" s="92"/>
      <c r="BV874" s="92"/>
      <c r="BW874" s="92"/>
      <c r="BX874" s="92"/>
      <c r="BY874" s="92"/>
      <c r="BZ874" s="92"/>
    </row>
    <row r="875" spans="1:78" ht="12.9">
      <c r="A875" s="89"/>
      <c r="B875" s="89"/>
      <c r="C875" s="89"/>
      <c r="D875" s="89"/>
      <c r="E875" s="89"/>
      <c r="F875" s="89"/>
      <c r="G875" s="89"/>
      <c r="H875" s="105"/>
      <c r="I875" s="106"/>
      <c r="J875" s="106"/>
      <c r="K875" s="89"/>
      <c r="L875" s="89"/>
      <c r="M875" s="89"/>
      <c r="N875" s="107"/>
      <c r="O875" s="107"/>
      <c r="P875" s="89"/>
      <c r="Q875" s="89"/>
      <c r="R875" s="89"/>
      <c r="S875" s="89"/>
      <c r="T875" s="89"/>
      <c r="U875" s="89"/>
      <c r="V875" s="89"/>
      <c r="W875" s="89"/>
      <c r="X875" s="89"/>
      <c r="Y875" s="89"/>
      <c r="Z875" s="77"/>
      <c r="AA875" s="77"/>
      <c r="AB875" s="94"/>
      <c r="AC875" s="94"/>
      <c r="AD875" s="94"/>
      <c r="AE875" s="94"/>
      <c r="AF875" s="91"/>
      <c r="AG875" s="92"/>
      <c r="AH875" s="92"/>
      <c r="AI875" s="93"/>
      <c r="AJ875" s="94"/>
      <c r="AK875" s="92"/>
      <c r="AL875" s="94"/>
      <c r="AM875" s="94"/>
      <c r="AN875" s="94"/>
      <c r="AO875" s="94"/>
      <c r="AP875" s="94"/>
      <c r="AQ875" s="94"/>
      <c r="AR875" s="94"/>
      <c r="AS875" s="94"/>
      <c r="AT875" s="94"/>
      <c r="AU875" s="92"/>
      <c r="AV875" s="94"/>
      <c r="AW875" s="94"/>
      <c r="AX875" s="94"/>
      <c r="AY875" s="94"/>
      <c r="AZ875" s="94"/>
      <c r="BA875" s="94"/>
      <c r="BB875" s="94"/>
      <c r="BC875" s="94"/>
      <c r="BD875" s="94"/>
      <c r="BE875" s="94"/>
      <c r="BF875" s="94"/>
      <c r="BG875" s="94"/>
      <c r="BH875" s="94"/>
      <c r="BI875" s="94"/>
      <c r="BJ875" s="94"/>
      <c r="BK875" s="94"/>
      <c r="BL875" s="92"/>
      <c r="BM875" s="94"/>
      <c r="BN875" s="94"/>
      <c r="BO875" s="94"/>
      <c r="BP875" s="94"/>
      <c r="BQ875" s="92"/>
      <c r="BR875" s="92"/>
      <c r="BS875" s="92"/>
      <c r="BT875" s="92"/>
      <c r="BU875" s="92"/>
      <c r="BV875" s="92"/>
      <c r="BW875" s="92"/>
      <c r="BX875" s="92"/>
      <c r="BY875" s="92"/>
      <c r="BZ875" s="92"/>
    </row>
    <row r="876" spans="1:78" ht="12.9">
      <c r="A876" s="89"/>
      <c r="B876" s="89"/>
      <c r="C876" s="89"/>
      <c r="D876" s="89"/>
      <c r="E876" s="89"/>
      <c r="F876" s="89"/>
      <c r="G876" s="89"/>
      <c r="H876" s="105"/>
      <c r="I876" s="106"/>
      <c r="J876" s="106"/>
      <c r="K876" s="89"/>
      <c r="L876" s="89"/>
      <c r="M876" s="89"/>
      <c r="N876" s="107"/>
      <c r="O876" s="107"/>
      <c r="P876" s="89"/>
      <c r="Q876" s="89"/>
      <c r="R876" s="89"/>
      <c r="S876" s="89"/>
      <c r="T876" s="89"/>
      <c r="U876" s="89"/>
      <c r="V876" s="89"/>
      <c r="W876" s="89"/>
      <c r="X876" s="89"/>
      <c r="Y876" s="89"/>
      <c r="Z876" s="77"/>
      <c r="AA876" s="77"/>
      <c r="AB876" s="94"/>
      <c r="AC876" s="94"/>
      <c r="AD876" s="94"/>
      <c r="AE876" s="94"/>
      <c r="AF876" s="91"/>
      <c r="AG876" s="92"/>
      <c r="AH876" s="92"/>
      <c r="AI876" s="93"/>
      <c r="AJ876" s="94"/>
      <c r="AK876" s="92"/>
      <c r="AL876" s="94"/>
      <c r="AM876" s="94"/>
      <c r="AN876" s="94"/>
      <c r="AO876" s="94"/>
      <c r="AP876" s="94"/>
      <c r="AQ876" s="94"/>
      <c r="AR876" s="94"/>
      <c r="AS876" s="94"/>
      <c r="AT876" s="94"/>
      <c r="AU876" s="92"/>
      <c r="AV876" s="94"/>
      <c r="AW876" s="94"/>
      <c r="AX876" s="94"/>
      <c r="AY876" s="94"/>
      <c r="AZ876" s="94"/>
      <c r="BA876" s="94"/>
      <c r="BB876" s="94"/>
      <c r="BC876" s="94"/>
      <c r="BD876" s="94"/>
      <c r="BE876" s="94"/>
      <c r="BF876" s="94"/>
      <c r="BG876" s="94"/>
      <c r="BH876" s="94"/>
      <c r="BI876" s="94"/>
      <c r="BJ876" s="94"/>
      <c r="BK876" s="94"/>
      <c r="BL876" s="92"/>
      <c r="BM876" s="94"/>
      <c r="BN876" s="94"/>
      <c r="BO876" s="94"/>
      <c r="BP876" s="94"/>
      <c r="BQ876" s="92"/>
      <c r="BR876" s="92"/>
      <c r="BS876" s="92"/>
      <c r="BT876" s="92"/>
      <c r="BU876" s="92"/>
      <c r="BV876" s="92"/>
      <c r="BW876" s="92"/>
      <c r="BX876" s="92"/>
      <c r="BY876" s="92"/>
      <c r="BZ876" s="92"/>
    </row>
    <row r="877" spans="1:78" ht="12.9">
      <c r="A877" s="89"/>
      <c r="B877" s="89"/>
      <c r="C877" s="89"/>
      <c r="D877" s="89"/>
      <c r="E877" s="89"/>
      <c r="F877" s="89"/>
      <c r="G877" s="89"/>
      <c r="H877" s="105"/>
      <c r="I877" s="106"/>
      <c r="J877" s="106"/>
      <c r="K877" s="89"/>
      <c r="L877" s="89"/>
      <c r="M877" s="89"/>
      <c r="N877" s="107"/>
      <c r="O877" s="107"/>
      <c r="P877" s="89"/>
      <c r="Q877" s="89"/>
      <c r="R877" s="89"/>
      <c r="S877" s="89"/>
      <c r="T877" s="89"/>
      <c r="U877" s="89"/>
      <c r="V877" s="89"/>
      <c r="W877" s="89"/>
      <c r="X877" s="89"/>
      <c r="Y877" s="89"/>
      <c r="Z877" s="77"/>
      <c r="AA877" s="77"/>
      <c r="AB877" s="94"/>
      <c r="AC877" s="94"/>
      <c r="AD877" s="94"/>
      <c r="AE877" s="94"/>
      <c r="AF877" s="91"/>
      <c r="AG877" s="92"/>
      <c r="AH877" s="92"/>
      <c r="AI877" s="93"/>
      <c r="AJ877" s="94"/>
      <c r="AK877" s="92"/>
      <c r="AL877" s="94"/>
      <c r="AM877" s="94"/>
      <c r="AN877" s="94"/>
      <c r="AO877" s="94"/>
      <c r="AP877" s="94"/>
      <c r="AQ877" s="94"/>
      <c r="AR877" s="94"/>
      <c r="AS877" s="94"/>
      <c r="AT877" s="94"/>
      <c r="AU877" s="92"/>
      <c r="AV877" s="94"/>
      <c r="AW877" s="94"/>
      <c r="AX877" s="94"/>
      <c r="AY877" s="94"/>
      <c r="AZ877" s="94"/>
      <c r="BA877" s="94"/>
      <c r="BB877" s="94"/>
      <c r="BC877" s="94"/>
      <c r="BD877" s="94"/>
      <c r="BE877" s="94"/>
      <c r="BF877" s="94"/>
      <c r="BG877" s="94"/>
      <c r="BH877" s="94"/>
      <c r="BI877" s="94"/>
      <c r="BJ877" s="94"/>
      <c r="BK877" s="94"/>
      <c r="BL877" s="92"/>
      <c r="BM877" s="94"/>
      <c r="BN877" s="94"/>
      <c r="BO877" s="94"/>
      <c r="BP877" s="94"/>
      <c r="BQ877" s="92"/>
      <c r="BR877" s="92"/>
      <c r="BS877" s="92"/>
      <c r="BT877" s="92"/>
      <c r="BU877" s="92"/>
      <c r="BV877" s="92"/>
      <c r="BW877" s="92"/>
      <c r="BX877" s="92"/>
      <c r="BY877" s="92"/>
      <c r="BZ877" s="92"/>
    </row>
    <row r="878" spans="1:78" ht="12.9">
      <c r="A878" s="89"/>
      <c r="B878" s="89"/>
      <c r="C878" s="89"/>
      <c r="D878" s="89"/>
      <c r="E878" s="89"/>
      <c r="F878" s="89"/>
      <c r="G878" s="89"/>
      <c r="H878" s="105"/>
      <c r="I878" s="106"/>
      <c r="J878" s="106"/>
      <c r="K878" s="89"/>
      <c r="L878" s="89"/>
      <c r="M878" s="89"/>
      <c r="N878" s="107"/>
      <c r="O878" s="107"/>
      <c r="P878" s="89"/>
      <c r="Q878" s="89"/>
      <c r="R878" s="89"/>
      <c r="S878" s="89"/>
      <c r="T878" s="89"/>
      <c r="U878" s="89"/>
      <c r="V878" s="89"/>
      <c r="W878" s="89"/>
      <c r="X878" s="89"/>
      <c r="Y878" s="89"/>
      <c r="Z878" s="77"/>
      <c r="AA878" s="77"/>
      <c r="AB878" s="94"/>
      <c r="AC878" s="94"/>
      <c r="AD878" s="94"/>
      <c r="AE878" s="94"/>
      <c r="AF878" s="91"/>
      <c r="AG878" s="92"/>
      <c r="AH878" s="92"/>
      <c r="AI878" s="93"/>
      <c r="AJ878" s="94"/>
      <c r="AK878" s="92"/>
      <c r="AL878" s="94"/>
      <c r="AM878" s="94"/>
      <c r="AN878" s="94"/>
      <c r="AO878" s="94"/>
      <c r="AP878" s="94"/>
      <c r="AQ878" s="94"/>
      <c r="AR878" s="94"/>
      <c r="AS878" s="94"/>
      <c r="AT878" s="94"/>
      <c r="AU878" s="92"/>
      <c r="AV878" s="94"/>
      <c r="AW878" s="94"/>
      <c r="AX878" s="94"/>
      <c r="AY878" s="94"/>
      <c r="AZ878" s="94"/>
      <c r="BA878" s="94"/>
      <c r="BB878" s="94"/>
      <c r="BC878" s="94"/>
      <c r="BD878" s="94"/>
      <c r="BE878" s="94"/>
      <c r="BF878" s="94"/>
      <c r="BG878" s="94"/>
      <c r="BH878" s="94"/>
      <c r="BI878" s="94"/>
      <c r="BJ878" s="94"/>
      <c r="BK878" s="94"/>
      <c r="BL878" s="92"/>
      <c r="BM878" s="94"/>
      <c r="BN878" s="94"/>
      <c r="BO878" s="94"/>
      <c r="BP878" s="94"/>
      <c r="BQ878" s="92"/>
      <c r="BR878" s="92"/>
      <c r="BS878" s="92"/>
      <c r="BT878" s="92"/>
      <c r="BU878" s="92"/>
      <c r="BV878" s="92"/>
      <c r="BW878" s="92"/>
      <c r="BX878" s="92"/>
      <c r="BY878" s="92"/>
      <c r="BZ878" s="92"/>
    </row>
    <row r="879" spans="1:78" ht="12.9">
      <c r="A879" s="89"/>
      <c r="B879" s="89"/>
      <c r="C879" s="89"/>
      <c r="D879" s="89"/>
      <c r="E879" s="89"/>
      <c r="F879" s="89"/>
      <c r="G879" s="89"/>
      <c r="H879" s="105"/>
      <c r="I879" s="106"/>
      <c r="J879" s="106"/>
      <c r="K879" s="89"/>
      <c r="L879" s="89"/>
      <c r="M879" s="89"/>
      <c r="N879" s="107"/>
      <c r="O879" s="107"/>
      <c r="P879" s="89"/>
      <c r="Q879" s="89"/>
      <c r="R879" s="89"/>
      <c r="S879" s="89"/>
      <c r="T879" s="89"/>
      <c r="U879" s="89"/>
      <c r="V879" s="89"/>
      <c r="W879" s="89"/>
      <c r="X879" s="89"/>
      <c r="Y879" s="89"/>
      <c r="Z879" s="77"/>
      <c r="AA879" s="77"/>
      <c r="AB879" s="94"/>
      <c r="AC879" s="94"/>
      <c r="AD879" s="94"/>
      <c r="AE879" s="94"/>
      <c r="AF879" s="91"/>
      <c r="AG879" s="92"/>
      <c r="AH879" s="92"/>
      <c r="AI879" s="93"/>
      <c r="AJ879" s="94"/>
      <c r="AK879" s="92"/>
      <c r="AL879" s="94"/>
      <c r="AM879" s="94"/>
      <c r="AN879" s="94"/>
      <c r="AO879" s="94"/>
      <c r="AP879" s="94"/>
      <c r="AQ879" s="94"/>
      <c r="AR879" s="94"/>
      <c r="AS879" s="94"/>
      <c r="AT879" s="94"/>
      <c r="AU879" s="92"/>
      <c r="AV879" s="94"/>
      <c r="AW879" s="94"/>
      <c r="AX879" s="94"/>
      <c r="AY879" s="94"/>
      <c r="AZ879" s="94"/>
      <c r="BA879" s="94"/>
      <c r="BB879" s="94"/>
      <c r="BC879" s="94"/>
      <c r="BD879" s="94"/>
      <c r="BE879" s="94"/>
      <c r="BF879" s="94"/>
      <c r="BG879" s="94"/>
      <c r="BH879" s="94"/>
      <c r="BI879" s="94"/>
      <c r="BJ879" s="94"/>
      <c r="BK879" s="94"/>
      <c r="BL879" s="92"/>
      <c r="BM879" s="94"/>
      <c r="BN879" s="94"/>
      <c r="BO879" s="94"/>
      <c r="BP879" s="94"/>
      <c r="BQ879" s="92"/>
      <c r="BR879" s="92"/>
      <c r="BS879" s="92"/>
      <c r="BT879" s="92"/>
      <c r="BU879" s="92"/>
      <c r="BV879" s="92"/>
      <c r="BW879" s="92"/>
      <c r="BX879" s="92"/>
      <c r="BY879" s="92"/>
      <c r="BZ879" s="92"/>
    </row>
    <row r="880" spans="1:78" ht="12.9">
      <c r="A880" s="89"/>
      <c r="B880" s="89"/>
      <c r="C880" s="89"/>
      <c r="D880" s="89"/>
      <c r="E880" s="89"/>
      <c r="F880" s="89"/>
      <c r="G880" s="89"/>
      <c r="H880" s="105"/>
      <c r="I880" s="106"/>
      <c r="J880" s="106"/>
      <c r="K880" s="89"/>
      <c r="L880" s="89"/>
      <c r="M880" s="89"/>
      <c r="N880" s="107"/>
      <c r="O880" s="107"/>
      <c r="P880" s="89"/>
      <c r="Q880" s="89"/>
      <c r="R880" s="89"/>
      <c r="S880" s="89"/>
      <c r="T880" s="89"/>
      <c r="U880" s="89"/>
      <c r="V880" s="89"/>
      <c r="W880" s="89"/>
      <c r="X880" s="89"/>
      <c r="Y880" s="89"/>
      <c r="Z880" s="77"/>
      <c r="AA880" s="77"/>
      <c r="AB880" s="94"/>
      <c r="AC880" s="94"/>
      <c r="AD880" s="94"/>
      <c r="AE880" s="94"/>
      <c r="AF880" s="91"/>
      <c r="AG880" s="92"/>
      <c r="AH880" s="92"/>
      <c r="AI880" s="93"/>
      <c r="AJ880" s="94"/>
      <c r="AK880" s="92"/>
      <c r="AL880" s="94"/>
      <c r="AM880" s="94"/>
      <c r="AN880" s="94"/>
      <c r="AO880" s="94"/>
      <c r="AP880" s="94"/>
      <c r="AQ880" s="94"/>
      <c r="AR880" s="94"/>
      <c r="AS880" s="94"/>
      <c r="AT880" s="94"/>
      <c r="AU880" s="92"/>
      <c r="AV880" s="94"/>
      <c r="AW880" s="94"/>
      <c r="AX880" s="94"/>
      <c r="AY880" s="94"/>
      <c r="AZ880" s="94"/>
      <c r="BA880" s="94"/>
      <c r="BB880" s="94"/>
      <c r="BC880" s="94"/>
      <c r="BD880" s="94"/>
      <c r="BE880" s="94"/>
      <c r="BF880" s="94"/>
      <c r="BG880" s="94"/>
      <c r="BH880" s="94"/>
      <c r="BI880" s="94"/>
      <c r="BJ880" s="94"/>
      <c r="BK880" s="94"/>
      <c r="BL880" s="92"/>
      <c r="BM880" s="94"/>
      <c r="BN880" s="94"/>
      <c r="BO880" s="94"/>
      <c r="BP880" s="94"/>
      <c r="BQ880" s="92"/>
      <c r="BR880" s="92"/>
      <c r="BS880" s="92"/>
      <c r="BT880" s="92"/>
      <c r="BU880" s="92"/>
      <c r="BV880" s="92"/>
      <c r="BW880" s="92"/>
      <c r="BX880" s="92"/>
      <c r="BY880" s="92"/>
      <c r="BZ880" s="92"/>
    </row>
    <row r="881" spans="1:78" ht="12.9">
      <c r="A881" s="89"/>
      <c r="B881" s="89"/>
      <c r="C881" s="89"/>
      <c r="D881" s="89"/>
      <c r="E881" s="89"/>
      <c r="F881" s="89"/>
      <c r="G881" s="89"/>
      <c r="H881" s="105"/>
      <c r="I881" s="106"/>
      <c r="J881" s="106"/>
      <c r="K881" s="89"/>
      <c r="L881" s="89"/>
      <c r="M881" s="89"/>
      <c r="N881" s="107"/>
      <c r="O881" s="107"/>
      <c r="P881" s="89"/>
      <c r="Q881" s="89"/>
      <c r="R881" s="89"/>
      <c r="S881" s="89"/>
      <c r="T881" s="89"/>
      <c r="U881" s="89"/>
      <c r="V881" s="89"/>
      <c r="W881" s="89"/>
      <c r="X881" s="89"/>
      <c r="Y881" s="89"/>
      <c r="Z881" s="77"/>
      <c r="AA881" s="77"/>
      <c r="AB881" s="94"/>
      <c r="AC881" s="94"/>
      <c r="AD881" s="94"/>
      <c r="AE881" s="94"/>
      <c r="AF881" s="91"/>
      <c r="AG881" s="92"/>
      <c r="AH881" s="92"/>
      <c r="AI881" s="93"/>
      <c r="AJ881" s="94"/>
      <c r="AK881" s="92"/>
      <c r="AL881" s="94"/>
      <c r="AM881" s="94"/>
      <c r="AN881" s="94"/>
      <c r="AO881" s="94"/>
      <c r="AP881" s="94"/>
      <c r="AQ881" s="94"/>
      <c r="AR881" s="94"/>
      <c r="AS881" s="94"/>
      <c r="AT881" s="94"/>
      <c r="AU881" s="92"/>
      <c r="AV881" s="94"/>
      <c r="AW881" s="94"/>
      <c r="AX881" s="94"/>
      <c r="AY881" s="94"/>
      <c r="AZ881" s="94"/>
      <c r="BA881" s="94"/>
      <c r="BB881" s="94"/>
      <c r="BC881" s="94"/>
      <c r="BD881" s="94"/>
      <c r="BE881" s="94"/>
      <c r="BF881" s="94"/>
      <c r="BG881" s="94"/>
      <c r="BH881" s="94"/>
      <c r="BI881" s="94"/>
      <c r="BJ881" s="94"/>
      <c r="BK881" s="94"/>
      <c r="BL881" s="92"/>
      <c r="BM881" s="94"/>
      <c r="BN881" s="94"/>
      <c r="BO881" s="94"/>
      <c r="BP881" s="94"/>
      <c r="BQ881" s="92"/>
      <c r="BR881" s="92"/>
      <c r="BS881" s="92"/>
      <c r="BT881" s="92"/>
      <c r="BU881" s="92"/>
      <c r="BV881" s="92"/>
      <c r="BW881" s="92"/>
      <c r="BX881" s="92"/>
      <c r="BY881" s="92"/>
      <c r="BZ881" s="92"/>
    </row>
    <row r="882" spans="1:78" ht="12.9">
      <c r="A882" s="89"/>
      <c r="B882" s="89"/>
      <c r="C882" s="89"/>
      <c r="D882" s="89"/>
      <c r="E882" s="89"/>
      <c r="F882" s="89"/>
      <c r="G882" s="89"/>
      <c r="H882" s="105"/>
      <c r="I882" s="106"/>
      <c r="J882" s="106"/>
      <c r="K882" s="89"/>
      <c r="L882" s="89"/>
      <c r="M882" s="89"/>
      <c r="N882" s="107"/>
      <c r="O882" s="107"/>
      <c r="P882" s="89"/>
      <c r="Q882" s="89"/>
      <c r="R882" s="89"/>
      <c r="S882" s="89"/>
      <c r="T882" s="89"/>
      <c r="U882" s="89"/>
      <c r="V882" s="89"/>
      <c r="W882" s="89"/>
      <c r="X882" s="89"/>
      <c r="Y882" s="89"/>
      <c r="Z882" s="77"/>
      <c r="AA882" s="77"/>
      <c r="AB882" s="94"/>
      <c r="AC882" s="94"/>
      <c r="AD882" s="94"/>
      <c r="AE882" s="94"/>
      <c r="AF882" s="91"/>
      <c r="AG882" s="92"/>
      <c r="AH882" s="92"/>
      <c r="AI882" s="93"/>
      <c r="AJ882" s="94"/>
      <c r="AK882" s="92"/>
      <c r="AL882" s="94"/>
      <c r="AM882" s="94"/>
      <c r="AN882" s="94"/>
      <c r="AO882" s="94"/>
      <c r="AP882" s="94"/>
      <c r="AQ882" s="94"/>
      <c r="AR882" s="94"/>
      <c r="AS882" s="94"/>
      <c r="AT882" s="94"/>
      <c r="AU882" s="92"/>
      <c r="AV882" s="94"/>
      <c r="AW882" s="94"/>
      <c r="AX882" s="94"/>
      <c r="AY882" s="94"/>
      <c r="AZ882" s="94"/>
      <c r="BA882" s="94"/>
      <c r="BB882" s="94"/>
      <c r="BC882" s="94"/>
      <c r="BD882" s="94"/>
      <c r="BE882" s="94"/>
      <c r="BF882" s="94"/>
      <c r="BG882" s="94"/>
      <c r="BH882" s="94"/>
      <c r="BI882" s="94"/>
      <c r="BJ882" s="94"/>
      <c r="BK882" s="94"/>
      <c r="BL882" s="92"/>
      <c r="BM882" s="94"/>
      <c r="BN882" s="94"/>
      <c r="BO882" s="94"/>
      <c r="BP882" s="94"/>
      <c r="BQ882" s="92"/>
      <c r="BR882" s="92"/>
      <c r="BS882" s="92"/>
      <c r="BT882" s="92"/>
      <c r="BU882" s="92"/>
      <c r="BV882" s="92"/>
      <c r="BW882" s="92"/>
      <c r="BX882" s="92"/>
      <c r="BY882" s="92"/>
      <c r="BZ882" s="92"/>
    </row>
    <row r="883" spans="1:78" ht="12.9">
      <c r="A883" s="89"/>
      <c r="B883" s="89"/>
      <c r="C883" s="89"/>
      <c r="D883" s="89"/>
      <c r="E883" s="89"/>
      <c r="F883" s="89"/>
      <c r="G883" s="89"/>
      <c r="H883" s="105"/>
      <c r="I883" s="106"/>
      <c r="J883" s="106"/>
      <c r="K883" s="89"/>
      <c r="L883" s="89"/>
      <c r="M883" s="89"/>
      <c r="N883" s="107"/>
      <c r="O883" s="107"/>
      <c r="P883" s="89"/>
      <c r="Q883" s="89"/>
      <c r="R883" s="89"/>
      <c r="S883" s="89"/>
      <c r="T883" s="89"/>
      <c r="U883" s="89"/>
      <c r="V883" s="89"/>
      <c r="W883" s="89"/>
      <c r="X883" s="89"/>
      <c r="Y883" s="89"/>
      <c r="Z883" s="77"/>
      <c r="AA883" s="77"/>
      <c r="AB883" s="94"/>
      <c r="AC883" s="94"/>
      <c r="AD883" s="94"/>
      <c r="AE883" s="94"/>
      <c r="AF883" s="91"/>
      <c r="AG883" s="92"/>
      <c r="AH883" s="92"/>
      <c r="AI883" s="93"/>
      <c r="AJ883" s="94"/>
      <c r="AK883" s="92"/>
      <c r="AL883" s="94"/>
      <c r="AM883" s="94"/>
      <c r="AN883" s="94"/>
      <c r="AO883" s="94"/>
      <c r="AP883" s="94"/>
      <c r="AQ883" s="94"/>
      <c r="AR883" s="94"/>
      <c r="AS883" s="94"/>
      <c r="AT883" s="94"/>
      <c r="AU883" s="92"/>
      <c r="AV883" s="94"/>
      <c r="AW883" s="94"/>
      <c r="AX883" s="94"/>
      <c r="AY883" s="94"/>
      <c r="AZ883" s="94"/>
      <c r="BA883" s="94"/>
      <c r="BB883" s="94"/>
      <c r="BC883" s="94"/>
      <c r="BD883" s="94"/>
      <c r="BE883" s="94"/>
      <c r="BF883" s="94"/>
      <c r="BG883" s="94"/>
      <c r="BH883" s="94"/>
      <c r="BI883" s="94"/>
      <c r="BJ883" s="94"/>
      <c r="BK883" s="94"/>
      <c r="BL883" s="92"/>
      <c r="BM883" s="94"/>
      <c r="BN883" s="94"/>
      <c r="BO883" s="94"/>
      <c r="BP883" s="94"/>
      <c r="BQ883" s="92"/>
      <c r="BR883" s="92"/>
      <c r="BS883" s="92"/>
      <c r="BT883" s="92"/>
      <c r="BU883" s="92"/>
      <c r="BV883" s="92"/>
      <c r="BW883" s="92"/>
      <c r="BX883" s="92"/>
      <c r="BY883" s="92"/>
      <c r="BZ883" s="92"/>
    </row>
    <row r="884" spans="1:78" ht="12.9">
      <c r="A884" s="89"/>
      <c r="B884" s="89"/>
      <c r="C884" s="89"/>
      <c r="D884" s="89"/>
      <c r="E884" s="89"/>
      <c r="F884" s="89"/>
      <c r="G884" s="89"/>
      <c r="H884" s="105"/>
      <c r="I884" s="106"/>
      <c r="J884" s="106"/>
      <c r="K884" s="89"/>
      <c r="L884" s="89"/>
      <c r="M884" s="89"/>
      <c r="N884" s="107"/>
      <c r="O884" s="107"/>
      <c r="P884" s="89"/>
      <c r="Q884" s="89"/>
      <c r="R884" s="89"/>
      <c r="S884" s="89"/>
      <c r="T884" s="89"/>
      <c r="U884" s="89"/>
      <c r="V884" s="89"/>
      <c r="W884" s="89"/>
      <c r="X884" s="89"/>
      <c r="Y884" s="89"/>
      <c r="Z884" s="77"/>
      <c r="AA884" s="77"/>
      <c r="AB884" s="94"/>
      <c r="AC884" s="94"/>
      <c r="AD884" s="94"/>
      <c r="AE884" s="94"/>
      <c r="AF884" s="91"/>
      <c r="AG884" s="92"/>
      <c r="AH884" s="92"/>
      <c r="AI884" s="93"/>
      <c r="AJ884" s="94"/>
      <c r="AK884" s="92"/>
      <c r="AL884" s="94"/>
      <c r="AM884" s="94"/>
      <c r="AN884" s="94"/>
      <c r="AO884" s="94"/>
      <c r="AP884" s="94"/>
      <c r="AQ884" s="94"/>
      <c r="AR884" s="94"/>
      <c r="AS884" s="94"/>
      <c r="AT884" s="94"/>
      <c r="AU884" s="92"/>
      <c r="AV884" s="94"/>
      <c r="AW884" s="94"/>
      <c r="AX884" s="94"/>
      <c r="AY884" s="94"/>
      <c r="AZ884" s="94"/>
      <c r="BA884" s="94"/>
      <c r="BB884" s="94"/>
      <c r="BC884" s="94"/>
      <c r="BD884" s="94"/>
      <c r="BE884" s="94"/>
      <c r="BF884" s="94"/>
      <c r="BG884" s="94"/>
      <c r="BH884" s="94"/>
      <c r="BI884" s="94"/>
      <c r="BJ884" s="94"/>
      <c r="BK884" s="94"/>
      <c r="BL884" s="92"/>
      <c r="BM884" s="94"/>
      <c r="BN884" s="94"/>
      <c r="BO884" s="94"/>
      <c r="BP884" s="94"/>
      <c r="BQ884" s="92"/>
      <c r="BR884" s="92"/>
      <c r="BS884" s="92"/>
      <c r="BT884" s="92"/>
      <c r="BU884" s="92"/>
      <c r="BV884" s="92"/>
      <c r="BW884" s="92"/>
      <c r="BX884" s="92"/>
      <c r="BY884" s="92"/>
      <c r="BZ884" s="92"/>
    </row>
    <row r="885" spans="1:78" ht="12.9">
      <c r="A885" s="89"/>
      <c r="B885" s="89"/>
      <c r="C885" s="89"/>
      <c r="D885" s="89"/>
      <c r="E885" s="89"/>
      <c r="F885" s="89"/>
      <c r="G885" s="89"/>
      <c r="H885" s="105"/>
      <c r="I885" s="106"/>
      <c r="J885" s="106"/>
      <c r="K885" s="89"/>
      <c r="L885" s="89"/>
      <c r="M885" s="89"/>
      <c r="N885" s="107"/>
      <c r="O885" s="107"/>
      <c r="P885" s="89"/>
      <c r="Q885" s="89"/>
      <c r="R885" s="89"/>
      <c r="S885" s="89"/>
      <c r="T885" s="89"/>
      <c r="U885" s="89"/>
      <c r="V885" s="89"/>
      <c r="W885" s="89"/>
      <c r="X885" s="89"/>
      <c r="Y885" s="89"/>
      <c r="Z885" s="77"/>
      <c r="AA885" s="77"/>
      <c r="AB885" s="94"/>
      <c r="AC885" s="94"/>
      <c r="AD885" s="94"/>
      <c r="AE885" s="94"/>
      <c r="AF885" s="91"/>
      <c r="AG885" s="92"/>
      <c r="AH885" s="92"/>
      <c r="AI885" s="93"/>
      <c r="AJ885" s="94"/>
      <c r="AK885" s="92"/>
      <c r="AL885" s="94"/>
      <c r="AM885" s="94"/>
      <c r="AN885" s="94"/>
      <c r="AO885" s="94"/>
      <c r="AP885" s="94"/>
      <c r="AQ885" s="94"/>
      <c r="AR885" s="94"/>
      <c r="AS885" s="94"/>
      <c r="AT885" s="94"/>
      <c r="AU885" s="92"/>
      <c r="AV885" s="94"/>
      <c r="AW885" s="94"/>
      <c r="AX885" s="94"/>
      <c r="AY885" s="94"/>
      <c r="AZ885" s="94"/>
      <c r="BA885" s="94"/>
      <c r="BB885" s="94"/>
      <c r="BC885" s="94"/>
      <c r="BD885" s="94"/>
      <c r="BE885" s="94"/>
      <c r="BF885" s="94"/>
      <c r="BG885" s="94"/>
      <c r="BH885" s="94"/>
      <c r="BI885" s="94"/>
      <c r="BJ885" s="94"/>
      <c r="BK885" s="94"/>
      <c r="BL885" s="92"/>
      <c r="BM885" s="94"/>
      <c r="BN885" s="94"/>
      <c r="BO885" s="94"/>
      <c r="BP885" s="94"/>
      <c r="BQ885" s="92"/>
      <c r="BR885" s="92"/>
      <c r="BS885" s="92"/>
      <c r="BT885" s="92"/>
      <c r="BU885" s="92"/>
      <c r="BV885" s="92"/>
      <c r="BW885" s="92"/>
      <c r="BX885" s="92"/>
      <c r="BY885" s="92"/>
      <c r="BZ885" s="92"/>
    </row>
    <row r="886" spans="1:78" ht="12.9">
      <c r="A886" s="89"/>
      <c r="B886" s="89"/>
      <c r="C886" s="89"/>
      <c r="D886" s="89"/>
      <c r="E886" s="89"/>
      <c r="F886" s="89"/>
      <c r="G886" s="89"/>
      <c r="H886" s="105"/>
      <c r="I886" s="106"/>
      <c r="J886" s="106"/>
      <c r="K886" s="89"/>
      <c r="L886" s="89"/>
      <c r="M886" s="89"/>
      <c r="N886" s="107"/>
      <c r="O886" s="107"/>
      <c r="P886" s="89"/>
      <c r="Q886" s="89"/>
      <c r="R886" s="89"/>
      <c r="S886" s="89"/>
      <c r="T886" s="89"/>
      <c r="U886" s="89"/>
      <c r="V886" s="89"/>
      <c r="W886" s="89"/>
      <c r="X886" s="89"/>
      <c r="Y886" s="89"/>
      <c r="Z886" s="77"/>
      <c r="AA886" s="77"/>
      <c r="AB886" s="94"/>
      <c r="AC886" s="94"/>
      <c r="AD886" s="94"/>
      <c r="AE886" s="94"/>
      <c r="AF886" s="91"/>
      <c r="AG886" s="92"/>
      <c r="AH886" s="92"/>
      <c r="AI886" s="93"/>
      <c r="AJ886" s="94"/>
      <c r="AK886" s="92"/>
      <c r="AL886" s="94"/>
      <c r="AM886" s="94"/>
      <c r="AN886" s="94"/>
      <c r="AO886" s="94"/>
      <c r="AP886" s="94"/>
      <c r="AQ886" s="94"/>
      <c r="AR886" s="94"/>
      <c r="AS886" s="94"/>
      <c r="AT886" s="94"/>
      <c r="AU886" s="92"/>
      <c r="AV886" s="94"/>
      <c r="AW886" s="94"/>
      <c r="AX886" s="94"/>
      <c r="AY886" s="94"/>
      <c r="AZ886" s="94"/>
      <c r="BA886" s="94"/>
      <c r="BB886" s="94"/>
      <c r="BC886" s="94"/>
      <c r="BD886" s="94"/>
      <c r="BE886" s="94"/>
      <c r="BF886" s="94"/>
      <c r="BG886" s="94"/>
      <c r="BH886" s="94"/>
      <c r="BI886" s="94"/>
      <c r="BJ886" s="94"/>
      <c r="BK886" s="94"/>
      <c r="BL886" s="92"/>
      <c r="BM886" s="94"/>
      <c r="BN886" s="94"/>
      <c r="BO886" s="94"/>
      <c r="BP886" s="94"/>
      <c r="BQ886" s="92"/>
      <c r="BR886" s="92"/>
      <c r="BS886" s="92"/>
      <c r="BT886" s="92"/>
      <c r="BU886" s="92"/>
      <c r="BV886" s="92"/>
      <c r="BW886" s="92"/>
      <c r="BX886" s="92"/>
      <c r="BY886" s="92"/>
      <c r="BZ886" s="92"/>
    </row>
    <row r="887" spans="1:78" ht="12.9">
      <c r="A887" s="89"/>
      <c r="B887" s="89"/>
      <c r="C887" s="89"/>
      <c r="D887" s="89"/>
      <c r="E887" s="89"/>
      <c r="F887" s="89"/>
      <c r="G887" s="89"/>
      <c r="H887" s="105"/>
      <c r="I887" s="106"/>
      <c r="J887" s="106"/>
      <c r="K887" s="89"/>
      <c r="L887" s="89"/>
      <c r="M887" s="89"/>
      <c r="N887" s="107"/>
      <c r="O887" s="107"/>
      <c r="P887" s="89"/>
      <c r="Q887" s="89"/>
      <c r="R887" s="89"/>
      <c r="S887" s="89"/>
      <c r="T887" s="89"/>
      <c r="U887" s="89"/>
      <c r="V887" s="89"/>
      <c r="W887" s="89"/>
      <c r="X887" s="89"/>
      <c r="Y887" s="89"/>
      <c r="Z887" s="77"/>
      <c r="AA887" s="77"/>
      <c r="AB887" s="94"/>
      <c r="AC887" s="94"/>
      <c r="AD887" s="94"/>
      <c r="AE887" s="94"/>
      <c r="AF887" s="91"/>
      <c r="AG887" s="92"/>
      <c r="AH887" s="92"/>
      <c r="AI887" s="93"/>
      <c r="AJ887" s="94"/>
      <c r="AK887" s="92"/>
      <c r="AL887" s="94"/>
      <c r="AM887" s="94"/>
      <c r="AN887" s="94"/>
      <c r="AO887" s="94"/>
      <c r="AP887" s="94"/>
      <c r="AQ887" s="94"/>
      <c r="AR887" s="94"/>
      <c r="AS887" s="94"/>
      <c r="AT887" s="94"/>
      <c r="AU887" s="92"/>
      <c r="AV887" s="94"/>
      <c r="AW887" s="94"/>
      <c r="AX887" s="94"/>
      <c r="AY887" s="94"/>
      <c r="AZ887" s="94"/>
      <c r="BA887" s="94"/>
      <c r="BB887" s="94"/>
      <c r="BC887" s="94"/>
      <c r="BD887" s="94"/>
      <c r="BE887" s="94"/>
      <c r="BF887" s="94"/>
      <c r="BG887" s="94"/>
      <c r="BH887" s="94"/>
      <c r="BI887" s="94"/>
      <c r="BJ887" s="94"/>
      <c r="BK887" s="94"/>
      <c r="BL887" s="92"/>
      <c r="BM887" s="94"/>
      <c r="BN887" s="94"/>
      <c r="BO887" s="94"/>
      <c r="BP887" s="94"/>
      <c r="BQ887" s="92"/>
      <c r="BR887" s="92"/>
      <c r="BS887" s="92"/>
      <c r="BT887" s="92"/>
      <c r="BU887" s="92"/>
      <c r="BV887" s="92"/>
      <c r="BW887" s="92"/>
      <c r="BX887" s="92"/>
      <c r="BY887" s="92"/>
      <c r="BZ887" s="92"/>
    </row>
    <row r="888" spans="1:78" ht="12.9">
      <c r="A888" s="89"/>
      <c r="B888" s="89"/>
      <c r="C888" s="89"/>
      <c r="D888" s="89"/>
      <c r="E888" s="89"/>
      <c r="F888" s="89"/>
      <c r="G888" s="89"/>
      <c r="H888" s="105"/>
      <c r="I888" s="106"/>
      <c r="J888" s="106"/>
      <c r="K888" s="89"/>
      <c r="L888" s="89"/>
      <c r="M888" s="89"/>
      <c r="N888" s="107"/>
      <c r="O888" s="107"/>
      <c r="P888" s="89"/>
      <c r="Q888" s="89"/>
      <c r="R888" s="89"/>
      <c r="S888" s="89"/>
      <c r="T888" s="89"/>
      <c r="U888" s="89"/>
      <c r="V888" s="89"/>
      <c r="W888" s="89"/>
      <c r="X888" s="89"/>
      <c r="Y888" s="89"/>
      <c r="Z888" s="77"/>
      <c r="AA888" s="77"/>
      <c r="AB888" s="94"/>
      <c r="AC888" s="94"/>
      <c r="AD888" s="94"/>
      <c r="AE888" s="94"/>
      <c r="AF888" s="91"/>
      <c r="AG888" s="92"/>
      <c r="AH888" s="92"/>
      <c r="AI888" s="93"/>
      <c r="AJ888" s="94"/>
      <c r="AK888" s="92"/>
      <c r="AL888" s="94"/>
      <c r="AM888" s="94"/>
      <c r="AN888" s="94"/>
      <c r="AO888" s="94"/>
      <c r="AP888" s="94"/>
      <c r="AQ888" s="94"/>
      <c r="AR888" s="94"/>
      <c r="AS888" s="94"/>
      <c r="AT888" s="94"/>
      <c r="AU888" s="92"/>
      <c r="AV888" s="94"/>
      <c r="AW888" s="94"/>
      <c r="AX888" s="94"/>
      <c r="AY888" s="94"/>
      <c r="AZ888" s="94"/>
      <c r="BA888" s="94"/>
      <c r="BB888" s="94"/>
      <c r="BC888" s="94"/>
      <c r="BD888" s="94"/>
      <c r="BE888" s="94"/>
      <c r="BF888" s="94"/>
      <c r="BG888" s="94"/>
      <c r="BH888" s="94"/>
      <c r="BI888" s="94"/>
      <c r="BJ888" s="94"/>
      <c r="BK888" s="94"/>
      <c r="BL888" s="92"/>
      <c r="BM888" s="94"/>
      <c r="BN888" s="94"/>
      <c r="BO888" s="94"/>
      <c r="BP888" s="94"/>
      <c r="BQ888" s="92"/>
      <c r="BR888" s="92"/>
      <c r="BS888" s="92"/>
      <c r="BT888" s="92"/>
      <c r="BU888" s="92"/>
      <c r="BV888" s="92"/>
      <c r="BW888" s="92"/>
      <c r="BX888" s="92"/>
      <c r="BY888" s="92"/>
      <c r="BZ888" s="92"/>
    </row>
    <row r="889" spans="1:78" ht="12.9">
      <c r="A889" s="89"/>
      <c r="B889" s="89"/>
      <c r="C889" s="89"/>
      <c r="D889" s="89"/>
      <c r="E889" s="89"/>
      <c r="F889" s="89"/>
      <c r="G889" s="89"/>
      <c r="H889" s="105"/>
      <c r="I889" s="106"/>
      <c r="J889" s="106"/>
      <c r="K889" s="89"/>
      <c r="L889" s="89"/>
      <c r="M889" s="89"/>
      <c r="N889" s="107"/>
      <c r="O889" s="107"/>
      <c r="P889" s="89"/>
      <c r="Q889" s="89"/>
      <c r="R889" s="89"/>
      <c r="S889" s="89"/>
      <c r="T889" s="89"/>
      <c r="U889" s="89"/>
      <c r="V889" s="89"/>
      <c r="W889" s="89"/>
      <c r="X889" s="89"/>
      <c r="Y889" s="89"/>
      <c r="Z889" s="77"/>
      <c r="AA889" s="77"/>
      <c r="AB889" s="94"/>
      <c r="AC889" s="94"/>
      <c r="AD889" s="94"/>
      <c r="AE889" s="94"/>
      <c r="AF889" s="91"/>
      <c r="AG889" s="92"/>
      <c r="AH889" s="92"/>
      <c r="AI889" s="93"/>
      <c r="AJ889" s="94"/>
      <c r="AK889" s="92"/>
      <c r="AL889" s="94"/>
      <c r="AM889" s="94"/>
      <c r="AN889" s="94"/>
      <c r="AO889" s="94"/>
      <c r="AP889" s="94"/>
      <c r="AQ889" s="94"/>
      <c r="AR889" s="94"/>
      <c r="AS889" s="94"/>
      <c r="AT889" s="94"/>
      <c r="AU889" s="92"/>
      <c r="AV889" s="94"/>
      <c r="AW889" s="94"/>
      <c r="AX889" s="94"/>
      <c r="AY889" s="94"/>
      <c r="AZ889" s="94"/>
      <c r="BA889" s="94"/>
      <c r="BB889" s="94"/>
      <c r="BC889" s="94"/>
      <c r="BD889" s="94"/>
      <c r="BE889" s="94"/>
      <c r="BF889" s="94"/>
      <c r="BG889" s="94"/>
      <c r="BH889" s="94"/>
      <c r="BI889" s="94"/>
      <c r="BJ889" s="94"/>
      <c r="BK889" s="94"/>
      <c r="BL889" s="92"/>
      <c r="BM889" s="94"/>
      <c r="BN889" s="94"/>
      <c r="BO889" s="94"/>
      <c r="BP889" s="94"/>
      <c r="BQ889" s="92"/>
      <c r="BR889" s="92"/>
      <c r="BS889" s="92"/>
      <c r="BT889" s="92"/>
      <c r="BU889" s="92"/>
      <c r="BV889" s="92"/>
      <c r="BW889" s="92"/>
      <c r="BX889" s="92"/>
      <c r="BY889" s="92"/>
      <c r="BZ889" s="92"/>
    </row>
    <row r="890" spans="1:78" ht="12.9">
      <c r="A890" s="89"/>
      <c r="B890" s="89"/>
      <c r="C890" s="89"/>
      <c r="D890" s="89"/>
      <c r="E890" s="89"/>
      <c r="F890" s="89"/>
      <c r="G890" s="89"/>
      <c r="H890" s="105"/>
      <c r="I890" s="106"/>
      <c r="J890" s="106"/>
      <c r="K890" s="89"/>
      <c r="L890" s="89"/>
      <c r="M890" s="89"/>
      <c r="N890" s="107"/>
      <c r="O890" s="107"/>
      <c r="P890" s="89"/>
      <c r="Q890" s="89"/>
      <c r="R890" s="89"/>
      <c r="S890" s="89"/>
      <c r="T890" s="89"/>
      <c r="U890" s="89"/>
      <c r="V890" s="89"/>
      <c r="W890" s="89"/>
      <c r="X890" s="89"/>
      <c r="Y890" s="89"/>
      <c r="Z890" s="77"/>
      <c r="AA890" s="77"/>
      <c r="AB890" s="94"/>
      <c r="AC890" s="94"/>
      <c r="AD890" s="94"/>
      <c r="AE890" s="94"/>
      <c r="AF890" s="91"/>
      <c r="AG890" s="92"/>
      <c r="AH890" s="92"/>
      <c r="AI890" s="93"/>
      <c r="AJ890" s="94"/>
      <c r="AK890" s="92"/>
      <c r="AL890" s="94"/>
      <c r="AM890" s="94"/>
      <c r="AN890" s="94"/>
      <c r="AO890" s="94"/>
      <c r="AP890" s="94"/>
      <c r="AQ890" s="94"/>
      <c r="AR890" s="94"/>
      <c r="AS890" s="94"/>
      <c r="AT890" s="94"/>
      <c r="AU890" s="92"/>
      <c r="AV890" s="94"/>
      <c r="AW890" s="94"/>
      <c r="AX890" s="94"/>
      <c r="AY890" s="94"/>
      <c r="AZ890" s="94"/>
      <c r="BA890" s="94"/>
      <c r="BB890" s="94"/>
      <c r="BC890" s="94"/>
      <c r="BD890" s="94"/>
      <c r="BE890" s="94"/>
      <c r="BF890" s="94"/>
      <c r="BG890" s="94"/>
      <c r="BH890" s="94"/>
      <c r="BI890" s="94"/>
      <c r="BJ890" s="94"/>
      <c r="BK890" s="94"/>
      <c r="BL890" s="92"/>
      <c r="BM890" s="94"/>
      <c r="BN890" s="94"/>
      <c r="BO890" s="94"/>
      <c r="BP890" s="94"/>
      <c r="BQ890" s="92"/>
      <c r="BR890" s="92"/>
      <c r="BS890" s="92"/>
      <c r="BT890" s="92"/>
      <c r="BU890" s="92"/>
      <c r="BV890" s="92"/>
      <c r="BW890" s="92"/>
      <c r="BX890" s="92"/>
      <c r="BY890" s="92"/>
      <c r="BZ890" s="92"/>
    </row>
    <row r="891" spans="1:78" ht="12.9">
      <c r="A891" s="89"/>
      <c r="B891" s="89"/>
      <c r="C891" s="89"/>
      <c r="D891" s="89"/>
      <c r="E891" s="89"/>
      <c r="F891" s="89"/>
      <c r="G891" s="89"/>
      <c r="H891" s="105"/>
      <c r="I891" s="106"/>
      <c r="J891" s="106"/>
      <c r="K891" s="89"/>
      <c r="L891" s="89"/>
      <c r="M891" s="89"/>
      <c r="N891" s="107"/>
      <c r="O891" s="107"/>
      <c r="P891" s="89"/>
      <c r="Q891" s="89"/>
      <c r="R891" s="89"/>
      <c r="S891" s="89"/>
      <c r="T891" s="89"/>
      <c r="U891" s="89"/>
      <c r="V891" s="89"/>
      <c r="W891" s="89"/>
      <c r="X891" s="89"/>
      <c r="Y891" s="89"/>
      <c r="Z891" s="77"/>
      <c r="AA891" s="77"/>
      <c r="AB891" s="94"/>
      <c r="AC891" s="94"/>
      <c r="AD891" s="94"/>
      <c r="AE891" s="94"/>
      <c r="AF891" s="91"/>
      <c r="AG891" s="92"/>
      <c r="AH891" s="92"/>
      <c r="AI891" s="93"/>
      <c r="AJ891" s="94"/>
      <c r="AK891" s="92"/>
      <c r="AL891" s="94"/>
      <c r="AM891" s="94"/>
      <c r="AN891" s="94"/>
      <c r="AO891" s="94"/>
      <c r="AP891" s="94"/>
      <c r="AQ891" s="94"/>
      <c r="AR891" s="94"/>
      <c r="AS891" s="94"/>
      <c r="AT891" s="94"/>
      <c r="AU891" s="92"/>
      <c r="AV891" s="94"/>
      <c r="AW891" s="94"/>
      <c r="AX891" s="94"/>
      <c r="AY891" s="94"/>
      <c r="AZ891" s="94"/>
      <c r="BA891" s="94"/>
      <c r="BB891" s="94"/>
      <c r="BC891" s="94"/>
      <c r="BD891" s="94"/>
      <c r="BE891" s="94"/>
      <c r="BF891" s="94"/>
      <c r="BG891" s="94"/>
      <c r="BH891" s="94"/>
      <c r="BI891" s="94"/>
      <c r="BJ891" s="94"/>
      <c r="BK891" s="94"/>
      <c r="BL891" s="92"/>
      <c r="BM891" s="94"/>
      <c r="BN891" s="94"/>
      <c r="BO891" s="94"/>
      <c r="BP891" s="94"/>
      <c r="BQ891" s="92"/>
      <c r="BR891" s="92"/>
      <c r="BS891" s="92"/>
      <c r="BT891" s="92"/>
      <c r="BU891" s="92"/>
      <c r="BV891" s="92"/>
      <c r="BW891" s="92"/>
      <c r="BX891" s="92"/>
      <c r="BY891" s="92"/>
      <c r="BZ891" s="92"/>
    </row>
    <row r="892" spans="1:78" ht="12.9">
      <c r="A892" s="89"/>
      <c r="B892" s="89"/>
      <c r="C892" s="89"/>
      <c r="D892" s="89"/>
      <c r="E892" s="89"/>
      <c r="F892" s="89"/>
      <c r="G892" s="89"/>
      <c r="H892" s="105"/>
      <c r="I892" s="106"/>
      <c r="J892" s="106"/>
      <c r="K892" s="89"/>
      <c r="L892" s="89"/>
      <c r="M892" s="89"/>
      <c r="N892" s="107"/>
      <c r="O892" s="107"/>
      <c r="P892" s="89"/>
      <c r="Q892" s="89"/>
      <c r="R892" s="89"/>
      <c r="S892" s="89"/>
      <c r="T892" s="89"/>
      <c r="U892" s="89"/>
      <c r="V892" s="89"/>
      <c r="W892" s="89"/>
      <c r="X892" s="89"/>
      <c r="Y892" s="89"/>
      <c r="Z892" s="77"/>
      <c r="AA892" s="77"/>
      <c r="AB892" s="94"/>
      <c r="AC892" s="94"/>
      <c r="AD892" s="94"/>
      <c r="AE892" s="94"/>
      <c r="AF892" s="91"/>
      <c r="AG892" s="92"/>
      <c r="AH892" s="92"/>
      <c r="AI892" s="93"/>
      <c r="AJ892" s="94"/>
      <c r="AK892" s="92"/>
      <c r="AL892" s="94"/>
      <c r="AM892" s="94"/>
      <c r="AN892" s="94"/>
      <c r="AO892" s="94"/>
      <c r="AP892" s="94"/>
      <c r="AQ892" s="94"/>
      <c r="AR892" s="94"/>
      <c r="AS892" s="94"/>
      <c r="AT892" s="94"/>
      <c r="AU892" s="92"/>
      <c r="AV892" s="94"/>
      <c r="AW892" s="94"/>
      <c r="AX892" s="94"/>
      <c r="AY892" s="94"/>
      <c r="AZ892" s="94"/>
      <c r="BA892" s="94"/>
      <c r="BB892" s="94"/>
      <c r="BC892" s="94"/>
      <c r="BD892" s="94"/>
      <c r="BE892" s="94"/>
      <c r="BF892" s="94"/>
      <c r="BG892" s="94"/>
      <c r="BH892" s="94"/>
      <c r="BI892" s="94"/>
      <c r="BJ892" s="94"/>
      <c r="BK892" s="94"/>
      <c r="BL892" s="92"/>
      <c r="BM892" s="94"/>
      <c r="BN892" s="94"/>
      <c r="BO892" s="94"/>
      <c r="BP892" s="94"/>
      <c r="BQ892" s="92"/>
      <c r="BR892" s="92"/>
      <c r="BS892" s="92"/>
      <c r="BT892" s="92"/>
      <c r="BU892" s="92"/>
      <c r="BV892" s="92"/>
      <c r="BW892" s="92"/>
      <c r="BX892" s="92"/>
      <c r="BY892" s="92"/>
      <c r="BZ892" s="92"/>
    </row>
    <row r="893" spans="1:78" ht="12.9">
      <c r="A893" s="89"/>
      <c r="B893" s="89"/>
      <c r="C893" s="89"/>
      <c r="D893" s="89"/>
      <c r="E893" s="89"/>
      <c r="F893" s="89"/>
      <c r="G893" s="89"/>
      <c r="H893" s="105"/>
      <c r="I893" s="106"/>
      <c r="J893" s="106"/>
      <c r="K893" s="89"/>
      <c r="L893" s="89"/>
      <c r="M893" s="89"/>
      <c r="N893" s="107"/>
      <c r="O893" s="107"/>
      <c r="P893" s="89"/>
      <c r="Q893" s="89"/>
      <c r="R893" s="89"/>
      <c r="S893" s="89"/>
      <c r="T893" s="89"/>
      <c r="U893" s="89"/>
      <c r="V893" s="89"/>
      <c r="W893" s="89"/>
      <c r="X893" s="89"/>
      <c r="Y893" s="89"/>
      <c r="Z893" s="77"/>
      <c r="AA893" s="77"/>
      <c r="AB893" s="94"/>
      <c r="AC893" s="94"/>
      <c r="AD893" s="94"/>
      <c r="AE893" s="94"/>
      <c r="AF893" s="91"/>
      <c r="AG893" s="92"/>
      <c r="AH893" s="92"/>
      <c r="AI893" s="93"/>
      <c r="AJ893" s="94"/>
      <c r="AK893" s="92"/>
      <c r="AL893" s="94"/>
      <c r="AM893" s="94"/>
      <c r="AN893" s="94"/>
      <c r="AO893" s="94"/>
      <c r="AP893" s="94"/>
      <c r="AQ893" s="94"/>
      <c r="AR893" s="94"/>
      <c r="AS893" s="94"/>
      <c r="AT893" s="94"/>
      <c r="AU893" s="92"/>
      <c r="AV893" s="94"/>
      <c r="AW893" s="94"/>
      <c r="AX893" s="94"/>
      <c r="AY893" s="94"/>
      <c r="AZ893" s="94"/>
      <c r="BA893" s="94"/>
      <c r="BB893" s="94"/>
      <c r="BC893" s="94"/>
      <c r="BD893" s="94"/>
      <c r="BE893" s="94"/>
      <c r="BF893" s="94"/>
      <c r="BG893" s="94"/>
      <c r="BH893" s="94"/>
      <c r="BI893" s="94"/>
      <c r="BJ893" s="94"/>
      <c r="BK893" s="94"/>
      <c r="BL893" s="92"/>
      <c r="BM893" s="94"/>
      <c r="BN893" s="94"/>
      <c r="BO893" s="94"/>
      <c r="BP893" s="94"/>
      <c r="BQ893" s="92"/>
      <c r="BR893" s="92"/>
      <c r="BS893" s="92"/>
      <c r="BT893" s="92"/>
      <c r="BU893" s="92"/>
      <c r="BV893" s="92"/>
      <c r="BW893" s="92"/>
      <c r="BX893" s="92"/>
      <c r="BY893" s="92"/>
      <c r="BZ893" s="92"/>
    </row>
    <row r="894" spans="1:78" ht="12.9">
      <c r="A894" s="89"/>
      <c r="B894" s="89"/>
      <c r="C894" s="89"/>
      <c r="D894" s="89"/>
      <c r="E894" s="89"/>
      <c r="F894" s="89"/>
      <c r="G894" s="89"/>
      <c r="H894" s="105"/>
      <c r="I894" s="106"/>
      <c r="J894" s="106"/>
      <c r="K894" s="89"/>
      <c r="L894" s="89"/>
      <c r="M894" s="89"/>
      <c r="N894" s="107"/>
      <c r="O894" s="107"/>
      <c r="P894" s="89"/>
      <c r="Q894" s="89"/>
      <c r="R894" s="89"/>
      <c r="S894" s="89"/>
      <c r="T894" s="89"/>
      <c r="U894" s="89"/>
      <c r="V894" s="89"/>
      <c r="W894" s="89"/>
      <c r="X894" s="89"/>
      <c r="Y894" s="89"/>
      <c r="Z894" s="77"/>
      <c r="AA894" s="77"/>
      <c r="AB894" s="94"/>
      <c r="AC894" s="94"/>
      <c r="AD894" s="94"/>
      <c r="AE894" s="94"/>
      <c r="AF894" s="91"/>
      <c r="AG894" s="92"/>
      <c r="AH894" s="92"/>
      <c r="AI894" s="93"/>
      <c r="AJ894" s="94"/>
      <c r="AK894" s="92"/>
      <c r="AL894" s="94"/>
      <c r="AM894" s="94"/>
      <c r="AN894" s="94"/>
      <c r="AO894" s="94"/>
      <c r="AP894" s="94"/>
      <c r="AQ894" s="94"/>
      <c r="AR894" s="94"/>
      <c r="AS894" s="94"/>
      <c r="AT894" s="94"/>
      <c r="AU894" s="92"/>
      <c r="AV894" s="94"/>
      <c r="AW894" s="94"/>
      <c r="AX894" s="94"/>
      <c r="AY894" s="94"/>
      <c r="AZ894" s="94"/>
      <c r="BA894" s="94"/>
      <c r="BB894" s="94"/>
      <c r="BC894" s="94"/>
      <c r="BD894" s="94"/>
      <c r="BE894" s="94"/>
      <c r="BF894" s="94"/>
      <c r="BG894" s="94"/>
      <c r="BH894" s="94"/>
      <c r="BI894" s="94"/>
      <c r="BJ894" s="94"/>
      <c r="BK894" s="94"/>
      <c r="BL894" s="92"/>
      <c r="BM894" s="94"/>
      <c r="BN894" s="94"/>
      <c r="BO894" s="94"/>
      <c r="BP894" s="94"/>
      <c r="BQ894" s="92"/>
      <c r="BR894" s="92"/>
      <c r="BS894" s="92"/>
      <c r="BT894" s="92"/>
      <c r="BU894" s="92"/>
      <c r="BV894" s="92"/>
      <c r="BW894" s="92"/>
      <c r="BX894" s="92"/>
      <c r="BY894" s="92"/>
      <c r="BZ894" s="92"/>
    </row>
    <row r="895" spans="1:78" ht="12.9">
      <c r="A895" s="89"/>
      <c r="B895" s="89"/>
      <c r="C895" s="89"/>
      <c r="D895" s="89"/>
      <c r="E895" s="89"/>
      <c r="F895" s="89"/>
      <c r="G895" s="89"/>
      <c r="H895" s="105"/>
      <c r="I895" s="106"/>
      <c r="J895" s="106"/>
      <c r="K895" s="89"/>
      <c r="L895" s="89"/>
      <c r="M895" s="89"/>
      <c r="N895" s="107"/>
      <c r="O895" s="107"/>
      <c r="P895" s="89"/>
      <c r="Q895" s="89"/>
      <c r="R895" s="89"/>
      <c r="S895" s="89"/>
      <c r="T895" s="89"/>
      <c r="U895" s="89"/>
      <c r="V895" s="89"/>
      <c r="W895" s="89"/>
      <c r="X895" s="89"/>
      <c r="Y895" s="89"/>
      <c r="Z895" s="77"/>
      <c r="AA895" s="77"/>
      <c r="AB895" s="94"/>
      <c r="AC895" s="94"/>
      <c r="AD895" s="94"/>
      <c r="AE895" s="94"/>
      <c r="AF895" s="91"/>
      <c r="AG895" s="92"/>
      <c r="AH895" s="92"/>
      <c r="AI895" s="93"/>
      <c r="AJ895" s="94"/>
      <c r="AK895" s="92"/>
      <c r="AL895" s="94"/>
      <c r="AM895" s="94"/>
      <c r="AN895" s="94"/>
      <c r="AO895" s="94"/>
      <c r="AP895" s="94"/>
      <c r="AQ895" s="94"/>
      <c r="AR895" s="94"/>
      <c r="AS895" s="94"/>
      <c r="AT895" s="94"/>
      <c r="AU895" s="92"/>
      <c r="AV895" s="94"/>
      <c r="AW895" s="94"/>
      <c r="AX895" s="94"/>
      <c r="AY895" s="94"/>
      <c r="AZ895" s="94"/>
      <c r="BA895" s="94"/>
      <c r="BB895" s="94"/>
      <c r="BC895" s="94"/>
      <c r="BD895" s="94"/>
      <c r="BE895" s="94"/>
      <c r="BF895" s="94"/>
      <c r="BG895" s="94"/>
      <c r="BH895" s="94"/>
      <c r="BI895" s="94"/>
      <c r="BJ895" s="94"/>
      <c r="BK895" s="94"/>
      <c r="BL895" s="92"/>
      <c r="BM895" s="94"/>
      <c r="BN895" s="94"/>
      <c r="BO895" s="94"/>
      <c r="BP895" s="94"/>
      <c r="BQ895" s="92"/>
      <c r="BR895" s="92"/>
      <c r="BS895" s="92"/>
      <c r="BT895" s="92"/>
      <c r="BU895" s="92"/>
      <c r="BV895" s="92"/>
      <c r="BW895" s="92"/>
      <c r="BX895" s="92"/>
      <c r="BY895" s="92"/>
      <c r="BZ895" s="92"/>
    </row>
    <row r="896" spans="1:78" ht="12.9">
      <c r="A896" s="89"/>
      <c r="B896" s="89"/>
      <c r="C896" s="89"/>
      <c r="D896" s="89"/>
      <c r="E896" s="89"/>
      <c r="F896" s="89"/>
      <c r="G896" s="89"/>
      <c r="H896" s="105"/>
      <c r="I896" s="106"/>
      <c r="J896" s="106"/>
      <c r="K896" s="89"/>
      <c r="L896" s="89"/>
      <c r="M896" s="89"/>
      <c r="N896" s="107"/>
      <c r="O896" s="107"/>
      <c r="P896" s="89"/>
      <c r="Q896" s="89"/>
      <c r="R896" s="89"/>
      <c r="S896" s="89"/>
      <c r="T896" s="89"/>
      <c r="U896" s="89"/>
      <c r="V896" s="89"/>
      <c r="W896" s="89"/>
      <c r="X896" s="89"/>
      <c r="Y896" s="89"/>
      <c r="Z896" s="77"/>
      <c r="AA896" s="77"/>
      <c r="AB896" s="94"/>
      <c r="AC896" s="94"/>
      <c r="AD896" s="94"/>
      <c r="AE896" s="94"/>
      <c r="AF896" s="91"/>
      <c r="AG896" s="92"/>
      <c r="AH896" s="92"/>
      <c r="AI896" s="93"/>
      <c r="AJ896" s="94"/>
      <c r="AK896" s="92"/>
      <c r="AL896" s="94"/>
      <c r="AM896" s="94"/>
      <c r="AN896" s="94"/>
      <c r="AO896" s="94"/>
      <c r="AP896" s="94"/>
      <c r="AQ896" s="94"/>
      <c r="AR896" s="94"/>
      <c r="AS896" s="94"/>
      <c r="AT896" s="94"/>
      <c r="AU896" s="92"/>
      <c r="AV896" s="94"/>
      <c r="AW896" s="94"/>
      <c r="AX896" s="94"/>
      <c r="AY896" s="94"/>
      <c r="AZ896" s="94"/>
      <c r="BA896" s="94"/>
      <c r="BB896" s="94"/>
      <c r="BC896" s="94"/>
      <c r="BD896" s="94"/>
      <c r="BE896" s="94"/>
      <c r="BF896" s="94"/>
      <c r="BG896" s="94"/>
      <c r="BH896" s="94"/>
      <c r="BI896" s="94"/>
      <c r="BJ896" s="94"/>
      <c r="BK896" s="94"/>
      <c r="BL896" s="92"/>
      <c r="BM896" s="94"/>
      <c r="BN896" s="94"/>
      <c r="BO896" s="94"/>
      <c r="BP896" s="94"/>
      <c r="BQ896" s="92"/>
      <c r="BR896" s="92"/>
      <c r="BS896" s="92"/>
      <c r="BT896" s="92"/>
      <c r="BU896" s="92"/>
      <c r="BV896" s="92"/>
      <c r="BW896" s="92"/>
      <c r="BX896" s="92"/>
      <c r="BY896" s="92"/>
      <c r="BZ896" s="92"/>
    </row>
    <row r="897" spans="1:78" ht="12.9">
      <c r="A897" s="89"/>
      <c r="B897" s="89"/>
      <c r="C897" s="89"/>
      <c r="D897" s="89"/>
      <c r="E897" s="89"/>
      <c r="F897" s="89"/>
      <c r="G897" s="89"/>
      <c r="H897" s="105"/>
      <c r="I897" s="106"/>
      <c r="J897" s="106"/>
      <c r="K897" s="89"/>
      <c r="L897" s="89"/>
      <c r="M897" s="89"/>
      <c r="N897" s="107"/>
      <c r="O897" s="107"/>
      <c r="P897" s="89"/>
      <c r="Q897" s="89"/>
      <c r="R897" s="89"/>
      <c r="S897" s="89"/>
      <c r="T897" s="89"/>
      <c r="U897" s="89"/>
      <c r="V897" s="89"/>
      <c r="W897" s="89"/>
      <c r="X897" s="89"/>
      <c r="Y897" s="89"/>
      <c r="Z897" s="77"/>
      <c r="AA897" s="77"/>
      <c r="AB897" s="94"/>
      <c r="AC897" s="94"/>
      <c r="AD897" s="94"/>
      <c r="AE897" s="94"/>
      <c r="AF897" s="91"/>
      <c r="AG897" s="92"/>
      <c r="AH897" s="92"/>
      <c r="AI897" s="93"/>
      <c r="AJ897" s="94"/>
      <c r="AK897" s="92"/>
      <c r="AL897" s="94"/>
      <c r="AM897" s="94"/>
      <c r="AN897" s="94"/>
      <c r="AO897" s="94"/>
      <c r="AP897" s="94"/>
      <c r="AQ897" s="94"/>
      <c r="AR897" s="94"/>
      <c r="AS897" s="94"/>
      <c r="AT897" s="94"/>
      <c r="AU897" s="92"/>
      <c r="AV897" s="94"/>
      <c r="AW897" s="94"/>
      <c r="AX897" s="94"/>
      <c r="AY897" s="94"/>
      <c r="AZ897" s="94"/>
      <c r="BA897" s="94"/>
      <c r="BB897" s="94"/>
      <c r="BC897" s="94"/>
      <c r="BD897" s="94"/>
      <c r="BE897" s="94"/>
      <c r="BF897" s="94"/>
      <c r="BG897" s="94"/>
      <c r="BH897" s="94"/>
      <c r="BI897" s="94"/>
      <c r="BJ897" s="94"/>
      <c r="BK897" s="94"/>
      <c r="BL897" s="92"/>
      <c r="BM897" s="94"/>
      <c r="BN897" s="94"/>
      <c r="BO897" s="94"/>
      <c r="BP897" s="94"/>
      <c r="BQ897" s="92"/>
      <c r="BR897" s="92"/>
      <c r="BS897" s="92"/>
      <c r="BT897" s="92"/>
      <c r="BU897" s="92"/>
      <c r="BV897" s="92"/>
      <c r="BW897" s="92"/>
      <c r="BX897" s="92"/>
      <c r="BY897" s="92"/>
      <c r="BZ897" s="92"/>
    </row>
    <row r="898" spans="1:78" ht="12.9">
      <c r="A898" s="89"/>
      <c r="B898" s="89"/>
      <c r="C898" s="89"/>
      <c r="D898" s="89"/>
      <c r="E898" s="89"/>
      <c r="F898" s="89"/>
      <c r="G898" s="89"/>
      <c r="H898" s="105"/>
      <c r="I898" s="106"/>
      <c r="J898" s="106"/>
      <c r="K898" s="89"/>
      <c r="L898" s="89"/>
      <c r="M898" s="89"/>
      <c r="N898" s="107"/>
      <c r="O898" s="107"/>
      <c r="P898" s="89"/>
      <c r="Q898" s="89"/>
      <c r="R898" s="89"/>
      <c r="S898" s="89"/>
      <c r="T898" s="89"/>
      <c r="U898" s="89"/>
      <c r="V898" s="89"/>
      <c r="W898" s="89"/>
      <c r="X898" s="89"/>
      <c r="Y898" s="89"/>
      <c r="Z898" s="77"/>
      <c r="AA898" s="77"/>
      <c r="AB898" s="94"/>
      <c r="AC898" s="94"/>
      <c r="AD898" s="94"/>
      <c r="AE898" s="94"/>
      <c r="AF898" s="91"/>
      <c r="AG898" s="92"/>
      <c r="AH898" s="92"/>
      <c r="AI898" s="93"/>
      <c r="AJ898" s="94"/>
      <c r="AK898" s="92"/>
      <c r="AL898" s="94"/>
      <c r="AM898" s="94"/>
      <c r="AN898" s="94"/>
      <c r="AO898" s="94"/>
      <c r="AP898" s="94"/>
      <c r="AQ898" s="94"/>
      <c r="AR898" s="94"/>
      <c r="AS898" s="94"/>
      <c r="AT898" s="94"/>
      <c r="AU898" s="92"/>
      <c r="AV898" s="94"/>
      <c r="AW898" s="94"/>
      <c r="AX898" s="94"/>
      <c r="AY898" s="94"/>
      <c r="AZ898" s="94"/>
      <c r="BA898" s="94"/>
      <c r="BB898" s="94"/>
      <c r="BC898" s="94"/>
      <c r="BD898" s="94"/>
      <c r="BE898" s="94"/>
      <c r="BF898" s="94"/>
      <c r="BG898" s="94"/>
      <c r="BH898" s="94"/>
      <c r="BI898" s="94"/>
      <c r="BJ898" s="94"/>
      <c r="BK898" s="94"/>
      <c r="BL898" s="92"/>
      <c r="BM898" s="94"/>
      <c r="BN898" s="94"/>
      <c r="BO898" s="94"/>
      <c r="BP898" s="94"/>
      <c r="BQ898" s="92"/>
      <c r="BR898" s="92"/>
      <c r="BS898" s="92"/>
      <c r="BT898" s="92"/>
      <c r="BU898" s="92"/>
      <c r="BV898" s="92"/>
      <c r="BW898" s="92"/>
      <c r="BX898" s="92"/>
      <c r="BY898" s="92"/>
      <c r="BZ898" s="92"/>
    </row>
    <row r="899" spans="1:78" ht="12.9">
      <c r="A899" s="89"/>
      <c r="B899" s="89"/>
      <c r="C899" s="89"/>
      <c r="D899" s="89"/>
      <c r="E899" s="89"/>
      <c r="F899" s="89"/>
      <c r="G899" s="89"/>
      <c r="H899" s="105"/>
      <c r="I899" s="106"/>
      <c r="J899" s="106"/>
      <c r="K899" s="89"/>
      <c r="L899" s="89"/>
      <c r="M899" s="89"/>
      <c r="N899" s="107"/>
      <c r="O899" s="107"/>
      <c r="P899" s="89"/>
      <c r="Q899" s="89"/>
      <c r="R899" s="89"/>
      <c r="S899" s="89"/>
      <c r="T899" s="89"/>
      <c r="U899" s="89"/>
      <c r="V899" s="89"/>
      <c r="W899" s="89"/>
      <c r="X899" s="89"/>
      <c r="Y899" s="89"/>
      <c r="Z899" s="77"/>
      <c r="AA899" s="77"/>
      <c r="AB899" s="94"/>
      <c r="AC899" s="94"/>
      <c r="AD899" s="94"/>
      <c r="AE899" s="94"/>
      <c r="AF899" s="91"/>
      <c r="AG899" s="92"/>
      <c r="AH899" s="92"/>
      <c r="AI899" s="93"/>
      <c r="AJ899" s="94"/>
      <c r="AK899" s="92"/>
      <c r="AL899" s="94"/>
      <c r="AM899" s="94"/>
      <c r="AN899" s="94"/>
      <c r="AO899" s="94"/>
      <c r="AP899" s="94"/>
      <c r="AQ899" s="94"/>
      <c r="AR899" s="94"/>
      <c r="AS899" s="94"/>
      <c r="AT899" s="94"/>
      <c r="AU899" s="92"/>
      <c r="AV899" s="94"/>
      <c r="AW899" s="94"/>
      <c r="AX899" s="94"/>
      <c r="AY899" s="94"/>
      <c r="AZ899" s="94"/>
      <c r="BA899" s="94"/>
      <c r="BB899" s="94"/>
      <c r="BC899" s="94"/>
      <c r="BD899" s="94"/>
      <c r="BE899" s="94"/>
      <c r="BF899" s="94"/>
      <c r="BG899" s="94"/>
      <c r="BH899" s="94"/>
      <c r="BI899" s="94"/>
      <c r="BJ899" s="94"/>
      <c r="BK899" s="94"/>
      <c r="BL899" s="92"/>
      <c r="BM899" s="94"/>
      <c r="BN899" s="94"/>
      <c r="BO899" s="94"/>
      <c r="BP899" s="94"/>
      <c r="BQ899" s="92"/>
      <c r="BR899" s="92"/>
      <c r="BS899" s="92"/>
      <c r="BT899" s="92"/>
      <c r="BU899" s="92"/>
      <c r="BV899" s="92"/>
      <c r="BW899" s="92"/>
      <c r="BX899" s="92"/>
      <c r="BY899" s="92"/>
      <c r="BZ899" s="92"/>
    </row>
    <row r="900" spans="1:78" ht="12.9">
      <c r="A900" s="89"/>
      <c r="B900" s="89"/>
      <c r="C900" s="89"/>
      <c r="D900" s="89"/>
      <c r="E900" s="89"/>
      <c r="F900" s="89"/>
      <c r="G900" s="89"/>
      <c r="H900" s="105"/>
      <c r="I900" s="106"/>
      <c r="J900" s="106"/>
      <c r="K900" s="89"/>
      <c r="L900" s="89"/>
      <c r="M900" s="89"/>
      <c r="N900" s="107"/>
      <c r="O900" s="107"/>
      <c r="P900" s="89"/>
      <c r="Q900" s="89"/>
      <c r="R900" s="89"/>
      <c r="S900" s="89"/>
      <c r="T900" s="89"/>
      <c r="U900" s="89"/>
      <c r="V900" s="89"/>
      <c r="W900" s="89"/>
      <c r="X900" s="89"/>
      <c r="Y900" s="89"/>
      <c r="Z900" s="77"/>
      <c r="AA900" s="77"/>
      <c r="AB900" s="94"/>
      <c r="AC900" s="94"/>
      <c r="AD900" s="94"/>
      <c r="AE900" s="94"/>
      <c r="AF900" s="91"/>
      <c r="AG900" s="92"/>
      <c r="AH900" s="92"/>
      <c r="AI900" s="93"/>
      <c r="AJ900" s="94"/>
      <c r="AK900" s="92"/>
      <c r="AL900" s="94"/>
      <c r="AM900" s="94"/>
      <c r="AN900" s="94"/>
      <c r="AO900" s="94"/>
      <c r="AP900" s="94"/>
      <c r="AQ900" s="94"/>
      <c r="AR900" s="94"/>
      <c r="AS900" s="94"/>
      <c r="AT900" s="94"/>
      <c r="AU900" s="92"/>
      <c r="AV900" s="94"/>
      <c r="AW900" s="94"/>
      <c r="AX900" s="94"/>
      <c r="AY900" s="94"/>
      <c r="AZ900" s="94"/>
      <c r="BA900" s="94"/>
      <c r="BB900" s="94"/>
      <c r="BC900" s="94"/>
      <c r="BD900" s="94"/>
      <c r="BE900" s="94"/>
      <c r="BF900" s="94"/>
      <c r="BG900" s="94"/>
      <c r="BH900" s="94"/>
      <c r="BI900" s="94"/>
      <c r="BJ900" s="94"/>
      <c r="BK900" s="94"/>
      <c r="BL900" s="92"/>
      <c r="BM900" s="94"/>
      <c r="BN900" s="94"/>
      <c r="BO900" s="94"/>
      <c r="BP900" s="94"/>
      <c r="BQ900" s="92"/>
      <c r="BR900" s="92"/>
      <c r="BS900" s="92"/>
      <c r="BT900" s="92"/>
      <c r="BU900" s="92"/>
      <c r="BV900" s="92"/>
      <c r="BW900" s="92"/>
      <c r="BX900" s="92"/>
      <c r="BY900" s="92"/>
      <c r="BZ900" s="92"/>
    </row>
    <row r="901" spans="1:78" ht="12.9">
      <c r="A901" s="89"/>
      <c r="B901" s="89"/>
      <c r="C901" s="89"/>
      <c r="D901" s="89"/>
      <c r="E901" s="89"/>
      <c r="F901" s="89"/>
      <c r="G901" s="89"/>
      <c r="H901" s="105"/>
      <c r="I901" s="106"/>
      <c r="J901" s="106"/>
      <c r="K901" s="89"/>
      <c r="L901" s="89"/>
      <c r="M901" s="89"/>
      <c r="N901" s="107"/>
      <c r="O901" s="107"/>
      <c r="P901" s="89"/>
      <c r="Q901" s="89"/>
      <c r="R901" s="89"/>
      <c r="S901" s="89"/>
      <c r="T901" s="89"/>
      <c r="U901" s="89"/>
      <c r="V901" s="89"/>
      <c r="W901" s="89"/>
      <c r="X901" s="89"/>
      <c r="Y901" s="89"/>
      <c r="Z901" s="77"/>
      <c r="AA901" s="77"/>
      <c r="AB901" s="94"/>
      <c r="AC901" s="94"/>
      <c r="AD901" s="94"/>
      <c r="AE901" s="94"/>
      <c r="AF901" s="91"/>
      <c r="AG901" s="92"/>
      <c r="AH901" s="92"/>
      <c r="AI901" s="93"/>
      <c r="AJ901" s="94"/>
      <c r="AK901" s="92"/>
      <c r="AL901" s="94"/>
      <c r="AM901" s="94"/>
      <c r="AN901" s="94"/>
      <c r="AO901" s="94"/>
      <c r="AP901" s="94"/>
      <c r="AQ901" s="94"/>
      <c r="AR901" s="94"/>
      <c r="AS901" s="94"/>
      <c r="AT901" s="94"/>
      <c r="AU901" s="92"/>
      <c r="AV901" s="94"/>
      <c r="AW901" s="94"/>
      <c r="AX901" s="94"/>
      <c r="AY901" s="94"/>
      <c r="AZ901" s="94"/>
      <c r="BA901" s="94"/>
      <c r="BB901" s="94"/>
      <c r="BC901" s="94"/>
      <c r="BD901" s="94"/>
      <c r="BE901" s="94"/>
      <c r="BF901" s="94"/>
      <c r="BG901" s="94"/>
      <c r="BH901" s="94"/>
      <c r="BI901" s="94"/>
      <c r="BJ901" s="94"/>
      <c r="BK901" s="94"/>
      <c r="BL901" s="92"/>
      <c r="BM901" s="94"/>
      <c r="BN901" s="94"/>
      <c r="BO901" s="94"/>
      <c r="BP901" s="94"/>
      <c r="BQ901" s="92"/>
      <c r="BR901" s="92"/>
      <c r="BS901" s="92"/>
      <c r="BT901" s="92"/>
      <c r="BU901" s="92"/>
      <c r="BV901" s="92"/>
      <c r="BW901" s="92"/>
      <c r="BX901" s="92"/>
      <c r="BY901" s="92"/>
      <c r="BZ901" s="92"/>
    </row>
    <row r="902" spans="1:78" ht="12.9">
      <c r="A902" s="89"/>
      <c r="B902" s="89"/>
      <c r="C902" s="89"/>
      <c r="D902" s="89"/>
      <c r="E902" s="89"/>
      <c r="F902" s="89"/>
      <c r="G902" s="89"/>
      <c r="H902" s="105"/>
      <c r="I902" s="106"/>
      <c r="J902" s="106"/>
      <c r="K902" s="89"/>
      <c r="L902" s="89"/>
      <c r="M902" s="89"/>
      <c r="N902" s="107"/>
      <c r="O902" s="107"/>
      <c r="P902" s="89"/>
      <c r="Q902" s="89"/>
      <c r="R902" s="89"/>
      <c r="S902" s="89"/>
      <c r="T902" s="89"/>
      <c r="U902" s="89"/>
      <c r="V902" s="89"/>
      <c r="W902" s="89"/>
      <c r="X902" s="89"/>
      <c r="Y902" s="89"/>
      <c r="Z902" s="77"/>
      <c r="AA902" s="77"/>
      <c r="AB902" s="94"/>
      <c r="AC902" s="94"/>
      <c r="AD902" s="94"/>
      <c r="AE902" s="94"/>
      <c r="AF902" s="91"/>
      <c r="AG902" s="92"/>
      <c r="AH902" s="92"/>
      <c r="AI902" s="93"/>
      <c r="AJ902" s="94"/>
      <c r="AK902" s="92"/>
      <c r="AL902" s="94"/>
      <c r="AM902" s="94"/>
      <c r="AN902" s="94"/>
      <c r="AO902" s="94"/>
      <c r="AP902" s="94"/>
      <c r="AQ902" s="94"/>
      <c r="AR902" s="94"/>
      <c r="AS902" s="94"/>
      <c r="AT902" s="94"/>
      <c r="AU902" s="92"/>
      <c r="AV902" s="94"/>
      <c r="AW902" s="94"/>
      <c r="AX902" s="94"/>
      <c r="AY902" s="94"/>
      <c r="AZ902" s="94"/>
      <c r="BA902" s="94"/>
      <c r="BB902" s="94"/>
      <c r="BC902" s="94"/>
      <c r="BD902" s="94"/>
      <c r="BE902" s="94"/>
      <c r="BF902" s="94"/>
      <c r="BG902" s="94"/>
      <c r="BH902" s="94"/>
      <c r="BI902" s="94"/>
      <c r="BJ902" s="94"/>
      <c r="BK902" s="94"/>
      <c r="BL902" s="92"/>
      <c r="BM902" s="94"/>
      <c r="BN902" s="94"/>
      <c r="BO902" s="94"/>
      <c r="BP902" s="94"/>
      <c r="BQ902" s="92"/>
      <c r="BR902" s="92"/>
      <c r="BS902" s="92"/>
      <c r="BT902" s="92"/>
      <c r="BU902" s="92"/>
      <c r="BV902" s="92"/>
      <c r="BW902" s="92"/>
      <c r="BX902" s="92"/>
      <c r="BY902" s="92"/>
      <c r="BZ902" s="92"/>
    </row>
    <row r="903" spans="1:78" ht="12.9">
      <c r="A903" s="89"/>
      <c r="B903" s="89"/>
      <c r="C903" s="89"/>
      <c r="D903" s="89"/>
      <c r="E903" s="89"/>
      <c r="F903" s="89"/>
      <c r="G903" s="89"/>
      <c r="H903" s="105"/>
      <c r="I903" s="106"/>
      <c r="J903" s="106"/>
      <c r="K903" s="89"/>
      <c r="L903" s="89"/>
      <c r="M903" s="89"/>
      <c r="N903" s="107"/>
      <c r="O903" s="107"/>
      <c r="P903" s="89"/>
      <c r="Q903" s="89"/>
      <c r="R903" s="89"/>
      <c r="S903" s="89"/>
      <c r="T903" s="89"/>
      <c r="U903" s="89"/>
      <c r="V903" s="89"/>
      <c r="W903" s="89"/>
      <c r="X903" s="89"/>
      <c r="Y903" s="89"/>
      <c r="Z903" s="77"/>
      <c r="AA903" s="77"/>
      <c r="AB903" s="94"/>
      <c r="AC903" s="94"/>
      <c r="AD903" s="94"/>
      <c r="AE903" s="94"/>
      <c r="AF903" s="91"/>
      <c r="AG903" s="92"/>
      <c r="AH903" s="92"/>
      <c r="AI903" s="93"/>
      <c r="AJ903" s="94"/>
      <c r="AK903" s="92"/>
      <c r="AL903" s="94"/>
      <c r="AM903" s="94"/>
      <c r="AN903" s="94"/>
      <c r="AO903" s="94"/>
      <c r="AP903" s="94"/>
      <c r="AQ903" s="94"/>
      <c r="AR903" s="94"/>
      <c r="AS903" s="94"/>
      <c r="AT903" s="94"/>
      <c r="AU903" s="92"/>
      <c r="AV903" s="94"/>
      <c r="AW903" s="94"/>
      <c r="AX903" s="94"/>
      <c r="AY903" s="94"/>
      <c r="AZ903" s="94"/>
      <c r="BA903" s="94"/>
      <c r="BB903" s="94"/>
      <c r="BC903" s="94"/>
      <c r="BD903" s="94"/>
      <c r="BE903" s="94"/>
      <c r="BF903" s="94"/>
      <c r="BG903" s="94"/>
      <c r="BH903" s="94"/>
      <c r="BI903" s="94"/>
      <c r="BJ903" s="94"/>
      <c r="BK903" s="94"/>
      <c r="BL903" s="92"/>
      <c r="BM903" s="94"/>
      <c r="BN903" s="94"/>
      <c r="BO903" s="94"/>
      <c r="BP903" s="94"/>
      <c r="BQ903" s="92"/>
      <c r="BR903" s="92"/>
      <c r="BS903" s="92"/>
      <c r="BT903" s="92"/>
      <c r="BU903" s="92"/>
      <c r="BV903" s="92"/>
      <c r="BW903" s="92"/>
      <c r="BX903" s="92"/>
      <c r="BY903" s="92"/>
      <c r="BZ903" s="92"/>
    </row>
    <row r="904" spans="1:78" ht="12.9">
      <c r="A904" s="89"/>
      <c r="B904" s="89"/>
      <c r="C904" s="89"/>
      <c r="D904" s="89"/>
      <c r="E904" s="89"/>
      <c r="F904" s="89"/>
      <c r="G904" s="89"/>
      <c r="H904" s="105"/>
      <c r="I904" s="106"/>
      <c r="J904" s="106"/>
      <c r="K904" s="89"/>
      <c r="L904" s="89"/>
      <c r="M904" s="89"/>
      <c r="N904" s="107"/>
      <c r="O904" s="107"/>
      <c r="P904" s="89"/>
      <c r="Q904" s="89"/>
      <c r="R904" s="89"/>
      <c r="S904" s="89"/>
      <c r="T904" s="89"/>
      <c r="U904" s="89"/>
      <c r="V904" s="89"/>
      <c r="W904" s="89"/>
      <c r="X904" s="89"/>
      <c r="Y904" s="89"/>
      <c r="Z904" s="77"/>
      <c r="AA904" s="77"/>
      <c r="AB904" s="94"/>
      <c r="AC904" s="94"/>
      <c r="AD904" s="94"/>
      <c r="AE904" s="94"/>
      <c r="AF904" s="91"/>
      <c r="AG904" s="92"/>
      <c r="AH904" s="92"/>
      <c r="AI904" s="93"/>
      <c r="AJ904" s="94"/>
      <c r="AK904" s="92"/>
      <c r="AL904" s="94"/>
      <c r="AM904" s="94"/>
      <c r="AN904" s="94"/>
      <c r="AO904" s="94"/>
      <c r="AP904" s="94"/>
      <c r="AQ904" s="94"/>
      <c r="AR904" s="94"/>
      <c r="AS904" s="94"/>
      <c r="AT904" s="94"/>
      <c r="AU904" s="92"/>
      <c r="AV904" s="94"/>
      <c r="AW904" s="94"/>
      <c r="AX904" s="94"/>
      <c r="AY904" s="94"/>
      <c r="AZ904" s="94"/>
      <c r="BA904" s="94"/>
      <c r="BB904" s="94"/>
      <c r="BC904" s="94"/>
      <c r="BD904" s="94"/>
      <c r="BE904" s="94"/>
      <c r="BF904" s="94"/>
      <c r="BG904" s="94"/>
      <c r="BH904" s="94"/>
      <c r="BI904" s="94"/>
      <c r="BJ904" s="94"/>
      <c r="BK904" s="94"/>
      <c r="BL904" s="92"/>
      <c r="BM904" s="94"/>
      <c r="BN904" s="94"/>
      <c r="BO904" s="94"/>
      <c r="BP904" s="94"/>
      <c r="BQ904" s="92"/>
      <c r="BR904" s="92"/>
      <c r="BS904" s="92"/>
      <c r="BT904" s="92"/>
      <c r="BU904" s="92"/>
      <c r="BV904" s="92"/>
      <c r="BW904" s="92"/>
      <c r="BX904" s="92"/>
      <c r="BY904" s="92"/>
      <c r="BZ904" s="92"/>
    </row>
    <row r="905" spans="1:78" ht="12.9">
      <c r="A905" s="89"/>
      <c r="B905" s="89"/>
      <c r="C905" s="89"/>
      <c r="D905" s="89"/>
      <c r="E905" s="89"/>
      <c r="F905" s="89"/>
      <c r="G905" s="89"/>
      <c r="H905" s="105"/>
      <c r="I905" s="106"/>
      <c r="J905" s="106"/>
      <c r="K905" s="89"/>
      <c r="L905" s="89"/>
      <c r="M905" s="89"/>
      <c r="N905" s="107"/>
      <c r="O905" s="107"/>
      <c r="P905" s="89"/>
      <c r="Q905" s="89"/>
      <c r="R905" s="89"/>
      <c r="S905" s="89"/>
      <c r="T905" s="89"/>
      <c r="U905" s="89"/>
      <c r="V905" s="89"/>
      <c r="W905" s="89"/>
      <c r="X905" s="89"/>
      <c r="Y905" s="89"/>
      <c r="Z905" s="77"/>
      <c r="AA905" s="77"/>
      <c r="AB905" s="94"/>
      <c r="AC905" s="94"/>
      <c r="AD905" s="94"/>
      <c r="AE905" s="94"/>
      <c r="AF905" s="91"/>
      <c r="AG905" s="92"/>
      <c r="AH905" s="92"/>
      <c r="AI905" s="93"/>
      <c r="AJ905" s="94"/>
      <c r="AK905" s="92"/>
      <c r="AL905" s="94"/>
      <c r="AM905" s="94"/>
      <c r="AN905" s="94"/>
      <c r="AO905" s="94"/>
      <c r="AP905" s="94"/>
      <c r="AQ905" s="94"/>
      <c r="AR905" s="94"/>
      <c r="AS905" s="94"/>
      <c r="AT905" s="94"/>
      <c r="AU905" s="92"/>
      <c r="AV905" s="94"/>
      <c r="AW905" s="94"/>
      <c r="AX905" s="94"/>
      <c r="AY905" s="94"/>
      <c r="AZ905" s="94"/>
      <c r="BA905" s="94"/>
      <c r="BB905" s="94"/>
      <c r="BC905" s="94"/>
      <c r="BD905" s="94"/>
      <c r="BE905" s="94"/>
      <c r="BF905" s="94"/>
      <c r="BG905" s="94"/>
      <c r="BH905" s="94"/>
      <c r="BI905" s="94"/>
      <c r="BJ905" s="94"/>
      <c r="BK905" s="94"/>
      <c r="BL905" s="92"/>
      <c r="BM905" s="94"/>
      <c r="BN905" s="94"/>
      <c r="BO905" s="94"/>
      <c r="BP905" s="94"/>
      <c r="BQ905" s="92"/>
      <c r="BR905" s="92"/>
      <c r="BS905" s="92"/>
      <c r="BT905" s="92"/>
      <c r="BU905" s="92"/>
      <c r="BV905" s="92"/>
      <c r="BW905" s="92"/>
      <c r="BX905" s="92"/>
      <c r="BY905" s="92"/>
      <c r="BZ905" s="92"/>
    </row>
    <row r="906" spans="1:78" ht="12.9">
      <c r="A906" s="89"/>
      <c r="B906" s="89"/>
      <c r="C906" s="89"/>
      <c r="D906" s="89"/>
      <c r="E906" s="89"/>
      <c r="F906" s="89"/>
      <c r="G906" s="89"/>
      <c r="H906" s="105"/>
      <c r="I906" s="106"/>
      <c r="J906" s="106"/>
      <c r="K906" s="89"/>
      <c r="L906" s="89"/>
      <c r="M906" s="89"/>
      <c r="N906" s="107"/>
      <c r="O906" s="107"/>
      <c r="P906" s="89"/>
      <c r="Q906" s="89"/>
      <c r="R906" s="89"/>
      <c r="S906" s="89"/>
      <c r="T906" s="89"/>
      <c r="U906" s="89"/>
      <c r="V906" s="89"/>
      <c r="W906" s="89"/>
      <c r="X906" s="89"/>
      <c r="Y906" s="89"/>
      <c r="Z906" s="77"/>
      <c r="AA906" s="77"/>
      <c r="AB906" s="94"/>
      <c r="AC906" s="94"/>
      <c r="AD906" s="94"/>
      <c r="AE906" s="94"/>
      <c r="AF906" s="91"/>
      <c r="AG906" s="92"/>
      <c r="AH906" s="92"/>
      <c r="AI906" s="93"/>
      <c r="AJ906" s="94"/>
      <c r="AK906" s="92"/>
      <c r="AL906" s="94"/>
      <c r="AM906" s="94"/>
      <c r="AN906" s="94"/>
      <c r="AO906" s="94"/>
      <c r="AP906" s="94"/>
      <c r="AQ906" s="94"/>
      <c r="AR906" s="94"/>
      <c r="AS906" s="94"/>
      <c r="AT906" s="94"/>
      <c r="AU906" s="92"/>
      <c r="AV906" s="94"/>
      <c r="AW906" s="94"/>
      <c r="AX906" s="94"/>
      <c r="AY906" s="94"/>
      <c r="AZ906" s="94"/>
      <c r="BA906" s="94"/>
      <c r="BB906" s="94"/>
      <c r="BC906" s="94"/>
      <c r="BD906" s="94"/>
      <c r="BE906" s="94"/>
      <c r="BF906" s="94"/>
      <c r="BG906" s="94"/>
      <c r="BH906" s="94"/>
      <c r="BI906" s="94"/>
      <c r="BJ906" s="94"/>
      <c r="BK906" s="94"/>
      <c r="BL906" s="92"/>
      <c r="BM906" s="94"/>
      <c r="BN906" s="94"/>
      <c r="BO906" s="94"/>
      <c r="BP906" s="94"/>
      <c r="BQ906" s="92"/>
      <c r="BR906" s="92"/>
      <c r="BS906" s="92"/>
      <c r="BT906" s="92"/>
      <c r="BU906" s="92"/>
      <c r="BV906" s="92"/>
      <c r="BW906" s="92"/>
      <c r="BX906" s="92"/>
      <c r="BY906" s="92"/>
      <c r="BZ906" s="92"/>
    </row>
    <row r="907" spans="1:78" ht="12.9">
      <c r="A907" s="89"/>
      <c r="B907" s="89"/>
      <c r="C907" s="89"/>
      <c r="D907" s="89"/>
      <c r="E907" s="89"/>
      <c r="F907" s="89"/>
      <c r="G907" s="89"/>
      <c r="H907" s="105"/>
      <c r="I907" s="106"/>
      <c r="J907" s="106"/>
      <c r="K907" s="89"/>
      <c r="L907" s="89"/>
      <c r="M907" s="89"/>
      <c r="N907" s="107"/>
      <c r="O907" s="107"/>
      <c r="P907" s="89"/>
      <c r="Q907" s="89"/>
      <c r="R907" s="89"/>
      <c r="S907" s="89"/>
      <c r="T907" s="89"/>
      <c r="U907" s="89"/>
      <c r="V907" s="89"/>
      <c r="W907" s="89"/>
      <c r="X907" s="89"/>
      <c r="Y907" s="89"/>
      <c r="Z907" s="77"/>
      <c r="AA907" s="77"/>
      <c r="AB907" s="94"/>
      <c r="AC907" s="94"/>
      <c r="AD907" s="94"/>
      <c r="AE907" s="94"/>
      <c r="AF907" s="91"/>
      <c r="AG907" s="92"/>
      <c r="AH907" s="92"/>
      <c r="AI907" s="93"/>
      <c r="AJ907" s="94"/>
      <c r="AK907" s="92"/>
      <c r="AL907" s="94"/>
      <c r="AM907" s="94"/>
      <c r="AN907" s="94"/>
      <c r="AO907" s="94"/>
      <c r="AP907" s="94"/>
      <c r="AQ907" s="94"/>
      <c r="AR907" s="94"/>
      <c r="AS907" s="94"/>
      <c r="AT907" s="94"/>
      <c r="AU907" s="92"/>
      <c r="AV907" s="94"/>
      <c r="AW907" s="94"/>
      <c r="AX907" s="94"/>
      <c r="AY907" s="94"/>
      <c r="AZ907" s="94"/>
      <c r="BA907" s="94"/>
      <c r="BB907" s="94"/>
      <c r="BC907" s="94"/>
      <c r="BD907" s="94"/>
      <c r="BE907" s="94"/>
      <c r="BF907" s="94"/>
      <c r="BG907" s="94"/>
      <c r="BH907" s="94"/>
      <c r="BI907" s="94"/>
      <c r="BJ907" s="94"/>
      <c r="BK907" s="94"/>
      <c r="BL907" s="92"/>
      <c r="BM907" s="94"/>
      <c r="BN907" s="94"/>
      <c r="BO907" s="94"/>
      <c r="BP907" s="94"/>
      <c r="BQ907" s="92"/>
      <c r="BR907" s="92"/>
      <c r="BS907" s="92"/>
      <c r="BT907" s="92"/>
      <c r="BU907" s="92"/>
      <c r="BV907" s="92"/>
      <c r="BW907" s="92"/>
      <c r="BX907" s="92"/>
      <c r="BY907" s="92"/>
      <c r="BZ907" s="92"/>
    </row>
    <row r="908" spans="1:78" ht="12.9">
      <c r="A908" s="89"/>
      <c r="B908" s="89"/>
      <c r="C908" s="89"/>
      <c r="D908" s="89"/>
      <c r="E908" s="89"/>
      <c r="F908" s="89"/>
      <c r="G908" s="89"/>
      <c r="H908" s="105"/>
      <c r="I908" s="106"/>
      <c r="J908" s="106"/>
      <c r="K908" s="89"/>
      <c r="L908" s="89"/>
      <c r="M908" s="89"/>
      <c r="N908" s="107"/>
      <c r="O908" s="107"/>
      <c r="P908" s="89"/>
      <c r="Q908" s="89"/>
      <c r="R908" s="89"/>
      <c r="S908" s="89"/>
      <c r="T908" s="89"/>
      <c r="U908" s="89"/>
      <c r="V908" s="89"/>
      <c r="W908" s="89"/>
      <c r="X908" s="89"/>
      <c r="Y908" s="89"/>
      <c r="Z908" s="77"/>
      <c r="AA908" s="77"/>
      <c r="AB908" s="94"/>
      <c r="AC908" s="94"/>
      <c r="AD908" s="94"/>
      <c r="AE908" s="94"/>
      <c r="AF908" s="91"/>
      <c r="AG908" s="92"/>
      <c r="AH908" s="92"/>
      <c r="AI908" s="93"/>
      <c r="AJ908" s="94"/>
      <c r="AK908" s="92"/>
      <c r="AL908" s="94"/>
      <c r="AM908" s="94"/>
      <c r="AN908" s="94"/>
      <c r="AO908" s="94"/>
      <c r="AP908" s="94"/>
      <c r="AQ908" s="94"/>
      <c r="AR908" s="94"/>
      <c r="AS908" s="94"/>
      <c r="AT908" s="94"/>
      <c r="AU908" s="92"/>
      <c r="AV908" s="94"/>
      <c r="AW908" s="94"/>
      <c r="AX908" s="94"/>
      <c r="AY908" s="94"/>
      <c r="AZ908" s="94"/>
      <c r="BA908" s="94"/>
      <c r="BB908" s="94"/>
      <c r="BC908" s="94"/>
      <c r="BD908" s="94"/>
      <c r="BE908" s="94"/>
      <c r="BF908" s="94"/>
      <c r="BG908" s="94"/>
      <c r="BH908" s="94"/>
      <c r="BI908" s="94"/>
      <c r="BJ908" s="94"/>
      <c r="BK908" s="94"/>
      <c r="BL908" s="92"/>
      <c r="BM908" s="94"/>
      <c r="BN908" s="94"/>
      <c r="BO908" s="94"/>
      <c r="BP908" s="94"/>
      <c r="BQ908" s="92"/>
      <c r="BR908" s="92"/>
      <c r="BS908" s="92"/>
      <c r="BT908" s="92"/>
      <c r="BU908" s="92"/>
      <c r="BV908" s="92"/>
      <c r="BW908" s="92"/>
      <c r="BX908" s="92"/>
      <c r="BY908" s="92"/>
      <c r="BZ908" s="92"/>
    </row>
    <row r="909" spans="1:78" ht="12.9">
      <c r="A909" s="89"/>
      <c r="B909" s="89"/>
      <c r="C909" s="89"/>
      <c r="D909" s="89"/>
      <c r="E909" s="89"/>
      <c r="F909" s="89"/>
      <c r="G909" s="89"/>
      <c r="H909" s="105"/>
      <c r="I909" s="106"/>
      <c r="J909" s="106"/>
      <c r="K909" s="89"/>
      <c r="L909" s="89"/>
      <c r="M909" s="89"/>
      <c r="N909" s="107"/>
      <c r="O909" s="107"/>
      <c r="P909" s="89"/>
      <c r="Q909" s="89"/>
      <c r="R909" s="89"/>
      <c r="S909" s="89"/>
      <c r="T909" s="89"/>
      <c r="U909" s="89"/>
      <c r="V909" s="89"/>
      <c r="W909" s="89"/>
      <c r="X909" s="89"/>
      <c r="Y909" s="89"/>
      <c r="Z909" s="77"/>
      <c r="AA909" s="77"/>
      <c r="AB909" s="94"/>
      <c r="AC909" s="94"/>
      <c r="AD909" s="94"/>
      <c r="AE909" s="94"/>
      <c r="AF909" s="91"/>
      <c r="AG909" s="92"/>
      <c r="AH909" s="92"/>
      <c r="AI909" s="93"/>
      <c r="AJ909" s="94"/>
      <c r="AK909" s="92"/>
      <c r="AL909" s="94"/>
      <c r="AM909" s="94"/>
      <c r="AN909" s="94"/>
      <c r="AO909" s="94"/>
      <c r="AP909" s="94"/>
      <c r="AQ909" s="94"/>
      <c r="AR909" s="94"/>
      <c r="AS909" s="94"/>
      <c r="AT909" s="94"/>
      <c r="AU909" s="92"/>
      <c r="AV909" s="94"/>
      <c r="AW909" s="94"/>
      <c r="AX909" s="94"/>
      <c r="AY909" s="94"/>
      <c r="AZ909" s="94"/>
      <c r="BA909" s="94"/>
      <c r="BB909" s="94"/>
      <c r="BC909" s="94"/>
      <c r="BD909" s="94"/>
      <c r="BE909" s="94"/>
      <c r="BF909" s="94"/>
      <c r="BG909" s="94"/>
      <c r="BH909" s="94"/>
      <c r="BI909" s="94"/>
      <c r="BJ909" s="94"/>
      <c r="BK909" s="94"/>
      <c r="BL909" s="92"/>
      <c r="BM909" s="94"/>
      <c r="BN909" s="94"/>
      <c r="BO909" s="94"/>
      <c r="BP909" s="94"/>
      <c r="BQ909" s="92"/>
      <c r="BR909" s="92"/>
      <c r="BS909" s="92"/>
      <c r="BT909" s="92"/>
      <c r="BU909" s="92"/>
      <c r="BV909" s="92"/>
      <c r="BW909" s="92"/>
      <c r="BX909" s="92"/>
      <c r="BY909" s="92"/>
      <c r="BZ909" s="92"/>
    </row>
    <row r="910" spans="1:78" ht="12.9">
      <c r="A910" s="89"/>
      <c r="B910" s="89"/>
      <c r="C910" s="89"/>
      <c r="D910" s="89"/>
      <c r="E910" s="89"/>
      <c r="F910" s="89"/>
      <c r="G910" s="89"/>
      <c r="H910" s="105"/>
      <c r="I910" s="106"/>
      <c r="J910" s="106"/>
      <c r="K910" s="89"/>
      <c r="L910" s="89"/>
      <c r="M910" s="89"/>
      <c r="N910" s="107"/>
      <c r="O910" s="107"/>
      <c r="P910" s="89"/>
      <c r="Q910" s="89"/>
      <c r="R910" s="89"/>
      <c r="S910" s="89"/>
      <c r="T910" s="89"/>
      <c r="U910" s="89"/>
      <c r="V910" s="89"/>
      <c r="W910" s="89"/>
      <c r="X910" s="89"/>
      <c r="Y910" s="89"/>
      <c r="Z910" s="77"/>
      <c r="AA910" s="77"/>
      <c r="AB910" s="94"/>
      <c r="AC910" s="94"/>
      <c r="AD910" s="94"/>
      <c r="AE910" s="94"/>
      <c r="AF910" s="91"/>
      <c r="AG910" s="92"/>
      <c r="AH910" s="92"/>
      <c r="AI910" s="93"/>
      <c r="AJ910" s="94"/>
      <c r="AK910" s="92"/>
      <c r="AL910" s="94"/>
      <c r="AM910" s="94"/>
      <c r="AN910" s="94"/>
      <c r="AO910" s="94"/>
      <c r="AP910" s="94"/>
      <c r="AQ910" s="94"/>
      <c r="AR910" s="94"/>
      <c r="AS910" s="94"/>
      <c r="AT910" s="94"/>
      <c r="AU910" s="92"/>
      <c r="AV910" s="94"/>
      <c r="AW910" s="94"/>
      <c r="AX910" s="94"/>
      <c r="AY910" s="94"/>
      <c r="AZ910" s="94"/>
      <c r="BA910" s="94"/>
      <c r="BB910" s="94"/>
      <c r="BC910" s="94"/>
      <c r="BD910" s="94"/>
      <c r="BE910" s="94"/>
      <c r="BF910" s="94"/>
      <c r="BG910" s="94"/>
      <c r="BH910" s="94"/>
      <c r="BI910" s="94"/>
      <c r="BJ910" s="94"/>
      <c r="BK910" s="94"/>
      <c r="BL910" s="92"/>
      <c r="BM910" s="94"/>
      <c r="BN910" s="94"/>
      <c r="BO910" s="94"/>
      <c r="BP910" s="94"/>
      <c r="BQ910" s="92"/>
      <c r="BR910" s="92"/>
      <c r="BS910" s="92"/>
      <c r="BT910" s="92"/>
      <c r="BU910" s="92"/>
      <c r="BV910" s="92"/>
      <c r="BW910" s="92"/>
      <c r="BX910" s="92"/>
      <c r="BY910" s="92"/>
      <c r="BZ910" s="92"/>
    </row>
    <row r="911" spans="1:78" ht="12.9">
      <c r="A911" s="89"/>
      <c r="B911" s="89"/>
      <c r="C911" s="89"/>
      <c r="D911" s="89"/>
      <c r="E911" s="89"/>
      <c r="F911" s="89"/>
      <c r="G911" s="89"/>
      <c r="H911" s="105"/>
      <c r="I911" s="106"/>
      <c r="J911" s="106"/>
      <c r="K911" s="89"/>
      <c r="L911" s="89"/>
      <c r="M911" s="89"/>
      <c r="N911" s="107"/>
      <c r="O911" s="107"/>
      <c r="P911" s="89"/>
      <c r="Q911" s="89"/>
      <c r="R911" s="89"/>
      <c r="S911" s="89"/>
      <c r="T911" s="89"/>
      <c r="U911" s="89"/>
      <c r="V911" s="89"/>
      <c r="W911" s="89"/>
      <c r="X911" s="89"/>
      <c r="Y911" s="89"/>
      <c r="Z911" s="77"/>
      <c r="AA911" s="77"/>
      <c r="AB911" s="94"/>
      <c r="AC911" s="94"/>
      <c r="AD911" s="94"/>
      <c r="AE911" s="94"/>
      <c r="AF911" s="91"/>
      <c r="AG911" s="92"/>
      <c r="AH911" s="92"/>
      <c r="AI911" s="93"/>
      <c r="AJ911" s="94"/>
      <c r="AK911" s="92"/>
      <c r="AL911" s="94"/>
      <c r="AM911" s="94"/>
      <c r="AN911" s="94"/>
      <c r="AO911" s="94"/>
      <c r="AP911" s="94"/>
      <c r="AQ911" s="94"/>
      <c r="AR911" s="94"/>
      <c r="AS911" s="94"/>
      <c r="AT911" s="94"/>
      <c r="AU911" s="92"/>
      <c r="AV911" s="94"/>
      <c r="AW911" s="94"/>
      <c r="AX911" s="94"/>
      <c r="AY911" s="94"/>
      <c r="AZ911" s="94"/>
      <c r="BA911" s="94"/>
      <c r="BB911" s="94"/>
      <c r="BC911" s="94"/>
      <c r="BD911" s="94"/>
      <c r="BE911" s="94"/>
      <c r="BF911" s="94"/>
      <c r="BG911" s="94"/>
      <c r="BH911" s="94"/>
      <c r="BI911" s="94"/>
      <c r="BJ911" s="94"/>
      <c r="BK911" s="94"/>
      <c r="BL911" s="92"/>
      <c r="BM911" s="94"/>
      <c r="BN911" s="94"/>
      <c r="BO911" s="94"/>
      <c r="BP911" s="94"/>
      <c r="BQ911" s="92"/>
      <c r="BR911" s="92"/>
      <c r="BS911" s="92"/>
      <c r="BT911" s="92"/>
      <c r="BU911" s="92"/>
      <c r="BV911" s="92"/>
      <c r="BW911" s="92"/>
      <c r="BX911" s="92"/>
      <c r="BY911" s="92"/>
      <c r="BZ911" s="92"/>
    </row>
    <row r="912" spans="1:78" ht="12.9">
      <c r="A912" s="89"/>
      <c r="B912" s="89"/>
      <c r="C912" s="89"/>
      <c r="D912" s="89"/>
      <c r="E912" s="89"/>
      <c r="F912" s="89"/>
      <c r="G912" s="89"/>
      <c r="H912" s="105"/>
      <c r="I912" s="106"/>
      <c r="J912" s="106"/>
      <c r="K912" s="89"/>
      <c r="L912" s="89"/>
      <c r="M912" s="89"/>
      <c r="N912" s="107"/>
      <c r="O912" s="107"/>
      <c r="P912" s="89"/>
      <c r="Q912" s="89"/>
      <c r="R912" s="89"/>
      <c r="S912" s="89"/>
      <c r="T912" s="89"/>
      <c r="U912" s="89"/>
      <c r="V912" s="89"/>
      <c r="W912" s="89"/>
      <c r="X912" s="89"/>
      <c r="Y912" s="89"/>
      <c r="Z912" s="77"/>
      <c r="AA912" s="77"/>
      <c r="AB912" s="94"/>
      <c r="AC912" s="94"/>
      <c r="AD912" s="94"/>
      <c r="AE912" s="94"/>
      <c r="AF912" s="91"/>
      <c r="AG912" s="92"/>
      <c r="AH912" s="92"/>
      <c r="AI912" s="93"/>
      <c r="AJ912" s="94"/>
      <c r="AK912" s="92"/>
      <c r="AL912" s="94"/>
      <c r="AM912" s="94"/>
      <c r="AN912" s="94"/>
      <c r="AO912" s="94"/>
      <c r="AP912" s="94"/>
      <c r="AQ912" s="94"/>
      <c r="AR912" s="94"/>
      <c r="AS912" s="94"/>
      <c r="AT912" s="94"/>
      <c r="AU912" s="92"/>
      <c r="AV912" s="94"/>
      <c r="AW912" s="94"/>
      <c r="AX912" s="94"/>
      <c r="AY912" s="94"/>
      <c r="AZ912" s="94"/>
      <c r="BA912" s="94"/>
      <c r="BB912" s="94"/>
      <c r="BC912" s="94"/>
      <c r="BD912" s="94"/>
      <c r="BE912" s="94"/>
      <c r="BF912" s="94"/>
      <c r="BG912" s="94"/>
      <c r="BH912" s="94"/>
      <c r="BI912" s="94"/>
      <c r="BJ912" s="94"/>
      <c r="BK912" s="94"/>
      <c r="BL912" s="92"/>
      <c r="BM912" s="94"/>
      <c r="BN912" s="94"/>
      <c r="BO912" s="94"/>
      <c r="BP912" s="94"/>
      <c r="BQ912" s="92"/>
      <c r="BR912" s="92"/>
      <c r="BS912" s="92"/>
      <c r="BT912" s="92"/>
      <c r="BU912" s="92"/>
      <c r="BV912" s="92"/>
      <c r="BW912" s="92"/>
      <c r="BX912" s="92"/>
      <c r="BY912" s="92"/>
      <c r="BZ912" s="92"/>
    </row>
    <row r="913" spans="1:78" ht="12.9">
      <c r="A913" s="89"/>
      <c r="B913" s="89"/>
      <c r="C913" s="89"/>
      <c r="D913" s="89"/>
      <c r="E913" s="89"/>
      <c r="F913" s="89"/>
      <c r="G913" s="89"/>
      <c r="H913" s="105"/>
      <c r="I913" s="106"/>
      <c r="J913" s="106"/>
      <c r="K913" s="89"/>
      <c r="L913" s="89"/>
      <c r="M913" s="89"/>
      <c r="N913" s="107"/>
      <c r="O913" s="107"/>
      <c r="P913" s="89"/>
      <c r="Q913" s="89"/>
      <c r="R913" s="89"/>
      <c r="S913" s="89"/>
      <c r="T913" s="89"/>
      <c r="U913" s="89"/>
      <c r="V913" s="89"/>
      <c r="W913" s="89"/>
      <c r="X913" s="89"/>
      <c r="Y913" s="89"/>
      <c r="Z913" s="77"/>
      <c r="AA913" s="77"/>
      <c r="AB913" s="94"/>
      <c r="AC913" s="94"/>
      <c r="AD913" s="94"/>
      <c r="AE913" s="94"/>
      <c r="AF913" s="91"/>
      <c r="AG913" s="92"/>
      <c r="AH913" s="92"/>
      <c r="AI913" s="93"/>
      <c r="AJ913" s="94"/>
      <c r="AK913" s="92"/>
      <c r="AL913" s="94"/>
      <c r="AM913" s="94"/>
      <c r="AN913" s="94"/>
      <c r="AO913" s="94"/>
      <c r="AP913" s="94"/>
      <c r="AQ913" s="94"/>
      <c r="AR913" s="94"/>
      <c r="AS913" s="94"/>
      <c r="AT913" s="94"/>
      <c r="AU913" s="92"/>
      <c r="AV913" s="94"/>
      <c r="AW913" s="94"/>
      <c r="AX913" s="94"/>
      <c r="AY913" s="94"/>
      <c r="AZ913" s="94"/>
      <c r="BA913" s="94"/>
      <c r="BB913" s="94"/>
      <c r="BC913" s="94"/>
      <c r="BD913" s="94"/>
      <c r="BE913" s="94"/>
      <c r="BF913" s="94"/>
      <c r="BG913" s="94"/>
      <c r="BH913" s="94"/>
      <c r="BI913" s="94"/>
      <c r="BJ913" s="94"/>
      <c r="BK913" s="94"/>
      <c r="BL913" s="92"/>
      <c r="BM913" s="94"/>
      <c r="BN913" s="94"/>
      <c r="BO913" s="94"/>
      <c r="BP913" s="94"/>
      <c r="BQ913" s="92"/>
      <c r="BR913" s="92"/>
      <c r="BS913" s="92"/>
      <c r="BT913" s="92"/>
      <c r="BU913" s="92"/>
      <c r="BV913" s="92"/>
      <c r="BW913" s="92"/>
      <c r="BX913" s="92"/>
      <c r="BY913" s="92"/>
      <c r="BZ913" s="92"/>
    </row>
    <row r="914" spans="1:78" ht="12.9">
      <c r="A914" s="89"/>
      <c r="B914" s="89"/>
      <c r="C914" s="89"/>
      <c r="D914" s="89"/>
      <c r="E914" s="89"/>
      <c r="F914" s="89"/>
      <c r="G914" s="89"/>
      <c r="H914" s="105"/>
      <c r="I914" s="106"/>
      <c r="J914" s="106"/>
      <c r="K914" s="89"/>
      <c r="L914" s="89"/>
      <c r="M914" s="89"/>
      <c r="N914" s="107"/>
      <c r="O914" s="107"/>
      <c r="P914" s="89"/>
      <c r="Q914" s="89"/>
      <c r="R914" s="89"/>
      <c r="S914" s="89"/>
      <c r="T914" s="89"/>
      <c r="U914" s="89"/>
      <c r="V914" s="89"/>
      <c r="W914" s="89"/>
      <c r="X914" s="89"/>
      <c r="Y914" s="89"/>
      <c r="Z914" s="77"/>
      <c r="AA914" s="77"/>
      <c r="AB914" s="94"/>
      <c r="AC914" s="94"/>
      <c r="AD914" s="94"/>
      <c r="AE914" s="94"/>
      <c r="AF914" s="91"/>
      <c r="AG914" s="92"/>
      <c r="AH914" s="92"/>
      <c r="AI914" s="93"/>
      <c r="AJ914" s="94"/>
      <c r="AK914" s="92"/>
      <c r="AL914" s="94"/>
      <c r="AM914" s="94"/>
      <c r="AN914" s="94"/>
      <c r="AO914" s="94"/>
      <c r="AP914" s="94"/>
      <c r="AQ914" s="94"/>
      <c r="AR914" s="94"/>
      <c r="AS914" s="94"/>
      <c r="AT914" s="94"/>
      <c r="AU914" s="92"/>
      <c r="AV914" s="94"/>
      <c r="AW914" s="94"/>
      <c r="AX914" s="94"/>
      <c r="AY914" s="94"/>
      <c r="AZ914" s="94"/>
      <c r="BA914" s="94"/>
      <c r="BB914" s="94"/>
      <c r="BC914" s="94"/>
      <c r="BD914" s="94"/>
      <c r="BE914" s="94"/>
      <c r="BF914" s="94"/>
      <c r="BG914" s="94"/>
      <c r="BH914" s="94"/>
      <c r="BI914" s="94"/>
      <c r="BJ914" s="94"/>
      <c r="BK914" s="94"/>
      <c r="BL914" s="92"/>
      <c r="BM914" s="94"/>
      <c r="BN914" s="94"/>
      <c r="BO914" s="94"/>
      <c r="BP914" s="94"/>
      <c r="BQ914" s="92"/>
      <c r="BR914" s="92"/>
      <c r="BS914" s="92"/>
      <c r="BT914" s="92"/>
      <c r="BU914" s="92"/>
      <c r="BV914" s="92"/>
      <c r="BW914" s="92"/>
      <c r="BX914" s="92"/>
      <c r="BY914" s="92"/>
      <c r="BZ914" s="92"/>
    </row>
    <row r="915" spans="1:78" ht="12.9">
      <c r="A915" s="89"/>
      <c r="B915" s="89"/>
      <c r="C915" s="89"/>
      <c r="D915" s="89"/>
      <c r="E915" s="89"/>
      <c r="F915" s="89"/>
      <c r="G915" s="89"/>
      <c r="H915" s="105"/>
      <c r="I915" s="106"/>
      <c r="J915" s="106"/>
      <c r="K915" s="89"/>
      <c r="L915" s="89"/>
      <c r="M915" s="89"/>
      <c r="N915" s="107"/>
      <c r="O915" s="107"/>
      <c r="P915" s="89"/>
      <c r="Q915" s="89"/>
      <c r="R915" s="89"/>
      <c r="S915" s="89"/>
      <c r="T915" s="89"/>
      <c r="U915" s="89"/>
      <c r="V915" s="89"/>
      <c r="W915" s="89"/>
      <c r="X915" s="89"/>
      <c r="Y915" s="89"/>
      <c r="Z915" s="77"/>
      <c r="AA915" s="77"/>
      <c r="AB915" s="94"/>
      <c r="AC915" s="94"/>
      <c r="AD915" s="94"/>
      <c r="AE915" s="94"/>
      <c r="AF915" s="91"/>
      <c r="AG915" s="92"/>
      <c r="AH915" s="92"/>
      <c r="AI915" s="93"/>
      <c r="AJ915" s="94"/>
      <c r="AK915" s="92"/>
      <c r="AL915" s="94"/>
      <c r="AM915" s="94"/>
      <c r="AN915" s="94"/>
      <c r="AO915" s="94"/>
      <c r="AP915" s="94"/>
      <c r="AQ915" s="94"/>
      <c r="AR915" s="94"/>
      <c r="AS915" s="94"/>
      <c r="AT915" s="94"/>
      <c r="AU915" s="92"/>
      <c r="AV915" s="94"/>
      <c r="AW915" s="94"/>
      <c r="AX915" s="94"/>
      <c r="AY915" s="94"/>
      <c r="AZ915" s="94"/>
      <c r="BA915" s="94"/>
      <c r="BB915" s="94"/>
      <c r="BC915" s="94"/>
      <c r="BD915" s="94"/>
      <c r="BE915" s="94"/>
      <c r="BF915" s="94"/>
      <c r="BG915" s="94"/>
      <c r="BH915" s="94"/>
      <c r="BI915" s="94"/>
      <c r="BJ915" s="94"/>
      <c r="BK915" s="94"/>
      <c r="BL915" s="92"/>
      <c r="BM915" s="94"/>
      <c r="BN915" s="94"/>
      <c r="BO915" s="94"/>
      <c r="BP915" s="94"/>
      <c r="BQ915" s="92"/>
      <c r="BR915" s="92"/>
      <c r="BS915" s="92"/>
      <c r="BT915" s="92"/>
      <c r="BU915" s="92"/>
      <c r="BV915" s="92"/>
      <c r="BW915" s="92"/>
      <c r="BX915" s="92"/>
      <c r="BY915" s="92"/>
      <c r="BZ915" s="92"/>
    </row>
    <row r="916" spans="1:78" ht="12.9">
      <c r="A916" s="89"/>
      <c r="B916" s="89"/>
      <c r="C916" s="89"/>
      <c r="D916" s="89"/>
      <c r="E916" s="89"/>
      <c r="F916" s="89"/>
      <c r="G916" s="89"/>
      <c r="H916" s="105"/>
      <c r="I916" s="106"/>
      <c r="J916" s="106"/>
      <c r="K916" s="89"/>
      <c r="L916" s="89"/>
      <c r="M916" s="89"/>
      <c r="N916" s="107"/>
      <c r="O916" s="107"/>
      <c r="P916" s="89"/>
      <c r="Q916" s="89"/>
      <c r="R916" s="89"/>
      <c r="S916" s="89"/>
      <c r="T916" s="89"/>
      <c r="U916" s="89"/>
      <c r="V916" s="89"/>
      <c r="W916" s="89"/>
      <c r="X916" s="89"/>
      <c r="Y916" s="89"/>
      <c r="Z916" s="77"/>
      <c r="AA916" s="77"/>
      <c r="AB916" s="94"/>
      <c r="AC916" s="94"/>
      <c r="AD916" s="94"/>
      <c r="AE916" s="94"/>
      <c r="AF916" s="91"/>
      <c r="AG916" s="92"/>
      <c r="AH916" s="92"/>
      <c r="AI916" s="93"/>
      <c r="AJ916" s="94"/>
      <c r="AK916" s="92"/>
      <c r="AL916" s="94"/>
      <c r="AM916" s="94"/>
      <c r="AN916" s="94"/>
      <c r="AO916" s="94"/>
      <c r="AP916" s="94"/>
      <c r="AQ916" s="94"/>
      <c r="AR916" s="94"/>
      <c r="AS916" s="94"/>
      <c r="AT916" s="94"/>
      <c r="AU916" s="92"/>
      <c r="AV916" s="94"/>
      <c r="AW916" s="94"/>
      <c r="AX916" s="94"/>
      <c r="AY916" s="94"/>
      <c r="AZ916" s="94"/>
      <c r="BA916" s="94"/>
      <c r="BB916" s="94"/>
      <c r="BC916" s="94"/>
      <c r="BD916" s="94"/>
      <c r="BE916" s="94"/>
      <c r="BF916" s="94"/>
      <c r="BG916" s="94"/>
      <c r="BH916" s="94"/>
      <c r="BI916" s="94"/>
      <c r="BJ916" s="94"/>
      <c r="BK916" s="94"/>
      <c r="BL916" s="92"/>
      <c r="BM916" s="94"/>
      <c r="BN916" s="94"/>
      <c r="BO916" s="94"/>
      <c r="BP916" s="94"/>
      <c r="BQ916" s="92"/>
      <c r="BR916" s="92"/>
      <c r="BS916" s="92"/>
      <c r="BT916" s="92"/>
      <c r="BU916" s="92"/>
      <c r="BV916" s="92"/>
      <c r="BW916" s="92"/>
      <c r="BX916" s="92"/>
      <c r="BY916" s="92"/>
      <c r="BZ916" s="92"/>
    </row>
    <row r="917" spans="1:78" ht="12.9">
      <c r="A917" s="89"/>
      <c r="B917" s="89"/>
      <c r="C917" s="89"/>
      <c r="D917" s="89"/>
      <c r="E917" s="89"/>
      <c r="F917" s="89"/>
      <c r="G917" s="89"/>
      <c r="H917" s="105"/>
      <c r="I917" s="106"/>
      <c r="J917" s="106"/>
      <c r="K917" s="89"/>
      <c r="L917" s="89"/>
      <c r="M917" s="89"/>
      <c r="N917" s="107"/>
      <c r="O917" s="107"/>
      <c r="P917" s="89"/>
      <c r="Q917" s="89"/>
      <c r="R917" s="89"/>
      <c r="S917" s="89"/>
      <c r="T917" s="89"/>
      <c r="U917" s="89"/>
      <c r="V917" s="89"/>
      <c r="W917" s="89"/>
      <c r="X917" s="89"/>
      <c r="Y917" s="89"/>
      <c r="Z917" s="77"/>
      <c r="AA917" s="77"/>
      <c r="AB917" s="94"/>
      <c r="AC917" s="94"/>
      <c r="AD917" s="94"/>
      <c r="AE917" s="94"/>
      <c r="AF917" s="91"/>
      <c r="AG917" s="92"/>
      <c r="AH917" s="92"/>
      <c r="AI917" s="93"/>
      <c r="AJ917" s="94"/>
      <c r="AK917" s="92"/>
      <c r="AL917" s="94"/>
      <c r="AM917" s="94"/>
      <c r="AN917" s="94"/>
      <c r="AO917" s="94"/>
      <c r="AP917" s="94"/>
      <c r="AQ917" s="94"/>
      <c r="AR917" s="94"/>
      <c r="AS917" s="94"/>
      <c r="AT917" s="94"/>
      <c r="AU917" s="92"/>
      <c r="AV917" s="94"/>
      <c r="AW917" s="94"/>
      <c r="AX917" s="94"/>
      <c r="AY917" s="94"/>
      <c r="AZ917" s="94"/>
      <c r="BA917" s="94"/>
      <c r="BB917" s="94"/>
      <c r="BC917" s="94"/>
      <c r="BD917" s="94"/>
      <c r="BE917" s="94"/>
      <c r="BF917" s="94"/>
      <c r="BG917" s="94"/>
      <c r="BH917" s="94"/>
      <c r="BI917" s="94"/>
      <c r="BJ917" s="94"/>
      <c r="BK917" s="94"/>
      <c r="BL917" s="92"/>
      <c r="BM917" s="94"/>
      <c r="BN917" s="94"/>
      <c r="BO917" s="94"/>
      <c r="BP917" s="94"/>
      <c r="BQ917" s="92"/>
      <c r="BR917" s="92"/>
      <c r="BS917" s="92"/>
      <c r="BT917" s="92"/>
      <c r="BU917" s="92"/>
      <c r="BV917" s="92"/>
      <c r="BW917" s="92"/>
      <c r="BX917" s="92"/>
      <c r="BY917" s="92"/>
      <c r="BZ917" s="92"/>
    </row>
    <row r="918" spans="1:78" ht="12.9">
      <c r="A918" s="89"/>
      <c r="B918" s="89"/>
      <c r="C918" s="89"/>
      <c r="D918" s="89"/>
      <c r="E918" s="89"/>
      <c r="F918" s="89"/>
      <c r="G918" s="89"/>
      <c r="H918" s="105"/>
      <c r="I918" s="106"/>
      <c r="J918" s="106"/>
      <c r="K918" s="89"/>
      <c r="L918" s="89"/>
      <c r="M918" s="89"/>
      <c r="N918" s="107"/>
      <c r="O918" s="107"/>
      <c r="P918" s="89"/>
      <c r="Q918" s="89"/>
      <c r="R918" s="89"/>
      <c r="S918" s="89"/>
      <c r="T918" s="89"/>
      <c r="U918" s="89"/>
      <c r="V918" s="89"/>
      <c r="W918" s="89"/>
      <c r="X918" s="89"/>
      <c r="Y918" s="89"/>
      <c r="Z918" s="77"/>
      <c r="AA918" s="77"/>
      <c r="AB918" s="94"/>
      <c r="AC918" s="94"/>
      <c r="AD918" s="94"/>
      <c r="AE918" s="94"/>
      <c r="AF918" s="91"/>
      <c r="AG918" s="92"/>
      <c r="AH918" s="92"/>
      <c r="AI918" s="93"/>
      <c r="AJ918" s="94"/>
      <c r="AK918" s="92"/>
      <c r="AL918" s="94"/>
      <c r="AM918" s="94"/>
      <c r="AN918" s="94"/>
      <c r="AO918" s="94"/>
      <c r="AP918" s="94"/>
      <c r="AQ918" s="94"/>
      <c r="AR918" s="94"/>
      <c r="AS918" s="94"/>
      <c r="AT918" s="94"/>
      <c r="AU918" s="92"/>
      <c r="AV918" s="94"/>
      <c r="AW918" s="94"/>
      <c r="AX918" s="94"/>
      <c r="AY918" s="94"/>
      <c r="AZ918" s="94"/>
      <c r="BA918" s="94"/>
      <c r="BB918" s="94"/>
      <c r="BC918" s="94"/>
      <c r="BD918" s="94"/>
      <c r="BE918" s="94"/>
      <c r="BF918" s="94"/>
      <c r="BG918" s="94"/>
      <c r="BH918" s="94"/>
      <c r="BI918" s="94"/>
      <c r="BJ918" s="94"/>
      <c r="BK918" s="94"/>
      <c r="BL918" s="92"/>
      <c r="BM918" s="94"/>
      <c r="BN918" s="94"/>
      <c r="BO918" s="94"/>
      <c r="BP918" s="94"/>
      <c r="BQ918" s="92"/>
      <c r="BR918" s="92"/>
      <c r="BS918" s="92"/>
      <c r="BT918" s="92"/>
      <c r="BU918" s="92"/>
      <c r="BV918" s="92"/>
      <c r="BW918" s="92"/>
      <c r="BX918" s="92"/>
      <c r="BY918" s="92"/>
      <c r="BZ918" s="92"/>
    </row>
    <row r="919" spans="1:78" ht="12.9">
      <c r="A919" s="89"/>
      <c r="B919" s="89"/>
      <c r="C919" s="89"/>
      <c r="D919" s="89"/>
      <c r="E919" s="89"/>
      <c r="F919" s="89"/>
      <c r="G919" s="89"/>
      <c r="H919" s="105"/>
      <c r="I919" s="106"/>
      <c r="J919" s="106"/>
      <c r="K919" s="89"/>
      <c r="L919" s="89"/>
      <c r="M919" s="89"/>
      <c r="N919" s="107"/>
      <c r="O919" s="107"/>
      <c r="P919" s="89"/>
      <c r="Q919" s="89"/>
      <c r="R919" s="89"/>
      <c r="S919" s="89"/>
      <c r="T919" s="89"/>
      <c r="U919" s="89"/>
      <c r="V919" s="89"/>
      <c r="W919" s="89"/>
      <c r="X919" s="89"/>
      <c r="Y919" s="89"/>
      <c r="Z919" s="77"/>
      <c r="AA919" s="77"/>
      <c r="AB919" s="94"/>
      <c r="AC919" s="94"/>
      <c r="AD919" s="94"/>
      <c r="AE919" s="94"/>
      <c r="AF919" s="91"/>
      <c r="AG919" s="92"/>
      <c r="AH919" s="92"/>
      <c r="AI919" s="93"/>
      <c r="AJ919" s="94"/>
      <c r="AK919" s="92"/>
      <c r="AL919" s="94"/>
      <c r="AM919" s="94"/>
      <c r="AN919" s="94"/>
      <c r="AO919" s="94"/>
      <c r="AP919" s="94"/>
      <c r="AQ919" s="94"/>
      <c r="AR919" s="94"/>
      <c r="AS919" s="94"/>
      <c r="AT919" s="94"/>
      <c r="AU919" s="92"/>
      <c r="AV919" s="94"/>
      <c r="AW919" s="94"/>
      <c r="AX919" s="94"/>
      <c r="AY919" s="94"/>
      <c r="AZ919" s="94"/>
      <c r="BA919" s="94"/>
      <c r="BB919" s="94"/>
      <c r="BC919" s="94"/>
      <c r="BD919" s="94"/>
      <c r="BE919" s="94"/>
      <c r="BF919" s="94"/>
      <c r="BG919" s="94"/>
      <c r="BH919" s="94"/>
      <c r="BI919" s="94"/>
      <c r="BJ919" s="94"/>
      <c r="BK919" s="94"/>
      <c r="BL919" s="92"/>
      <c r="BM919" s="94"/>
      <c r="BN919" s="94"/>
      <c r="BO919" s="94"/>
      <c r="BP919" s="94"/>
      <c r="BQ919" s="92"/>
      <c r="BR919" s="92"/>
      <c r="BS919" s="92"/>
      <c r="BT919" s="92"/>
      <c r="BU919" s="92"/>
      <c r="BV919" s="92"/>
      <c r="BW919" s="92"/>
      <c r="BX919" s="92"/>
      <c r="BY919" s="92"/>
      <c r="BZ919" s="92"/>
    </row>
    <row r="920" spans="1:78" ht="12.9">
      <c r="A920" s="89"/>
      <c r="B920" s="89"/>
      <c r="C920" s="89"/>
      <c r="D920" s="89"/>
      <c r="E920" s="89"/>
      <c r="F920" s="89"/>
      <c r="G920" s="89"/>
      <c r="H920" s="105"/>
      <c r="I920" s="106"/>
      <c r="J920" s="106"/>
      <c r="K920" s="89"/>
      <c r="L920" s="89"/>
      <c r="M920" s="89"/>
      <c r="N920" s="107"/>
      <c r="O920" s="107"/>
      <c r="P920" s="89"/>
      <c r="Q920" s="89"/>
      <c r="R920" s="89"/>
      <c r="S920" s="89"/>
      <c r="T920" s="89"/>
      <c r="U920" s="89"/>
      <c r="V920" s="89"/>
      <c r="W920" s="89"/>
      <c r="X920" s="89"/>
      <c r="Y920" s="89"/>
      <c r="Z920" s="77"/>
      <c r="AA920" s="77"/>
      <c r="AB920" s="94"/>
      <c r="AC920" s="94"/>
      <c r="AD920" s="94"/>
      <c r="AE920" s="94"/>
      <c r="AF920" s="91"/>
      <c r="AG920" s="92"/>
      <c r="AH920" s="92"/>
      <c r="AI920" s="93"/>
      <c r="AJ920" s="94"/>
      <c r="AK920" s="92"/>
      <c r="AL920" s="94"/>
      <c r="AM920" s="94"/>
      <c r="AN920" s="94"/>
      <c r="AO920" s="94"/>
      <c r="AP920" s="94"/>
      <c r="AQ920" s="94"/>
      <c r="AR920" s="94"/>
      <c r="AS920" s="94"/>
      <c r="AT920" s="94"/>
      <c r="AU920" s="92"/>
      <c r="AV920" s="94"/>
      <c r="AW920" s="94"/>
      <c r="AX920" s="94"/>
      <c r="AY920" s="94"/>
      <c r="AZ920" s="94"/>
      <c r="BA920" s="94"/>
      <c r="BB920" s="94"/>
      <c r="BC920" s="94"/>
      <c r="BD920" s="94"/>
      <c r="BE920" s="94"/>
      <c r="BF920" s="94"/>
      <c r="BG920" s="94"/>
      <c r="BH920" s="94"/>
      <c r="BI920" s="94"/>
      <c r="BJ920" s="94"/>
      <c r="BK920" s="94"/>
      <c r="BL920" s="92"/>
      <c r="BM920" s="94"/>
      <c r="BN920" s="94"/>
      <c r="BO920" s="94"/>
      <c r="BP920" s="94"/>
      <c r="BQ920" s="92"/>
      <c r="BR920" s="92"/>
      <c r="BS920" s="92"/>
      <c r="BT920" s="92"/>
      <c r="BU920" s="92"/>
      <c r="BV920" s="92"/>
      <c r="BW920" s="92"/>
      <c r="BX920" s="92"/>
      <c r="BY920" s="92"/>
      <c r="BZ920" s="92"/>
    </row>
    <row r="921" spans="1:78" ht="12.9">
      <c r="A921" s="89"/>
      <c r="B921" s="89"/>
      <c r="C921" s="89"/>
      <c r="D921" s="89"/>
      <c r="E921" s="89"/>
      <c r="F921" s="89"/>
      <c r="G921" s="89"/>
      <c r="H921" s="105"/>
      <c r="I921" s="106"/>
      <c r="J921" s="106"/>
      <c r="K921" s="89"/>
      <c r="L921" s="89"/>
      <c r="M921" s="89"/>
      <c r="N921" s="107"/>
      <c r="O921" s="107"/>
      <c r="P921" s="89"/>
      <c r="Q921" s="89"/>
      <c r="R921" s="89"/>
      <c r="S921" s="89"/>
      <c r="T921" s="89"/>
      <c r="U921" s="89"/>
      <c r="V921" s="89"/>
      <c r="W921" s="89"/>
      <c r="X921" s="89"/>
      <c r="Y921" s="89"/>
      <c r="Z921" s="77"/>
      <c r="AA921" s="77"/>
      <c r="AB921" s="94"/>
      <c r="AC921" s="94"/>
      <c r="AD921" s="94"/>
      <c r="AE921" s="94"/>
      <c r="AF921" s="91"/>
      <c r="AG921" s="92"/>
      <c r="AH921" s="92"/>
      <c r="AI921" s="93"/>
      <c r="AJ921" s="94"/>
      <c r="AK921" s="92"/>
      <c r="AL921" s="94"/>
      <c r="AM921" s="94"/>
      <c r="AN921" s="94"/>
      <c r="AO921" s="94"/>
      <c r="AP921" s="94"/>
      <c r="AQ921" s="94"/>
      <c r="AR921" s="94"/>
      <c r="AS921" s="94"/>
      <c r="AT921" s="94"/>
      <c r="AU921" s="92"/>
      <c r="AV921" s="94"/>
      <c r="AW921" s="94"/>
      <c r="AX921" s="94"/>
      <c r="AY921" s="94"/>
      <c r="AZ921" s="94"/>
      <c r="BA921" s="94"/>
      <c r="BB921" s="94"/>
      <c r="BC921" s="94"/>
      <c r="BD921" s="94"/>
      <c r="BE921" s="94"/>
      <c r="BF921" s="94"/>
      <c r="BG921" s="94"/>
      <c r="BH921" s="94"/>
      <c r="BI921" s="94"/>
      <c r="BJ921" s="94"/>
      <c r="BK921" s="94"/>
      <c r="BL921" s="92"/>
      <c r="BM921" s="94"/>
      <c r="BN921" s="94"/>
      <c r="BO921" s="94"/>
      <c r="BP921" s="94"/>
      <c r="BQ921" s="92"/>
      <c r="BR921" s="92"/>
      <c r="BS921" s="92"/>
      <c r="BT921" s="92"/>
      <c r="BU921" s="92"/>
      <c r="BV921" s="92"/>
      <c r="BW921" s="92"/>
      <c r="BX921" s="92"/>
      <c r="BY921" s="92"/>
      <c r="BZ921" s="92"/>
    </row>
    <row r="922" spans="1:78" ht="12.9">
      <c r="A922" s="89"/>
      <c r="B922" s="89"/>
      <c r="C922" s="89"/>
      <c r="D922" s="89"/>
      <c r="E922" s="89"/>
      <c r="F922" s="89"/>
      <c r="G922" s="89"/>
      <c r="H922" s="105"/>
      <c r="I922" s="106"/>
      <c r="J922" s="106"/>
      <c r="K922" s="89"/>
      <c r="L922" s="89"/>
      <c r="M922" s="89"/>
      <c r="N922" s="107"/>
      <c r="O922" s="107"/>
      <c r="P922" s="89"/>
      <c r="Q922" s="89"/>
      <c r="R922" s="89"/>
      <c r="S922" s="89"/>
      <c r="T922" s="89"/>
      <c r="U922" s="89"/>
      <c r="V922" s="89"/>
      <c r="W922" s="89"/>
      <c r="X922" s="89"/>
      <c r="Y922" s="89"/>
      <c r="Z922" s="77"/>
      <c r="AA922" s="77"/>
      <c r="AB922" s="94"/>
      <c r="AC922" s="94"/>
      <c r="AD922" s="94"/>
      <c r="AE922" s="94"/>
      <c r="AF922" s="91"/>
      <c r="AG922" s="92"/>
      <c r="AH922" s="92"/>
      <c r="AI922" s="93"/>
      <c r="AJ922" s="94"/>
      <c r="AK922" s="92"/>
      <c r="AL922" s="94"/>
      <c r="AM922" s="94"/>
      <c r="AN922" s="94"/>
      <c r="AO922" s="94"/>
      <c r="AP922" s="94"/>
      <c r="AQ922" s="94"/>
      <c r="AR922" s="94"/>
      <c r="AS922" s="94"/>
      <c r="AT922" s="94"/>
      <c r="AU922" s="92"/>
      <c r="AV922" s="94"/>
      <c r="AW922" s="94"/>
      <c r="AX922" s="94"/>
      <c r="AY922" s="94"/>
      <c r="AZ922" s="94"/>
      <c r="BA922" s="94"/>
      <c r="BB922" s="94"/>
      <c r="BC922" s="94"/>
      <c r="BD922" s="94"/>
      <c r="BE922" s="94"/>
      <c r="BF922" s="94"/>
      <c r="BG922" s="94"/>
      <c r="BH922" s="94"/>
      <c r="BI922" s="94"/>
      <c r="BJ922" s="94"/>
      <c r="BK922" s="94"/>
      <c r="BL922" s="92"/>
      <c r="BM922" s="94"/>
      <c r="BN922" s="94"/>
      <c r="BO922" s="94"/>
      <c r="BP922" s="94"/>
      <c r="BQ922" s="92"/>
      <c r="BR922" s="92"/>
      <c r="BS922" s="92"/>
      <c r="BT922" s="92"/>
      <c r="BU922" s="92"/>
      <c r="BV922" s="92"/>
      <c r="BW922" s="92"/>
      <c r="BX922" s="92"/>
      <c r="BY922" s="92"/>
      <c r="BZ922" s="92"/>
    </row>
    <row r="923" spans="1:78" ht="12.9">
      <c r="A923" s="89"/>
      <c r="B923" s="89"/>
      <c r="C923" s="89"/>
      <c r="D923" s="89"/>
      <c r="E923" s="89"/>
      <c r="F923" s="89"/>
      <c r="G923" s="89"/>
      <c r="H923" s="105"/>
      <c r="I923" s="106"/>
      <c r="J923" s="106"/>
      <c r="K923" s="89"/>
      <c r="L923" s="89"/>
      <c r="M923" s="89"/>
      <c r="N923" s="107"/>
      <c r="O923" s="107"/>
      <c r="P923" s="89"/>
      <c r="Q923" s="89"/>
      <c r="R923" s="89"/>
      <c r="S923" s="89"/>
      <c r="T923" s="89"/>
      <c r="U923" s="89"/>
      <c r="V923" s="89"/>
      <c r="W923" s="89"/>
      <c r="X923" s="89"/>
      <c r="Y923" s="89"/>
      <c r="Z923" s="77"/>
      <c r="AA923" s="77"/>
      <c r="AB923" s="94"/>
      <c r="AC923" s="94"/>
      <c r="AD923" s="94"/>
      <c r="AE923" s="94"/>
      <c r="AF923" s="91"/>
      <c r="AG923" s="92"/>
      <c r="AH923" s="92"/>
      <c r="AI923" s="93"/>
      <c r="AJ923" s="94"/>
      <c r="AK923" s="92"/>
      <c r="AL923" s="94"/>
      <c r="AM923" s="94"/>
      <c r="AN923" s="94"/>
      <c r="AO923" s="94"/>
      <c r="AP923" s="94"/>
      <c r="AQ923" s="94"/>
      <c r="AR923" s="94"/>
      <c r="AS923" s="94"/>
      <c r="AT923" s="94"/>
      <c r="AU923" s="92"/>
      <c r="AV923" s="94"/>
      <c r="AW923" s="94"/>
      <c r="AX923" s="94"/>
      <c r="AY923" s="94"/>
      <c r="AZ923" s="94"/>
      <c r="BA923" s="94"/>
      <c r="BB923" s="94"/>
      <c r="BC923" s="94"/>
      <c r="BD923" s="94"/>
      <c r="BE923" s="94"/>
      <c r="BF923" s="94"/>
      <c r="BG923" s="94"/>
      <c r="BH923" s="94"/>
      <c r="BI923" s="94"/>
      <c r="BJ923" s="94"/>
      <c r="BK923" s="94"/>
      <c r="BL923" s="92"/>
      <c r="BM923" s="94"/>
      <c r="BN923" s="94"/>
      <c r="BO923" s="94"/>
      <c r="BP923" s="94"/>
      <c r="BQ923" s="92"/>
      <c r="BR923" s="92"/>
      <c r="BS923" s="92"/>
      <c r="BT923" s="92"/>
      <c r="BU923" s="92"/>
      <c r="BV923" s="92"/>
      <c r="BW923" s="92"/>
      <c r="BX923" s="92"/>
      <c r="BY923" s="92"/>
      <c r="BZ923" s="92"/>
    </row>
    <row r="924" spans="1:78" ht="12.9">
      <c r="A924" s="89"/>
      <c r="B924" s="89"/>
      <c r="C924" s="89"/>
      <c r="D924" s="89"/>
      <c r="E924" s="89"/>
      <c r="F924" s="89"/>
      <c r="G924" s="89"/>
      <c r="H924" s="105"/>
      <c r="I924" s="106"/>
      <c r="J924" s="106"/>
      <c r="K924" s="89"/>
      <c r="L924" s="89"/>
      <c r="M924" s="89"/>
      <c r="N924" s="107"/>
      <c r="O924" s="107"/>
      <c r="P924" s="89"/>
      <c r="Q924" s="89"/>
      <c r="R924" s="89"/>
      <c r="S924" s="89"/>
      <c r="T924" s="89"/>
      <c r="U924" s="89"/>
      <c r="V924" s="89"/>
      <c r="W924" s="89"/>
      <c r="X924" s="89"/>
      <c r="Y924" s="89"/>
      <c r="Z924" s="77"/>
      <c r="AA924" s="77"/>
      <c r="AB924" s="94"/>
      <c r="AC924" s="94"/>
      <c r="AD924" s="94"/>
      <c r="AE924" s="94"/>
      <c r="AF924" s="91"/>
      <c r="AG924" s="92"/>
      <c r="AH924" s="92"/>
      <c r="AI924" s="93"/>
      <c r="AJ924" s="94"/>
      <c r="AK924" s="92"/>
      <c r="AL924" s="94"/>
      <c r="AM924" s="94"/>
      <c r="AN924" s="94"/>
      <c r="AO924" s="94"/>
      <c r="AP924" s="94"/>
      <c r="AQ924" s="94"/>
      <c r="AR924" s="94"/>
      <c r="AS924" s="94"/>
      <c r="AT924" s="94"/>
      <c r="AU924" s="92"/>
      <c r="AV924" s="94"/>
      <c r="AW924" s="94"/>
      <c r="AX924" s="94"/>
      <c r="AY924" s="94"/>
      <c r="AZ924" s="94"/>
      <c r="BA924" s="94"/>
      <c r="BB924" s="94"/>
      <c r="BC924" s="94"/>
      <c r="BD924" s="94"/>
      <c r="BE924" s="94"/>
      <c r="BF924" s="94"/>
      <c r="BG924" s="94"/>
      <c r="BH924" s="94"/>
      <c r="BI924" s="94"/>
      <c r="BJ924" s="94"/>
      <c r="BK924" s="94"/>
      <c r="BL924" s="92"/>
      <c r="BM924" s="94"/>
      <c r="BN924" s="94"/>
      <c r="BO924" s="94"/>
      <c r="BP924" s="94"/>
      <c r="BQ924" s="92"/>
      <c r="BR924" s="92"/>
      <c r="BS924" s="92"/>
      <c r="BT924" s="92"/>
      <c r="BU924" s="92"/>
      <c r="BV924" s="92"/>
      <c r="BW924" s="92"/>
      <c r="BX924" s="92"/>
      <c r="BY924" s="92"/>
      <c r="BZ924" s="92"/>
    </row>
    <row r="925" spans="1:78" ht="12.9">
      <c r="A925" s="89"/>
      <c r="B925" s="89"/>
      <c r="C925" s="89"/>
      <c r="D925" s="89"/>
      <c r="E925" s="89"/>
      <c r="F925" s="89"/>
      <c r="G925" s="89"/>
      <c r="H925" s="105"/>
      <c r="I925" s="106"/>
      <c r="J925" s="106"/>
      <c r="K925" s="89"/>
      <c r="L925" s="89"/>
      <c r="M925" s="89"/>
      <c r="N925" s="107"/>
      <c r="O925" s="107"/>
      <c r="P925" s="89"/>
      <c r="Q925" s="89"/>
      <c r="R925" s="89"/>
      <c r="S925" s="89"/>
      <c r="T925" s="89"/>
      <c r="U925" s="89"/>
      <c r="V925" s="89"/>
      <c r="W925" s="89"/>
      <c r="X925" s="89"/>
      <c r="Y925" s="89"/>
      <c r="Z925" s="77"/>
      <c r="AA925" s="77"/>
      <c r="AB925" s="94"/>
      <c r="AC925" s="94"/>
      <c r="AD925" s="94"/>
      <c r="AE925" s="94"/>
      <c r="AF925" s="91"/>
      <c r="AG925" s="92"/>
      <c r="AH925" s="92"/>
      <c r="AI925" s="93"/>
      <c r="AJ925" s="94"/>
      <c r="AK925" s="92"/>
      <c r="AL925" s="94"/>
      <c r="AM925" s="94"/>
      <c r="AN925" s="94"/>
      <c r="AO925" s="94"/>
      <c r="AP925" s="94"/>
      <c r="AQ925" s="94"/>
      <c r="AR925" s="94"/>
      <c r="AS925" s="94"/>
      <c r="AT925" s="94"/>
      <c r="AU925" s="92"/>
      <c r="AV925" s="94"/>
      <c r="AW925" s="94"/>
      <c r="AX925" s="94"/>
      <c r="AY925" s="94"/>
      <c r="AZ925" s="94"/>
      <c r="BA925" s="94"/>
      <c r="BB925" s="94"/>
      <c r="BC925" s="94"/>
      <c r="BD925" s="94"/>
      <c r="BE925" s="94"/>
      <c r="BF925" s="94"/>
      <c r="BG925" s="94"/>
      <c r="BH925" s="94"/>
      <c r="BI925" s="94"/>
      <c r="BJ925" s="94"/>
      <c r="BK925" s="94"/>
      <c r="BL925" s="92"/>
      <c r="BM925" s="94"/>
      <c r="BN925" s="94"/>
      <c r="BO925" s="94"/>
      <c r="BP925" s="94"/>
      <c r="BQ925" s="92"/>
      <c r="BR925" s="92"/>
      <c r="BS925" s="92"/>
      <c r="BT925" s="92"/>
      <c r="BU925" s="92"/>
      <c r="BV925" s="92"/>
      <c r="BW925" s="92"/>
      <c r="BX925" s="92"/>
      <c r="BY925" s="92"/>
      <c r="BZ925" s="92"/>
    </row>
    <row r="926" spans="1:78" ht="12.9">
      <c r="A926" s="89"/>
      <c r="B926" s="89"/>
      <c r="C926" s="89"/>
      <c r="D926" s="89"/>
      <c r="E926" s="89"/>
      <c r="F926" s="89"/>
      <c r="G926" s="89"/>
      <c r="H926" s="105"/>
      <c r="I926" s="106"/>
      <c r="J926" s="106"/>
      <c r="K926" s="89"/>
      <c r="L926" s="89"/>
      <c r="M926" s="89"/>
      <c r="N926" s="107"/>
      <c r="O926" s="107"/>
      <c r="P926" s="89"/>
      <c r="Q926" s="89"/>
      <c r="R926" s="89"/>
      <c r="S926" s="89"/>
      <c r="T926" s="89"/>
      <c r="U926" s="89"/>
      <c r="V926" s="89"/>
      <c r="W926" s="89"/>
      <c r="X926" s="89"/>
      <c r="Y926" s="89"/>
      <c r="Z926" s="77"/>
      <c r="AA926" s="77"/>
      <c r="AB926" s="94"/>
      <c r="AC926" s="94"/>
      <c r="AD926" s="94"/>
      <c r="AE926" s="94"/>
      <c r="AF926" s="91"/>
      <c r="AG926" s="92"/>
      <c r="AH926" s="92"/>
      <c r="AI926" s="93"/>
      <c r="AJ926" s="94"/>
      <c r="AK926" s="92"/>
      <c r="AL926" s="94"/>
      <c r="AM926" s="94"/>
      <c r="AN926" s="94"/>
      <c r="AO926" s="94"/>
      <c r="AP926" s="94"/>
      <c r="AQ926" s="94"/>
      <c r="AR926" s="94"/>
      <c r="AS926" s="94"/>
      <c r="AT926" s="94"/>
      <c r="AU926" s="92"/>
      <c r="AV926" s="94"/>
      <c r="AW926" s="94"/>
      <c r="AX926" s="94"/>
      <c r="AY926" s="94"/>
      <c r="AZ926" s="94"/>
      <c r="BA926" s="94"/>
      <c r="BB926" s="94"/>
      <c r="BC926" s="94"/>
      <c r="BD926" s="94"/>
      <c r="BE926" s="94"/>
      <c r="BF926" s="94"/>
      <c r="BG926" s="94"/>
      <c r="BH926" s="94"/>
      <c r="BI926" s="94"/>
      <c r="BJ926" s="94"/>
      <c r="BK926" s="94"/>
      <c r="BL926" s="92"/>
      <c r="BM926" s="94"/>
      <c r="BN926" s="94"/>
      <c r="BO926" s="94"/>
      <c r="BP926" s="94"/>
      <c r="BQ926" s="92"/>
      <c r="BR926" s="92"/>
      <c r="BS926" s="92"/>
      <c r="BT926" s="92"/>
      <c r="BU926" s="92"/>
      <c r="BV926" s="92"/>
      <c r="BW926" s="92"/>
      <c r="BX926" s="92"/>
      <c r="BY926" s="92"/>
      <c r="BZ926" s="92"/>
    </row>
    <row r="927" spans="1:78" ht="12.9">
      <c r="A927" s="89"/>
      <c r="B927" s="89"/>
      <c r="C927" s="89"/>
      <c r="D927" s="89"/>
      <c r="E927" s="89"/>
      <c r="F927" s="89"/>
      <c r="G927" s="89"/>
      <c r="H927" s="105"/>
      <c r="I927" s="106"/>
      <c r="J927" s="106"/>
      <c r="K927" s="89"/>
      <c r="L927" s="89"/>
      <c r="M927" s="89"/>
      <c r="N927" s="107"/>
      <c r="O927" s="107"/>
      <c r="P927" s="89"/>
      <c r="Q927" s="89"/>
      <c r="R927" s="89"/>
      <c r="S927" s="89"/>
      <c r="T927" s="89"/>
      <c r="U927" s="89"/>
      <c r="V927" s="89"/>
      <c r="W927" s="89"/>
      <c r="X927" s="89"/>
      <c r="Y927" s="89"/>
      <c r="Z927" s="77"/>
      <c r="AA927" s="77"/>
      <c r="AB927" s="94"/>
      <c r="AC927" s="94"/>
      <c r="AD927" s="94"/>
      <c r="AE927" s="94"/>
      <c r="AF927" s="91"/>
      <c r="AG927" s="92"/>
      <c r="AH927" s="92"/>
      <c r="AI927" s="93"/>
      <c r="AJ927" s="94"/>
      <c r="AK927" s="92"/>
      <c r="AL927" s="94"/>
      <c r="AM927" s="94"/>
      <c r="AN927" s="94"/>
      <c r="AO927" s="94"/>
      <c r="AP927" s="94"/>
      <c r="AQ927" s="94"/>
      <c r="AR927" s="94"/>
      <c r="AS927" s="94"/>
      <c r="AT927" s="94"/>
      <c r="AU927" s="92"/>
      <c r="AV927" s="94"/>
      <c r="AW927" s="94"/>
      <c r="AX927" s="94"/>
      <c r="AY927" s="94"/>
      <c r="AZ927" s="94"/>
      <c r="BA927" s="94"/>
      <c r="BB927" s="94"/>
      <c r="BC927" s="94"/>
      <c r="BD927" s="94"/>
      <c r="BE927" s="94"/>
      <c r="BF927" s="94"/>
      <c r="BG927" s="94"/>
      <c r="BH927" s="94"/>
      <c r="BI927" s="94"/>
      <c r="BJ927" s="94"/>
      <c r="BK927" s="94"/>
      <c r="BL927" s="92"/>
      <c r="BM927" s="94"/>
      <c r="BN927" s="94"/>
      <c r="BO927" s="94"/>
      <c r="BP927" s="94"/>
      <c r="BQ927" s="92"/>
      <c r="BR927" s="92"/>
      <c r="BS927" s="92"/>
      <c r="BT927" s="92"/>
      <c r="BU927" s="92"/>
      <c r="BV927" s="92"/>
      <c r="BW927" s="92"/>
      <c r="BX927" s="92"/>
      <c r="BY927" s="92"/>
      <c r="BZ927" s="92"/>
    </row>
    <row r="928" spans="1:78" ht="12.9">
      <c r="A928" s="89"/>
      <c r="B928" s="89"/>
      <c r="C928" s="89"/>
      <c r="D928" s="89"/>
      <c r="E928" s="89"/>
      <c r="F928" s="89"/>
      <c r="G928" s="89"/>
      <c r="H928" s="105"/>
      <c r="I928" s="106"/>
      <c r="J928" s="106"/>
      <c r="K928" s="89"/>
      <c r="L928" s="89"/>
      <c r="M928" s="89"/>
      <c r="N928" s="107"/>
      <c r="O928" s="107"/>
      <c r="P928" s="89"/>
      <c r="Q928" s="89"/>
      <c r="R928" s="89"/>
      <c r="S928" s="89"/>
      <c r="T928" s="89"/>
      <c r="U928" s="89"/>
      <c r="V928" s="89"/>
      <c r="W928" s="89"/>
      <c r="X928" s="89"/>
      <c r="Y928" s="89"/>
      <c r="Z928" s="77"/>
      <c r="AA928" s="77"/>
      <c r="AB928" s="94"/>
      <c r="AC928" s="94"/>
      <c r="AD928" s="94"/>
      <c r="AE928" s="94"/>
      <c r="AF928" s="91"/>
      <c r="AG928" s="92"/>
      <c r="AH928" s="92"/>
      <c r="AI928" s="93"/>
      <c r="AJ928" s="94"/>
      <c r="AK928" s="92"/>
      <c r="AL928" s="94"/>
      <c r="AM928" s="94"/>
      <c r="AN928" s="94"/>
      <c r="AO928" s="94"/>
      <c r="AP928" s="94"/>
      <c r="AQ928" s="94"/>
      <c r="AR928" s="94"/>
      <c r="AS928" s="94"/>
      <c r="AT928" s="94"/>
      <c r="AU928" s="92"/>
      <c r="AV928" s="94"/>
      <c r="AW928" s="94"/>
      <c r="AX928" s="94"/>
      <c r="AY928" s="94"/>
      <c r="AZ928" s="94"/>
      <c r="BA928" s="94"/>
      <c r="BB928" s="94"/>
      <c r="BC928" s="94"/>
      <c r="BD928" s="94"/>
      <c r="BE928" s="94"/>
      <c r="BF928" s="94"/>
      <c r="BG928" s="94"/>
      <c r="BH928" s="94"/>
      <c r="BI928" s="94"/>
      <c r="BJ928" s="94"/>
      <c r="BK928" s="94"/>
      <c r="BL928" s="92"/>
      <c r="BM928" s="94"/>
      <c r="BN928" s="94"/>
      <c r="BO928" s="94"/>
      <c r="BP928" s="94"/>
      <c r="BQ928" s="92"/>
      <c r="BR928" s="92"/>
      <c r="BS928" s="92"/>
      <c r="BT928" s="92"/>
      <c r="BU928" s="92"/>
      <c r="BV928" s="92"/>
      <c r="BW928" s="92"/>
      <c r="BX928" s="92"/>
      <c r="BY928" s="92"/>
      <c r="BZ928" s="92"/>
    </row>
    <row r="929" spans="1:78" ht="12.9">
      <c r="A929" s="89"/>
      <c r="B929" s="89"/>
      <c r="C929" s="89"/>
      <c r="D929" s="89"/>
      <c r="E929" s="89"/>
      <c r="F929" s="89"/>
      <c r="G929" s="89"/>
      <c r="H929" s="105"/>
      <c r="I929" s="106"/>
      <c r="J929" s="106"/>
      <c r="K929" s="89"/>
      <c r="L929" s="89"/>
      <c r="M929" s="89"/>
      <c r="N929" s="107"/>
      <c r="O929" s="107"/>
      <c r="P929" s="89"/>
      <c r="Q929" s="89"/>
      <c r="R929" s="89"/>
      <c r="S929" s="89"/>
      <c r="T929" s="89"/>
      <c r="U929" s="89"/>
      <c r="V929" s="89"/>
      <c r="W929" s="89"/>
      <c r="X929" s="89"/>
      <c r="Y929" s="89"/>
      <c r="Z929" s="77"/>
      <c r="AA929" s="77"/>
      <c r="AB929" s="94"/>
      <c r="AC929" s="94"/>
      <c r="AD929" s="94"/>
      <c r="AE929" s="94"/>
      <c r="AF929" s="91"/>
      <c r="AG929" s="92"/>
      <c r="AH929" s="92"/>
      <c r="AI929" s="93"/>
      <c r="AJ929" s="94"/>
      <c r="AK929" s="92"/>
      <c r="AL929" s="94"/>
      <c r="AM929" s="94"/>
      <c r="AN929" s="94"/>
      <c r="AO929" s="94"/>
      <c r="AP929" s="94"/>
      <c r="AQ929" s="94"/>
      <c r="AR929" s="94"/>
      <c r="AS929" s="94"/>
      <c r="AT929" s="94"/>
      <c r="AU929" s="92"/>
      <c r="AV929" s="94"/>
      <c r="AW929" s="94"/>
      <c r="AX929" s="94"/>
      <c r="AY929" s="94"/>
      <c r="AZ929" s="94"/>
      <c r="BA929" s="94"/>
      <c r="BB929" s="94"/>
      <c r="BC929" s="94"/>
      <c r="BD929" s="94"/>
      <c r="BE929" s="94"/>
      <c r="BF929" s="94"/>
      <c r="BG929" s="94"/>
      <c r="BH929" s="94"/>
      <c r="BI929" s="94"/>
      <c r="BJ929" s="94"/>
      <c r="BK929" s="94"/>
      <c r="BL929" s="92"/>
      <c r="BM929" s="94"/>
      <c r="BN929" s="94"/>
      <c r="BO929" s="94"/>
      <c r="BP929" s="94"/>
      <c r="BQ929" s="92"/>
      <c r="BR929" s="92"/>
      <c r="BS929" s="92"/>
      <c r="BT929" s="92"/>
      <c r="BU929" s="92"/>
      <c r="BV929" s="92"/>
      <c r="BW929" s="92"/>
      <c r="BX929" s="92"/>
      <c r="BY929" s="92"/>
      <c r="BZ929" s="92"/>
    </row>
    <row r="930" spans="1:78" ht="12.9">
      <c r="A930" s="89"/>
      <c r="B930" s="89"/>
      <c r="C930" s="89"/>
      <c r="D930" s="89"/>
      <c r="E930" s="89"/>
      <c r="F930" s="89"/>
      <c r="G930" s="89"/>
      <c r="H930" s="105"/>
      <c r="I930" s="106"/>
      <c r="J930" s="106"/>
      <c r="K930" s="89"/>
      <c r="L930" s="89"/>
      <c r="M930" s="89"/>
      <c r="N930" s="107"/>
      <c r="O930" s="107"/>
      <c r="P930" s="89"/>
      <c r="Q930" s="89"/>
      <c r="R930" s="89"/>
      <c r="S930" s="89"/>
      <c r="T930" s="89"/>
      <c r="U930" s="89"/>
      <c r="V930" s="89"/>
      <c r="W930" s="89"/>
      <c r="X930" s="89"/>
      <c r="Y930" s="89"/>
      <c r="Z930" s="77"/>
      <c r="AA930" s="77"/>
      <c r="AB930" s="94"/>
      <c r="AC930" s="94"/>
      <c r="AD930" s="94"/>
      <c r="AE930" s="94"/>
      <c r="AF930" s="91"/>
      <c r="AG930" s="92"/>
      <c r="AH930" s="92"/>
      <c r="AI930" s="93"/>
      <c r="AJ930" s="94"/>
      <c r="AK930" s="92"/>
      <c r="AL930" s="94"/>
      <c r="AM930" s="94"/>
      <c r="AN930" s="94"/>
      <c r="AO930" s="94"/>
      <c r="AP930" s="94"/>
      <c r="AQ930" s="94"/>
      <c r="AR930" s="94"/>
      <c r="AS930" s="94"/>
      <c r="AT930" s="94"/>
      <c r="AU930" s="92"/>
      <c r="AV930" s="94"/>
      <c r="AW930" s="94"/>
      <c r="AX930" s="94"/>
      <c r="AY930" s="94"/>
      <c r="AZ930" s="94"/>
      <c r="BA930" s="94"/>
      <c r="BB930" s="94"/>
      <c r="BC930" s="94"/>
      <c r="BD930" s="94"/>
      <c r="BE930" s="94"/>
      <c r="BF930" s="94"/>
      <c r="BG930" s="94"/>
      <c r="BH930" s="94"/>
      <c r="BI930" s="94"/>
      <c r="BJ930" s="94"/>
      <c r="BK930" s="94"/>
      <c r="BL930" s="92"/>
      <c r="BM930" s="94"/>
      <c r="BN930" s="94"/>
      <c r="BO930" s="94"/>
      <c r="BP930" s="94"/>
      <c r="BQ930" s="92"/>
      <c r="BR930" s="92"/>
      <c r="BS930" s="92"/>
      <c r="BT930" s="92"/>
      <c r="BU930" s="92"/>
      <c r="BV930" s="92"/>
      <c r="BW930" s="92"/>
      <c r="BX930" s="92"/>
      <c r="BY930" s="92"/>
      <c r="BZ930" s="92"/>
    </row>
    <row r="931" spans="1:78" ht="12.9">
      <c r="A931" s="89"/>
      <c r="B931" s="89"/>
      <c r="C931" s="89"/>
      <c r="D931" s="89"/>
      <c r="E931" s="89"/>
      <c r="F931" s="89"/>
      <c r="G931" s="89"/>
      <c r="H931" s="105"/>
      <c r="I931" s="106"/>
      <c r="J931" s="106"/>
      <c r="K931" s="89"/>
      <c r="L931" s="89"/>
      <c r="M931" s="89"/>
      <c r="N931" s="107"/>
      <c r="O931" s="107"/>
      <c r="P931" s="89"/>
      <c r="Q931" s="89"/>
      <c r="R931" s="89"/>
      <c r="S931" s="89"/>
      <c r="T931" s="89"/>
      <c r="U931" s="89"/>
      <c r="V931" s="89"/>
      <c r="W931" s="89"/>
      <c r="X931" s="89"/>
      <c r="Y931" s="89"/>
      <c r="Z931" s="77"/>
      <c r="AA931" s="77"/>
      <c r="AB931" s="94"/>
      <c r="AC931" s="94"/>
      <c r="AD931" s="94"/>
      <c r="AE931" s="94"/>
      <c r="AF931" s="91"/>
      <c r="AG931" s="92"/>
      <c r="AH931" s="92"/>
      <c r="AI931" s="93"/>
      <c r="AJ931" s="94"/>
      <c r="AK931" s="92"/>
      <c r="AL931" s="94"/>
      <c r="AM931" s="94"/>
      <c r="AN931" s="94"/>
      <c r="AO931" s="94"/>
      <c r="AP931" s="94"/>
      <c r="AQ931" s="94"/>
      <c r="AR931" s="94"/>
      <c r="AS931" s="94"/>
      <c r="AT931" s="94"/>
      <c r="AU931" s="92"/>
      <c r="AV931" s="94"/>
      <c r="AW931" s="94"/>
      <c r="AX931" s="94"/>
      <c r="AY931" s="94"/>
      <c r="AZ931" s="94"/>
      <c r="BA931" s="94"/>
      <c r="BB931" s="94"/>
      <c r="BC931" s="94"/>
      <c r="BD931" s="94"/>
      <c r="BE931" s="94"/>
      <c r="BF931" s="94"/>
      <c r="BG931" s="94"/>
      <c r="BH931" s="94"/>
      <c r="BI931" s="94"/>
      <c r="BJ931" s="94"/>
      <c r="BK931" s="94"/>
      <c r="BL931" s="92"/>
      <c r="BM931" s="94"/>
      <c r="BN931" s="94"/>
      <c r="BO931" s="94"/>
      <c r="BP931" s="94"/>
      <c r="BQ931" s="92"/>
      <c r="BR931" s="92"/>
      <c r="BS931" s="92"/>
      <c r="BT931" s="92"/>
      <c r="BU931" s="92"/>
      <c r="BV931" s="92"/>
      <c r="BW931" s="92"/>
      <c r="BX931" s="92"/>
      <c r="BY931" s="92"/>
      <c r="BZ931" s="92"/>
    </row>
    <row r="932" spans="1:78" ht="12.9">
      <c r="A932" s="89"/>
      <c r="B932" s="89"/>
      <c r="C932" s="89"/>
      <c r="D932" s="89"/>
      <c r="E932" s="89"/>
      <c r="F932" s="89"/>
      <c r="G932" s="89"/>
      <c r="H932" s="105"/>
      <c r="I932" s="106"/>
      <c r="J932" s="106"/>
      <c r="K932" s="89"/>
      <c r="L932" s="89"/>
      <c r="M932" s="89"/>
      <c r="N932" s="107"/>
      <c r="O932" s="107"/>
      <c r="P932" s="89"/>
      <c r="Q932" s="89"/>
      <c r="R932" s="89"/>
      <c r="S932" s="89"/>
      <c r="T932" s="89"/>
      <c r="U932" s="89"/>
      <c r="V932" s="89"/>
      <c r="W932" s="89"/>
      <c r="X932" s="89"/>
      <c r="Y932" s="89"/>
      <c r="Z932" s="77"/>
      <c r="AA932" s="77"/>
      <c r="AB932" s="94"/>
      <c r="AC932" s="94"/>
      <c r="AD932" s="94"/>
      <c r="AE932" s="94"/>
      <c r="AF932" s="91"/>
      <c r="AG932" s="92"/>
      <c r="AH932" s="92"/>
      <c r="AI932" s="93"/>
      <c r="AJ932" s="94"/>
      <c r="AK932" s="92"/>
      <c r="AL932" s="94"/>
      <c r="AM932" s="94"/>
      <c r="AN932" s="94"/>
      <c r="AO932" s="94"/>
      <c r="AP932" s="94"/>
      <c r="AQ932" s="94"/>
      <c r="AR932" s="94"/>
      <c r="AS932" s="94"/>
      <c r="AT932" s="94"/>
      <c r="AU932" s="92"/>
      <c r="AV932" s="94"/>
      <c r="AW932" s="94"/>
      <c r="AX932" s="94"/>
      <c r="AY932" s="94"/>
      <c r="AZ932" s="94"/>
      <c r="BA932" s="94"/>
      <c r="BB932" s="94"/>
      <c r="BC932" s="94"/>
      <c r="BD932" s="94"/>
      <c r="BE932" s="94"/>
      <c r="BF932" s="94"/>
      <c r="BG932" s="94"/>
      <c r="BH932" s="94"/>
      <c r="BI932" s="94"/>
      <c r="BJ932" s="94"/>
      <c r="BK932" s="94"/>
      <c r="BL932" s="92"/>
      <c r="BM932" s="94"/>
      <c r="BN932" s="94"/>
      <c r="BO932" s="94"/>
      <c r="BP932" s="94"/>
      <c r="BQ932" s="92"/>
      <c r="BR932" s="92"/>
      <c r="BS932" s="92"/>
      <c r="BT932" s="92"/>
      <c r="BU932" s="92"/>
      <c r="BV932" s="92"/>
      <c r="BW932" s="92"/>
      <c r="BX932" s="92"/>
      <c r="BY932" s="92"/>
      <c r="BZ932" s="92"/>
    </row>
    <row r="933" spans="1:78" ht="12.9">
      <c r="A933" s="89"/>
      <c r="B933" s="89"/>
      <c r="C933" s="89"/>
      <c r="D933" s="89"/>
      <c r="E933" s="89"/>
      <c r="F933" s="89"/>
      <c r="G933" s="89"/>
      <c r="H933" s="105"/>
      <c r="I933" s="106"/>
      <c r="J933" s="106"/>
      <c r="K933" s="89"/>
      <c r="L933" s="89"/>
      <c r="M933" s="89"/>
      <c r="N933" s="107"/>
      <c r="O933" s="107"/>
      <c r="P933" s="89"/>
      <c r="Q933" s="89"/>
      <c r="R933" s="89"/>
      <c r="S933" s="89"/>
      <c r="T933" s="89"/>
      <c r="U933" s="89"/>
      <c r="V933" s="89"/>
      <c r="W933" s="89"/>
      <c r="X933" s="89"/>
      <c r="Y933" s="89"/>
      <c r="Z933" s="77"/>
      <c r="AA933" s="77"/>
      <c r="AB933" s="94"/>
      <c r="AC933" s="94"/>
      <c r="AD933" s="94"/>
      <c r="AE933" s="94"/>
      <c r="AF933" s="91"/>
      <c r="AG933" s="92"/>
      <c r="AH933" s="92"/>
      <c r="AI933" s="93"/>
      <c r="AJ933" s="94"/>
      <c r="AK933" s="92"/>
      <c r="AL933" s="94"/>
      <c r="AM933" s="94"/>
      <c r="AN933" s="94"/>
      <c r="AO933" s="94"/>
      <c r="AP933" s="94"/>
      <c r="AQ933" s="94"/>
      <c r="AR933" s="94"/>
      <c r="AS933" s="94"/>
      <c r="AT933" s="94"/>
      <c r="AU933" s="92"/>
      <c r="AV933" s="94"/>
      <c r="AW933" s="94"/>
      <c r="AX933" s="94"/>
      <c r="AY933" s="94"/>
      <c r="AZ933" s="94"/>
      <c r="BA933" s="94"/>
      <c r="BB933" s="94"/>
      <c r="BC933" s="94"/>
      <c r="BD933" s="94"/>
      <c r="BE933" s="94"/>
      <c r="BF933" s="94"/>
      <c r="BG933" s="94"/>
      <c r="BH933" s="94"/>
      <c r="BI933" s="94"/>
      <c r="BJ933" s="94"/>
      <c r="BK933" s="94"/>
      <c r="BL933" s="92"/>
      <c r="BM933" s="94"/>
      <c r="BN933" s="94"/>
      <c r="BO933" s="94"/>
      <c r="BP933" s="94"/>
      <c r="BQ933" s="92"/>
      <c r="BR933" s="92"/>
      <c r="BS933" s="92"/>
      <c r="BT933" s="92"/>
      <c r="BU933" s="92"/>
      <c r="BV933" s="92"/>
      <c r="BW933" s="92"/>
      <c r="BX933" s="92"/>
      <c r="BY933" s="92"/>
      <c r="BZ933" s="92"/>
    </row>
    <row r="934" spans="1:78" ht="12.9">
      <c r="A934" s="89"/>
      <c r="B934" s="89"/>
      <c r="C934" s="89"/>
      <c r="D934" s="89"/>
      <c r="E934" s="89"/>
      <c r="F934" s="89"/>
      <c r="G934" s="89"/>
      <c r="H934" s="105"/>
      <c r="I934" s="106"/>
      <c r="J934" s="106"/>
      <c r="K934" s="89"/>
      <c r="L934" s="89"/>
      <c r="M934" s="89"/>
      <c r="N934" s="107"/>
      <c r="O934" s="107"/>
      <c r="P934" s="89"/>
      <c r="Q934" s="89"/>
      <c r="R934" s="89"/>
      <c r="S934" s="89"/>
      <c r="T934" s="89"/>
      <c r="U934" s="89"/>
      <c r="V934" s="89"/>
      <c r="W934" s="89"/>
      <c r="X934" s="89"/>
      <c r="Y934" s="89"/>
      <c r="Z934" s="77"/>
      <c r="AA934" s="77"/>
      <c r="AB934" s="94"/>
      <c r="AC934" s="94"/>
      <c r="AD934" s="94"/>
      <c r="AE934" s="94"/>
      <c r="AF934" s="91"/>
      <c r="AG934" s="92"/>
      <c r="AH934" s="92"/>
      <c r="AI934" s="93"/>
      <c r="AJ934" s="94"/>
      <c r="AK934" s="92"/>
      <c r="AL934" s="94"/>
      <c r="AM934" s="94"/>
      <c r="AN934" s="94"/>
      <c r="AO934" s="94"/>
      <c r="AP934" s="94"/>
      <c r="AQ934" s="94"/>
      <c r="AR934" s="94"/>
      <c r="AS934" s="94"/>
      <c r="AT934" s="94"/>
      <c r="AU934" s="92"/>
      <c r="AV934" s="94"/>
      <c r="AW934" s="94"/>
      <c r="AX934" s="94"/>
      <c r="AY934" s="94"/>
      <c r="AZ934" s="94"/>
      <c r="BA934" s="94"/>
      <c r="BB934" s="94"/>
      <c r="BC934" s="94"/>
      <c r="BD934" s="94"/>
      <c r="BE934" s="94"/>
      <c r="BF934" s="94"/>
      <c r="BG934" s="94"/>
      <c r="BH934" s="94"/>
      <c r="BI934" s="94"/>
      <c r="BJ934" s="94"/>
      <c r="BK934" s="94"/>
      <c r="BL934" s="92"/>
      <c r="BM934" s="94"/>
      <c r="BN934" s="94"/>
      <c r="BO934" s="94"/>
      <c r="BP934" s="94"/>
      <c r="BQ934" s="92"/>
      <c r="BR934" s="92"/>
      <c r="BS934" s="92"/>
      <c r="BT934" s="92"/>
      <c r="BU934" s="92"/>
      <c r="BV934" s="92"/>
      <c r="BW934" s="92"/>
      <c r="BX934" s="92"/>
      <c r="BY934" s="92"/>
      <c r="BZ934" s="92"/>
    </row>
    <row r="935" spans="1:78" ht="12.9">
      <c r="A935" s="89"/>
      <c r="B935" s="89"/>
      <c r="C935" s="89"/>
      <c r="D935" s="89"/>
      <c r="E935" s="89"/>
      <c r="F935" s="89"/>
      <c r="G935" s="89"/>
      <c r="H935" s="105"/>
      <c r="I935" s="106"/>
      <c r="J935" s="106"/>
      <c r="K935" s="89"/>
      <c r="L935" s="89"/>
      <c r="M935" s="89"/>
      <c r="N935" s="107"/>
      <c r="O935" s="107"/>
      <c r="P935" s="89"/>
      <c r="Q935" s="89"/>
      <c r="R935" s="89"/>
      <c r="S935" s="89"/>
      <c r="T935" s="89"/>
      <c r="U935" s="89"/>
      <c r="V935" s="89"/>
      <c r="W935" s="89"/>
      <c r="X935" s="89"/>
      <c r="Y935" s="89"/>
      <c r="Z935" s="77"/>
      <c r="AA935" s="77"/>
      <c r="AB935" s="94"/>
      <c r="AC935" s="94"/>
      <c r="AD935" s="94"/>
      <c r="AE935" s="94"/>
      <c r="AF935" s="91"/>
      <c r="AG935" s="92"/>
      <c r="AH935" s="92"/>
      <c r="AI935" s="93"/>
      <c r="AJ935" s="94"/>
      <c r="AK935" s="92"/>
      <c r="AL935" s="94"/>
      <c r="AM935" s="94"/>
      <c r="AN935" s="94"/>
      <c r="AO935" s="94"/>
      <c r="AP935" s="94"/>
      <c r="AQ935" s="94"/>
      <c r="AR935" s="94"/>
      <c r="AS935" s="94"/>
      <c r="AT935" s="94"/>
      <c r="AU935" s="92"/>
      <c r="AV935" s="94"/>
      <c r="AW935" s="94"/>
      <c r="AX935" s="94"/>
      <c r="AY935" s="94"/>
      <c r="AZ935" s="94"/>
      <c r="BA935" s="94"/>
      <c r="BB935" s="94"/>
      <c r="BC935" s="94"/>
      <c r="BD935" s="94"/>
      <c r="BE935" s="94"/>
      <c r="BF935" s="94"/>
      <c r="BG935" s="94"/>
      <c r="BH935" s="94"/>
      <c r="BI935" s="94"/>
      <c r="BJ935" s="94"/>
      <c r="BK935" s="94"/>
      <c r="BL935" s="92"/>
      <c r="BM935" s="94"/>
      <c r="BN935" s="94"/>
      <c r="BO935" s="94"/>
      <c r="BP935" s="94"/>
      <c r="BQ935" s="92"/>
      <c r="BR935" s="92"/>
      <c r="BS935" s="92"/>
      <c r="BT935" s="92"/>
      <c r="BU935" s="92"/>
      <c r="BV935" s="92"/>
      <c r="BW935" s="92"/>
      <c r="BX935" s="92"/>
      <c r="BY935" s="92"/>
      <c r="BZ935" s="92"/>
    </row>
    <row r="936" spans="1:78" ht="12.9">
      <c r="A936" s="89"/>
      <c r="B936" s="89"/>
      <c r="C936" s="89"/>
      <c r="D936" s="89"/>
      <c r="E936" s="89"/>
      <c r="F936" s="89"/>
      <c r="G936" s="89"/>
      <c r="H936" s="105"/>
      <c r="I936" s="106"/>
      <c r="J936" s="106"/>
      <c r="K936" s="89"/>
      <c r="L936" s="89"/>
      <c r="M936" s="89"/>
      <c r="N936" s="107"/>
      <c r="O936" s="107"/>
      <c r="P936" s="89"/>
      <c r="Q936" s="89"/>
      <c r="R936" s="89"/>
      <c r="S936" s="89"/>
      <c r="T936" s="89"/>
      <c r="U936" s="89"/>
      <c r="V936" s="89"/>
      <c r="W936" s="89"/>
      <c r="X936" s="89"/>
      <c r="Y936" s="89"/>
      <c r="Z936" s="77"/>
      <c r="AA936" s="77"/>
      <c r="AB936" s="94"/>
      <c r="AC936" s="94"/>
      <c r="AD936" s="94"/>
      <c r="AE936" s="94"/>
      <c r="AF936" s="91"/>
      <c r="AG936" s="92"/>
      <c r="AH936" s="92"/>
      <c r="AI936" s="93"/>
      <c r="AJ936" s="94"/>
      <c r="AK936" s="92"/>
      <c r="AL936" s="94"/>
      <c r="AM936" s="94"/>
      <c r="AN936" s="94"/>
      <c r="AO936" s="94"/>
      <c r="AP936" s="94"/>
      <c r="AQ936" s="94"/>
      <c r="AR936" s="94"/>
      <c r="AS936" s="94"/>
      <c r="AT936" s="94"/>
      <c r="AU936" s="92"/>
      <c r="AV936" s="94"/>
      <c r="AW936" s="94"/>
      <c r="AX936" s="94"/>
      <c r="AY936" s="94"/>
      <c r="AZ936" s="94"/>
      <c r="BA936" s="94"/>
      <c r="BB936" s="94"/>
      <c r="BC936" s="94"/>
      <c r="BD936" s="94"/>
      <c r="BE936" s="94"/>
      <c r="BF936" s="94"/>
      <c r="BG936" s="94"/>
      <c r="BH936" s="94"/>
      <c r="BI936" s="94"/>
      <c r="BJ936" s="94"/>
      <c r="BK936" s="94"/>
      <c r="BL936" s="92"/>
      <c r="BM936" s="94"/>
      <c r="BN936" s="94"/>
      <c r="BO936" s="94"/>
      <c r="BP936" s="94"/>
      <c r="BQ936" s="92"/>
      <c r="BR936" s="92"/>
      <c r="BS936" s="92"/>
      <c r="BT936" s="92"/>
      <c r="BU936" s="92"/>
      <c r="BV936" s="92"/>
      <c r="BW936" s="92"/>
      <c r="BX936" s="92"/>
      <c r="BY936" s="92"/>
      <c r="BZ936" s="92"/>
    </row>
    <row r="937" spans="1:78" ht="12.9">
      <c r="A937" s="89"/>
      <c r="B937" s="89"/>
      <c r="C937" s="89"/>
      <c r="D937" s="89"/>
      <c r="E937" s="89"/>
      <c r="F937" s="89"/>
      <c r="G937" s="89"/>
      <c r="H937" s="105"/>
      <c r="I937" s="106"/>
      <c r="J937" s="106"/>
      <c r="K937" s="89"/>
      <c r="L937" s="89"/>
      <c r="M937" s="89"/>
      <c r="N937" s="107"/>
      <c r="O937" s="107"/>
      <c r="P937" s="89"/>
      <c r="Q937" s="89"/>
      <c r="R937" s="89"/>
      <c r="S937" s="89"/>
      <c r="T937" s="89"/>
      <c r="U937" s="89"/>
      <c r="V937" s="89"/>
      <c r="W937" s="89"/>
      <c r="X937" s="89"/>
      <c r="Y937" s="89"/>
      <c r="Z937" s="77"/>
      <c r="AA937" s="77"/>
      <c r="AB937" s="94"/>
      <c r="AC937" s="94"/>
      <c r="AD937" s="94"/>
      <c r="AE937" s="94"/>
      <c r="AF937" s="91"/>
      <c r="AG937" s="92"/>
      <c r="AH937" s="92"/>
      <c r="AI937" s="93"/>
      <c r="AJ937" s="94"/>
      <c r="AK937" s="92"/>
      <c r="AL937" s="94"/>
      <c r="AM937" s="94"/>
      <c r="AN937" s="94"/>
      <c r="AO937" s="94"/>
      <c r="AP937" s="94"/>
      <c r="AQ937" s="94"/>
      <c r="AR937" s="94"/>
      <c r="AS937" s="94"/>
      <c r="AT937" s="94"/>
      <c r="AU937" s="92"/>
      <c r="AV937" s="94"/>
      <c r="AW937" s="94"/>
      <c r="AX937" s="94"/>
      <c r="AY937" s="94"/>
      <c r="AZ937" s="94"/>
      <c r="BA937" s="94"/>
      <c r="BB937" s="94"/>
      <c r="BC937" s="94"/>
      <c r="BD937" s="94"/>
      <c r="BE937" s="94"/>
      <c r="BF937" s="94"/>
      <c r="BG937" s="94"/>
      <c r="BH937" s="94"/>
      <c r="BI937" s="94"/>
      <c r="BJ937" s="94"/>
      <c r="BK937" s="94"/>
      <c r="BL937" s="92"/>
      <c r="BM937" s="94"/>
      <c r="BN937" s="94"/>
      <c r="BO937" s="94"/>
      <c r="BP937" s="94"/>
      <c r="BQ937" s="92"/>
      <c r="BR937" s="92"/>
      <c r="BS937" s="92"/>
      <c r="BT937" s="92"/>
      <c r="BU937" s="92"/>
      <c r="BV937" s="92"/>
      <c r="BW937" s="92"/>
      <c r="BX937" s="92"/>
      <c r="BY937" s="92"/>
      <c r="BZ937" s="92"/>
    </row>
    <row r="938" spans="1:78" ht="12.9">
      <c r="A938" s="89"/>
      <c r="B938" s="89"/>
      <c r="C938" s="89"/>
      <c r="D938" s="89"/>
      <c r="E938" s="89"/>
      <c r="F938" s="89"/>
      <c r="G938" s="89"/>
      <c r="H938" s="105"/>
      <c r="I938" s="106"/>
      <c r="J938" s="106"/>
      <c r="K938" s="89"/>
      <c r="L938" s="89"/>
      <c r="M938" s="89"/>
      <c r="N938" s="107"/>
      <c r="O938" s="107"/>
      <c r="P938" s="89"/>
      <c r="Q938" s="89"/>
      <c r="R938" s="89"/>
      <c r="S938" s="89"/>
      <c r="T938" s="89"/>
      <c r="U938" s="89"/>
      <c r="V938" s="89"/>
      <c r="W938" s="89"/>
      <c r="X938" s="89"/>
      <c r="Y938" s="89"/>
      <c r="Z938" s="77"/>
      <c r="AA938" s="77"/>
      <c r="AB938" s="94"/>
      <c r="AC938" s="94"/>
      <c r="AD938" s="94"/>
      <c r="AE938" s="94"/>
      <c r="AF938" s="91"/>
      <c r="AG938" s="92"/>
      <c r="AH938" s="92"/>
      <c r="AI938" s="93"/>
      <c r="AJ938" s="94"/>
      <c r="AK938" s="92"/>
      <c r="AL938" s="94"/>
      <c r="AM938" s="94"/>
      <c r="AN938" s="94"/>
      <c r="AO938" s="94"/>
      <c r="AP938" s="94"/>
      <c r="AQ938" s="94"/>
      <c r="AR938" s="94"/>
      <c r="AS938" s="94"/>
      <c r="AT938" s="94"/>
      <c r="AU938" s="92"/>
      <c r="AV938" s="94"/>
      <c r="AW938" s="94"/>
      <c r="AX938" s="94"/>
      <c r="AY938" s="94"/>
      <c r="AZ938" s="94"/>
      <c r="BA938" s="94"/>
      <c r="BB938" s="94"/>
      <c r="BC938" s="94"/>
      <c r="BD938" s="94"/>
      <c r="BE938" s="94"/>
      <c r="BF938" s="94"/>
      <c r="BG938" s="94"/>
      <c r="BH938" s="94"/>
      <c r="BI938" s="94"/>
      <c r="BJ938" s="94"/>
      <c r="BK938" s="94"/>
      <c r="BL938" s="92"/>
      <c r="BM938" s="94"/>
      <c r="BN938" s="94"/>
      <c r="BO938" s="94"/>
      <c r="BP938" s="94"/>
      <c r="BQ938" s="92"/>
      <c r="BR938" s="92"/>
      <c r="BS938" s="92"/>
      <c r="BT938" s="92"/>
      <c r="BU938" s="92"/>
      <c r="BV938" s="92"/>
      <c r="BW938" s="92"/>
      <c r="BX938" s="92"/>
      <c r="BY938" s="92"/>
      <c r="BZ938" s="92"/>
    </row>
    <row r="939" spans="1:78" ht="12.9">
      <c r="A939" s="89"/>
      <c r="B939" s="89"/>
      <c r="C939" s="89"/>
      <c r="D939" s="89"/>
      <c r="E939" s="89"/>
      <c r="F939" s="89"/>
      <c r="G939" s="89"/>
      <c r="H939" s="105"/>
      <c r="I939" s="106"/>
      <c r="J939" s="106"/>
      <c r="K939" s="89"/>
      <c r="L939" s="89"/>
      <c r="M939" s="89"/>
      <c r="N939" s="107"/>
      <c r="O939" s="107"/>
      <c r="P939" s="89"/>
      <c r="Q939" s="89"/>
      <c r="R939" s="89"/>
      <c r="S939" s="89"/>
      <c r="T939" s="89"/>
      <c r="U939" s="89"/>
      <c r="V939" s="89"/>
      <c r="W939" s="89"/>
      <c r="X939" s="89"/>
      <c r="Y939" s="89"/>
      <c r="Z939" s="77"/>
      <c r="AA939" s="77"/>
      <c r="AB939" s="94"/>
      <c r="AC939" s="94"/>
      <c r="AD939" s="94"/>
      <c r="AE939" s="94"/>
      <c r="AF939" s="91"/>
      <c r="AG939" s="92"/>
      <c r="AH939" s="92"/>
      <c r="AI939" s="93"/>
      <c r="AJ939" s="94"/>
      <c r="AK939" s="92"/>
      <c r="AL939" s="94"/>
      <c r="AM939" s="94"/>
      <c r="AN939" s="94"/>
      <c r="AO939" s="94"/>
      <c r="AP939" s="94"/>
      <c r="AQ939" s="94"/>
      <c r="AR939" s="94"/>
      <c r="AS939" s="94"/>
      <c r="AT939" s="94"/>
      <c r="AU939" s="92"/>
      <c r="AV939" s="94"/>
      <c r="AW939" s="94"/>
      <c r="AX939" s="94"/>
      <c r="AY939" s="94"/>
      <c r="AZ939" s="94"/>
      <c r="BA939" s="94"/>
      <c r="BB939" s="94"/>
      <c r="BC939" s="94"/>
      <c r="BD939" s="94"/>
      <c r="BE939" s="94"/>
      <c r="BF939" s="94"/>
      <c r="BG939" s="94"/>
      <c r="BH939" s="94"/>
      <c r="BI939" s="94"/>
      <c r="BJ939" s="94"/>
      <c r="BK939" s="94"/>
      <c r="BL939" s="92"/>
      <c r="BM939" s="94"/>
      <c r="BN939" s="94"/>
      <c r="BO939" s="94"/>
      <c r="BP939" s="94"/>
      <c r="BQ939" s="92"/>
      <c r="BR939" s="92"/>
      <c r="BS939" s="92"/>
      <c r="BT939" s="92"/>
      <c r="BU939" s="92"/>
      <c r="BV939" s="92"/>
      <c r="BW939" s="92"/>
      <c r="BX939" s="92"/>
      <c r="BY939" s="92"/>
      <c r="BZ939" s="92"/>
    </row>
    <row r="940" spans="1:78" ht="12.9">
      <c r="A940" s="89"/>
      <c r="B940" s="89"/>
      <c r="C940" s="89"/>
      <c r="D940" s="89"/>
      <c r="E940" s="89"/>
      <c r="F940" s="89"/>
      <c r="G940" s="89"/>
      <c r="H940" s="105"/>
      <c r="I940" s="106"/>
      <c r="J940" s="106"/>
      <c r="K940" s="89"/>
      <c r="L940" s="89"/>
      <c r="M940" s="89"/>
      <c r="N940" s="107"/>
      <c r="O940" s="107"/>
      <c r="P940" s="89"/>
      <c r="Q940" s="89"/>
      <c r="R940" s="89"/>
      <c r="S940" s="89"/>
      <c r="T940" s="89"/>
      <c r="U940" s="89"/>
      <c r="V940" s="89"/>
      <c r="W940" s="89"/>
      <c r="X940" s="89"/>
      <c r="Y940" s="89"/>
      <c r="Z940" s="77"/>
      <c r="AA940" s="77"/>
      <c r="AB940" s="94"/>
      <c r="AC940" s="94"/>
      <c r="AD940" s="94"/>
      <c r="AE940" s="94"/>
      <c r="AF940" s="91"/>
      <c r="AG940" s="92"/>
      <c r="AH940" s="92"/>
      <c r="AI940" s="93"/>
      <c r="AJ940" s="94"/>
      <c r="AK940" s="92"/>
      <c r="AL940" s="94"/>
      <c r="AM940" s="94"/>
      <c r="AN940" s="94"/>
      <c r="AO940" s="94"/>
      <c r="AP940" s="94"/>
      <c r="AQ940" s="94"/>
      <c r="AR940" s="94"/>
      <c r="AS940" s="94"/>
      <c r="AT940" s="94"/>
      <c r="AU940" s="92"/>
      <c r="AV940" s="94"/>
      <c r="AW940" s="94"/>
      <c r="AX940" s="94"/>
      <c r="AY940" s="94"/>
      <c r="AZ940" s="94"/>
      <c r="BA940" s="94"/>
      <c r="BB940" s="94"/>
      <c r="BC940" s="94"/>
      <c r="BD940" s="94"/>
      <c r="BE940" s="94"/>
      <c r="BF940" s="94"/>
      <c r="BG940" s="94"/>
      <c r="BH940" s="94"/>
      <c r="BI940" s="94"/>
      <c r="BJ940" s="94"/>
      <c r="BK940" s="94"/>
      <c r="BL940" s="92"/>
      <c r="BM940" s="94"/>
      <c r="BN940" s="94"/>
      <c r="BO940" s="94"/>
      <c r="BP940" s="94"/>
      <c r="BQ940" s="92"/>
      <c r="BR940" s="92"/>
      <c r="BS940" s="92"/>
      <c r="BT940" s="92"/>
      <c r="BU940" s="92"/>
      <c r="BV940" s="92"/>
      <c r="BW940" s="92"/>
      <c r="BX940" s="92"/>
      <c r="BY940" s="92"/>
      <c r="BZ940" s="92"/>
    </row>
    <row r="941" spans="1:78" ht="12.9">
      <c r="A941" s="89"/>
      <c r="B941" s="89"/>
      <c r="C941" s="89"/>
      <c r="D941" s="89"/>
      <c r="E941" s="89"/>
      <c r="F941" s="89"/>
      <c r="G941" s="89"/>
      <c r="H941" s="105"/>
      <c r="I941" s="106"/>
      <c r="J941" s="106"/>
      <c r="K941" s="89"/>
      <c r="L941" s="89"/>
      <c r="M941" s="89"/>
      <c r="N941" s="107"/>
      <c r="O941" s="107"/>
      <c r="P941" s="89"/>
      <c r="Q941" s="89"/>
      <c r="R941" s="89"/>
      <c r="S941" s="89"/>
      <c r="T941" s="89"/>
      <c r="U941" s="89"/>
      <c r="V941" s="89"/>
      <c r="W941" s="89"/>
      <c r="X941" s="89"/>
      <c r="Y941" s="89"/>
      <c r="Z941" s="77"/>
      <c r="AA941" s="77"/>
      <c r="AB941" s="94"/>
      <c r="AC941" s="94"/>
      <c r="AD941" s="94"/>
      <c r="AE941" s="94"/>
      <c r="AF941" s="91"/>
      <c r="AG941" s="92"/>
      <c r="AH941" s="92"/>
      <c r="AI941" s="93"/>
      <c r="AJ941" s="94"/>
      <c r="AK941" s="92"/>
      <c r="AL941" s="94"/>
      <c r="AM941" s="94"/>
      <c r="AN941" s="94"/>
      <c r="AO941" s="94"/>
      <c r="AP941" s="94"/>
      <c r="AQ941" s="94"/>
      <c r="AR941" s="94"/>
      <c r="AS941" s="94"/>
      <c r="AT941" s="94"/>
      <c r="AU941" s="92"/>
      <c r="AV941" s="94"/>
      <c r="AW941" s="94"/>
      <c r="AX941" s="94"/>
      <c r="AY941" s="94"/>
      <c r="AZ941" s="94"/>
      <c r="BA941" s="94"/>
      <c r="BB941" s="94"/>
      <c r="BC941" s="94"/>
      <c r="BD941" s="94"/>
      <c r="BE941" s="94"/>
      <c r="BF941" s="94"/>
      <c r="BG941" s="94"/>
      <c r="BH941" s="94"/>
      <c r="BI941" s="94"/>
      <c r="BJ941" s="94"/>
      <c r="BK941" s="94"/>
      <c r="BL941" s="92"/>
      <c r="BM941" s="94"/>
      <c r="BN941" s="94"/>
      <c r="BO941" s="94"/>
      <c r="BP941" s="94"/>
      <c r="BQ941" s="92"/>
      <c r="BR941" s="92"/>
      <c r="BS941" s="92"/>
      <c r="BT941" s="92"/>
      <c r="BU941" s="92"/>
      <c r="BV941" s="92"/>
      <c r="BW941" s="92"/>
      <c r="BX941" s="92"/>
      <c r="BY941" s="92"/>
      <c r="BZ941" s="92"/>
    </row>
    <row r="942" spans="1:78" ht="12.9">
      <c r="A942" s="89"/>
      <c r="B942" s="89"/>
      <c r="C942" s="89"/>
      <c r="D942" s="89"/>
      <c r="E942" s="89"/>
      <c r="F942" s="89"/>
      <c r="G942" s="89"/>
      <c r="H942" s="105"/>
      <c r="I942" s="106"/>
      <c r="J942" s="106"/>
      <c r="K942" s="89"/>
      <c r="L942" s="89"/>
      <c r="M942" s="89"/>
      <c r="N942" s="107"/>
      <c r="O942" s="107"/>
      <c r="P942" s="89"/>
      <c r="Q942" s="89"/>
      <c r="R942" s="89"/>
      <c r="S942" s="89"/>
      <c r="T942" s="89"/>
      <c r="U942" s="89"/>
      <c r="V942" s="89"/>
      <c r="W942" s="89"/>
      <c r="X942" s="89"/>
      <c r="Y942" s="89"/>
      <c r="Z942" s="77"/>
      <c r="AA942" s="77"/>
      <c r="AB942" s="94"/>
      <c r="AC942" s="94"/>
      <c r="AD942" s="94"/>
      <c r="AE942" s="94"/>
      <c r="AF942" s="91"/>
      <c r="AG942" s="92"/>
      <c r="AH942" s="92"/>
      <c r="AI942" s="93"/>
      <c r="AJ942" s="94"/>
      <c r="AK942" s="92"/>
      <c r="AL942" s="94"/>
      <c r="AM942" s="94"/>
      <c r="AN942" s="94"/>
      <c r="AO942" s="94"/>
      <c r="AP942" s="94"/>
      <c r="AQ942" s="94"/>
      <c r="AR942" s="94"/>
      <c r="AS942" s="94"/>
      <c r="AT942" s="94"/>
      <c r="AU942" s="92"/>
      <c r="AV942" s="94"/>
      <c r="AW942" s="94"/>
      <c r="AX942" s="94"/>
      <c r="AY942" s="94"/>
      <c r="AZ942" s="94"/>
      <c r="BA942" s="94"/>
      <c r="BB942" s="94"/>
      <c r="BC942" s="94"/>
      <c r="BD942" s="94"/>
      <c r="BE942" s="94"/>
      <c r="BF942" s="94"/>
      <c r="BG942" s="94"/>
      <c r="BH942" s="94"/>
      <c r="BI942" s="94"/>
      <c r="BJ942" s="94"/>
      <c r="BK942" s="94"/>
      <c r="BL942" s="92"/>
      <c r="BM942" s="94"/>
      <c r="BN942" s="94"/>
      <c r="BO942" s="94"/>
      <c r="BP942" s="94"/>
      <c r="BQ942" s="92"/>
      <c r="BR942" s="92"/>
      <c r="BS942" s="92"/>
      <c r="BT942" s="92"/>
      <c r="BU942" s="92"/>
      <c r="BV942" s="92"/>
      <c r="BW942" s="92"/>
      <c r="BX942" s="92"/>
      <c r="BY942" s="92"/>
      <c r="BZ942" s="92"/>
    </row>
    <row r="943" spans="1:78" ht="12.9">
      <c r="A943" s="89"/>
      <c r="B943" s="89"/>
      <c r="C943" s="89"/>
      <c r="D943" s="89"/>
      <c r="E943" s="89"/>
      <c r="F943" s="89"/>
      <c r="G943" s="89"/>
      <c r="H943" s="105"/>
      <c r="I943" s="106"/>
      <c r="J943" s="106"/>
      <c r="K943" s="89"/>
      <c r="L943" s="89"/>
      <c r="M943" s="89"/>
      <c r="N943" s="107"/>
      <c r="O943" s="107"/>
      <c r="P943" s="89"/>
      <c r="Q943" s="89"/>
      <c r="R943" s="89"/>
      <c r="S943" s="89"/>
      <c r="T943" s="89"/>
      <c r="U943" s="89"/>
      <c r="V943" s="89"/>
      <c r="W943" s="89"/>
      <c r="X943" s="89"/>
      <c r="Y943" s="89"/>
      <c r="Z943" s="77"/>
      <c r="AA943" s="77"/>
      <c r="AB943" s="94"/>
      <c r="AC943" s="94"/>
      <c r="AD943" s="94"/>
      <c r="AE943" s="94"/>
      <c r="AF943" s="91"/>
      <c r="AG943" s="92"/>
      <c r="AH943" s="92"/>
      <c r="AI943" s="93"/>
      <c r="AJ943" s="94"/>
      <c r="AK943" s="92"/>
      <c r="AL943" s="94"/>
      <c r="AM943" s="94"/>
      <c r="AN943" s="94"/>
      <c r="AO943" s="94"/>
      <c r="AP943" s="94"/>
      <c r="AQ943" s="94"/>
      <c r="AR943" s="94"/>
      <c r="AS943" s="94"/>
      <c r="AT943" s="94"/>
      <c r="AU943" s="92"/>
      <c r="AV943" s="94"/>
      <c r="AW943" s="94"/>
      <c r="AX943" s="94"/>
      <c r="AY943" s="94"/>
      <c r="AZ943" s="94"/>
      <c r="BA943" s="94"/>
      <c r="BB943" s="94"/>
      <c r="BC943" s="94"/>
      <c r="BD943" s="94"/>
      <c r="BE943" s="94"/>
      <c r="BF943" s="94"/>
      <c r="BG943" s="94"/>
      <c r="BH943" s="94"/>
      <c r="BI943" s="94"/>
      <c r="BJ943" s="94"/>
      <c r="BK943" s="94"/>
      <c r="BL943" s="92"/>
      <c r="BM943" s="94"/>
      <c r="BN943" s="94"/>
      <c r="BO943" s="94"/>
      <c r="BP943" s="94"/>
      <c r="BQ943" s="92"/>
      <c r="BR943" s="92"/>
      <c r="BS943" s="92"/>
      <c r="BT943" s="92"/>
      <c r="BU943" s="92"/>
      <c r="BV943" s="92"/>
      <c r="BW943" s="92"/>
      <c r="BX943" s="92"/>
      <c r="BY943" s="92"/>
      <c r="BZ943" s="92"/>
    </row>
    <row r="944" spans="1:78" ht="12.9">
      <c r="A944" s="89"/>
      <c r="B944" s="89"/>
      <c r="C944" s="89"/>
      <c r="D944" s="89"/>
      <c r="E944" s="89"/>
      <c r="F944" s="89"/>
      <c r="G944" s="89"/>
      <c r="H944" s="105"/>
      <c r="I944" s="106"/>
      <c r="J944" s="106"/>
      <c r="K944" s="89"/>
      <c r="L944" s="89"/>
      <c r="M944" s="89"/>
      <c r="N944" s="107"/>
      <c r="O944" s="107"/>
      <c r="P944" s="89"/>
      <c r="Q944" s="89"/>
      <c r="R944" s="89"/>
      <c r="S944" s="89"/>
      <c r="T944" s="89"/>
      <c r="U944" s="89"/>
      <c r="V944" s="89"/>
      <c r="W944" s="89"/>
      <c r="X944" s="89"/>
      <c r="Y944" s="89"/>
      <c r="Z944" s="77"/>
      <c r="AA944" s="77"/>
      <c r="AB944" s="94"/>
      <c r="AC944" s="94"/>
      <c r="AD944" s="94"/>
      <c r="AE944" s="94"/>
      <c r="AF944" s="91"/>
      <c r="AG944" s="92"/>
      <c r="AH944" s="92"/>
      <c r="AI944" s="93"/>
      <c r="AJ944" s="94"/>
      <c r="AK944" s="92"/>
      <c r="AL944" s="94"/>
      <c r="AM944" s="94"/>
      <c r="AN944" s="94"/>
      <c r="AO944" s="94"/>
      <c r="AP944" s="94"/>
      <c r="AQ944" s="94"/>
      <c r="AR944" s="94"/>
      <c r="AS944" s="94"/>
      <c r="AT944" s="94"/>
      <c r="AU944" s="92"/>
      <c r="AV944" s="94"/>
      <c r="AW944" s="94"/>
      <c r="AX944" s="94"/>
      <c r="AY944" s="94"/>
      <c r="AZ944" s="94"/>
      <c r="BA944" s="94"/>
      <c r="BB944" s="94"/>
      <c r="BC944" s="94"/>
      <c r="BD944" s="94"/>
      <c r="BE944" s="94"/>
      <c r="BF944" s="94"/>
      <c r="BG944" s="94"/>
      <c r="BH944" s="94"/>
      <c r="BI944" s="94"/>
      <c r="BJ944" s="94"/>
      <c r="BK944" s="94"/>
      <c r="BL944" s="92"/>
      <c r="BM944" s="94"/>
      <c r="BN944" s="94"/>
      <c r="BO944" s="94"/>
      <c r="BP944" s="94"/>
      <c r="BQ944" s="92"/>
      <c r="BR944" s="92"/>
      <c r="BS944" s="92"/>
      <c r="BT944" s="92"/>
      <c r="BU944" s="92"/>
      <c r="BV944" s="92"/>
      <c r="BW944" s="92"/>
      <c r="BX944" s="92"/>
      <c r="BY944" s="92"/>
      <c r="BZ944" s="92"/>
    </row>
    <row r="945" spans="1:78" ht="12.9">
      <c r="A945" s="89"/>
      <c r="B945" s="89"/>
      <c r="C945" s="89"/>
      <c r="D945" s="89"/>
      <c r="E945" s="89"/>
      <c r="F945" s="89"/>
      <c r="G945" s="89"/>
      <c r="H945" s="105"/>
      <c r="I945" s="106"/>
      <c r="J945" s="106"/>
      <c r="K945" s="89"/>
      <c r="L945" s="89"/>
      <c r="M945" s="89"/>
      <c r="N945" s="107"/>
      <c r="O945" s="107"/>
      <c r="P945" s="89"/>
      <c r="Q945" s="89"/>
      <c r="R945" s="89"/>
      <c r="S945" s="89"/>
      <c r="T945" s="89"/>
      <c r="U945" s="89"/>
      <c r="V945" s="89"/>
      <c r="W945" s="89"/>
      <c r="X945" s="89"/>
      <c r="Y945" s="89"/>
      <c r="Z945" s="77"/>
      <c r="AA945" s="77"/>
      <c r="AB945" s="94"/>
      <c r="AC945" s="94"/>
      <c r="AD945" s="94"/>
      <c r="AE945" s="94"/>
      <c r="AF945" s="91"/>
      <c r="AG945" s="92"/>
      <c r="AH945" s="92"/>
      <c r="AI945" s="93"/>
      <c r="AJ945" s="94"/>
      <c r="AK945" s="92"/>
      <c r="AL945" s="94"/>
      <c r="AM945" s="94"/>
      <c r="AN945" s="94"/>
      <c r="AO945" s="94"/>
      <c r="AP945" s="94"/>
      <c r="AQ945" s="94"/>
      <c r="AR945" s="94"/>
      <c r="AS945" s="94"/>
      <c r="AT945" s="94"/>
      <c r="AU945" s="92"/>
      <c r="AV945" s="94"/>
      <c r="AW945" s="94"/>
      <c r="AX945" s="94"/>
      <c r="AY945" s="94"/>
      <c r="AZ945" s="94"/>
      <c r="BA945" s="94"/>
      <c r="BB945" s="94"/>
      <c r="BC945" s="94"/>
      <c r="BD945" s="94"/>
      <c r="BE945" s="94"/>
      <c r="BF945" s="94"/>
      <c r="BG945" s="94"/>
      <c r="BH945" s="94"/>
      <c r="BI945" s="94"/>
      <c r="BJ945" s="94"/>
      <c r="BK945" s="94"/>
      <c r="BL945" s="92"/>
      <c r="BM945" s="94"/>
      <c r="BN945" s="94"/>
      <c r="BO945" s="94"/>
      <c r="BP945" s="94"/>
      <c r="BQ945" s="92"/>
      <c r="BR945" s="92"/>
      <c r="BS945" s="92"/>
      <c r="BT945" s="92"/>
      <c r="BU945" s="92"/>
      <c r="BV945" s="92"/>
      <c r="BW945" s="92"/>
      <c r="BX945" s="92"/>
      <c r="BY945" s="92"/>
      <c r="BZ945" s="92"/>
    </row>
    <row r="946" spans="1:78" ht="12.9">
      <c r="A946" s="89"/>
      <c r="B946" s="89"/>
      <c r="C946" s="89"/>
      <c r="D946" s="89"/>
      <c r="E946" s="89"/>
      <c r="F946" s="89"/>
      <c r="G946" s="89"/>
      <c r="H946" s="105"/>
      <c r="I946" s="106"/>
      <c r="J946" s="106"/>
      <c r="K946" s="89"/>
      <c r="L946" s="89"/>
      <c r="M946" s="89"/>
      <c r="N946" s="107"/>
      <c r="O946" s="107"/>
      <c r="P946" s="89"/>
      <c r="Q946" s="89"/>
      <c r="R946" s="89"/>
      <c r="S946" s="89"/>
      <c r="T946" s="89"/>
      <c r="U946" s="89"/>
      <c r="V946" s="89"/>
      <c r="W946" s="89"/>
      <c r="X946" s="89"/>
      <c r="Y946" s="89"/>
      <c r="Z946" s="77"/>
      <c r="AA946" s="77"/>
      <c r="AB946" s="94"/>
      <c r="AC946" s="94"/>
      <c r="AD946" s="94"/>
      <c r="AE946" s="94"/>
      <c r="AF946" s="91"/>
      <c r="AG946" s="92"/>
      <c r="AH946" s="92"/>
      <c r="AI946" s="93"/>
      <c r="AJ946" s="94"/>
      <c r="AK946" s="92"/>
      <c r="AL946" s="94"/>
      <c r="AM946" s="94"/>
      <c r="AN946" s="94"/>
      <c r="AO946" s="94"/>
      <c r="AP946" s="94"/>
      <c r="AQ946" s="94"/>
      <c r="AR946" s="94"/>
      <c r="AS946" s="94"/>
      <c r="AT946" s="94"/>
      <c r="AU946" s="92"/>
      <c r="AV946" s="94"/>
      <c r="AW946" s="94"/>
      <c r="AX946" s="94"/>
      <c r="AY946" s="94"/>
      <c r="AZ946" s="94"/>
      <c r="BA946" s="94"/>
      <c r="BB946" s="94"/>
      <c r="BC946" s="94"/>
      <c r="BD946" s="94"/>
      <c r="BE946" s="94"/>
      <c r="BF946" s="94"/>
      <c r="BG946" s="94"/>
      <c r="BH946" s="94"/>
      <c r="BI946" s="94"/>
      <c r="BJ946" s="94"/>
      <c r="BK946" s="94"/>
      <c r="BL946" s="92"/>
      <c r="BM946" s="94"/>
      <c r="BN946" s="94"/>
      <c r="BO946" s="94"/>
      <c r="BP946" s="94"/>
      <c r="BQ946" s="92"/>
      <c r="BR946" s="92"/>
      <c r="BS946" s="92"/>
      <c r="BT946" s="92"/>
      <c r="BU946" s="92"/>
      <c r="BV946" s="92"/>
      <c r="BW946" s="92"/>
      <c r="BX946" s="92"/>
      <c r="BY946" s="92"/>
      <c r="BZ946" s="92"/>
    </row>
    <row r="947" spans="1:78" ht="12.9">
      <c r="A947" s="89"/>
      <c r="B947" s="89"/>
      <c r="C947" s="89"/>
      <c r="D947" s="89"/>
      <c r="E947" s="89"/>
      <c r="F947" s="89"/>
      <c r="G947" s="89"/>
      <c r="H947" s="105"/>
      <c r="I947" s="106"/>
      <c r="J947" s="106"/>
      <c r="K947" s="89"/>
      <c r="L947" s="89"/>
      <c r="M947" s="89"/>
      <c r="N947" s="107"/>
      <c r="O947" s="107"/>
      <c r="P947" s="89"/>
      <c r="Q947" s="89"/>
      <c r="R947" s="89"/>
      <c r="S947" s="89"/>
      <c r="T947" s="89"/>
      <c r="U947" s="89"/>
      <c r="V947" s="89"/>
      <c r="W947" s="89"/>
      <c r="X947" s="89"/>
      <c r="Y947" s="89"/>
      <c r="Z947" s="77"/>
      <c r="AA947" s="77"/>
      <c r="AB947" s="94"/>
      <c r="AC947" s="94"/>
      <c r="AD947" s="94"/>
      <c r="AE947" s="94"/>
      <c r="AF947" s="91"/>
      <c r="AG947" s="92"/>
      <c r="AH947" s="92"/>
      <c r="AI947" s="93"/>
      <c r="AJ947" s="94"/>
      <c r="AK947" s="92"/>
      <c r="AL947" s="94"/>
      <c r="AM947" s="94"/>
      <c r="AN947" s="94"/>
      <c r="AO947" s="94"/>
      <c r="AP947" s="94"/>
      <c r="AQ947" s="94"/>
      <c r="AR947" s="94"/>
      <c r="AS947" s="94"/>
      <c r="AT947" s="94"/>
      <c r="AU947" s="92"/>
      <c r="AV947" s="94"/>
      <c r="AW947" s="94"/>
      <c r="AX947" s="94"/>
      <c r="AY947" s="94"/>
      <c r="AZ947" s="94"/>
      <c r="BA947" s="94"/>
      <c r="BB947" s="94"/>
      <c r="BC947" s="94"/>
      <c r="BD947" s="94"/>
      <c r="BE947" s="94"/>
      <c r="BF947" s="94"/>
      <c r="BG947" s="94"/>
      <c r="BH947" s="94"/>
      <c r="BI947" s="94"/>
      <c r="BJ947" s="94"/>
      <c r="BK947" s="94"/>
      <c r="BL947" s="92"/>
      <c r="BM947" s="94"/>
      <c r="BN947" s="94"/>
      <c r="BO947" s="94"/>
      <c r="BP947" s="94"/>
      <c r="BQ947" s="92"/>
      <c r="BR947" s="92"/>
      <c r="BS947" s="92"/>
      <c r="BT947" s="92"/>
      <c r="BU947" s="92"/>
      <c r="BV947" s="92"/>
      <c r="BW947" s="92"/>
      <c r="BX947" s="92"/>
      <c r="BY947" s="92"/>
      <c r="BZ947" s="92"/>
    </row>
    <row r="948" spans="1:78" ht="12.9">
      <c r="A948" s="89"/>
      <c r="B948" s="89"/>
      <c r="C948" s="89"/>
      <c r="D948" s="89"/>
      <c r="E948" s="89"/>
      <c r="F948" s="89"/>
      <c r="G948" s="89"/>
      <c r="H948" s="105"/>
      <c r="I948" s="106"/>
      <c r="J948" s="106"/>
      <c r="K948" s="89"/>
      <c r="L948" s="89"/>
      <c r="M948" s="89"/>
      <c r="N948" s="107"/>
      <c r="O948" s="107"/>
      <c r="P948" s="89"/>
      <c r="Q948" s="89"/>
      <c r="R948" s="89"/>
      <c r="S948" s="89"/>
      <c r="T948" s="89"/>
      <c r="U948" s="89"/>
      <c r="V948" s="89"/>
      <c r="W948" s="89"/>
      <c r="X948" s="89"/>
      <c r="Y948" s="89"/>
      <c r="Z948" s="77"/>
      <c r="AA948" s="77"/>
      <c r="AB948" s="94"/>
      <c r="AC948" s="94"/>
      <c r="AD948" s="94"/>
      <c r="AE948" s="94"/>
      <c r="AF948" s="91"/>
      <c r="AG948" s="92"/>
      <c r="AH948" s="92"/>
      <c r="AI948" s="93"/>
      <c r="AJ948" s="94"/>
      <c r="AK948" s="92"/>
      <c r="AL948" s="94"/>
      <c r="AM948" s="94"/>
      <c r="AN948" s="94"/>
      <c r="AO948" s="94"/>
      <c r="AP948" s="94"/>
      <c r="AQ948" s="94"/>
      <c r="AR948" s="94"/>
      <c r="AS948" s="94"/>
      <c r="AT948" s="94"/>
      <c r="AU948" s="92"/>
      <c r="AV948" s="94"/>
      <c r="AW948" s="94"/>
      <c r="AX948" s="94"/>
      <c r="AY948" s="94"/>
      <c r="AZ948" s="94"/>
      <c r="BA948" s="94"/>
      <c r="BB948" s="94"/>
      <c r="BC948" s="94"/>
      <c r="BD948" s="94"/>
      <c r="BE948" s="94"/>
      <c r="BF948" s="94"/>
      <c r="BG948" s="94"/>
      <c r="BH948" s="94"/>
      <c r="BI948" s="94"/>
      <c r="BJ948" s="94"/>
      <c r="BK948" s="94"/>
      <c r="BL948" s="92"/>
      <c r="BM948" s="94"/>
      <c r="BN948" s="94"/>
      <c r="BO948" s="94"/>
      <c r="BP948" s="94"/>
      <c r="BQ948" s="92"/>
      <c r="BR948" s="92"/>
      <c r="BS948" s="92"/>
      <c r="BT948" s="92"/>
      <c r="BU948" s="92"/>
      <c r="BV948" s="92"/>
      <c r="BW948" s="92"/>
      <c r="BX948" s="92"/>
      <c r="BY948" s="92"/>
      <c r="BZ948" s="92"/>
    </row>
    <row r="949" spans="1:78" ht="12.9">
      <c r="A949" s="89"/>
      <c r="B949" s="89"/>
      <c r="C949" s="89"/>
      <c r="D949" s="89"/>
      <c r="E949" s="89"/>
      <c r="F949" s="89"/>
      <c r="G949" s="89"/>
      <c r="H949" s="105"/>
      <c r="I949" s="106"/>
      <c r="J949" s="106"/>
      <c r="K949" s="89"/>
      <c r="L949" s="89"/>
      <c r="M949" s="89"/>
      <c r="N949" s="107"/>
      <c r="O949" s="107"/>
      <c r="P949" s="89"/>
      <c r="Q949" s="89"/>
      <c r="R949" s="89"/>
      <c r="S949" s="89"/>
      <c r="T949" s="89"/>
      <c r="U949" s="89"/>
      <c r="V949" s="89"/>
      <c r="W949" s="89"/>
      <c r="X949" s="89"/>
      <c r="Y949" s="89"/>
      <c r="Z949" s="77"/>
      <c r="AA949" s="77"/>
      <c r="AB949" s="94"/>
      <c r="AC949" s="94"/>
      <c r="AD949" s="94"/>
      <c r="AE949" s="94"/>
      <c r="AF949" s="91"/>
      <c r="AG949" s="92"/>
      <c r="AH949" s="92"/>
      <c r="AI949" s="93"/>
      <c r="AJ949" s="94"/>
      <c r="AK949" s="92"/>
      <c r="AL949" s="94"/>
      <c r="AM949" s="94"/>
      <c r="AN949" s="94"/>
      <c r="AO949" s="94"/>
      <c r="AP949" s="94"/>
      <c r="AQ949" s="94"/>
      <c r="AR949" s="94"/>
      <c r="AS949" s="94"/>
      <c r="AT949" s="94"/>
      <c r="AU949" s="92"/>
      <c r="AV949" s="94"/>
      <c r="AW949" s="94"/>
      <c r="AX949" s="94"/>
      <c r="AY949" s="94"/>
      <c r="AZ949" s="94"/>
      <c r="BA949" s="94"/>
      <c r="BB949" s="94"/>
      <c r="BC949" s="94"/>
      <c r="BD949" s="94"/>
      <c r="BE949" s="94"/>
      <c r="BF949" s="94"/>
      <c r="BG949" s="94"/>
      <c r="BH949" s="94"/>
      <c r="BI949" s="94"/>
      <c r="BJ949" s="94"/>
      <c r="BK949" s="94"/>
      <c r="BL949" s="92"/>
      <c r="BM949" s="94"/>
      <c r="BN949" s="94"/>
      <c r="BO949" s="94"/>
      <c r="BP949" s="94"/>
      <c r="BQ949" s="92"/>
      <c r="BR949" s="92"/>
      <c r="BS949" s="92"/>
      <c r="BT949" s="92"/>
      <c r="BU949" s="92"/>
      <c r="BV949" s="92"/>
      <c r="BW949" s="92"/>
      <c r="BX949" s="92"/>
      <c r="BY949" s="92"/>
      <c r="BZ949" s="92"/>
    </row>
    <row r="950" spans="1:78" ht="12.9">
      <c r="A950" s="89"/>
      <c r="B950" s="89"/>
      <c r="C950" s="89"/>
      <c r="D950" s="89"/>
      <c r="E950" s="89"/>
      <c r="F950" s="89"/>
      <c r="G950" s="89"/>
      <c r="H950" s="105"/>
      <c r="I950" s="106"/>
      <c r="J950" s="106"/>
      <c r="K950" s="89"/>
      <c r="L950" s="89"/>
      <c r="M950" s="89"/>
      <c r="N950" s="107"/>
      <c r="O950" s="107"/>
      <c r="P950" s="89"/>
      <c r="Q950" s="89"/>
      <c r="R950" s="89"/>
      <c r="S950" s="89"/>
      <c r="T950" s="89"/>
      <c r="U950" s="89"/>
      <c r="V950" s="89"/>
      <c r="W950" s="89"/>
      <c r="X950" s="89"/>
      <c r="Y950" s="89"/>
      <c r="Z950" s="77"/>
      <c r="AA950" s="77"/>
      <c r="AB950" s="94"/>
      <c r="AC950" s="94"/>
      <c r="AD950" s="94"/>
      <c r="AE950" s="94"/>
      <c r="AF950" s="91"/>
      <c r="AG950" s="92"/>
      <c r="AH950" s="92"/>
      <c r="AI950" s="93"/>
      <c r="AJ950" s="94"/>
      <c r="AK950" s="92"/>
      <c r="AL950" s="94"/>
      <c r="AM950" s="94"/>
      <c r="AN950" s="94"/>
      <c r="AO950" s="94"/>
      <c r="AP950" s="94"/>
      <c r="AQ950" s="94"/>
      <c r="AR950" s="94"/>
      <c r="AS950" s="94"/>
      <c r="AT950" s="94"/>
      <c r="AU950" s="92"/>
      <c r="AV950" s="94"/>
      <c r="AW950" s="94"/>
      <c r="AX950" s="94"/>
      <c r="AY950" s="94"/>
      <c r="AZ950" s="94"/>
      <c r="BA950" s="94"/>
      <c r="BB950" s="94"/>
      <c r="BC950" s="94"/>
      <c r="BD950" s="94"/>
      <c r="BE950" s="94"/>
      <c r="BF950" s="94"/>
      <c r="BG950" s="94"/>
      <c r="BH950" s="94"/>
      <c r="BI950" s="94"/>
      <c r="BJ950" s="94"/>
      <c r="BK950" s="94"/>
      <c r="BL950" s="92"/>
      <c r="BM950" s="94"/>
      <c r="BN950" s="94"/>
      <c r="BO950" s="94"/>
      <c r="BP950" s="94"/>
      <c r="BQ950" s="92"/>
      <c r="BR950" s="92"/>
      <c r="BS950" s="92"/>
      <c r="BT950" s="92"/>
      <c r="BU950" s="92"/>
      <c r="BV950" s="92"/>
      <c r="BW950" s="92"/>
      <c r="BX950" s="92"/>
      <c r="BY950" s="92"/>
      <c r="BZ950" s="92"/>
    </row>
    <row r="951" spans="1:78" ht="12.9">
      <c r="A951" s="89"/>
      <c r="B951" s="89"/>
      <c r="C951" s="89"/>
      <c r="D951" s="89"/>
      <c r="E951" s="89"/>
      <c r="F951" s="89"/>
      <c r="G951" s="89"/>
      <c r="H951" s="105"/>
      <c r="I951" s="106"/>
      <c r="J951" s="106"/>
      <c r="K951" s="89"/>
      <c r="L951" s="89"/>
      <c r="M951" s="89"/>
      <c r="N951" s="107"/>
      <c r="O951" s="107"/>
      <c r="P951" s="89"/>
      <c r="Q951" s="89"/>
      <c r="R951" s="89"/>
      <c r="S951" s="89"/>
      <c r="T951" s="89"/>
      <c r="U951" s="89"/>
      <c r="V951" s="89"/>
      <c r="W951" s="89"/>
      <c r="X951" s="89"/>
      <c r="Y951" s="89"/>
      <c r="Z951" s="77"/>
      <c r="AA951" s="77"/>
      <c r="AB951" s="94"/>
      <c r="AC951" s="94"/>
      <c r="AD951" s="94"/>
      <c r="AE951" s="94"/>
      <c r="AF951" s="91"/>
      <c r="AG951" s="92"/>
      <c r="AH951" s="92"/>
      <c r="AI951" s="93"/>
      <c r="AJ951" s="94"/>
      <c r="AK951" s="92"/>
      <c r="AL951" s="94"/>
      <c r="AM951" s="94"/>
      <c r="AN951" s="94"/>
      <c r="AO951" s="94"/>
      <c r="AP951" s="94"/>
      <c r="AQ951" s="94"/>
      <c r="AR951" s="94"/>
      <c r="AS951" s="94"/>
      <c r="AT951" s="94"/>
      <c r="AU951" s="92"/>
      <c r="AV951" s="94"/>
      <c r="AW951" s="94"/>
      <c r="AX951" s="94"/>
      <c r="AY951" s="94"/>
      <c r="AZ951" s="94"/>
      <c r="BA951" s="94"/>
      <c r="BB951" s="94"/>
      <c r="BC951" s="94"/>
      <c r="BD951" s="94"/>
      <c r="BE951" s="94"/>
      <c r="BF951" s="94"/>
      <c r="BG951" s="94"/>
      <c r="BH951" s="94"/>
      <c r="BI951" s="94"/>
      <c r="BJ951" s="94"/>
      <c r="BK951" s="94"/>
      <c r="BL951" s="92"/>
      <c r="BM951" s="94"/>
      <c r="BN951" s="94"/>
      <c r="BO951" s="94"/>
      <c r="BP951" s="94"/>
      <c r="BQ951" s="92"/>
      <c r="BR951" s="92"/>
      <c r="BS951" s="92"/>
      <c r="BT951" s="92"/>
      <c r="BU951" s="92"/>
      <c r="BV951" s="92"/>
      <c r="BW951" s="92"/>
      <c r="BX951" s="92"/>
      <c r="BY951" s="92"/>
      <c r="BZ951" s="92"/>
    </row>
    <row r="952" spans="1:78" ht="12.9">
      <c r="A952" s="89"/>
      <c r="B952" s="89"/>
      <c r="C952" s="89"/>
      <c r="D952" s="89"/>
      <c r="E952" s="89"/>
      <c r="F952" s="89"/>
      <c r="G952" s="89"/>
      <c r="H952" s="105"/>
      <c r="I952" s="106"/>
      <c r="J952" s="106"/>
      <c r="K952" s="89"/>
      <c r="L952" s="89"/>
      <c r="M952" s="89"/>
      <c r="N952" s="107"/>
      <c r="O952" s="107"/>
      <c r="P952" s="89"/>
      <c r="Q952" s="89"/>
      <c r="R952" s="89"/>
      <c r="S952" s="89"/>
      <c r="T952" s="89"/>
      <c r="U952" s="89"/>
      <c r="V952" s="89"/>
      <c r="W952" s="89"/>
      <c r="X952" s="89"/>
      <c r="Y952" s="89"/>
      <c r="Z952" s="77"/>
      <c r="AA952" s="77"/>
      <c r="AB952" s="94"/>
      <c r="AC952" s="94"/>
      <c r="AD952" s="94"/>
      <c r="AE952" s="94"/>
      <c r="AF952" s="91"/>
      <c r="AG952" s="92"/>
      <c r="AH952" s="92"/>
      <c r="AI952" s="93"/>
      <c r="AJ952" s="94"/>
      <c r="AK952" s="92"/>
      <c r="AL952" s="94"/>
      <c r="AM952" s="94"/>
      <c r="AN952" s="94"/>
      <c r="AO952" s="94"/>
      <c r="AP952" s="94"/>
      <c r="AQ952" s="94"/>
      <c r="AR952" s="94"/>
      <c r="AS952" s="94"/>
      <c r="AT952" s="94"/>
      <c r="AU952" s="92"/>
      <c r="AV952" s="94"/>
      <c r="AW952" s="94"/>
      <c r="AX952" s="94"/>
      <c r="AY952" s="94"/>
      <c r="AZ952" s="94"/>
      <c r="BA952" s="94"/>
      <c r="BB952" s="94"/>
      <c r="BC952" s="94"/>
      <c r="BD952" s="94"/>
      <c r="BE952" s="94"/>
      <c r="BF952" s="94"/>
      <c r="BG952" s="94"/>
      <c r="BH952" s="94"/>
      <c r="BI952" s="94"/>
      <c r="BJ952" s="94"/>
      <c r="BK952" s="94"/>
      <c r="BL952" s="92"/>
      <c r="BM952" s="94"/>
      <c r="BN952" s="94"/>
      <c r="BO952" s="94"/>
      <c r="BP952" s="94"/>
      <c r="BQ952" s="92"/>
      <c r="BR952" s="92"/>
      <c r="BS952" s="92"/>
      <c r="BT952" s="92"/>
      <c r="BU952" s="92"/>
      <c r="BV952" s="92"/>
      <c r="BW952" s="92"/>
      <c r="BX952" s="92"/>
      <c r="BY952" s="92"/>
      <c r="BZ952" s="92"/>
    </row>
    <row r="953" spans="1:78" ht="12.9">
      <c r="A953" s="89"/>
      <c r="B953" s="89"/>
      <c r="C953" s="89"/>
      <c r="D953" s="89"/>
      <c r="E953" s="89"/>
      <c r="F953" s="89"/>
      <c r="G953" s="89"/>
      <c r="H953" s="105"/>
      <c r="I953" s="106"/>
      <c r="J953" s="106"/>
      <c r="K953" s="89"/>
      <c r="L953" s="89"/>
      <c r="M953" s="89"/>
      <c r="N953" s="107"/>
      <c r="O953" s="107"/>
      <c r="P953" s="89"/>
      <c r="Q953" s="89"/>
      <c r="R953" s="89"/>
      <c r="S953" s="89"/>
      <c r="T953" s="89"/>
      <c r="U953" s="89"/>
      <c r="V953" s="89"/>
      <c r="W953" s="89"/>
      <c r="X953" s="89"/>
      <c r="Y953" s="89"/>
      <c r="Z953" s="77"/>
      <c r="AA953" s="77"/>
      <c r="AB953" s="94"/>
      <c r="AC953" s="94"/>
      <c r="AD953" s="94"/>
      <c r="AE953" s="94"/>
      <c r="AF953" s="91"/>
      <c r="AG953" s="92"/>
      <c r="AH953" s="92"/>
      <c r="AI953" s="93"/>
      <c r="AJ953" s="94"/>
      <c r="AK953" s="92"/>
      <c r="AL953" s="94"/>
      <c r="AM953" s="94"/>
      <c r="AN953" s="94"/>
      <c r="AO953" s="94"/>
      <c r="AP953" s="94"/>
      <c r="AQ953" s="94"/>
      <c r="AR953" s="94"/>
      <c r="AS953" s="94"/>
      <c r="AT953" s="94"/>
      <c r="AU953" s="92"/>
      <c r="AV953" s="94"/>
      <c r="AW953" s="94"/>
      <c r="AX953" s="94"/>
      <c r="AY953" s="94"/>
      <c r="AZ953" s="94"/>
      <c r="BA953" s="94"/>
      <c r="BB953" s="94"/>
      <c r="BC953" s="94"/>
      <c r="BD953" s="94"/>
      <c r="BE953" s="94"/>
      <c r="BF953" s="94"/>
      <c r="BG953" s="94"/>
      <c r="BH953" s="94"/>
      <c r="BI953" s="94"/>
      <c r="BJ953" s="94"/>
      <c r="BK953" s="94"/>
      <c r="BL953" s="92"/>
      <c r="BM953" s="94"/>
      <c r="BN953" s="94"/>
      <c r="BO953" s="94"/>
      <c r="BP953" s="94"/>
      <c r="BQ953" s="92"/>
      <c r="BR953" s="92"/>
      <c r="BS953" s="92"/>
      <c r="BT953" s="92"/>
      <c r="BU953" s="92"/>
      <c r="BV953" s="92"/>
      <c r="BW953" s="92"/>
      <c r="BX953" s="92"/>
      <c r="BY953" s="92"/>
      <c r="BZ953" s="92"/>
    </row>
    <row r="954" spans="1:78" ht="12.9">
      <c r="A954" s="89"/>
      <c r="B954" s="89"/>
      <c r="C954" s="89"/>
      <c r="D954" s="89"/>
      <c r="E954" s="89"/>
      <c r="F954" s="89"/>
      <c r="G954" s="89"/>
      <c r="H954" s="105"/>
      <c r="I954" s="106"/>
      <c r="J954" s="106"/>
      <c r="K954" s="89"/>
      <c r="L954" s="89"/>
      <c r="M954" s="89"/>
      <c r="N954" s="107"/>
      <c r="O954" s="107"/>
      <c r="P954" s="89"/>
      <c r="Q954" s="89"/>
      <c r="R954" s="89"/>
      <c r="S954" s="89"/>
      <c r="T954" s="89"/>
      <c r="U954" s="89"/>
      <c r="V954" s="89"/>
      <c r="W954" s="89"/>
      <c r="X954" s="89"/>
      <c r="Y954" s="89"/>
      <c r="Z954" s="77"/>
      <c r="AA954" s="77"/>
      <c r="AB954" s="94"/>
      <c r="AC954" s="94"/>
      <c r="AD954" s="94"/>
      <c r="AE954" s="94"/>
      <c r="AF954" s="91"/>
      <c r="AG954" s="92"/>
      <c r="AH954" s="92"/>
      <c r="AI954" s="93"/>
      <c r="AJ954" s="94"/>
      <c r="AK954" s="92"/>
      <c r="AL954" s="94"/>
      <c r="AM954" s="94"/>
      <c r="AN954" s="94"/>
      <c r="AO954" s="94"/>
      <c r="AP954" s="94"/>
      <c r="AQ954" s="94"/>
      <c r="AR954" s="94"/>
      <c r="AS954" s="94"/>
      <c r="AT954" s="94"/>
      <c r="AU954" s="92"/>
      <c r="AV954" s="94"/>
      <c r="AW954" s="94"/>
      <c r="AX954" s="94"/>
      <c r="AY954" s="94"/>
      <c r="AZ954" s="94"/>
      <c r="BA954" s="94"/>
      <c r="BB954" s="94"/>
      <c r="BC954" s="94"/>
      <c r="BD954" s="94"/>
      <c r="BE954" s="94"/>
      <c r="BF954" s="94"/>
      <c r="BG954" s="94"/>
      <c r="BH954" s="94"/>
      <c r="BI954" s="94"/>
      <c r="BJ954" s="94"/>
      <c r="BK954" s="94"/>
      <c r="BL954" s="92"/>
      <c r="BM954" s="94"/>
      <c r="BN954" s="94"/>
      <c r="BO954" s="94"/>
      <c r="BP954" s="94"/>
      <c r="BQ954" s="92"/>
      <c r="BR954" s="92"/>
      <c r="BS954" s="92"/>
      <c r="BT954" s="92"/>
      <c r="BU954" s="92"/>
      <c r="BV954" s="92"/>
      <c r="BW954" s="92"/>
      <c r="BX954" s="92"/>
      <c r="BY954" s="92"/>
      <c r="BZ954" s="92"/>
    </row>
    <row r="955" spans="1:78" ht="12.9">
      <c r="A955" s="89"/>
      <c r="B955" s="89"/>
      <c r="C955" s="89"/>
      <c r="D955" s="89"/>
      <c r="E955" s="89"/>
      <c r="F955" s="89"/>
      <c r="G955" s="89"/>
      <c r="H955" s="105"/>
      <c r="I955" s="106"/>
      <c r="J955" s="106"/>
      <c r="K955" s="89"/>
      <c r="L955" s="89"/>
      <c r="M955" s="89"/>
      <c r="N955" s="107"/>
      <c r="O955" s="107"/>
      <c r="P955" s="89"/>
      <c r="Q955" s="89"/>
      <c r="R955" s="89"/>
      <c r="S955" s="89"/>
      <c r="T955" s="89"/>
      <c r="U955" s="89"/>
      <c r="V955" s="89"/>
      <c r="W955" s="89"/>
      <c r="X955" s="89"/>
      <c r="Y955" s="89"/>
      <c r="Z955" s="77"/>
      <c r="AA955" s="77"/>
      <c r="AB955" s="94"/>
      <c r="AC955" s="94"/>
      <c r="AD955" s="94"/>
      <c r="AE955" s="94"/>
      <c r="AF955" s="91"/>
      <c r="AG955" s="92"/>
      <c r="AH955" s="92"/>
      <c r="AI955" s="93"/>
      <c r="AJ955" s="94"/>
      <c r="AK955" s="92"/>
      <c r="AL955" s="94"/>
      <c r="AM955" s="94"/>
      <c r="AN955" s="94"/>
      <c r="AO955" s="94"/>
      <c r="AP955" s="94"/>
      <c r="AQ955" s="94"/>
      <c r="AR955" s="94"/>
      <c r="AS955" s="94"/>
      <c r="AT955" s="94"/>
      <c r="AU955" s="92"/>
      <c r="AV955" s="94"/>
      <c r="AW955" s="94"/>
      <c r="AX955" s="94"/>
      <c r="AY955" s="94"/>
      <c r="AZ955" s="94"/>
      <c r="BA955" s="94"/>
      <c r="BB955" s="94"/>
      <c r="BC955" s="94"/>
      <c r="BD955" s="94"/>
      <c r="BE955" s="94"/>
      <c r="BF955" s="94"/>
      <c r="BG955" s="94"/>
      <c r="BH955" s="94"/>
      <c r="BI955" s="94"/>
      <c r="BJ955" s="94"/>
      <c r="BK955" s="94"/>
      <c r="BL955" s="92"/>
      <c r="BM955" s="94"/>
      <c r="BN955" s="94"/>
      <c r="BO955" s="94"/>
      <c r="BP955" s="94"/>
      <c r="BQ955" s="92"/>
      <c r="BR955" s="92"/>
      <c r="BS955" s="92"/>
      <c r="BT955" s="92"/>
      <c r="BU955" s="92"/>
      <c r="BV955" s="92"/>
      <c r="BW955" s="92"/>
      <c r="BX955" s="92"/>
      <c r="BY955" s="92"/>
      <c r="BZ955" s="92"/>
    </row>
    <row r="956" spans="1:78" ht="12.9">
      <c r="A956" s="89"/>
      <c r="B956" s="89"/>
      <c r="C956" s="89"/>
      <c r="D956" s="89"/>
      <c r="E956" s="89"/>
      <c r="F956" s="89"/>
      <c r="G956" s="89"/>
      <c r="H956" s="105"/>
      <c r="I956" s="106"/>
      <c r="J956" s="106"/>
      <c r="K956" s="89"/>
      <c r="L956" s="89"/>
      <c r="M956" s="89"/>
      <c r="N956" s="107"/>
      <c r="O956" s="107"/>
      <c r="P956" s="89"/>
      <c r="Q956" s="89"/>
      <c r="R956" s="89"/>
      <c r="S956" s="89"/>
      <c r="T956" s="89"/>
      <c r="U956" s="89"/>
      <c r="V956" s="89"/>
      <c r="W956" s="89"/>
      <c r="X956" s="89"/>
      <c r="Y956" s="89"/>
      <c r="Z956" s="77"/>
      <c r="AA956" s="77"/>
      <c r="AB956" s="94"/>
      <c r="AC956" s="94"/>
      <c r="AD956" s="94"/>
      <c r="AE956" s="94"/>
      <c r="AF956" s="91"/>
      <c r="AG956" s="92"/>
      <c r="AH956" s="92"/>
      <c r="AI956" s="93"/>
      <c r="AJ956" s="94"/>
      <c r="AK956" s="92"/>
      <c r="AL956" s="94"/>
      <c r="AM956" s="94"/>
      <c r="AN956" s="94"/>
      <c r="AO956" s="94"/>
      <c r="AP956" s="94"/>
      <c r="AQ956" s="94"/>
      <c r="AR956" s="94"/>
      <c r="AS956" s="94"/>
      <c r="AT956" s="94"/>
      <c r="AU956" s="92"/>
      <c r="AV956" s="94"/>
      <c r="AW956" s="94"/>
      <c r="AX956" s="94"/>
      <c r="AY956" s="94"/>
      <c r="AZ956" s="94"/>
      <c r="BA956" s="94"/>
      <c r="BB956" s="94"/>
      <c r="BC956" s="94"/>
      <c r="BD956" s="94"/>
      <c r="BE956" s="94"/>
      <c r="BF956" s="94"/>
      <c r="BG956" s="94"/>
      <c r="BH956" s="94"/>
      <c r="BI956" s="94"/>
      <c r="BJ956" s="94"/>
      <c r="BK956" s="94"/>
      <c r="BL956" s="92"/>
      <c r="BM956" s="94"/>
      <c r="BN956" s="94"/>
      <c r="BO956" s="94"/>
      <c r="BP956" s="94"/>
      <c r="BQ956" s="92"/>
      <c r="BR956" s="92"/>
      <c r="BS956" s="92"/>
      <c r="BT956" s="92"/>
      <c r="BU956" s="92"/>
      <c r="BV956" s="92"/>
      <c r="BW956" s="92"/>
      <c r="BX956" s="92"/>
      <c r="BY956" s="92"/>
      <c r="BZ956" s="92"/>
    </row>
    <row r="957" spans="1:78" ht="12.9">
      <c r="A957" s="89"/>
      <c r="B957" s="89"/>
      <c r="C957" s="89"/>
      <c r="D957" s="89"/>
      <c r="E957" s="89"/>
      <c r="F957" s="89"/>
      <c r="G957" s="89"/>
      <c r="H957" s="105"/>
      <c r="I957" s="106"/>
      <c r="J957" s="106"/>
      <c r="K957" s="89"/>
      <c r="L957" s="89"/>
      <c r="M957" s="89"/>
      <c r="N957" s="107"/>
      <c r="O957" s="107"/>
      <c r="P957" s="89"/>
      <c r="Q957" s="89"/>
      <c r="R957" s="89"/>
      <c r="S957" s="89"/>
      <c r="T957" s="89"/>
      <c r="U957" s="89"/>
      <c r="V957" s="89"/>
      <c r="W957" s="89"/>
      <c r="X957" s="89"/>
      <c r="Y957" s="89"/>
      <c r="Z957" s="77"/>
      <c r="AA957" s="77"/>
      <c r="AB957" s="94"/>
      <c r="AC957" s="94"/>
      <c r="AD957" s="94"/>
      <c r="AE957" s="94"/>
      <c r="AF957" s="91"/>
      <c r="AG957" s="92"/>
      <c r="AH957" s="92"/>
      <c r="AI957" s="93"/>
      <c r="AJ957" s="94"/>
      <c r="AK957" s="92"/>
      <c r="AL957" s="94"/>
      <c r="AM957" s="94"/>
      <c r="AN957" s="94"/>
      <c r="AO957" s="94"/>
      <c r="AP957" s="94"/>
      <c r="AQ957" s="94"/>
      <c r="AR957" s="94"/>
      <c r="AS957" s="94"/>
      <c r="AT957" s="94"/>
      <c r="AU957" s="92"/>
      <c r="AV957" s="94"/>
      <c r="AW957" s="94"/>
      <c r="AX957" s="94"/>
      <c r="AY957" s="94"/>
      <c r="AZ957" s="94"/>
      <c r="BA957" s="94"/>
      <c r="BB957" s="94"/>
      <c r="BC957" s="94"/>
      <c r="BD957" s="94"/>
      <c r="BE957" s="94"/>
      <c r="BF957" s="94"/>
      <c r="BG957" s="94"/>
      <c r="BH957" s="94"/>
      <c r="BI957" s="94"/>
      <c r="BJ957" s="94"/>
      <c r="BK957" s="94"/>
      <c r="BL957" s="92"/>
      <c r="BM957" s="94"/>
      <c r="BN957" s="94"/>
      <c r="BO957" s="94"/>
      <c r="BP957" s="94"/>
      <c r="BQ957" s="92"/>
      <c r="BR957" s="92"/>
      <c r="BS957" s="92"/>
      <c r="BT957" s="92"/>
      <c r="BU957" s="92"/>
      <c r="BV957" s="92"/>
      <c r="BW957" s="92"/>
      <c r="BX957" s="92"/>
      <c r="BY957" s="92"/>
      <c r="BZ957" s="92"/>
    </row>
    <row r="958" spans="1:78" ht="12.9">
      <c r="A958" s="89"/>
      <c r="B958" s="89"/>
      <c r="C958" s="89"/>
      <c r="D958" s="89"/>
      <c r="E958" s="89"/>
      <c r="F958" s="89"/>
      <c r="G958" s="89"/>
      <c r="H958" s="105"/>
      <c r="I958" s="106"/>
      <c r="J958" s="106"/>
      <c r="K958" s="89"/>
      <c r="L958" s="89"/>
      <c r="M958" s="89"/>
      <c r="N958" s="107"/>
      <c r="O958" s="107"/>
      <c r="P958" s="89"/>
      <c r="Q958" s="89"/>
      <c r="R958" s="89"/>
      <c r="S958" s="89"/>
      <c r="T958" s="89"/>
      <c r="U958" s="89"/>
      <c r="V958" s="89"/>
      <c r="W958" s="89"/>
      <c r="X958" s="89"/>
      <c r="Y958" s="89"/>
      <c r="Z958" s="77"/>
      <c r="AA958" s="77"/>
      <c r="AB958" s="94"/>
      <c r="AC958" s="94"/>
      <c r="AD958" s="94"/>
      <c r="AE958" s="94"/>
      <c r="AF958" s="91"/>
      <c r="AG958" s="92"/>
      <c r="AH958" s="92"/>
      <c r="AI958" s="93"/>
      <c r="AJ958" s="94"/>
      <c r="AK958" s="92"/>
      <c r="AL958" s="94"/>
      <c r="AM958" s="94"/>
      <c r="AN958" s="94"/>
      <c r="AO958" s="94"/>
      <c r="AP958" s="94"/>
      <c r="AQ958" s="94"/>
      <c r="AR958" s="94"/>
      <c r="AS958" s="94"/>
      <c r="AT958" s="94"/>
      <c r="AU958" s="92"/>
      <c r="AV958" s="94"/>
      <c r="AW958" s="94"/>
      <c r="AX958" s="94"/>
      <c r="AY958" s="94"/>
      <c r="AZ958" s="94"/>
      <c r="BA958" s="94"/>
      <c r="BB958" s="94"/>
      <c r="BC958" s="94"/>
      <c r="BD958" s="94"/>
      <c r="BE958" s="94"/>
      <c r="BF958" s="94"/>
      <c r="BG958" s="94"/>
      <c r="BH958" s="94"/>
      <c r="BI958" s="94"/>
      <c r="BJ958" s="94"/>
      <c r="BK958" s="94"/>
      <c r="BL958" s="92"/>
      <c r="BM958" s="94"/>
      <c r="BN958" s="94"/>
      <c r="BO958" s="94"/>
      <c r="BP958" s="94"/>
      <c r="BQ958" s="92"/>
      <c r="BR958" s="92"/>
      <c r="BS958" s="92"/>
      <c r="BT958" s="92"/>
      <c r="BU958" s="92"/>
      <c r="BV958" s="92"/>
      <c r="BW958" s="92"/>
      <c r="BX958" s="92"/>
      <c r="BY958" s="92"/>
      <c r="BZ958" s="92"/>
    </row>
    <row r="959" spans="1:78" ht="12.9">
      <c r="A959" s="89"/>
      <c r="B959" s="89"/>
      <c r="C959" s="89"/>
      <c r="D959" s="89"/>
      <c r="E959" s="89"/>
      <c r="F959" s="89"/>
      <c r="G959" s="89"/>
      <c r="H959" s="105"/>
      <c r="I959" s="106"/>
      <c r="J959" s="106"/>
      <c r="K959" s="89"/>
      <c r="L959" s="89"/>
      <c r="M959" s="89"/>
      <c r="N959" s="107"/>
      <c r="O959" s="107"/>
      <c r="P959" s="89"/>
      <c r="Q959" s="89"/>
      <c r="R959" s="89"/>
      <c r="S959" s="89"/>
      <c r="T959" s="89"/>
      <c r="U959" s="89"/>
      <c r="V959" s="89"/>
      <c r="W959" s="89"/>
      <c r="X959" s="89"/>
      <c r="Y959" s="89"/>
      <c r="Z959" s="77"/>
      <c r="AA959" s="77"/>
      <c r="AB959" s="94"/>
      <c r="AC959" s="94"/>
      <c r="AD959" s="94"/>
      <c r="AE959" s="94"/>
      <c r="AF959" s="91"/>
      <c r="AG959" s="92"/>
      <c r="AH959" s="92"/>
      <c r="AI959" s="93"/>
      <c r="AJ959" s="94"/>
      <c r="AK959" s="92"/>
      <c r="AL959" s="94"/>
      <c r="AM959" s="94"/>
      <c r="AN959" s="94"/>
      <c r="AO959" s="94"/>
      <c r="AP959" s="94"/>
      <c r="AQ959" s="94"/>
      <c r="AR959" s="94"/>
      <c r="AS959" s="94"/>
      <c r="AT959" s="94"/>
      <c r="AU959" s="92"/>
      <c r="AV959" s="94"/>
      <c r="AW959" s="94"/>
      <c r="AX959" s="94"/>
      <c r="AY959" s="94"/>
      <c r="AZ959" s="94"/>
      <c r="BA959" s="94"/>
      <c r="BB959" s="94"/>
      <c r="BC959" s="94"/>
      <c r="BD959" s="94"/>
      <c r="BE959" s="94"/>
      <c r="BF959" s="94"/>
      <c r="BG959" s="94"/>
      <c r="BH959" s="94"/>
      <c r="BI959" s="94"/>
      <c r="BJ959" s="94"/>
      <c r="BK959" s="94"/>
      <c r="BL959" s="92"/>
      <c r="BM959" s="94"/>
      <c r="BN959" s="94"/>
      <c r="BO959" s="94"/>
      <c r="BP959" s="94"/>
      <c r="BQ959" s="92"/>
      <c r="BR959" s="92"/>
      <c r="BS959" s="92"/>
      <c r="BT959" s="92"/>
      <c r="BU959" s="92"/>
      <c r="BV959" s="92"/>
      <c r="BW959" s="92"/>
      <c r="BX959" s="92"/>
      <c r="BY959" s="92"/>
      <c r="BZ959" s="92"/>
    </row>
    <row r="960" spans="1:78" ht="12.9">
      <c r="A960" s="89"/>
      <c r="B960" s="89"/>
      <c r="C960" s="89"/>
      <c r="D960" s="89"/>
      <c r="E960" s="89"/>
      <c r="F960" s="89"/>
      <c r="G960" s="89"/>
      <c r="H960" s="105"/>
      <c r="I960" s="106"/>
      <c r="J960" s="106"/>
      <c r="K960" s="89"/>
      <c r="L960" s="89"/>
      <c r="M960" s="89"/>
      <c r="N960" s="107"/>
      <c r="O960" s="107"/>
      <c r="P960" s="89"/>
      <c r="Q960" s="89"/>
      <c r="R960" s="89"/>
      <c r="S960" s="89"/>
      <c r="T960" s="89"/>
      <c r="U960" s="89"/>
      <c r="V960" s="89"/>
      <c r="W960" s="89"/>
      <c r="X960" s="89"/>
      <c r="Y960" s="89"/>
      <c r="Z960" s="77"/>
      <c r="AA960" s="77"/>
      <c r="AB960" s="94"/>
      <c r="AC960" s="94"/>
      <c r="AD960" s="94"/>
      <c r="AE960" s="94"/>
      <c r="AF960" s="91"/>
      <c r="AG960" s="92"/>
      <c r="AH960" s="92"/>
      <c r="AI960" s="93"/>
      <c r="AJ960" s="94"/>
      <c r="AK960" s="92"/>
      <c r="AL960" s="94"/>
      <c r="AM960" s="94"/>
      <c r="AN960" s="94"/>
      <c r="AO960" s="94"/>
      <c r="AP960" s="94"/>
      <c r="AQ960" s="94"/>
      <c r="AR960" s="94"/>
      <c r="AS960" s="94"/>
      <c r="AT960" s="94"/>
      <c r="AU960" s="92"/>
      <c r="AV960" s="94"/>
      <c r="AW960" s="94"/>
      <c r="AX960" s="94"/>
      <c r="AY960" s="94"/>
      <c r="AZ960" s="94"/>
      <c r="BA960" s="94"/>
      <c r="BB960" s="94"/>
      <c r="BC960" s="94"/>
      <c r="BD960" s="94"/>
      <c r="BE960" s="94"/>
      <c r="BF960" s="94"/>
      <c r="BG960" s="94"/>
      <c r="BH960" s="94"/>
      <c r="BI960" s="94"/>
      <c r="BJ960" s="94"/>
      <c r="BK960" s="94"/>
      <c r="BL960" s="92"/>
      <c r="BM960" s="94"/>
      <c r="BN960" s="94"/>
      <c r="BO960" s="94"/>
      <c r="BP960" s="94"/>
      <c r="BQ960" s="92"/>
      <c r="BR960" s="92"/>
      <c r="BS960" s="92"/>
      <c r="BT960" s="92"/>
      <c r="BU960" s="92"/>
      <c r="BV960" s="92"/>
      <c r="BW960" s="92"/>
      <c r="BX960" s="92"/>
      <c r="BY960" s="92"/>
      <c r="BZ960" s="92"/>
    </row>
    <row r="961" spans="1:78" ht="12.9">
      <c r="A961" s="89"/>
      <c r="B961" s="89"/>
      <c r="C961" s="89"/>
      <c r="D961" s="89"/>
      <c r="E961" s="89"/>
      <c r="F961" s="89"/>
      <c r="G961" s="89"/>
      <c r="H961" s="105"/>
      <c r="I961" s="106"/>
      <c r="J961" s="106"/>
      <c r="K961" s="89"/>
      <c r="L961" s="89"/>
      <c r="M961" s="89"/>
      <c r="N961" s="107"/>
      <c r="O961" s="107"/>
      <c r="P961" s="89"/>
      <c r="Q961" s="89"/>
      <c r="R961" s="89"/>
      <c r="S961" s="89"/>
      <c r="T961" s="89"/>
      <c r="U961" s="89"/>
      <c r="V961" s="89"/>
      <c r="W961" s="89"/>
      <c r="X961" s="89"/>
      <c r="Y961" s="89"/>
      <c r="Z961" s="77"/>
      <c r="AA961" s="77"/>
      <c r="AB961" s="94"/>
      <c r="AC961" s="94"/>
      <c r="AD961" s="94"/>
      <c r="AE961" s="94"/>
      <c r="AF961" s="91"/>
      <c r="AG961" s="92"/>
      <c r="AH961" s="92"/>
      <c r="AI961" s="93"/>
      <c r="AJ961" s="94"/>
      <c r="AK961" s="92"/>
      <c r="AL961" s="94"/>
      <c r="AM961" s="94"/>
      <c r="AN961" s="94"/>
      <c r="AO961" s="94"/>
      <c r="AP961" s="94"/>
      <c r="AQ961" s="94"/>
      <c r="AR961" s="94"/>
      <c r="AS961" s="94"/>
      <c r="AT961" s="94"/>
      <c r="AU961" s="92"/>
      <c r="AV961" s="94"/>
      <c r="AW961" s="94"/>
      <c r="AX961" s="94"/>
      <c r="AY961" s="94"/>
      <c r="AZ961" s="94"/>
      <c r="BA961" s="94"/>
      <c r="BB961" s="94"/>
      <c r="BC961" s="94"/>
      <c r="BD961" s="94"/>
      <c r="BE961" s="94"/>
      <c r="BF961" s="94"/>
      <c r="BG961" s="94"/>
      <c r="BH961" s="94"/>
      <c r="BI961" s="94"/>
      <c r="BJ961" s="94"/>
      <c r="BK961" s="94"/>
      <c r="BL961" s="92"/>
      <c r="BM961" s="94"/>
      <c r="BN961" s="94"/>
      <c r="BO961" s="94"/>
      <c r="BP961" s="94"/>
      <c r="BQ961" s="92"/>
      <c r="BR961" s="92"/>
      <c r="BS961" s="92"/>
      <c r="BT961" s="92"/>
      <c r="BU961" s="92"/>
      <c r="BV961" s="92"/>
      <c r="BW961" s="92"/>
      <c r="BX961" s="92"/>
      <c r="BY961" s="92"/>
      <c r="BZ961" s="92"/>
    </row>
    <row r="962" spans="1:78" ht="12.9">
      <c r="A962" s="89"/>
      <c r="B962" s="89"/>
      <c r="C962" s="89"/>
      <c r="D962" s="89"/>
      <c r="E962" s="89"/>
      <c r="F962" s="89"/>
      <c r="G962" s="89"/>
      <c r="H962" s="105"/>
      <c r="I962" s="106"/>
      <c r="J962" s="106"/>
      <c r="K962" s="89"/>
      <c r="L962" s="89"/>
      <c r="M962" s="89"/>
      <c r="N962" s="107"/>
      <c r="O962" s="107"/>
      <c r="P962" s="89"/>
      <c r="Q962" s="89"/>
      <c r="R962" s="89"/>
      <c r="S962" s="89"/>
      <c r="T962" s="89"/>
      <c r="U962" s="89"/>
      <c r="V962" s="89"/>
      <c r="W962" s="89"/>
      <c r="X962" s="89"/>
      <c r="Y962" s="89"/>
      <c r="Z962" s="77"/>
      <c r="AA962" s="77"/>
      <c r="AB962" s="94"/>
      <c r="AC962" s="94"/>
      <c r="AD962" s="94"/>
      <c r="AE962" s="94"/>
      <c r="AF962" s="91"/>
      <c r="AG962" s="92"/>
      <c r="AH962" s="92"/>
      <c r="AI962" s="93"/>
      <c r="AJ962" s="94"/>
      <c r="AK962" s="92"/>
      <c r="AL962" s="94"/>
      <c r="AM962" s="94"/>
      <c r="AN962" s="94"/>
      <c r="AO962" s="94"/>
      <c r="AP962" s="94"/>
      <c r="AQ962" s="94"/>
      <c r="AR962" s="94"/>
      <c r="AS962" s="94"/>
      <c r="AT962" s="94"/>
      <c r="AU962" s="92"/>
      <c r="AV962" s="94"/>
      <c r="AW962" s="94"/>
      <c r="AX962" s="94"/>
      <c r="AY962" s="94"/>
      <c r="AZ962" s="94"/>
      <c r="BA962" s="94"/>
      <c r="BB962" s="94"/>
      <c r="BC962" s="94"/>
      <c r="BD962" s="94"/>
      <c r="BE962" s="94"/>
      <c r="BF962" s="94"/>
      <c r="BG962" s="94"/>
      <c r="BH962" s="94"/>
      <c r="BI962" s="94"/>
      <c r="BJ962" s="94"/>
      <c r="BK962" s="94"/>
      <c r="BL962" s="92"/>
      <c r="BM962" s="94"/>
      <c r="BN962" s="94"/>
      <c r="BO962" s="94"/>
      <c r="BP962" s="94"/>
      <c r="BQ962" s="92"/>
      <c r="BR962" s="92"/>
      <c r="BS962" s="92"/>
      <c r="BT962" s="92"/>
      <c r="BU962" s="92"/>
      <c r="BV962" s="92"/>
      <c r="BW962" s="92"/>
      <c r="BX962" s="92"/>
      <c r="BY962" s="92"/>
      <c r="BZ962" s="92"/>
    </row>
    <row r="963" spans="1:78" ht="12.9">
      <c r="A963" s="89"/>
      <c r="B963" s="89"/>
      <c r="C963" s="89"/>
      <c r="D963" s="89"/>
      <c r="E963" s="89"/>
      <c r="F963" s="89"/>
      <c r="G963" s="89"/>
      <c r="H963" s="105"/>
      <c r="I963" s="106"/>
      <c r="J963" s="106"/>
      <c r="K963" s="89"/>
      <c r="L963" s="89"/>
      <c r="M963" s="89"/>
      <c r="N963" s="107"/>
      <c r="O963" s="107"/>
      <c r="P963" s="89"/>
      <c r="Q963" s="89"/>
      <c r="R963" s="89"/>
      <c r="S963" s="89"/>
      <c r="T963" s="89"/>
      <c r="U963" s="89"/>
      <c r="V963" s="89"/>
      <c r="W963" s="89"/>
      <c r="X963" s="89"/>
      <c r="Y963" s="89"/>
      <c r="Z963" s="77"/>
      <c r="AA963" s="77"/>
      <c r="AB963" s="94"/>
      <c r="AC963" s="94"/>
      <c r="AD963" s="94"/>
      <c r="AE963" s="94"/>
      <c r="AF963" s="91"/>
      <c r="AG963" s="92"/>
      <c r="AH963" s="92"/>
      <c r="AI963" s="93"/>
      <c r="AJ963" s="94"/>
      <c r="AK963" s="92"/>
      <c r="AL963" s="94"/>
      <c r="AM963" s="94"/>
      <c r="AN963" s="94"/>
      <c r="AO963" s="94"/>
      <c r="AP963" s="94"/>
      <c r="AQ963" s="94"/>
      <c r="AR963" s="94"/>
      <c r="AS963" s="94"/>
      <c r="AT963" s="94"/>
      <c r="AU963" s="92"/>
      <c r="AV963" s="94"/>
      <c r="AW963" s="94"/>
      <c r="AX963" s="94"/>
      <c r="AY963" s="94"/>
      <c r="AZ963" s="94"/>
      <c r="BA963" s="94"/>
      <c r="BB963" s="94"/>
      <c r="BC963" s="94"/>
      <c r="BD963" s="94"/>
      <c r="BE963" s="94"/>
      <c r="BF963" s="94"/>
      <c r="BG963" s="94"/>
      <c r="BH963" s="94"/>
      <c r="BI963" s="94"/>
      <c r="BJ963" s="94"/>
      <c r="BK963" s="94"/>
      <c r="BL963" s="92"/>
      <c r="BM963" s="94"/>
      <c r="BN963" s="94"/>
      <c r="BO963" s="94"/>
      <c r="BP963" s="94"/>
      <c r="BQ963" s="92"/>
      <c r="BR963" s="92"/>
      <c r="BS963" s="92"/>
      <c r="BT963" s="92"/>
      <c r="BU963" s="92"/>
      <c r="BV963" s="92"/>
      <c r="BW963" s="92"/>
      <c r="BX963" s="92"/>
      <c r="BY963" s="92"/>
      <c r="BZ963" s="92"/>
    </row>
    <row r="964" spans="1:78" ht="12.9">
      <c r="A964" s="89"/>
      <c r="B964" s="89"/>
      <c r="C964" s="89"/>
      <c r="D964" s="89"/>
      <c r="E964" s="89"/>
      <c r="F964" s="89"/>
      <c r="G964" s="89"/>
      <c r="H964" s="105"/>
      <c r="I964" s="106"/>
      <c r="J964" s="106"/>
      <c r="K964" s="89"/>
      <c r="L964" s="89"/>
      <c r="M964" s="89"/>
      <c r="N964" s="107"/>
      <c r="O964" s="107"/>
      <c r="P964" s="89"/>
      <c r="Q964" s="89"/>
      <c r="R964" s="89"/>
      <c r="S964" s="89"/>
      <c r="T964" s="89"/>
      <c r="U964" s="89"/>
      <c r="V964" s="89"/>
      <c r="W964" s="89"/>
      <c r="X964" s="89"/>
      <c r="Y964" s="89"/>
      <c r="Z964" s="77"/>
      <c r="AA964" s="77"/>
      <c r="AB964" s="94"/>
      <c r="AC964" s="94"/>
      <c r="AD964" s="94"/>
      <c r="AE964" s="94"/>
      <c r="AF964" s="91"/>
      <c r="AG964" s="92"/>
      <c r="AH964" s="92"/>
      <c r="AI964" s="93"/>
      <c r="AJ964" s="94"/>
      <c r="AK964" s="92"/>
      <c r="AL964" s="94"/>
      <c r="AM964" s="94"/>
      <c r="AN964" s="94"/>
      <c r="AO964" s="94"/>
      <c r="AP964" s="94"/>
      <c r="AQ964" s="94"/>
      <c r="AR964" s="94"/>
      <c r="AS964" s="94"/>
      <c r="AT964" s="94"/>
      <c r="AU964" s="92"/>
      <c r="AV964" s="94"/>
      <c r="AW964" s="94"/>
      <c r="AX964" s="94"/>
      <c r="AY964" s="94"/>
      <c r="AZ964" s="94"/>
      <c r="BA964" s="94"/>
      <c r="BB964" s="94"/>
      <c r="BC964" s="94"/>
      <c r="BD964" s="94"/>
      <c r="BE964" s="94"/>
      <c r="BF964" s="94"/>
      <c r="BG964" s="94"/>
      <c r="BH964" s="94"/>
      <c r="BI964" s="94"/>
      <c r="BJ964" s="94"/>
      <c r="BK964" s="94"/>
      <c r="BL964" s="92"/>
      <c r="BM964" s="94"/>
      <c r="BN964" s="94"/>
      <c r="BO964" s="94"/>
      <c r="BP964" s="94"/>
      <c r="BQ964" s="92"/>
      <c r="BR964" s="92"/>
      <c r="BS964" s="92"/>
      <c r="BT964" s="92"/>
      <c r="BU964" s="92"/>
      <c r="BV964" s="92"/>
      <c r="BW964" s="92"/>
      <c r="BX964" s="92"/>
      <c r="BY964" s="92"/>
      <c r="BZ964" s="92"/>
    </row>
    <row r="965" spans="1:78" ht="12.9">
      <c r="A965" s="89"/>
      <c r="B965" s="89"/>
      <c r="C965" s="89"/>
      <c r="D965" s="89"/>
      <c r="E965" s="89"/>
      <c r="F965" s="89"/>
      <c r="G965" s="89"/>
      <c r="H965" s="105"/>
      <c r="I965" s="106"/>
      <c r="J965" s="106"/>
      <c r="K965" s="89"/>
      <c r="L965" s="89"/>
      <c r="M965" s="89"/>
      <c r="N965" s="107"/>
      <c r="O965" s="107"/>
      <c r="P965" s="89"/>
      <c r="Q965" s="89"/>
      <c r="R965" s="89"/>
      <c r="S965" s="89"/>
      <c r="T965" s="89"/>
      <c r="U965" s="89"/>
      <c r="V965" s="89"/>
      <c r="W965" s="89"/>
      <c r="X965" s="89"/>
      <c r="Y965" s="89"/>
      <c r="Z965" s="77"/>
      <c r="AA965" s="77"/>
      <c r="AB965" s="94"/>
      <c r="AC965" s="94"/>
      <c r="AD965" s="94"/>
      <c r="AE965" s="94"/>
      <c r="AF965" s="91"/>
      <c r="AG965" s="92"/>
      <c r="AH965" s="92"/>
      <c r="AI965" s="93"/>
      <c r="AJ965" s="94"/>
      <c r="AK965" s="92"/>
      <c r="AL965" s="94"/>
      <c r="AM965" s="94"/>
      <c r="AN965" s="94"/>
      <c r="AO965" s="94"/>
      <c r="AP965" s="94"/>
      <c r="AQ965" s="94"/>
      <c r="AR965" s="94"/>
      <c r="AS965" s="94"/>
      <c r="AT965" s="94"/>
      <c r="AU965" s="92"/>
      <c r="AV965" s="94"/>
      <c r="AW965" s="94"/>
      <c r="AX965" s="94"/>
      <c r="AY965" s="94"/>
      <c r="AZ965" s="94"/>
      <c r="BA965" s="94"/>
      <c r="BB965" s="94"/>
      <c r="BC965" s="94"/>
      <c r="BD965" s="94"/>
      <c r="BE965" s="94"/>
      <c r="BF965" s="94"/>
      <c r="BG965" s="94"/>
      <c r="BH965" s="94"/>
      <c r="BI965" s="94"/>
      <c r="BJ965" s="94"/>
      <c r="BK965" s="94"/>
      <c r="BL965" s="92"/>
      <c r="BM965" s="94"/>
      <c r="BN965" s="94"/>
      <c r="BO965" s="94"/>
      <c r="BP965" s="94"/>
      <c r="BQ965" s="92"/>
      <c r="BR965" s="92"/>
      <c r="BS965" s="92"/>
      <c r="BT965" s="92"/>
      <c r="BU965" s="92"/>
      <c r="BV965" s="92"/>
      <c r="BW965" s="92"/>
      <c r="BX965" s="92"/>
      <c r="BY965" s="92"/>
      <c r="BZ965" s="92"/>
    </row>
    <row r="966" spans="1:78" ht="12.9">
      <c r="A966" s="89"/>
      <c r="B966" s="89"/>
      <c r="C966" s="89"/>
      <c r="D966" s="89"/>
      <c r="E966" s="89"/>
      <c r="F966" s="89"/>
      <c r="G966" s="89"/>
      <c r="H966" s="105"/>
      <c r="I966" s="106"/>
      <c r="J966" s="106"/>
      <c r="K966" s="89"/>
      <c r="L966" s="89"/>
      <c r="M966" s="89"/>
      <c r="N966" s="107"/>
      <c r="O966" s="107"/>
      <c r="P966" s="89"/>
      <c r="Q966" s="89"/>
      <c r="R966" s="89"/>
      <c r="S966" s="89"/>
      <c r="T966" s="89"/>
      <c r="U966" s="89"/>
      <c r="V966" s="89"/>
      <c r="W966" s="89"/>
      <c r="X966" s="89"/>
      <c r="Y966" s="89"/>
      <c r="Z966" s="77"/>
      <c r="AA966" s="77"/>
      <c r="AB966" s="94"/>
      <c r="AC966" s="94"/>
      <c r="AD966" s="94"/>
      <c r="AE966" s="94"/>
      <c r="AF966" s="91"/>
      <c r="AG966" s="92"/>
      <c r="AH966" s="92"/>
      <c r="AI966" s="93"/>
      <c r="AJ966" s="94"/>
      <c r="AK966" s="92"/>
      <c r="AL966" s="94"/>
      <c r="AM966" s="94"/>
      <c r="AN966" s="94"/>
      <c r="AO966" s="94"/>
      <c r="AP966" s="94"/>
      <c r="AQ966" s="94"/>
      <c r="AR966" s="94"/>
      <c r="AS966" s="94"/>
      <c r="AT966" s="94"/>
      <c r="AU966" s="92"/>
      <c r="AV966" s="94"/>
      <c r="AW966" s="94"/>
      <c r="AX966" s="94"/>
      <c r="AY966" s="94"/>
      <c r="AZ966" s="94"/>
      <c r="BA966" s="94"/>
      <c r="BB966" s="94"/>
      <c r="BC966" s="94"/>
      <c r="BD966" s="94"/>
      <c r="BE966" s="94"/>
      <c r="BF966" s="94"/>
      <c r="BG966" s="94"/>
      <c r="BH966" s="94"/>
      <c r="BI966" s="94"/>
      <c r="BJ966" s="94"/>
      <c r="BK966" s="94"/>
      <c r="BL966" s="92"/>
      <c r="BM966" s="94"/>
      <c r="BN966" s="94"/>
      <c r="BO966" s="94"/>
      <c r="BP966" s="94"/>
      <c r="BQ966" s="92"/>
      <c r="BR966" s="92"/>
      <c r="BS966" s="92"/>
      <c r="BT966" s="92"/>
      <c r="BU966" s="92"/>
      <c r="BV966" s="92"/>
      <c r="BW966" s="92"/>
      <c r="BX966" s="92"/>
      <c r="BY966" s="92"/>
      <c r="BZ966" s="92"/>
    </row>
    <row r="967" spans="1:78" ht="12.9">
      <c r="A967" s="89"/>
      <c r="B967" s="89"/>
      <c r="C967" s="89"/>
      <c r="D967" s="89"/>
      <c r="E967" s="89"/>
      <c r="F967" s="89"/>
      <c r="G967" s="89"/>
      <c r="H967" s="105"/>
      <c r="I967" s="106"/>
      <c r="J967" s="106"/>
      <c r="K967" s="89"/>
      <c r="L967" s="89"/>
      <c r="M967" s="89"/>
      <c r="N967" s="107"/>
      <c r="O967" s="107"/>
      <c r="P967" s="89"/>
      <c r="Q967" s="89"/>
      <c r="R967" s="89"/>
      <c r="S967" s="89"/>
      <c r="T967" s="89"/>
      <c r="U967" s="89"/>
      <c r="V967" s="89"/>
      <c r="W967" s="89"/>
      <c r="X967" s="89"/>
      <c r="Y967" s="89"/>
      <c r="Z967" s="77"/>
      <c r="AA967" s="77"/>
      <c r="AB967" s="94"/>
      <c r="AC967" s="94"/>
      <c r="AD967" s="94"/>
      <c r="AE967" s="94"/>
      <c r="AF967" s="91"/>
      <c r="AG967" s="92"/>
      <c r="AH967" s="92"/>
      <c r="AI967" s="93"/>
      <c r="AJ967" s="94"/>
      <c r="AK967" s="92"/>
      <c r="AL967" s="94"/>
      <c r="AM967" s="94"/>
      <c r="AN967" s="94"/>
      <c r="AO967" s="94"/>
      <c r="AP967" s="94"/>
      <c r="AQ967" s="94"/>
      <c r="AR967" s="94"/>
      <c r="AS967" s="94"/>
      <c r="AT967" s="94"/>
      <c r="AU967" s="92"/>
      <c r="AV967" s="94"/>
      <c r="AW967" s="94"/>
      <c r="AX967" s="94"/>
      <c r="AY967" s="94"/>
      <c r="AZ967" s="94"/>
      <c r="BA967" s="94"/>
      <c r="BB967" s="94"/>
      <c r="BC967" s="94"/>
      <c r="BD967" s="94"/>
      <c r="BE967" s="94"/>
      <c r="BF967" s="94"/>
      <c r="BG967" s="94"/>
      <c r="BH967" s="94"/>
      <c r="BI967" s="94"/>
      <c r="BJ967" s="94"/>
      <c r="BK967" s="94"/>
      <c r="BL967" s="92"/>
      <c r="BM967" s="94"/>
      <c r="BN967" s="94"/>
      <c r="BO967" s="94"/>
      <c r="BP967" s="94"/>
      <c r="BQ967" s="92"/>
      <c r="BR967" s="92"/>
      <c r="BS967" s="92"/>
      <c r="BT967" s="92"/>
      <c r="BU967" s="92"/>
      <c r="BV967" s="92"/>
      <c r="BW967" s="92"/>
      <c r="BX967" s="92"/>
      <c r="BY967" s="92"/>
      <c r="BZ967" s="92"/>
    </row>
    <row r="968" spans="1:78" ht="12.9">
      <c r="A968" s="89"/>
      <c r="B968" s="89"/>
      <c r="C968" s="89"/>
      <c r="D968" s="89"/>
      <c r="E968" s="89"/>
      <c r="F968" s="89"/>
      <c r="G968" s="89"/>
      <c r="H968" s="105"/>
      <c r="I968" s="106"/>
      <c r="J968" s="106"/>
      <c r="K968" s="89"/>
      <c r="L968" s="89"/>
      <c r="M968" s="89"/>
      <c r="N968" s="107"/>
      <c r="O968" s="107"/>
      <c r="P968" s="89"/>
      <c r="Q968" s="89"/>
      <c r="R968" s="89"/>
      <c r="S968" s="89"/>
      <c r="T968" s="89"/>
      <c r="U968" s="89"/>
      <c r="V968" s="89"/>
      <c r="W968" s="89"/>
      <c r="X968" s="89"/>
      <c r="Y968" s="89"/>
      <c r="Z968" s="77"/>
      <c r="AA968" s="77"/>
      <c r="AB968" s="94"/>
      <c r="AC968" s="94"/>
      <c r="AD968" s="94"/>
      <c r="AE968" s="94"/>
      <c r="AF968" s="91"/>
      <c r="AG968" s="92"/>
      <c r="AH968" s="92"/>
      <c r="AI968" s="93"/>
      <c r="AJ968" s="94"/>
      <c r="AK968" s="92"/>
      <c r="AL968" s="94"/>
      <c r="AM968" s="94"/>
      <c r="AN968" s="94"/>
      <c r="AO968" s="94"/>
      <c r="AP968" s="94"/>
      <c r="AQ968" s="94"/>
      <c r="AR968" s="94"/>
      <c r="AS968" s="94"/>
      <c r="AT968" s="94"/>
      <c r="AU968" s="92"/>
      <c r="AV968" s="94"/>
      <c r="AW968" s="94"/>
      <c r="AX968" s="94"/>
      <c r="AY968" s="94"/>
      <c r="AZ968" s="94"/>
      <c r="BA968" s="94"/>
      <c r="BB968" s="94"/>
      <c r="BC968" s="94"/>
      <c r="BD968" s="94"/>
      <c r="BE968" s="94"/>
      <c r="BF968" s="94"/>
      <c r="BG968" s="94"/>
      <c r="BH968" s="94"/>
      <c r="BI968" s="94"/>
      <c r="BJ968" s="94"/>
      <c r="BK968" s="94"/>
      <c r="BL968" s="92"/>
      <c r="BM968" s="94"/>
      <c r="BN968" s="94"/>
      <c r="BO968" s="94"/>
      <c r="BP968" s="94"/>
      <c r="BQ968" s="92"/>
      <c r="BR968" s="92"/>
      <c r="BS968" s="92"/>
      <c r="BT968" s="92"/>
      <c r="BU968" s="92"/>
      <c r="BV968" s="92"/>
      <c r="BW968" s="92"/>
      <c r="BX968" s="92"/>
      <c r="BY968" s="92"/>
      <c r="BZ968" s="92"/>
    </row>
    <row r="969" spans="1:78" ht="12.9">
      <c r="A969" s="89"/>
      <c r="B969" s="89"/>
      <c r="C969" s="89"/>
      <c r="D969" s="89"/>
      <c r="E969" s="89"/>
      <c r="F969" s="89"/>
      <c r="G969" s="89"/>
      <c r="H969" s="105"/>
      <c r="I969" s="106"/>
      <c r="J969" s="106"/>
      <c r="K969" s="89"/>
      <c r="L969" s="89"/>
      <c r="M969" s="89"/>
      <c r="N969" s="107"/>
      <c r="O969" s="107"/>
      <c r="P969" s="89"/>
      <c r="Q969" s="89"/>
      <c r="R969" s="89"/>
      <c r="S969" s="89"/>
      <c r="T969" s="89"/>
      <c r="U969" s="89"/>
      <c r="V969" s="89"/>
      <c r="W969" s="89"/>
      <c r="X969" s="89"/>
      <c r="Y969" s="89"/>
      <c r="Z969" s="77"/>
      <c r="AA969" s="77"/>
      <c r="AB969" s="94"/>
      <c r="AC969" s="94"/>
      <c r="AD969" s="94"/>
      <c r="AE969" s="94"/>
      <c r="AF969" s="91"/>
      <c r="AG969" s="92"/>
      <c r="AH969" s="92"/>
      <c r="AI969" s="93"/>
      <c r="AJ969" s="94"/>
      <c r="AK969" s="92"/>
      <c r="AL969" s="94"/>
      <c r="AM969" s="94"/>
      <c r="AN969" s="94"/>
      <c r="AO969" s="94"/>
      <c r="AP969" s="94"/>
      <c r="AQ969" s="94"/>
      <c r="AR969" s="94"/>
      <c r="AS969" s="94"/>
      <c r="AT969" s="94"/>
      <c r="AU969" s="92"/>
      <c r="AV969" s="94"/>
      <c r="AW969" s="94"/>
      <c r="AX969" s="94"/>
      <c r="AY969" s="94"/>
      <c r="AZ969" s="94"/>
      <c r="BA969" s="94"/>
      <c r="BB969" s="94"/>
      <c r="BC969" s="94"/>
      <c r="BD969" s="94"/>
      <c r="BE969" s="94"/>
      <c r="BF969" s="94"/>
      <c r="BG969" s="94"/>
      <c r="BH969" s="94"/>
      <c r="BI969" s="94"/>
      <c r="BJ969" s="94"/>
      <c r="BK969" s="94"/>
      <c r="BL969" s="92"/>
      <c r="BM969" s="94"/>
      <c r="BN969" s="94"/>
      <c r="BO969" s="94"/>
      <c r="BP969" s="94"/>
      <c r="BQ969" s="92"/>
      <c r="BR969" s="92"/>
      <c r="BS969" s="92"/>
      <c r="BT969" s="92"/>
      <c r="BU969" s="92"/>
      <c r="BV969" s="92"/>
      <c r="BW969" s="92"/>
      <c r="BX969" s="92"/>
      <c r="BY969" s="92"/>
      <c r="BZ969" s="92"/>
    </row>
    <row r="970" spans="1:78" ht="12.9">
      <c r="A970" s="89"/>
      <c r="B970" s="89"/>
      <c r="C970" s="89"/>
      <c r="D970" s="89"/>
      <c r="E970" s="89"/>
      <c r="F970" s="89"/>
      <c r="G970" s="89"/>
      <c r="H970" s="105"/>
      <c r="I970" s="106"/>
      <c r="J970" s="106"/>
      <c r="K970" s="89"/>
      <c r="L970" s="89"/>
      <c r="M970" s="89"/>
      <c r="N970" s="107"/>
      <c r="O970" s="107"/>
      <c r="P970" s="89"/>
      <c r="Q970" s="89"/>
      <c r="R970" s="89"/>
      <c r="S970" s="89"/>
      <c r="T970" s="89"/>
      <c r="U970" s="89"/>
      <c r="V970" s="89"/>
      <c r="W970" s="89"/>
      <c r="X970" s="89"/>
      <c r="Y970" s="89"/>
      <c r="Z970" s="77"/>
      <c r="AA970" s="77"/>
      <c r="AB970" s="94"/>
      <c r="AC970" s="94"/>
      <c r="AD970" s="94"/>
      <c r="AE970" s="94"/>
      <c r="AF970" s="91"/>
      <c r="AG970" s="92"/>
      <c r="AH970" s="92"/>
      <c r="AI970" s="93"/>
      <c r="AJ970" s="94"/>
      <c r="AK970" s="92"/>
      <c r="AL970" s="94"/>
      <c r="AM970" s="94"/>
      <c r="AN970" s="94"/>
      <c r="AO970" s="94"/>
      <c r="AP970" s="94"/>
      <c r="AQ970" s="94"/>
      <c r="AR970" s="94"/>
      <c r="AS970" s="94"/>
      <c r="AT970" s="94"/>
      <c r="AU970" s="92"/>
      <c r="AV970" s="94"/>
      <c r="AW970" s="94"/>
      <c r="AX970" s="94"/>
      <c r="AY970" s="94"/>
      <c r="AZ970" s="94"/>
      <c r="BA970" s="94"/>
      <c r="BB970" s="94"/>
      <c r="BC970" s="94"/>
      <c r="BD970" s="94"/>
      <c r="BE970" s="94"/>
      <c r="BF970" s="94"/>
      <c r="BG970" s="94"/>
      <c r="BH970" s="94"/>
      <c r="BI970" s="94"/>
      <c r="BJ970" s="94"/>
      <c r="BK970" s="94"/>
      <c r="BL970" s="92"/>
      <c r="BM970" s="94"/>
      <c r="BN970" s="94"/>
      <c r="BO970" s="94"/>
      <c r="BP970" s="94"/>
      <c r="BQ970" s="92"/>
      <c r="BR970" s="92"/>
      <c r="BS970" s="92"/>
      <c r="BT970" s="92"/>
      <c r="BU970" s="92"/>
      <c r="BV970" s="92"/>
      <c r="BW970" s="92"/>
      <c r="BX970" s="92"/>
      <c r="BY970" s="92"/>
      <c r="BZ970" s="92"/>
    </row>
    <row r="971" spans="1:78" ht="12.9">
      <c r="A971" s="89"/>
      <c r="B971" s="89"/>
      <c r="C971" s="89"/>
      <c r="D971" s="89"/>
      <c r="E971" s="89"/>
      <c r="F971" s="89"/>
      <c r="G971" s="89"/>
      <c r="H971" s="105"/>
      <c r="I971" s="106"/>
      <c r="J971" s="106"/>
      <c r="K971" s="89"/>
      <c r="L971" s="89"/>
      <c r="M971" s="89"/>
      <c r="N971" s="107"/>
      <c r="O971" s="107"/>
      <c r="P971" s="89"/>
      <c r="Q971" s="89"/>
      <c r="R971" s="89"/>
      <c r="S971" s="89"/>
      <c r="T971" s="89"/>
      <c r="U971" s="89"/>
      <c r="V971" s="89"/>
      <c r="W971" s="89"/>
      <c r="X971" s="89"/>
      <c r="Y971" s="89"/>
      <c r="Z971" s="77"/>
      <c r="AA971" s="77"/>
      <c r="AB971" s="94"/>
      <c r="AC971" s="94"/>
      <c r="AD971" s="94"/>
      <c r="AE971" s="94"/>
      <c r="AF971" s="91"/>
      <c r="AG971" s="92"/>
      <c r="AH971" s="92"/>
      <c r="AI971" s="93"/>
      <c r="AJ971" s="94"/>
      <c r="AK971" s="92"/>
      <c r="AL971" s="94"/>
      <c r="AM971" s="94"/>
      <c r="AN971" s="94"/>
      <c r="AO971" s="94"/>
      <c r="AP971" s="94"/>
      <c r="AQ971" s="94"/>
      <c r="AR971" s="94"/>
      <c r="AS971" s="94"/>
      <c r="AT971" s="94"/>
      <c r="AU971" s="92"/>
      <c r="AV971" s="94"/>
      <c r="AW971" s="94"/>
      <c r="AX971" s="94"/>
      <c r="AY971" s="94"/>
      <c r="AZ971" s="94"/>
      <c r="BA971" s="94"/>
      <c r="BB971" s="94"/>
      <c r="BC971" s="94"/>
      <c r="BD971" s="94"/>
      <c r="BE971" s="94"/>
      <c r="BF971" s="94"/>
      <c r="BG971" s="94"/>
      <c r="BH971" s="94"/>
      <c r="BI971" s="94"/>
      <c r="BJ971" s="94"/>
      <c r="BK971" s="94"/>
      <c r="BL971" s="92"/>
      <c r="BM971" s="94"/>
      <c r="BN971" s="94"/>
      <c r="BO971" s="94"/>
      <c r="BP971" s="94"/>
      <c r="BQ971" s="92"/>
      <c r="BR971" s="92"/>
      <c r="BS971" s="92"/>
      <c r="BT971" s="92"/>
      <c r="BU971" s="92"/>
      <c r="BV971" s="92"/>
      <c r="BW971" s="92"/>
      <c r="BX971" s="92"/>
      <c r="BY971" s="92"/>
      <c r="BZ971" s="92"/>
    </row>
    <row r="972" spans="1:78" ht="12.9">
      <c r="A972" s="89"/>
      <c r="B972" s="89"/>
      <c r="C972" s="89"/>
      <c r="D972" s="89"/>
      <c r="E972" s="89"/>
      <c r="F972" s="89"/>
      <c r="G972" s="89"/>
      <c r="H972" s="105"/>
      <c r="I972" s="106"/>
      <c r="J972" s="106"/>
      <c r="K972" s="89"/>
      <c r="L972" s="89"/>
      <c r="M972" s="89"/>
      <c r="N972" s="107"/>
      <c r="O972" s="107"/>
      <c r="P972" s="89"/>
      <c r="Q972" s="89"/>
      <c r="R972" s="89"/>
      <c r="S972" s="89"/>
      <c r="T972" s="89"/>
      <c r="U972" s="89"/>
      <c r="V972" s="89"/>
      <c r="W972" s="89"/>
      <c r="X972" s="89"/>
      <c r="Y972" s="89"/>
      <c r="Z972" s="77"/>
      <c r="AA972" s="77"/>
      <c r="AB972" s="94"/>
      <c r="AC972" s="94"/>
      <c r="AD972" s="94"/>
      <c r="AE972" s="94"/>
      <c r="AF972" s="91"/>
      <c r="AG972" s="92"/>
      <c r="AH972" s="92"/>
      <c r="AI972" s="93"/>
      <c r="AJ972" s="94"/>
      <c r="AK972" s="92"/>
      <c r="AL972" s="94"/>
      <c r="AM972" s="94"/>
      <c r="AN972" s="94"/>
      <c r="AO972" s="94"/>
      <c r="AP972" s="94"/>
      <c r="AQ972" s="94"/>
      <c r="AR972" s="94"/>
      <c r="AS972" s="94"/>
      <c r="AT972" s="94"/>
      <c r="AU972" s="92"/>
      <c r="AV972" s="94"/>
      <c r="AW972" s="94"/>
      <c r="AX972" s="94"/>
      <c r="AY972" s="94"/>
      <c r="AZ972" s="94"/>
      <c r="BA972" s="94"/>
      <c r="BB972" s="94"/>
      <c r="BC972" s="94"/>
      <c r="BD972" s="94"/>
      <c r="BE972" s="94"/>
      <c r="BF972" s="94"/>
      <c r="BG972" s="94"/>
      <c r="BH972" s="94"/>
      <c r="BI972" s="94"/>
      <c r="BJ972" s="94"/>
      <c r="BK972" s="94"/>
      <c r="BL972" s="92"/>
      <c r="BM972" s="94"/>
      <c r="BN972" s="94"/>
      <c r="BO972" s="94"/>
      <c r="BP972" s="94"/>
      <c r="BQ972" s="92"/>
      <c r="BR972" s="92"/>
      <c r="BS972" s="92"/>
      <c r="BT972" s="92"/>
      <c r="BU972" s="92"/>
      <c r="BV972" s="92"/>
      <c r="BW972" s="92"/>
      <c r="BX972" s="92"/>
      <c r="BY972" s="92"/>
      <c r="BZ972" s="92"/>
    </row>
    <row r="973" spans="1:78" ht="12.9">
      <c r="A973" s="89"/>
      <c r="B973" s="89"/>
      <c r="C973" s="89"/>
      <c r="D973" s="89"/>
      <c r="E973" s="89"/>
      <c r="F973" s="89"/>
      <c r="G973" s="89"/>
      <c r="H973" s="105"/>
      <c r="I973" s="106"/>
      <c r="J973" s="106"/>
      <c r="K973" s="89"/>
      <c r="L973" s="89"/>
      <c r="M973" s="89"/>
      <c r="N973" s="107"/>
      <c r="O973" s="107"/>
      <c r="P973" s="89"/>
      <c r="Q973" s="89"/>
      <c r="R973" s="89"/>
      <c r="S973" s="89"/>
      <c r="T973" s="89"/>
      <c r="U973" s="89"/>
      <c r="V973" s="89"/>
      <c r="W973" s="89"/>
      <c r="X973" s="89"/>
      <c r="Y973" s="89"/>
      <c r="Z973" s="77"/>
      <c r="AA973" s="77"/>
      <c r="AB973" s="94"/>
      <c r="AC973" s="94"/>
      <c r="AD973" s="94"/>
      <c r="AE973" s="94"/>
      <c r="AF973" s="91"/>
      <c r="AG973" s="92"/>
      <c r="AH973" s="92"/>
      <c r="AI973" s="93"/>
      <c r="AJ973" s="94"/>
      <c r="AK973" s="92"/>
      <c r="AL973" s="94"/>
      <c r="AM973" s="94"/>
      <c r="AN973" s="94"/>
      <c r="AO973" s="94"/>
      <c r="AP973" s="94"/>
      <c r="AQ973" s="94"/>
      <c r="AR973" s="94"/>
      <c r="AS973" s="94"/>
      <c r="AT973" s="94"/>
      <c r="AU973" s="92"/>
      <c r="AV973" s="94"/>
      <c r="AW973" s="94"/>
      <c r="AX973" s="94"/>
      <c r="AY973" s="94"/>
      <c r="AZ973" s="94"/>
      <c r="BA973" s="94"/>
      <c r="BB973" s="94"/>
      <c r="BC973" s="94"/>
      <c r="BD973" s="94"/>
      <c r="BE973" s="94"/>
      <c r="BF973" s="94"/>
      <c r="BG973" s="94"/>
      <c r="BH973" s="94"/>
      <c r="BI973" s="94"/>
      <c r="BJ973" s="94"/>
      <c r="BK973" s="94"/>
      <c r="BL973" s="92"/>
      <c r="BM973" s="94"/>
      <c r="BN973" s="94"/>
      <c r="BO973" s="94"/>
      <c r="BP973" s="94"/>
      <c r="BQ973" s="92"/>
      <c r="BR973" s="92"/>
      <c r="BS973" s="92"/>
      <c r="BT973" s="92"/>
      <c r="BU973" s="92"/>
      <c r="BV973" s="92"/>
      <c r="BW973" s="92"/>
      <c r="BX973" s="92"/>
      <c r="BY973" s="92"/>
      <c r="BZ973" s="92"/>
    </row>
    <row r="974" spans="1:78" ht="12.9">
      <c r="A974" s="89"/>
      <c r="B974" s="89"/>
      <c r="C974" s="89"/>
      <c r="D974" s="89"/>
      <c r="E974" s="89"/>
      <c r="F974" s="89"/>
      <c r="G974" s="89"/>
      <c r="H974" s="105"/>
      <c r="I974" s="106"/>
      <c r="J974" s="106"/>
      <c r="K974" s="89"/>
      <c r="L974" s="89"/>
      <c r="M974" s="89"/>
      <c r="N974" s="107"/>
      <c r="O974" s="107"/>
      <c r="P974" s="89"/>
      <c r="Q974" s="89"/>
      <c r="R974" s="89"/>
      <c r="S974" s="89"/>
      <c r="T974" s="89"/>
      <c r="U974" s="89"/>
      <c r="V974" s="89"/>
      <c r="W974" s="89"/>
      <c r="X974" s="89"/>
      <c r="Y974" s="89"/>
      <c r="Z974" s="77"/>
      <c r="AA974" s="77"/>
      <c r="AB974" s="94"/>
      <c r="AC974" s="94"/>
      <c r="AD974" s="94"/>
      <c r="AE974" s="94"/>
      <c r="AF974" s="91"/>
      <c r="AG974" s="92"/>
      <c r="AH974" s="92"/>
      <c r="AI974" s="93"/>
      <c r="AJ974" s="94"/>
      <c r="AK974" s="92"/>
      <c r="AL974" s="94"/>
      <c r="AM974" s="94"/>
      <c r="AN974" s="94"/>
      <c r="AO974" s="94"/>
      <c r="AP974" s="94"/>
      <c r="AQ974" s="94"/>
      <c r="AR974" s="94"/>
      <c r="AS974" s="94"/>
      <c r="AT974" s="94"/>
      <c r="AU974" s="92"/>
      <c r="AV974" s="94"/>
      <c r="AW974" s="94"/>
      <c r="AX974" s="94"/>
      <c r="AY974" s="94"/>
      <c r="AZ974" s="94"/>
      <c r="BA974" s="94"/>
      <c r="BB974" s="94"/>
      <c r="BC974" s="94"/>
      <c r="BD974" s="94"/>
      <c r="BE974" s="94"/>
      <c r="BF974" s="94"/>
      <c r="BG974" s="94"/>
      <c r="BH974" s="94"/>
      <c r="BI974" s="94"/>
      <c r="BJ974" s="94"/>
      <c r="BK974" s="94"/>
      <c r="BL974" s="92"/>
      <c r="BM974" s="94"/>
      <c r="BN974" s="94"/>
      <c r="BO974" s="94"/>
      <c r="BP974" s="94"/>
      <c r="BQ974" s="92"/>
      <c r="BR974" s="92"/>
      <c r="BS974" s="92"/>
      <c r="BT974" s="92"/>
      <c r="BU974" s="92"/>
      <c r="BV974" s="92"/>
      <c r="BW974" s="92"/>
      <c r="BX974" s="92"/>
      <c r="BY974" s="92"/>
      <c r="BZ974" s="92"/>
    </row>
    <row r="975" spans="1:78" ht="12.9">
      <c r="A975" s="89"/>
      <c r="B975" s="89"/>
      <c r="C975" s="89"/>
      <c r="D975" s="89"/>
      <c r="E975" s="89"/>
      <c r="F975" s="89"/>
      <c r="G975" s="89"/>
      <c r="H975" s="105"/>
      <c r="I975" s="106"/>
      <c r="J975" s="106"/>
      <c r="K975" s="89"/>
      <c r="L975" s="89"/>
      <c r="M975" s="89"/>
      <c r="N975" s="107"/>
      <c r="O975" s="107"/>
      <c r="P975" s="89"/>
      <c r="Q975" s="89"/>
      <c r="R975" s="89"/>
      <c r="S975" s="89"/>
      <c r="T975" s="89"/>
      <c r="U975" s="89"/>
      <c r="V975" s="89"/>
      <c r="W975" s="89"/>
      <c r="X975" s="89"/>
      <c r="Y975" s="89"/>
      <c r="Z975" s="77"/>
      <c r="AA975" s="77"/>
      <c r="AB975" s="94"/>
      <c r="AC975" s="94"/>
      <c r="AD975" s="94"/>
      <c r="AE975" s="94"/>
      <c r="AF975" s="91"/>
      <c r="AG975" s="92"/>
      <c r="AH975" s="92"/>
      <c r="AI975" s="93"/>
      <c r="AJ975" s="94"/>
      <c r="AK975" s="92"/>
      <c r="AL975" s="94"/>
      <c r="AM975" s="94"/>
      <c r="AN975" s="94"/>
      <c r="AO975" s="94"/>
      <c r="AP975" s="94"/>
      <c r="AQ975" s="94"/>
      <c r="AR975" s="94"/>
      <c r="AS975" s="94"/>
      <c r="AT975" s="94"/>
      <c r="AU975" s="92"/>
      <c r="AV975" s="94"/>
      <c r="AW975" s="94"/>
      <c r="AX975" s="94"/>
      <c r="AY975" s="94"/>
      <c r="AZ975" s="94"/>
      <c r="BA975" s="94"/>
      <c r="BB975" s="94"/>
      <c r="BC975" s="94"/>
      <c r="BD975" s="94"/>
      <c r="BE975" s="94"/>
      <c r="BF975" s="94"/>
      <c r="BG975" s="94"/>
      <c r="BH975" s="94"/>
      <c r="BI975" s="94"/>
      <c r="BJ975" s="94"/>
      <c r="BK975" s="94"/>
      <c r="BL975" s="92"/>
      <c r="BM975" s="94"/>
      <c r="BN975" s="94"/>
      <c r="BO975" s="94"/>
      <c r="BP975" s="94"/>
      <c r="BQ975" s="92"/>
      <c r="BR975" s="92"/>
      <c r="BS975" s="92"/>
      <c r="BT975" s="92"/>
      <c r="BU975" s="92"/>
      <c r="BV975" s="92"/>
      <c r="BW975" s="92"/>
      <c r="BX975" s="92"/>
      <c r="BY975" s="92"/>
      <c r="BZ975" s="92"/>
    </row>
    <row r="976" spans="1:78" ht="12.9">
      <c r="A976" s="89"/>
      <c r="B976" s="89"/>
      <c r="C976" s="89"/>
      <c r="D976" s="89"/>
      <c r="E976" s="89"/>
      <c r="F976" s="89"/>
      <c r="G976" s="89"/>
      <c r="H976" s="105"/>
      <c r="I976" s="106"/>
      <c r="J976" s="106"/>
      <c r="K976" s="89"/>
      <c r="L976" s="89"/>
      <c r="M976" s="89"/>
      <c r="N976" s="107"/>
      <c r="O976" s="107"/>
      <c r="P976" s="89"/>
      <c r="Q976" s="89"/>
      <c r="R976" s="89"/>
      <c r="S976" s="89"/>
      <c r="T976" s="89"/>
      <c r="U976" s="89"/>
      <c r="V976" s="89"/>
      <c r="W976" s="89"/>
      <c r="X976" s="89"/>
      <c r="Y976" s="89"/>
      <c r="Z976" s="77"/>
      <c r="AA976" s="77"/>
      <c r="AB976" s="94"/>
      <c r="AC976" s="94"/>
      <c r="AD976" s="94"/>
      <c r="AE976" s="94"/>
      <c r="AF976" s="91"/>
      <c r="AG976" s="92"/>
      <c r="AH976" s="92"/>
      <c r="AI976" s="93"/>
      <c r="AJ976" s="94"/>
      <c r="AK976" s="92"/>
      <c r="AL976" s="94"/>
      <c r="AM976" s="94"/>
      <c r="AN976" s="94"/>
      <c r="AO976" s="94"/>
      <c r="AP976" s="94"/>
      <c r="AQ976" s="94"/>
      <c r="AR976" s="94"/>
      <c r="AS976" s="94"/>
      <c r="AT976" s="94"/>
      <c r="AU976" s="92"/>
      <c r="AV976" s="94"/>
      <c r="AW976" s="94"/>
      <c r="AX976" s="94"/>
      <c r="AY976" s="94"/>
      <c r="AZ976" s="94"/>
      <c r="BA976" s="94"/>
      <c r="BB976" s="94"/>
      <c r="BC976" s="94"/>
      <c r="BD976" s="94"/>
      <c r="BE976" s="94"/>
      <c r="BF976" s="94"/>
      <c r="BG976" s="94"/>
      <c r="BH976" s="94"/>
      <c r="BI976" s="94"/>
      <c r="BJ976" s="94"/>
      <c r="BK976" s="94"/>
      <c r="BL976" s="92"/>
      <c r="BM976" s="94"/>
      <c r="BN976" s="94"/>
      <c r="BO976" s="94"/>
      <c r="BP976" s="94"/>
      <c r="BQ976" s="92"/>
      <c r="BR976" s="92"/>
      <c r="BS976" s="92"/>
      <c r="BT976" s="92"/>
      <c r="BU976" s="92"/>
      <c r="BV976" s="92"/>
      <c r="BW976" s="92"/>
      <c r="BX976" s="92"/>
      <c r="BY976" s="92"/>
      <c r="BZ976" s="92"/>
    </row>
    <row r="977" spans="1:78" ht="12.9">
      <c r="A977" s="89"/>
      <c r="B977" s="89"/>
      <c r="C977" s="89"/>
      <c r="D977" s="89"/>
      <c r="E977" s="89"/>
      <c r="F977" s="89"/>
      <c r="G977" s="89"/>
      <c r="H977" s="105"/>
      <c r="I977" s="106"/>
      <c r="J977" s="106"/>
      <c r="K977" s="89"/>
      <c r="L977" s="89"/>
      <c r="M977" s="89"/>
      <c r="N977" s="107"/>
      <c r="O977" s="107"/>
      <c r="P977" s="89"/>
      <c r="Q977" s="89"/>
      <c r="R977" s="89"/>
      <c r="S977" s="89"/>
      <c r="T977" s="89"/>
      <c r="U977" s="89"/>
      <c r="V977" s="89"/>
      <c r="W977" s="89"/>
      <c r="X977" s="89"/>
      <c r="Y977" s="89"/>
      <c r="Z977" s="77"/>
      <c r="AA977" s="77"/>
      <c r="AB977" s="94"/>
      <c r="AC977" s="94"/>
      <c r="AD977" s="94"/>
      <c r="AE977" s="94"/>
      <c r="AF977" s="91"/>
      <c r="AG977" s="92"/>
      <c r="AH977" s="92"/>
      <c r="AI977" s="93"/>
      <c r="AJ977" s="94"/>
      <c r="AK977" s="92"/>
      <c r="AL977" s="94"/>
      <c r="AM977" s="94"/>
      <c r="AN977" s="94"/>
      <c r="AO977" s="94"/>
      <c r="AP977" s="94"/>
      <c r="AQ977" s="94"/>
      <c r="AR977" s="94"/>
      <c r="AS977" s="94"/>
      <c r="AT977" s="94"/>
      <c r="AU977" s="92"/>
      <c r="AV977" s="94"/>
      <c r="AW977" s="94"/>
      <c r="AX977" s="94"/>
      <c r="AY977" s="94"/>
      <c r="AZ977" s="94"/>
      <c r="BA977" s="94"/>
      <c r="BB977" s="94"/>
      <c r="BC977" s="94"/>
      <c r="BD977" s="94"/>
      <c r="BE977" s="94"/>
      <c r="BF977" s="94"/>
      <c r="BG977" s="94"/>
      <c r="BH977" s="94"/>
      <c r="BI977" s="94"/>
      <c r="BJ977" s="94"/>
      <c r="BK977" s="94"/>
      <c r="BL977" s="92"/>
      <c r="BM977" s="94"/>
      <c r="BN977" s="94"/>
      <c r="BO977" s="94"/>
      <c r="BP977" s="94"/>
      <c r="BQ977" s="92"/>
      <c r="BR977" s="92"/>
      <c r="BS977" s="92"/>
      <c r="BT977" s="92"/>
      <c r="BU977" s="92"/>
      <c r="BV977" s="92"/>
      <c r="BW977" s="92"/>
      <c r="BX977" s="92"/>
      <c r="BY977" s="92"/>
      <c r="BZ977" s="92"/>
    </row>
    <row r="978" spans="1:78" ht="12.9">
      <c r="A978" s="89"/>
      <c r="B978" s="89"/>
      <c r="C978" s="89"/>
      <c r="D978" s="89"/>
      <c r="E978" s="89"/>
      <c r="F978" s="89"/>
      <c r="G978" s="89"/>
      <c r="H978" s="105"/>
      <c r="I978" s="106"/>
      <c r="J978" s="106"/>
      <c r="K978" s="89"/>
      <c r="L978" s="89"/>
      <c r="M978" s="89"/>
      <c r="N978" s="107"/>
      <c r="O978" s="107"/>
      <c r="P978" s="89"/>
      <c r="Q978" s="89"/>
      <c r="R978" s="89"/>
      <c r="S978" s="89"/>
      <c r="T978" s="89"/>
      <c r="U978" s="89"/>
      <c r="V978" s="89"/>
      <c r="W978" s="89"/>
      <c r="X978" s="89"/>
      <c r="Y978" s="89"/>
      <c r="Z978" s="77"/>
      <c r="AA978" s="77"/>
      <c r="AB978" s="94"/>
      <c r="AC978" s="94"/>
      <c r="AD978" s="94"/>
      <c r="AE978" s="94"/>
      <c r="AF978" s="91"/>
      <c r="AG978" s="92"/>
      <c r="AH978" s="92"/>
      <c r="AI978" s="93"/>
      <c r="AJ978" s="94"/>
      <c r="AK978" s="92"/>
      <c r="AL978" s="94"/>
      <c r="AM978" s="94"/>
      <c r="AN978" s="94"/>
      <c r="AO978" s="94"/>
      <c r="AP978" s="94"/>
      <c r="AQ978" s="94"/>
      <c r="AR978" s="94"/>
      <c r="AS978" s="94"/>
      <c r="AT978" s="94"/>
      <c r="AU978" s="92"/>
      <c r="AV978" s="94"/>
      <c r="AW978" s="94"/>
      <c r="AX978" s="94"/>
      <c r="AY978" s="94"/>
      <c r="AZ978" s="94"/>
      <c r="BA978" s="94"/>
      <c r="BB978" s="94"/>
      <c r="BC978" s="94"/>
      <c r="BD978" s="94"/>
      <c r="BE978" s="94"/>
      <c r="BF978" s="94"/>
      <c r="BG978" s="94"/>
      <c r="BH978" s="94"/>
      <c r="BI978" s="94"/>
      <c r="BJ978" s="94"/>
      <c r="BK978" s="94"/>
      <c r="BL978" s="92"/>
      <c r="BM978" s="94"/>
      <c r="BN978" s="94"/>
      <c r="BO978" s="94"/>
      <c r="BP978" s="94"/>
      <c r="BQ978" s="92"/>
      <c r="BR978" s="92"/>
      <c r="BS978" s="92"/>
      <c r="BT978" s="92"/>
      <c r="BU978" s="92"/>
      <c r="BV978" s="92"/>
      <c r="BW978" s="92"/>
      <c r="BX978" s="92"/>
      <c r="BY978" s="92"/>
      <c r="BZ978" s="92"/>
    </row>
    <row r="979" spans="1:78" ht="12.9">
      <c r="A979" s="89"/>
      <c r="B979" s="89"/>
      <c r="C979" s="89"/>
      <c r="D979" s="89"/>
      <c r="E979" s="89"/>
      <c r="F979" s="89"/>
      <c r="G979" s="89"/>
      <c r="H979" s="105"/>
      <c r="I979" s="106"/>
      <c r="J979" s="106"/>
      <c r="K979" s="89"/>
      <c r="L979" s="89"/>
      <c r="M979" s="89"/>
      <c r="N979" s="107"/>
      <c r="O979" s="107"/>
      <c r="P979" s="89"/>
      <c r="Q979" s="89"/>
      <c r="R979" s="89"/>
      <c r="S979" s="89"/>
      <c r="T979" s="89"/>
      <c r="U979" s="89"/>
      <c r="V979" s="89"/>
      <c r="W979" s="89"/>
      <c r="X979" s="89"/>
      <c r="Y979" s="89"/>
      <c r="Z979" s="77"/>
      <c r="AA979" s="77"/>
      <c r="AB979" s="94"/>
      <c r="AC979" s="94"/>
      <c r="AD979" s="94"/>
      <c r="AE979" s="94"/>
      <c r="AF979" s="91"/>
      <c r="AG979" s="92"/>
      <c r="AH979" s="92"/>
      <c r="AI979" s="93"/>
      <c r="AJ979" s="94"/>
      <c r="AK979" s="92"/>
      <c r="AL979" s="94"/>
      <c r="AM979" s="94"/>
      <c r="AN979" s="94"/>
      <c r="AO979" s="94"/>
      <c r="AP979" s="94"/>
      <c r="AQ979" s="94"/>
      <c r="AR979" s="94"/>
      <c r="AS979" s="94"/>
      <c r="AT979" s="94"/>
      <c r="AU979" s="92"/>
      <c r="AV979" s="94"/>
      <c r="AW979" s="94"/>
      <c r="AX979" s="94"/>
      <c r="AY979" s="94"/>
      <c r="AZ979" s="94"/>
      <c r="BA979" s="94"/>
      <c r="BB979" s="94"/>
      <c r="BC979" s="94"/>
      <c r="BD979" s="94"/>
      <c r="BE979" s="94"/>
      <c r="BF979" s="94"/>
      <c r="BG979" s="94"/>
      <c r="BH979" s="94"/>
      <c r="BI979" s="94"/>
      <c r="BJ979" s="94"/>
      <c r="BK979" s="94"/>
      <c r="BL979" s="92"/>
      <c r="BM979" s="94"/>
      <c r="BN979" s="94"/>
      <c r="BO979" s="94"/>
      <c r="BP979" s="94"/>
      <c r="BQ979" s="92"/>
      <c r="BR979" s="92"/>
      <c r="BS979" s="92"/>
      <c r="BT979" s="92"/>
      <c r="BU979" s="92"/>
      <c r="BV979" s="92"/>
      <c r="BW979" s="92"/>
      <c r="BX979" s="92"/>
      <c r="BY979" s="92"/>
      <c r="BZ979" s="92"/>
    </row>
    <row r="980" spans="1:78" ht="12.9">
      <c r="A980" s="89"/>
      <c r="B980" s="89"/>
      <c r="C980" s="89"/>
      <c r="D980" s="89"/>
      <c r="E980" s="89"/>
      <c r="F980" s="89"/>
      <c r="G980" s="89"/>
      <c r="H980" s="105"/>
      <c r="I980" s="106"/>
      <c r="J980" s="106"/>
      <c r="K980" s="89"/>
      <c r="L980" s="89"/>
      <c r="M980" s="89"/>
      <c r="N980" s="107"/>
      <c r="O980" s="107"/>
      <c r="P980" s="89"/>
      <c r="Q980" s="89"/>
      <c r="R980" s="89"/>
      <c r="S980" s="89"/>
      <c r="T980" s="89"/>
      <c r="U980" s="89"/>
      <c r="V980" s="89"/>
      <c r="W980" s="89"/>
      <c r="X980" s="89"/>
      <c r="Y980" s="89"/>
      <c r="Z980" s="77"/>
      <c r="AA980" s="77"/>
      <c r="AB980" s="94"/>
      <c r="AC980" s="94"/>
      <c r="AD980" s="94"/>
      <c r="AE980" s="94"/>
      <c r="AF980" s="91"/>
      <c r="AG980" s="92"/>
      <c r="AH980" s="92"/>
      <c r="AI980" s="93"/>
      <c r="AJ980" s="94"/>
      <c r="AK980" s="92"/>
      <c r="AL980" s="94"/>
      <c r="AM980" s="94"/>
      <c r="AN980" s="94"/>
      <c r="AO980" s="94"/>
      <c r="AP980" s="94"/>
      <c r="AQ980" s="94"/>
      <c r="AR980" s="94"/>
      <c r="AS980" s="94"/>
      <c r="AT980" s="94"/>
      <c r="AU980" s="92"/>
      <c r="AV980" s="94"/>
      <c r="AW980" s="94"/>
      <c r="AX980" s="94"/>
      <c r="AY980" s="94"/>
      <c r="AZ980" s="94"/>
      <c r="BA980" s="94"/>
      <c r="BB980" s="94"/>
      <c r="BC980" s="94"/>
      <c r="BD980" s="94"/>
      <c r="BE980" s="94"/>
      <c r="BF980" s="94"/>
      <c r="BG980" s="94"/>
      <c r="BH980" s="94"/>
      <c r="BI980" s="94"/>
      <c r="BJ980" s="94"/>
      <c r="BK980" s="94"/>
      <c r="BL980" s="92"/>
      <c r="BM980" s="94"/>
      <c r="BN980" s="94"/>
      <c r="BO980" s="94"/>
      <c r="BP980" s="94"/>
      <c r="BQ980" s="92"/>
      <c r="BR980" s="92"/>
      <c r="BS980" s="92"/>
      <c r="BT980" s="92"/>
      <c r="BU980" s="92"/>
      <c r="BV980" s="92"/>
      <c r="BW980" s="92"/>
      <c r="BX980" s="92"/>
      <c r="BY980" s="92"/>
      <c r="BZ980" s="92"/>
    </row>
    <row r="981" spans="1:78" ht="12.9">
      <c r="A981" s="89"/>
      <c r="B981" s="89"/>
      <c r="C981" s="89"/>
      <c r="D981" s="89"/>
      <c r="E981" s="89"/>
      <c r="F981" s="89"/>
      <c r="G981" s="89"/>
      <c r="H981" s="105"/>
      <c r="I981" s="106"/>
      <c r="J981" s="106"/>
      <c r="K981" s="89"/>
      <c r="L981" s="89"/>
      <c r="M981" s="89"/>
      <c r="N981" s="107"/>
      <c r="O981" s="107"/>
      <c r="P981" s="89"/>
      <c r="Q981" s="89"/>
      <c r="R981" s="89"/>
      <c r="S981" s="89"/>
      <c r="T981" s="89"/>
      <c r="U981" s="89"/>
      <c r="V981" s="89"/>
      <c r="W981" s="89"/>
      <c r="X981" s="89"/>
      <c r="Y981" s="89"/>
      <c r="Z981" s="77"/>
      <c r="AA981" s="77"/>
      <c r="AB981" s="94"/>
      <c r="AC981" s="94"/>
      <c r="AD981" s="94"/>
      <c r="AE981" s="94"/>
      <c r="AF981" s="91"/>
      <c r="AG981" s="92"/>
      <c r="AH981" s="92"/>
      <c r="AI981" s="93"/>
      <c r="AJ981" s="94"/>
      <c r="AK981" s="92"/>
      <c r="AL981" s="94"/>
      <c r="AM981" s="94"/>
      <c r="AN981" s="94"/>
      <c r="AO981" s="94"/>
      <c r="AP981" s="94"/>
      <c r="AQ981" s="94"/>
      <c r="AR981" s="94"/>
      <c r="AS981" s="94"/>
      <c r="AT981" s="94"/>
      <c r="AU981" s="92"/>
      <c r="AV981" s="94"/>
      <c r="AW981" s="94"/>
      <c r="AX981" s="94"/>
      <c r="AY981" s="94"/>
      <c r="AZ981" s="94"/>
      <c r="BA981" s="94"/>
      <c r="BB981" s="94"/>
      <c r="BC981" s="94"/>
      <c r="BD981" s="94"/>
      <c r="BE981" s="94"/>
      <c r="BF981" s="94"/>
      <c r="BG981" s="94"/>
      <c r="BH981" s="94"/>
      <c r="BI981" s="94"/>
      <c r="BJ981" s="94"/>
      <c r="BK981" s="94"/>
      <c r="BL981" s="92"/>
      <c r="BM981" s="94"/>
      <c r="BN981" s="94"/>
      <c r="BO981" s="94"/>
      <c r="BP981" s="94"/>
      <c r="BQ981" s="92"/>
      <c r="BR981" s="92"/>
      <c r="BS981" s="92"/>
      <c r="BT981" s="92"/>
      <c r="BU981" s="92"/>
      <c r="BV981" s="92"/>
      <c r="BW981" s="92"/>
      <c r="BX981" s="92"/>
      <c r="BY981" s="92"/>
      <c r="BZ981" s="92"/>
    </row>
    <row r="982" spans="1:78" ht="12.9">
      <c r="A982" s="89"/>
      <c r="B982" s="89"/>
      <c r="C982" s="89"/>
      <c r="D982" s="89"/>
      <c r="E982" s="89"/>
      <c r="F982" s="89"/>
      <c r="G982" s="89"/>
      <c r="H982" s="105"/>
      <c r="I982" s="106"/>
      <c r="J982" s="106"/>
      <c r="K982" s="89"/>
      <c r="L982" s="89"/>
      <c r="M982" s="89"/>
      <c r="N982" s="107"/>
      <c r="O982" s="107"/>
      <c r="P982" s="89"/>
      <c r="Q982" s="89"/>
      <c r="R982" s="89"/>
      <c r="S982" s="89"/>
      <c r="T982" s="89"/>
      <c r="U982" s="89"/>
      <c r="V982" s="89"/>
      <c r="W982" s="89"/>
      <c r="X982" s="89"/>
      <c r="Y982" s="89"/>
      <c r="Z982" s="77"/>
      <c r="AA982" s="77"/>
      <c r="AB982" s="94"/>
      <c r="AC982" s="94"/>
      <c r="AD982" s="94"/>
      <c r="AE982" s="94"/>
      <c r="AF982" s="91"/>
      <c r="AG982" s="92"/>
      <c r="AH982" s="92"/>
      <c r="AI982" s="93"/>
      <c r="AJ982" s="94"/>
      <c r="AK982" s="92"/>
      <c r="AL982" s="94"/>
      <c r="AM982" s="94"/>
      <c r="AN982" s="94"/>
      <c r="AO982" s="94"/>
      <c r="AP982" s="94"/>
      <c r="AQ982" s="94"/>
      <c r="AR982" s="94"/>
      <c r="AS982" s="94"/>
      <c r="AT982" s="94"/>
      <c r="AU982" s="92"/>
      <c r="AV982" s="94"/>
      <c r="AW982" s="94"/>
      <c r="AX982" s="94"/>
      <c r="AY982" s="94"/>
      <c r="AZ982" s="94"/>
      <c r="BA982" s="94"/>
      <c r="BB982" s="94"/>
      <c r="BC982" s="94"/>
      <c r="BD982" s="94"/>
      <c r="BE982" s="94"/>
      <c r="BF982" s="94"/>
      <c r="BG982" s="94"/>
      <c r="BH982" s="94"/>
      <c r="BI982" s="94"/>
      <c r="BJ982" s="94"/>
      <c r="BK982" s="94"/>
      <c r="BL982" s="92"/>
      <c r="BM982" s="94"/>
      <c r="BN982" s="94"/>
      <c r="BO982" s="94"/>
      <c r="BP982" s="94"/>
      <c r="BQ982" s="92"/>
      <c r="BR982" s="92"/>
      <c r="BS982" s="92"/>
      <c r="BT982" s="92"/>
      <c r="BU982" s="92"/>
      <c r="BV982" s="92"/>
      <c r="BW982" s="92"/>
      <c r="BX982" s="92"/>
      <c r="BY982" s="92"/>
      <c r="BZ982" s="92"/>
    </row>
    <row r="983" spans="1:78" ht="12.9">
      <c r="A983" s="89"/>
      <c r="B983" s="89"/>
      <c r="C983" s="89"/>
      <c r="D983" s="89"/>
      <c r="E983" s="89"/>
      <c r="F983" s="89"/>
      <c r="G983" s="89"/>
      <c r="H983" s="105"/>
      <c r="I983" s="106"/>
      <c r="J983" s="106"/>
      <c r="K983" s="89"/>
      <c r="L983" s="89"/>
      <c r="M983" s="89"/>
      <c r="N983" s="107"/>
      <c r="O983" s="107"/>
      <c r="P983" s="89"/>
      <c r="Q983" s="89"/>
      <c r="R983" s="89"/>
      <c r="S983" s="89"/>
      <c r="T983" s="89"/>
      <c r="U983" s="89"/>
      <c r="V983" s="89"/>
      <c r="W983" s="89"/>
      <c r="X983" s="89"/>
      <c r="Y983" s="89"/>
      <c r="Z983" s="77"/>
      <c r="AA983" s="77"/>
      <c r="AB983" s="94"/>
      <c r="AC983" s="94"/>
      <c r="AD983" s="94"/>
      <c r="AE983" s="94"/>
      <c r="AF983" s="91"/>
      <c r="AG983" s="92"/>
      <c r="AH983" s="92"/>
      <c r="AI983" s="93"/>
      <c r="AJ983" s="94"/>
      <c r="AK983" s="92"/>
      <c r="AL983" s="94"/>
      <c r="AM983" s="94"/>
      <c r="AN983" s="94"/>
      <c r="AO983" s="94"/>
      <c r="AP983" s="94"/>
      <c r="AQ983" s="94"/>
      <c r="AR983" s="94"/>
      <c r="AS983" s="94"/>
      <c r="AT983" s="94"/>
      <c r="AU983" s="92"/>
      <c r="AV983" s="94"/>
      <c r="AW983" s="94"/>
      <c r="AX983" s="94"/>
      <c r="AY983" s="94"/>
      <c r="AZ983" s="94"/>
      <c r="BA983" s="94"/>
      <c r="BB983" s="94"/>
      <c r="BC983" s="94"/>
      <c r="BD983" s="94"/>
      <c r="BE983" s="94"/>
      <c r="BF983" s="94"/>
      <c r="BG983" s="94"/>
      <c r="BH983" s="94"/>
      <c r="BI983" s="94"/>
      <c r="BJ983" s="94"/>
      <c r="BK983" s="94"/>
      <c r="BL983" s="92"/>
      <c r="BM983" s="94"/>
      <c r="BN983" s="94"/>
      <c r="BO983" s="94"/>
      <c r="BP983" s="94"/>
      <c r="BQ983" s="92"/>
      <c r="BR983" s="92"/>
      <c r="BS983" s="92"/>
      <c r="BT983" s="92"/>
      <c r="BU983" s="92"/>
      <c r="BV983" s="92"/>
      <c r="BW983" s="92"/>
      <c r="BX983" s="92"/>
      <c r="BY983" s="92"/>
      <c r="BZ983" s="92"/>
    </row>
    <row r="984" spans="1:78" ht="12.9">
      <c r="A984" s="89"/>
      <c r="B984" s="89"/>
      <c r="C984" s="89"/>
      <c r="D984" s="89"/>
      <c r="E984" s="89"/>
      <c r="F984" s="89"/>
      <c r="G984" s="89"/>
      <c r="H984" s="105"/>
      <c r="I984" s="106"/>
      <c r="J984" s="106"/>
      <c r="K984" s="89"/>
      <c r="L984" s="89"/>
      <c r="M984" s="89"/>
      <c r="N984" s="107"/>
      <c r="O984" s="107"/>
      <c r="P984" s="89"/>
      <c r="Q984" s="89"/>
      <c r="R984" s="89"/>
      <c r="S984" s="89"/>
      <c r="T984" s="89"/>
      <c r="U984" s="89"/>
      <c r="V984" s="89"/>
      <c r="W984" s="89"/>
      <c r="X984" s="89"/>
      <c r="Y984" s="89"/>
      <c r="Z984" s="77"/>
      <c r="AA984" s="77"/>
      <c r="AB984" s="94"/>
      <c r="AC984" s="94"/>
      <c r="AD984" s="94"/>
      <c r="AE984" s="94"/>
      <c r="AF984" s="91"/>
      <c r="AG984" s="92"/>
      <c r="AH984" s="92"/>
      <c r="AI984" s="93"/>
      <c r="AJ984" s="94"/>
      <c r="AK984" s="92"/>
      <c r="AL984" s="94"/>
      <c r="AM984" s="94"/>
      <c r="AN984" s="94"/>
      <c r="AO984" s="94"/>
      <c r="AP984" s="94"/>
      <c r="AQ984" s="94"/>
      <c r="AR984" s="94"/>
      <c r="AS984" s="94"/>
      <c r="AT984" s="94"/>
      <c r="AU984" s="92"/>
      <c r="AV984" s="94"/>
      <c r="AW984" s="94"/>
      <c r="AX984" s="94"/>
      <c r="AY984" s="94"/>
      <c r="AZ984" s="94"/>
      <c r="BA984" s="94"/>
      <c r="BB984" s="94"/>
      <c r="BC984" s="94"/>
      <c r="BD984" s="94"/>
      <c r="BE984" s="94"/>
      <c r="BF984" s="94"/>
      <c r="BG984" s="94"/>
      <c r="BH984" s="94"/>
      <c r="BI984" s="94"/>
      <c r="BJ984" s="94"/>
      <c r="BK984" s="94"/>
      <c r="BL984" s="92"/>
      <c r="BM984" s="94"/>
      <c r="BN984" s="94"/>
      <c r="BO984" s="94"/>
      <c r="BP984" s="94"/>
      <c r="BQ984" s="92"/>
      <c r="BR984" s="92"/>
      <c r="BS984" s="92"/>
      <c r="BT984" s="92"/>
      <c r="BU984" s="92"/>
      <c r="BV984" s="92"/>
      <c r="BW984" s="92"/>
      <c r="BX984" s="92"/>
      <c r="BY984" s="92"/>
      <c r="BZ984" s="92"/>
    </row>
    <row r="985" spans="1:78" ht="12.9">
      <c r="A985" s="89"/>
      <c r="B985" s="89"/>
      <c r="C985" s="89"/>
      <c r="D985" s="89"/>
      <c r="E985" s="89"/>
      <c r="F985" s="89"/>
      <c r="G985" s="89"/>
      <c r="H985" s="105"/>
      <c r="I985" s="106"/>
      <c r="J985" s="106"/>
      <c r="K985" s="89"/>
      <c r="L985" s="89"/>
      <c r="M985" s="89"/>
      <c r="N985" s="107"/>
      <c r="O985" s="107"/>
      <c r="P985" s="89"/>
      <c r="Q985" s="89"/>
      <c r="R985" s="89"/>
      <c r="S985" s="89"/>
      <c r="T985" s="89"/>
      <c r="U985" s="89"/>
      <c r="V985" s="89"/>
      <c r="W985" s="89"/>
      <c r="X985" s="89"/>
      <c r="Y985" s="89"/>
      <c r="Z985" s="77"/>
      <c r="AA985" s="77"/>
      <c r="AB985" s="94"/>
      <c r="AC985" s="94"/>
      <c r="AD985" s="94"/>
      <c r="AE985" s="94"/>
      <c r="AF985" s="91"/>
      <c r="AG985" s="92"/>
      <c r="AH985" s="92"/>
      <c r="AI985" s="93"/>
      <c r="AJ985" s="94"/>
      <c r="AK985" s="92"/>
      <c r="AL985" s="94"/>
      <c r="AM985" s="94"/>
      <c r="AN985" s="94"/>
      <c r="AO985" s="94"/>
      <c r="AP985" s="94"/>
      <c r="AQ985" s="94"/>
      <c r="AR985" s="94"/>
      <c r="AS985" s="94"/>
      <c r="AT985" s="94"/>
      <c r="AU985" s="92"/>
      <c r="AV985" s="94"/>
      <c r="AW985" s="94"/>
      <c r="AX985" s="94"/>
      <c r="AY985" s="94"/>
      <c r="AZ985" s="94"/>
      <c r="BA985" s="94"/>
      <c r="BB985" s="94"/>
      <c r="BC985" s="94"/>
      <c r="BD985" s="94"/>
      <c r="BE985" s="94"/>
      <c r="BF985" s="94"/>
      <c r="BG985" s="94"/>
      <c r="BH985" s="94"/>
      <c r="BI985" s="94"/>
      <c r="BJ985" s="94"/>
      <c r="BK985" s="94"/>
      <c r="BL985" s="92"/>
      <c r="BM985" s="94"/>
      <c r="BN985" s="94"/>
      <c r="BO985" s="94"/>
      <c r="BP985" s="94"/>
      <c r="BQ985" s="92"/>
      <c r="BR985" s="92"/>
      <c r="BS985" s="92"/>
      <c r="BT985" s="92"/>
      <c r="BU985" s="92"/>
      <c r="BV985" s="92"/>
      <c r="BW985" s="92"/>
      <c r="BX985" s="92"/>
      <c r="BY985" s="92"/>
      <c r="BZ985" s="92"/>
    </row>
    <row r="986" spans="1:78" ht="12.9">
      <c r="A986" s="89"/>
      <c r="B986" s="89"/>
      <c r="C986" s="89"/>
      <c r="D986" s="89"/>
      <c r="E986" s="89"/>
      <c r="F986" s="89"/>
      <c r="G986" s="89"/>
      <c r="H986" s="105"/>
      <c r="I986" s="106"/>
      <c r="J986" s="106"/>
      <c r="K986" s="89"/>
      <c r="L986" s="89"/>
      <c r="M986" s="89"/>
      <c r="N986" s="107"/>
      <c r="O986" s="107"/>
      <c r="P986" s="89"/>
      <c r="Q986" s="89"/>
      <c r="R986" s="89"/>
      <c r="S986" s="89"/>
      <c r="T986" s="89"/>
      <c r="U986" s="89"/>
      <c r="V986" s="89"/>
      <c r="W986" s="89"/>
      <c r="X986" s="89"/>
      <c r="Y986" s="89"/>
      <c r="Z986" s="77"/>
      <c r="AA986" s="77"/>
      <c r="AB986" s="94"/>
      <c r="AC986" s="94"/>
      <c r="AD986" s="94"/>
      <c r="AE986" s="94"/>
      <c r="AF986" s="91"/>
      <c r="AG986" s="92"/>
      <c r="AH986" s="92"/>
      <c r="AI986" s="93"/>
      <c r="AJ986" s="94"/>
      <c r="AK986" s="92"/>
      <c r="AL986" s="94"/>
      <c r="AM986" s="94"/>
      <c r="AN986" s="94"/>
      <c r="AO986" s="94"/>
      <c r="AP986" s="94"/>
      <c r="AQ986" s="94"/>
      <c r="AR986" s="94"/>
      <c r="AS986" s="94"/>
      <c r="AT986" s="94"/>
      <c r="AU986" s="92"/>
      <c r="AV986" s="94"/>
      <c r="AW986" s="94"/>
      <c r="AX986" s="94"/>
      <c r="AY986" s="94"/>
      <c r="AZ986" s="94"/>
      <c r="BA986" s="94"/>
      <c r="BB986" s="94"/>
      <c r="BC986" s="94"/>
      <c r="BD986" s="94"/>
      <c r="BE986" s="94"/>
      <c r="BF986" s="94"/>
      <c r="BG986" s="94"/>
      <c r="BH986" s="94"/>
      <c r="BI986" s="94"/>
      <c r="BJ986" s="94"/>
      <c r="BK986" s="94"/>
      <c r="BL986" s="92"/>
      <c r="BM986" s="94"/>
      <c r="BN986" s="94"/>
      <c r="BO986" s="94"/>
      <c r="BP986" s="94"/>
      <c r="BQ986" s="92"/>
      <c r="BR986" s="92"/>
      <c r="BS986" s="92"/>
      <c r="BT986" s="92"/>
      <c r="BU986" s="92"/>
      <c r="BV986" s="92"/>
      <c r="BW986" s="92"/>
      <c r="BX986" s="92"/>
      <c r="BY986" s="92"/>
      <c r="BZ986" s="92"/>
    </row>
    <row r="987" spans="1:78" ht="12.9">
      <c r="A987" s="89"/>
      <c r="B987" s="89"/>
      <c r="C987" s="89"/>
      <c r="D987" s="89"/>
      <c r="E987" s="89"/>
      <c r="F987" s="89"/>
      <c r="G987" s="89"/>
      <c r="H987" s="105"/>
      <c r="I987" s="106"/>
      <c r="J987" s="106"/>
      <c r="K987" s="89"/>
      <c r="L987" s="89"/>
      <c r="M987" s="89"/>
      <c r="N987" s="107"/>
      <c r="O987" s="107"/>
      <c r="P987" s="89"/>
      <c r="Q987" s="89"/>
      <c r="R987" s="89"/>
      <c r="S987" s="89"/>
      <c r="T987" s="89"/>
      <c r="U987" s="89"/>
      <c r="V987" s="89"/>
      <c r="W987" s="89"/>
      <c r="X987" s="89"/>
      <c r="Y987" s="89"/>
      <c r="Z987" s="77"/>
      <c r="AA987" s="77"/>
      <c r="AB987" s="94"/>
      <c r="AC987" s="94"/>
      <c r="AD987" s="94"/>
      <c r="AE987" s="94"/>
      <c r="AF987" s="91"/>
      <c r="AG987" s="92"/>
      <c r="AH987" s="92"/>
      <c r="AI987" s="93"/>
      <c r="AJ987" s="94"/>
      <c r="AK987" s="92"/>
      <c r="AL987" s="94"/>
      <c r="AM987" s="94"/>
      <c r="AN987" s="94"/>
      <c r="AO987" s="94"/>
      <c r="AP987" s="94"/>
      <c r="AQ987" s="94"/>
      <c r="AR987" s="94"/>
      <c r="AS987" s="94"/>
      <c r="AT987" s="94"/>
      <c r="AU987" s="92"/>
      <c r="AV987" s="94"/>
      <c r="AW987" s="94"/>
      <c r="AX987" s="94"/>
      <c r="AY987" s="94"/>
      <c r="AZ987" s="94"/>
      <c r="BA987" s="94"/>
      <c r="BB987" s="94"/>
      <c r="BC987" s="94"/>
      <c r="BD987" s="94"/>
      <c r="BE987" s="94"/>
      <c r="BF987" s="94"/>
      <c r="BG987" s="94"/>
      <c r="BH987" s="94"/>
      <c r="BI987" s="94"/>
      <c r="BJ987" s="94"/>
      <c r="BK987" s="94"/>
      <c r="BL987" s="92"/>
      <c r="BM987" s="94"/>
      <c r="BN987" s="94"/>
      <c r="BO987" s="94"/>
      <c r="BP987" s="94"/>
      <c r="BQ987" s="92"/>
      <c r="BR987" s="92"/>
      <c r="BS987" s="92"/>
      <c r="BT987" s="92"/>
      <c r="BU987" s="92"/>
      <c r="BV987" s="92"/>
      <c r="BW987" s="92"/>
      <c r="BX987" s="92"/>
      <c r="BY987" s="92"/>
      <c r="BZ987" s="92"/>
    </row>
    <row r="988" spans="1:78" ht="12.9">
      <c r="A988" s="89"/>
      <c r="B988" s="89"/>
      <c r="C988" s="89"/>
      <c r="D988" s="89"/>
      <c r="E988" s="89"/>
      <c r="F988" s="89"/>
      <c r="G988" s="89"/>
      <c r="H988" s="105"/>
      <c r="I988" s="106"/>
      <c r="J988" s="106"/>
      <c r="K988" s="89"/>
      <c r="L988" s="89"/>
      <c r="M988" s="89"/>
      <c r="N988" s="107"/>
      <c r="O988" s="107"/>
      <c r="P988" s="89"/>
      <c r="Q988" s="89"/>
      <c r="R988" s="89"/>
      <c r="S988" s="89"/>
      <c r="T988" s="89"/>
      <c r="U988" s="89"/>
      <c r="V988" s="89"/>
      <c r="W988" s="89"/>
      <c r="X988" s="89"/>
      <c r="Y988" s="89"/>
      <c r="Z988" s="77"/>
      <c r="AA988" s="77"/>
      <c r="AB988" s="94"/>
      <c r="AC988" s="94"/>
      <c r="AD988" s="94"/>
      <c r="AE988" s="94"/>
      <c r="AF988" s="91"/>
      <c r="AG988" s="92"/>
      <c r="AH988" s="92"/>
      <c r="AI988" s="93"/>
      <c r="AJ988" s="94"/>
      <c r="AK988" s="92"/>
      <c r="AL988" s="94"/>
      <c r="AM988" s="94"/>
      <c r="AN988" s="94"/>
      <c r="AO988" s="94"/>
      <c r="AP988" s="94"/>
      <c r="AQ988" s="94"/>
      <c r="AR988" s="94"/>
      <c r="AS988" s="94"/>
      <c r="AT988" s="94"/>
      <c r="AU988" s="92"/>
      <c r="AV988" s="94"/>
      <c r="AW988" s="94"/>
      <c r="AX988" s="94"/>
      <c r="AY988" s="94"/>
      <c r="AZ988" s="94"/>
      <c r="BA988" s="94"/>
      <c r="BB988" s="94"/>
      <c r="BC988" s="94"/>
      <c r="BD988" s="94"/>
      <c r="BE988" s="94"/>
      <c r="BF988" s="94"/>
      <c r="BG988" s="94"/>
      <c r="BH988" s="94"/>
      <c r="BI988" s="94"/>
      <c r="BJ988" s="94"/>
      <c r="BK988" s="94"/>
      <c r="BL988" s="92"/>
      <c r="BM988" s="94"/>
      <c r="BN988" s="94"/>
      <c r="BO988" s="94"/>
      <c r="BP988" s="94"/>
      <c r="BQ988" s="92"/>
      <c r="BR988" s="92"/>
      <c r="BS988" s="92"/>
      <c r="BT988" s="92"/>
      <c r="BU988" s="92"/>
      <c r="BV988" s="92"/>
      <c r="BW988" s="92"/>
      <c r="BX988" s="92"/>
      <c r="BY988" s="92"/>
      <c r="BZ988" s="92"/>
    </row>
    <row r="989" spans="1:78" ht="12.9">
      <c r="A989" s="89"/>
      <c r="B989" s="89"/>
      <c r="C989" s="89"/>
      <c r="D989" s="89"/>
      <c r="E989" s="89"/>
      <c r="F989" s="89"/>
      <c r="G989" s="89"/>
      <c r="H989" s="105"/>
      <c r="I989" s="106"/>
      <c r="J989" s="106"/>
      <c r="K989" s="89"/>
      <c r="L989" s="89"/>
      <c r="M989" s="89"/>
      <c r="N989" s="107"/>
      <c r="O989" s="107"/>
      <c r="P989" s="89"/>
      <c r="Q989" s="89"/>
      <c r="R989" s="89"/>
      <c r="S989" s="89"/>
      <c r="T989" s="89"/>
      <c r="U989" s="89"/>
      <c r="V989" s="89"/>
      <c r="W989" s="89"/>
      <c r="X989" s="89"/>
      <c r="Y989" s="89"/>
      <c r="Z989" s="77"/>
      <c r="AA989" s="77"/>
      <c r="AB989" s="94"/>
      <c r="AC989" s="94"/>
      <c r="AD989" s="94"/>
      <c r="AE989" s="94"/>
      <c r="AF989" s="91"/>
      <c r="AG989" s="92"/>
      <c r="AH989" s="92"/>
      <c r="AI989" s="93"/>
      <c r="AJ989" s="94"/>
      <c r="AK989" s="92"/>
      <c r="AL989" s="94"/>
      <c r="AM989" s="94"/>
      <c r="AN989" s="94"/>
      <c r="AO989" s="94"/>
      <c r="AP989" s="94"/>
      <c r="AQ989" s="94"/>
      <c r="AR989" s="94"/>
      <c r="AS989" s="94"/>
      <c r="AT989" s="94"/>
      <c r="AU989" s="92"/>
      <c r="AV989" s="94"/>
      <c r="AW989" s="94"/>
      <c r="AX989" s="94"/>
      <c r="AY989" s="94"/>
      <c r="AZ989" s="94"/>
      <c r="BA989" s="94"/>
      <c r="BB989" s="94"/>
      <c r="BC989" s="94"/>
      <c r="BD989" s="94"/>
      <c r="BE989" s="94"/>
      <c r="BF989" s="94"/>
      <c r="BG989" s="94"/>
      <c r="BH989" s="94"/>
      <c r="BI989" s="94"/>
      <c r="BJ989" s="94"/>
      <c r="BK989" s="94"/>
      <c r="BL989" s="92"/>
      <c r="BM989" s="94"/>
      <c r="BN989" s="94"/>
      <c r="BO989" s="94"/>
      <c r="BP989" s="94"/>
      <c r="BQ989" s="92"/>
      <c r="BR989" s="92"/>
      <c r="BS989" s="92"/>
      <c r="BT989" s="92"/>
      <c r="BU989" s="92"/>
      <c r="BV989" s="92"/>
      <c r="BW989" s="92"/>
      <c r="BX989" s="92"/>
      <c r="BY989" s="92"/>
      <c r="BZ989" s="92"/>
    </row>
    <row r="990" spans="1:78" ht="12.9">
      <c r="A990" s="89"/>
      <c r="B990" s="89"/>
      <c r="C990" s="89"/>
      <c r="D990" s="89"/>
      <c r="E990" s="89"/>
      <c r="F990" s="89"/>
      <c r="G990" s="89"/>
      <c r="H990" s="105"/>
      <c r="I990" s="106"/>
      <c r="J990" s="106"/>
      <c r="K990" s="89"/>
      <c r="L990" s="89"/>
      <c r="M990" s="89"/>
      <c r="N990" s="107"/>
      <c r="O990" s="107"/>
      <c r="P990" s="89"/>
      <c r="Q990" s="89"/>
      <c r="R990" s="89"/>
      <c r="S990" s="89"/>
      <c r="T990" s="89"/>
      <c r="U990" s="89"/>
      <c r="V990" s="89"/>
      <c r="W990" s="89"/>
      <c r="X990" s="89"/>
      <c r="Y990" s="89"/>
      <c r="Z990" s="77"/>
      <c r="AA990" s="77"/>
      <c r="AB990" s="94"/>
      <c r="AC990" s="94"/>
      <c r="AD990" s="94"/>
      <c r="AE990" s="94"/>
      <c r="AF990" s="91"/>
      <c r="AG990" s="92"/>
      <c r="AH990" s="92"/>
      <c r="AI990" s="93"/>
      <c r="AJ990" s="94"/>
      <c r="AK990" s="92"/>
      <c r="AL990" s="94"/>
      <c r="AM990" s="94"/>
      <c r="AN990" s="94"/>
      <c r="AO990" s="94"/>
      <c r="AP990" s="94"/>
      <c r="AQ990" s="94"/>
      <c r="AR990" s="94"/>
      <c r="AS990" s="94"/>
      <c r="AT990" s="94"/>
      <c r="AU990" s="92"/>
      <c r="AV990" s="94"/>
      <c r="AW990" s="94"/>
      <c r="AX990" s="94"/>
      <c r="AY990" s="94"/>
      <c r="AZ990" s="94"/>
      <c r="BA990" s="94"/>
      <c r="BB990" s="94"/>
      <c r="BC990" s="94"/>
      <c r="BD990" s="94"/>
      <c r="BE990" s="94"/>
      <c r="BF990" s="94"/>
      <c r="BG990" s="94"/>
      <c r="BH990" s="94"/>
      <c r="BI990" s="94"/>
      <c r="BJ990" s="94"/>
      <c r="BK990" s="94"/>
      <c r="BL990" s="92"/>
      <c r="BM990" s="94"/>
      <c r="BN990" s="94"/>
      <c r="BO990" s="94"/>
      <c r="BP990" s="94"/>
      <c r="BQ990" s="92"/>
      <c r="BR990" s="92"/>
      <c r="BS990" s="92"/>
      <c r="BT990" s="92"/>
      <c r="BU990" s="92"/>
      <c r="BV990" s="92"/>
      <c r="BW990" s="92"/>
      <c r="BX990" s="92"/>
      <c r="BY990" s="92"/>
      <c r="BZ990" s="92"/>
    </row>
    <row r="991" spans="1:78" ht="12.9">
      <c r="A991" s="89"/>
      <c r="B991" s="89"/>
      <c r="C991" s="89"/>
      <c r="D991" s="89"/>
      <c r="E991" s="89"/>
      <c r="F991" s="89"/>
      <c r="G991" s="89"/>
      <c r="H991" s="105"/>
      <c r="I991" s="106"/>
      <c r="J991" s="106"/>
      <c r="K991" s="89"/>
      <c r="L991" s="89"/>
      <c r="M991" s="89"/>
      <c r="N991" s="107"/>
      <c r="O991" s="107"/>
      <c r="P991" s="89"/>
      <c r="Q991" s="89"/>
      <c r="R991" s="89"/>
      <c r="S991" s="89"/>
      <c r="T991" s="89"/>
      <c r="U991" s="89"/>
      <c r="V991" s="89"/>
      <c r="W991" s="89"/>
      <c r="X991" s="89"/>
      <c r="Y991" s="89"/>
      <c r="Z991" s="77"/>
      <c r="AA991" s="77"/>
      <c r="AB991" s="94"/>
      <c r="AC991" s="94"/>
      <c r="AD991" s="94"/>
      <c r="AE991" s="94"/>
      <c r="AF991" s="91"/>
      <c r="AG991" s="92"/>
      <c r="AH991" s="92"/>
      <c r="AI991" s="93"/>
      <c r="AJ991" s="94"/>
      <c r="AK991" s="92"/>
      <c r="AL991" s="94"/>
      <c r="AM991" s="94"/>
      <c r="AN991" s="94"/>
      <c r="AO991" s="94"/>
      <c r="AP991" s="94"/>
      <c r="AQ991" s="94"/>
      <c r="AR991" s="94"/>
      <c r="AS991" s="94"/>
      <c r="AT991" s="94"/>
      <c r="AU991" s="92"/>
      <c r="AV991" s="94"/>
      <c r="AW991" s="94"/>
      <c r="AX991" s="94"/>
      <c r="AY991" s="94"/>
      <c r="AZ991" s="94"/>
      <c r="BA991" s="94"/>
      <c r="BB991" s="94"/>
      <c r="BC991" s="94"/>
      <c r="BD991" s="94"/>
      <c r="BE991" s="94"/>
      <c r="BF991" s="94"/>
      <c r="BG991" s="94"/>
      <c r="BH991" s="94"/>
      <c r="BI991" s="94"/>
      <c r="BJ991" s="94"/>
      <c r="BK991" s="94"/>
      <c r="BL991" s="92"/>
      <c r="BM991" s="94"/>
      <c r="BN991" s="94"/>
      <c r="BO991" s="94"/>
      <c r="BP991" s="94"/>
      <c r="BQ991" s="92"/>
      <c r="BR991" s="92"/>
      <c r="BS991" s="92"/>
      <c r="BT991" s="92"/>
      <c r="BU991" s="92"/>
      <c r="BV991" s="92"/>
      <c r="BW991" s="92"/>
      <c r="BX991" s="92"/>
      <c r="BY991" s="92"/>
      <c r="BZ991" s="92"/>
    </row>
    <row r="992" spans="1:78" ht="12.9">
      <c r="A992" s="89"/>
      <c r="B992" s="89"/>
      <c r="C992" s="89"/>
      <c r="D992" s="89"/>
      <c r="E992" s="89"/>
      <c r="F992" s="89"/>
      <c r="G992" s="89"/>
      <c r="H992" s="105"/>
      <c r="I992" s="106"/>
      <c r="J992" s="106"/>
      <c r="K992" s="89"/>
      <c r="L992" s="89"/>
      <c r="M992" s="89"/>
      <c r="N992" s="107"/>
      <c r="O992" s="107"/>
      <c r="P992" s="89"/>
      <c r="Q992" s="89"/>
      <c r="R992" s="89"/>
      <c r="S992" s="89"/>
      <c r="T992" s="89"/>
      <c r="U992" s="89"/>
      <c r="V992" s="89"/>
      <c r="W992" s="89"/>
      <c r="X992" s="89"/>
      <c r="Y992" s="89"/>
      <c r="Z992" s="77"/>
      <c r="AA992" s="77"/>
      <c r="AB992" s="94"/>
      <c r="AC992" s="94"/>
      <c r="AD992" s="94"/>
      <c r="AE992" s="94"/>
      <c r="AF992" s="91"/>
      <c r="AG992" s="92"/>
      <c r="AH992" s="92"/>
      <c r="AI992" s="93"/>
      <c r="AJ992" s="94"/>
      <c r="AK992" s="92"/>
      <c r="AL992" s="94"/>
      <c r="AM992" s="94"/>
      <c r="AN992" s="94"/>
      <c r="AO992" s="94"/>
      <c r="AP992" s="94"/>
      <c r="AQ992" s="94"/>
      <c r="AR992" s="94"/>
      <c r="AS992" s="94"/>
      <c r="AT992" s="94"/>
      <c r="AU992" s="92"/>
      <c r="AV992" s="94"/>
      <c r="AW992" s="94"/>
      <c r="AX992" s="94"/>
      <c r="AY992" s="94"/>
      <c r="AZ992" s="94"/>
      <c r="BA992" s="94"/>
      <c r="BB992" s="94"/>
      <c r="BC992" s="94"/>
      <c r="BD992" s="94"/>
      <c r="BE992" s="94"/>
      <c r="BF992" s="94"/>
      <c r="BG992" s="94"/>
      <c r="BH992" s="94"/>
      <c r="BI992" s="94"/>
      <c r="BJ992" s="94"/>
      <c r="BK992" s="94"/>
      <c r="BL992" s="92"/>
      <c r="BM992" s="94"/>
      <c r="BN992" s="94"/>
      <c r="BO992" s="94"/>
      <c r="BP992" s="94"/>
      <c r="BQ992" s="92"/>
      <c r="BR992" s="92"/>
      <c r="BS992" s="92"/>
      <c r="BT992" s="92"/>
      <c r="BU992" s="92"/>
      <c r="BV992" s="92"/>
      <c r="BW992" s="92"/>
      <c r="BX992" s="92"/>
      <c r="BY992" s="92"/>
      <c r="BZ992" s="92"/>
    </row>
    <row r="993" spans="1:78" ht="12.9">
      <c r="A993" s="89"/>
      <c r="B993" s="89"/>
      <c r="C993" s="89"/>
      <c r="D993" s="89"/>
      <c r="E993" s="89"/>
      <c r="F993" s="89"/>
      <c r="G993" s="89"/>
      <c r="H993" s="105"/>
      <c r="I993" s="106"/>
      <c r="J993" s="106"/>
      <c r="K993" s="89"/>
      <c r="L993" s="89"/>
      <c r="M993" s="89"/>
      <c r="N993" s="107"/>
      <c r="O993" s="107"/>
      <c r="P993" s="89"/>
      <c r="Q993" s="89"/>
      <c r="R993" s="89"/>
      <c r="S993" s="89"/>
      <c r="T993" s="89"/>
      <c r="U993" s="89"/>
      <c r="V993" s="89"/>
      <c r="W993" s="89"/>
      <c r="X993" s="89"/>
      <c r="Y993" s="89"/>
      <c r="Z993" s="77"/>
      <c r="AA993" s="77"/>
      <c r="AB993" s="94"/>
      <c r="AC993" s="94"/>
      <c r="AD993" s="94"/>
      <c r="AE993" s="94"/>
      <c r="AF993" s="91"/>
      <c r="AG993" s="92"/>
      <c r="AH993" s="92"/>
      <c r="AI993" s="93"/>
      <c r="AJ993" s="94"/>
      <c r="AK993" s="92"/>
      <c r="AL993" s="94"/>
      <c r="AM993" s="94"/>
      <c r="AN993" s="94"/>
      <c r="AO993" s="94"/>
      <c r="AP993" s="94"/>
      <c r="AQ993" s="94"/>
      <c r="AR993" s="94"/>
      <c r="AS993" s="94"/>
      <c r="AT993" s="94"/>
      <c r="AU993" s="92"/>
      <c r="AV993" s="94"/>
      <c r="AW993" s="94"/>
      <c r="AX993" s="94"/>
      <c r="AY993" s="94"/>
      <c r="AZ993" s="94"/>
      <c r="BA993" s="94"/>
      <c r="BB993" s="94"/>
      <c r="BC993" s="94"/>
      <c r="BD993" s="94"/>
      <c r="BE993" s="94"/>
      <c r="BF993" s="94"/>
      <c r="BG993" s="94"/>
      <c r="BH993" s="94"/>
      <c r="BI993" s="94"/>
      <c r="BJ993" s="94"/>
      <c r="BK993" s="94"/>
      <c r="BL993" s="92"/>
      <c r="BM993" s="94"/>
      <c r="BN993" s="94"/>
      <c r="BO993" s="94"/>
      <c r="BP993" s="94"/>
      <c r="BQ993" s="92"/>
      <c r="BR993" s="92"/>
      <c r="BS993" s="92"/>
      <c r="BT993" s="92"/>
      <c r="BU993" s="92"/>
      <c r="BV993" s="92"/>
      <c r="BW993" s="92"/>
      <c r="BX993" s="92"/>
      <c r="BY993" s="92"/>
      <c r="BZ993" s="92"/>
    </row>
    <row r="994" spans="1:78" ht="12.9">
      <c r="A994" s="89"/>
      <c r="B994" s="85"/>
      <c r="C994" s="89"/>
      <c r="D994" s="89"/>
      <c r="E994" s="89"/>
      <c r="F994" s="89"/>
      <c r="G994" s="89"/>
      <c r="H994" s="105"/>
      <c r="I994" s="106"/>
      <c r="J994" s="106"/>
      <c r="K994" s="89"/>
      <c r="L994" s="89"/>
      <c r="M994" s="89"/>
      <c r="N994" s="107"/>
      <c r="O994" s="107"/>
      <c r="P994" s="89"/>
      <c r="Q994" s="89"/>
      <c r="R994" s="89"/>
      <c r="S994" s="89"/>
      <c r="T994" s="89"/>
      <c r="U994" s="89"/>
      <c r="V994" s="89"/>
      <c r="W994" s="89"/>
      <c r="X994" s="89"/>
      <c r="Y994" s="89"/>
      <c r="Z994" s="77"/>
      <c r="AA994" s="77"/>
      <c r="AB994" s="94"/>
      <c r="AC994" s="94"/>
      <c r="AD994" s="94"/>
      <c r="AE994" s="94"/>
      <c r="AF994" s="91"/>
      <c r="AG994" s="92"/>
      <c r="AH994" s="92"/>
      <c r="AI994" s="93"/>
      <c r="AJ994" s="94"/>
      <c r="AK994" s="92"/>
      <c r="AL994" s="94"/>
      <c r="AM994" s="94"/>
      <c r="AN994" s="94"/>
      <c r="AO994" s="94"/>
      <c r="AP994" s="94"/>
      <c r="AQ994" s="94"/>
      <c r="AR994" s="94"/>
      <c r="AS994" s="94"/>
      <c r="AT994" s="94"/>
      <c r="AU994" s="92"/>
      <c r="AV994" s="94"/>
      <c r="AW994" s="94"/>
      <c r="AX994" s="94"/>
      <c r="AY994" s="94"/>
      <c r="AZ994" s="94"/>
      <c r="BA994" s="94"/>
      <c r="BB994" s="94"/>
      <c r="BC994" s="94"/>
      <c r="BD994" s="94"/>
      <c r="BE994" s="94"/>
      <c r="BF994" s="94"/>
      <c r="BG994" s="94"/>
      <c r="BH994" s="94"/>
      <c r="BI994" s="94"/>
      <c r="BJ994" s="94"/>
      <c r="BK994" s="94"/>
      <c r="BL994" s="92"/>
      <c r="BM994" s="94"/>
      <c r="BN994" s="94"/>
      <c r="BO994" s="94"/>
      <c r="BP994" s="94"/>
      <c r="BQ994" s="92"/>
      <c r="BR994" s="92"/>
      <c r="BS994" s="92"/>
      <c r="BT994" s="92"/>
      <c r="BU994" s="92"/>
      <c r="BV994" s="92"/>
      <c r="BW994" s="92"/>
      <c r="BX994" s="92"/>
      <c r="BY994" s="92"/>
      <c r="BZ994" s="92"/>
    </row>
  </sheetData>
  <conditionalFormatting sqref="H1:H75 H93:H94 H110:H994">
    <cfRule type="notContainsBlanks" dxfId="3" priority="1">
      <formula>LEN(TRIM(H1))&gt;0</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C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7.71875" customWidth="1"/>
    <col min="2" max="2" width="32.109375" customWidth="1"/>
    <col min="3" max="3" width="12.27734375" customWidth="1"/>
    <col min="4" max="4" width="30.44140625" customWidth="1"/>
    <col min="5" max="5" width="23.83203125" customWidth="1"/>
    <col min="6" max="6" width="13.71875" customWidth="1"/>
    <col min="7" max="7" width="18" customWidth="1"/>
    <col min="8" max="8" width="16.109375" customWidth="1"/>
    <col min="9" max="11" width="17.109375" customWidth="1"/>
    <col min="12" max="12" width="16" customWidth="1"/>
    <col min="13" max="14" width="15.44140625" customWidth="1"/>
    <col min="15" max="17" width="18.5546875" customWidth="1"/>
    <col min="18" max="18" width="25.109375" customWidth="1"/>
    <col min="19" max="19" width="17.44140625" customWidth="1"/>
    <col min="20" max="20" width="16.27734375" customWidth="1"/>
    <col min="21" max="22" width="15.71875" customWidth="1"/>
    <col min="23" max="23" width="13.71875" customWidth="1"/>
    <col min="24" max="25" width="17.109375" customWidth="1"/>
    <col min="26" max="27" width="18.5546875" customWidth="1"/>
    <col min="28" max="28" width="25.109375" customWidth="1"/>
    <col min="29" max="29" width="17.44140625" customWidth="1"/>
    <col min="30" max="30" width="16.27734375" customWidth="1"/>
    <col min="31" max="32" width="15.71875" customWidth="1"/>
    <col min="33" max="33" width="13.71875" customWidth="1"/>
    <col min="34" max="34" width="17.83203125" customWidth="1"/>
    <col min="35" max="35" width="17.109375" customWidth="1"/>
    <col min="36" max="37" width="18.5546875" customWidth="1"/>
    <col min="38" max="38" width="25.109375" customWidth="1"/>
    <col min="39" max="39" width="17.44140625" customWidth="1"/>
    <col min="40" max="40" width="16.27734375" customWidth="1"/>
    <col min="41" max="42" width="15.71875" customWidth="1"/>
    <col min="43" max="43" width="11.44140625" customWidth="1"/>
    <col min="44" max="44" width="15.83203125" customWidth="1"/>
    <col min="45" max="45" width="15.109375" customWidth="1"/>
    <col min="46" max="47" width="14.83203125" customWidth="1"/>
    <col min="48" max="53" width="16.27734375" customWidth="1"/>
    <col min="54" max="54" width="22.83203125" customWidth="1"/>
    <col min="55" max="55" width="15.109375" customWidth="1"/>
    <col min="56" max="56" width="14" customWidth="1"/>
    <col min="57" max="57" width="10.5546875" customWidth="1"/>
    <col min="58" max="58" width="13.5546875" customWidth="1"/>
    <col min="59" max="59" width="5.109375" customWidth="1"/>
    <col min="60" max="60" width="8.27734375" customWidth="1"/>
    <col min="61" max="61" width="26" customWidth="1"/>
    <col min="62" max="62" width="29.44140625" customWidth="1"/>
    <col min="63" max="63" width="10.109375" customWidth="1"/>
    <col min="64" max="64" width="11.44140625" customWidth="1"/>
    <col min="65" max="65" width="9.109375" customWidth="1"/>
    <col min="66" max="66" width="19.44140625" customWidth="1"/>
    <col min="67" max="107" width="29.109375" customWidth="1"/>
  </cols>
  <sheetData>
    <row r="1" spans="1:107" ht="12.75" customHeight="1">
      <c r="A1" s="1" t="s">
        <v>0</v>
      </c>
      <c r="B1" s="1" t="s">
        <v>1</v>
      </c>
      <c r="C1" s="1" t="s">
        <v>2</v>
      </c>
      <c r="D1" s="1" t="s">
        <v>3</v>
      </c>
      <c r="E1" s="2" t="s">
        <v>4</v>
      </c>
      <c r="F1" s="1" t="s">
        <v>6</v>
      </c>
      <c r="G1" s="2" t="s">
        <v>7</v>
      </c>
      <c r="H1" s="3" t="s">
        <v>8</v>
      </c>
      <c r="I1" s="6" t="s">
        <v>18</v>
      </c>
      <c r="J1" s="6" t="s">
        <v>46</v>
      </c>
      <c r="K1" s="8" t="s">
        <v>47</v>
      </c>
      <c r="L1" s="10" t="s">
        <v>53</v>
      </c>
      <c r="M1" s="12" t="s">
        <v>67</v>
      </c>
      <c r="N1" s="1" t="s">
        <v>68</v>
      </c>
      <c r="O1" s="14" t="s">
        <v>69</v>
      </c>
      <c r="P1" s="14" t="s">
        <v>73</v>
      </c>
      <c r="Q1" s="16" t="s">
        <v>74</v>
      </c>
      <c r="R1" s="8" t="s">
        <v>75</v>
      </c>
      <c r="S1" s="8" t="s">
        <v>76</v>
      </c>
      <c r="T1" s="18" t="s">
        <v>77</v>
      </c>
      <c r="U1" s="2" t="s">
        <v>79</v>
      </c>
      <c r="V1" s="1" t="s">
        <v>80</v>
      </c>
      <c r="W1" s="1" t="s">
        <v>81</v>
      </c>
      <c r="X1" s="2" t="s">
        <v>82</v>
      </c>
      <c r="Y1" s="2" t="s">
        <v>83</v>
      </c>
      <c r="Z1" s="2" t="s">
        <v>84</v>
      </c>
      <c r="AA1" s="1" t="s">
        <v>85</v>
      </c>
      <c r="AB1" s="1" t="s">
        <v>86</v>
      </c>
      <c r="AC1" s="1" t="s">
        <v>87</v>
      </c>
      <c r="AD1" s="1" t="s">
        <v>88</v>
      </c>
      <c r="AE1" s="2" t="s">
        <v>89</v>
      </c>
      <c r="AF1" s="1" t="s">
        <v>90</v>
      </c>
      <c r="AG1" s="1" t="s">
        <v>91</v>
      </c>
      <c r="AH1" s="2" t="s">
        <v>92</v>
      </c>
      <c r="AI1" s="2" t="s">
        <v>93</v>
      </c>
      <c r="AJ1" s="2" t="s">
        <v>94</v>
      </c>
      <c r="AK1" s="1" t="s">
        <v>95</v>
      </c>
      <c r="AL1" s="1" t="s">
        <v>96</v>
      </c>
      <c r="AM1" s="1" t="s">
        <v>97</v>
      </c>
      <c r="AN1" s="1" t="s">
        <v>99</v>
      </c>
      <c r="AO1" s="2" t="s">
        <v>100</v>
      </c>
      <c r="AP1" s="1" t="s">
        <v>102</v>
      </c>
      <c r="AQ1" s="1" t="s">
        <v>103</v>
      </c>
      <c r="AR1" s="2" t="s">
        <v>104</v>
      </c>
      <c r="AS1" s="2" t="s">
        <v>105</v>
      </c>
      <c r="AT1" s="2" t="s">
        <v>106</v>
      </c>
      <c r="AU1" s="1" t="s">
        <v>107</v>
      </c>
      <c r="AV1" s="2" t="s">
        <v>108</v>
      </c>
      <c r="AW1" s="2" t="s">
        <v>109</v>
      </c>
      <c r="AX1" s="2" t="s">
        <v>110</v>
      </c>
      <c r="AY1" s="2" t="s">
        <v>111</v>
      </c>
      <c r="AZ1" s="2" t="s">
        <v>112</v>
      </c>
      <c r="BA1" s="1" t="s">
        <v>113</v>
      </c>
      <c r="BB1" s="1" t="s">
        <v>114</v>
      </c>
      <c r="BC1" s="1" t="s">
        <v>115</v>
      </c>
      <c r="BD1" s="2" t="s">
        <v>116</v>
      </c>
      <c r="BE1" s="2" t="s">
        <v>117</v>
      </c>
      <c r="BF1" s="2" t="s">
        <v>118</v>
      </c>
      <c r="BG1" s="1" t="s">
        <v>49</v>
      </c>
      <c r="BH1" s="1" t="s">
        <v>50</v>
      </c>
      <c r="BI1" s="2" t="s">
        <v>51</v>
      </c>
      <c r="BJ1" s="2" t="s">
        <v>119</v>
      </c>
      <c r="BK1" s="1" t="s">
        <v>55</v>
      </c>
      <c r="BL1" s="1" t="s">
        <v>56</v>
      </c>
      <c r="BM1" s="1" t="s">
        <v>59</v>
      </c>
      <c r="BN1" s="2" t="s">
        <v>121</v>
      </c>
      <c r="BO1" s="2" t="s">
        <v>122</v>
      </c>
      <c r="BP1" s="2" t="s">
        <v>123</v>
      </c>
      <c r="BQ1" s="2" t="s">
        <v>124</v>
      </c>
      <c r="BR1" s="2" t="s">
        <v>125</v>
      </c>
      <c r="BS1" s="2" t="s">
        <v>126</v>
      </c>
      <c r="BT1" s="2" t="s">
        <v>127</v>
      </c>
      <c r="BU1" s="2" t="s">
        <v>128</v>
      </c>
      <c r="BV1" s="2" t="s">
        <v>129</v>
      </c>
      <c r="BW1" s="2" t="s">
        <v>130</v>
      </c>
      <c r="BX1" s="2" t="s">
        <v>131</v>
      </c>
      <c r="BY1" s="2" t="s">
        <v>132</v>
      </c>
      <c r="BZ1" s="2" t="s">
        <v>133</v>
      </c>
      <c r="CA1" s="2" t="s">
        <v>134</v>
      </c>
      <c r="CB1" s="2" t="s">
        <v>135</v>
      </c>
      <c r="CC1" s="2" t="s">
        <v>136</v>
      </c>
      <c r="CD1" s="2" t="s">
        <v>137</v>
      </c>
      <c r="CE1" s="2" t="s">
        <v>138</v>
      </c>
      <c r="CF1" s="2" t="s">
        <v>139</v>
      </c>
      <c r="CG1" s="2" t="s">
        <v>140</v>
      </c>
      <c r="CH1" s="2" t="s">
        <v>141</v>
      </c>
      <c r="CI1" s="2" t="s">
        <v>143</v>
      </c>
      <c r="CJ1" s="23" t="s">
        <v>144</v>
      </c>
      <c r="CK1" s="2" t="s">
        <v>160</v>
      </c>
      <c r="CL1" s="2" t="s">
        <v>161</v>
      </c>
      <c r="CM1" s="2" t="s">
        <v>163</v>
      </c>
      <c r="CN1" s="2" t="s">
        <v>165</v>
      </c>
      <c r="CO1" s="2" t="s">
        <v>166</v>
      </c>
      <c r="CP1" s="2" t="s">
        <v>167</v>
      </c>
      <c r="CQ1" s="2" t="s">
        <v>168</v>
      </c>
      <c r="CR1" s="2" t="s">
        <v>170</v>
      </c>
      <c r="CS1" s="2" t="s">
        <v>171</v>
      </c>
      <c r="CT1" s="2" t="s">
        <v>172</v>
      </c>
      <c r="CU1" s="2" t="s">
        <v>174</v>
      </c>
      <c r="CV1" s="2" t="s">
        <v>175</v>
      </c>
      <c r="CW1" s="2" t="s">
        <v>176</v>
      </c>
      <c r="CX1" s="2" t="s">
        <v>178</v>
      </c>
      <c r="CY1" s="2" t="s">
        <v>179</v>
      </c>
      <c r="CZ1" s="2" t="s">
        <v>180</v>
      </c>
      <c r="DA1" s="2" t="s">
        <v>181</v>
      </c>
      <c r="DB1" s="2" t="s">
        <v>182</v>
      </c>
      <c r="DC1" s="2" t="s">
        <v>183</v>
      </c>
    </row>
    <row r="2" spans="1:107" ht="12.75" customHeight="1">
      <c r="A2" s="11">
        <f>Raw!D2</f>
        <v>1</v>
      </c>
      <c r="B2" s="11" t="str">
        <f>Raw!A2</f>
        <v>Aikins, Howes, &amp; Hamilton (2009)</v>
      </c>
      <c r="C2" s="11">
        <f>Raw!G2</f>
        <v>1</v>
      </c>
      <c r="D2" s="11" t="str">
        <f>Raw!E2</f>
        <v>36 month interval</v>
      </c>
      <c r="E2" s="11" t="str">
        <f>CONCATENATE(IF(Raw!I2&lt;='Interval Definitions'!$B$2, 'Interval Definitions'!$A$2, IF(Raw!I2&lt;='Interval Definitions'!$B$3, 'Interval Definitions'!$A$3, IF(Raw!I2&lt;='Interval Definitions'!$B$4, 'Interval Definitions'!$A$4, IF(Raw!I2&lt;='Interval Definitions'!$B$5, 'Interval Definitions'!$A$5, "None")))), " - ", IF(Raw!J2&lt;='Interval Definitions'!$B$2, 'Interval Definitions'!$A$2, IF(Raw!J2&lt;='Interval Definitions'!$B$3, 'Interval Definitions'!$A$3, IF(Raw!J2&lt;='Interval Definitions'!$B$4, 'Interval Definitions'!$A$4, IF(Raw!J2&lt;='Interval Definitions'!$B$5, 'Interval Definitions'!$A$5, "None")))))</f>
        <v>Infancy - Preschool</v>
      </c>
      <c r="F2" s="11" t="b">
        <f>OR(NOT(ISBLANK(Raw!AF2)),NOT(ISBLANK(Raw!AG2)),NOT(ISBLANK(Raw!AH2)),NOT(ISBLANK(Raw!AI2)),COUNTIF(Raw!AA2:AD2, "&gt;=0") = 4)</f>
        <v>1</v>
      </c>
      <c r="G2" s="11" t="str">
        <f>IF(F2, IF(COUNTIF(Raw!AA2:AD2,"&gt;=0") = 4, "Contingency", IF(NOT(ISBLANK(Raw!AF2)), "Paper r", IF(NOT(ISBLANK(Raw!AG2)), "Pinquart", IF(NOT(ISBLANK(Raw!AH2)), "Fraley", "Paper chiSq")))), "Not Included")</f>
        <v>Pinquart</v>
      </c>
      <c r="H2" s="15">
        <f>IF(F2,Raw!AE2,"Not Included")</f>
        <v>83</v>
      </c>
      <c r="I2" s="15" t="str">
        <f>IF(COUNTIF(Raw!AA2:AD2,"&gt;=0") = 4, SUM(Raw!AA2:AD2), "No Contingency Table")</f>
        <v>No Contingency Table</v>
      </c>
      <c r="J2" s="15">
        <f t="shared" ref="J2:J107" si="0">IF(F2, IF(G2="Contingency",I2,H2),"Not Included")</f>
        <v>83</v>
      </c>
      <c r="K2" s="38" t="str">
        <f>IF(F2, IF(COUNTIF(Raw!AA2:AD2,"&gt;=0") = 4, IFERROR((I2*Raw!AA2 - SUM(Raw!AA2,Raw!AB2)*SUM(Raw!AA2,Raw!AD2)) / SQRT((I2*SUM(Raw!AA2,Raw!AB2) - SUM(Raw!AA2,Raw!AB2)^2) * (I2*SUM(Raw!AA2,Raw!AD2) - SUM(Raw!AA2,Raw!AD2)^2)), 0), "No Contingency Table"), "Not Included")</f>
        <v>No Contingency Table</v>
      </c>
      <c r="L2" s="41">
        <f>IF(F2,IF(NOT(ISBLANK(Raw!AF2)), Raw!AF2, IF(NOT(ISBLANK(Raw!AG2)), Raw!AG2, IF(NOT(ISBLANK(Raw!AH2)), Raw!AH2, IF(NOT(ISBLANK(Raw!AI2)), SQRT(Raw!AI2/H2)*Raw!AJ2, "Not Reported")))),"Not Included")</f>
        <v>0.51</v>
      </c>
      <c r="M2" s="43">
        <f t="shared" ref="M2:M107" si="1">IF(G2="Contingency",K2,L2)</f>
        <v>0.51</v>
      </c>
      <c r="N2" s="11" t="str">
        <f t="shared" ref="N2:N107" si="2">IFERROR(IF(F2,IF(ABS(K2-L2)/K2 &gt; 0.05,0,1),"NA"),"NA")</f>
        <v>NA</v>
      </c>
      <c r="O2" s="48" t="b">
        <f>OR(NOT(ISBLANK(Raw!AK2)), COUNTIF(Raw!AA2:AD2, "&gt;=0") = 4)</f>
        <v>0</v>
      </c>
      <c r="P2" s="24" t="str">
        <f>IF(O2,IF(COUNTIF(Raw!AA2:AD2,"&gt;=0") = 4,"Contingency", "Paper k"), "Not Included")</f>
        <v>Not Included</v>
      </c>
      <c r="Q2" s="48" t="str">
        <f>IF(O2, IF(COUNTIF(Raw!AA2:AD2,"&gt;=0") = 4,SUM(Raw!AA2,Raw!AC2)/H2,"No Contingency Table"), "Not Included")</f>
        <v>Not Included</v>
      </c>
      <c r="R2" s="38" t="str">
        <f>IF(O2, IF(COUNTIF(Raw!AA2:AD2, "&gt;=0") = 4,SUM(SUM(Raw!AA2,Raw!AB2)*SUM(Raw!AA2,Raw!AD2),SUM(Raw!AC2,Raw!AD2)*SUM(Raw!AC2,Raw!AB2))/H2^2,"No Contingency Table"), "Not Included")</f>
        <v>Not Included</v>
      </c>
      <c r="S2" s="38" t="str">
        <f>IF(O2, IF(COUNTIF(Raw!AA2:AD2,"&gt;=0") = 4, IFERROR((Q2 - R2) / (1 - R2), "Could not calculate"), "No Contingency Table"), "Not Included")</f>
        <v>Not Included</v>
      </c>
      <c r="T2" s="52" t="str">
        <f>IF(O2,IF(NOT(ISBLANK(Raw!AK2)), Raw!AK2, "Not Reported"), "Not Included")</f>
        <v>Not Included</v>
      </c>
      <c r="U2" s="11" t="str">
        <f t="shared" ref="U2:U107" si="3">IF(O2,IF(P2="Contingency",S2,T2), "Not Included")</f>
        <v>Not Included</v>
      </c>
      <c r="V2" s="11" t="str">
        <f t="shared" ref="V2:V107" si="4">IFERROR(IF(O2,IF(ABS(S2-T2)/S2 &gt; 0.05,0,1),"Not Included"),"NA")</f>
        <v>Not Included</v>
      </c>
      <c r="W2" s="11" t="b">
        <f>OR(NOT(ISBLANK(Raw!AU2)),COUNTIF(Raw!AL2:AT2,"&gt;=0") = 9)</f>
        <v>0</v>
      </c>
      <c r="X2" s="11" t="str">
        <f>IF(W2, IF(COUNTIF(Raw!AL2:AT2,"&gt;=0") = 9, "Contingency", "Paper k"), "Not Included")</f>
        <v>Not Included</v>
      </c>
      <c r="Y2" s="11" t="str">
        <f>IF(W2,IF(COUNTIF(Raw!AL2:AT2,"&gt;=0") = 9,SUM(Raw!AL2:AT2),"No Contingency Table"),"Not Included")</f>
        <v>Not Included</v>
      </c>
      <c r="Z2" s="11" t="str">
        <f t="shared" ref="Z2:Z107" si="5">IF(W2,IF(X2="Contingency",Y2,H2), "Not Included")</f>
        <v>Not Included</v>
      </c>
      <c r="AA2" s="11" t="str">
        <f>IF(W2,IF(COUNTIF(Raw!AL2:AT2,"&gt;=0") = 9,SUM(Raw!AL2,Raw!AP2,Raw!AT2)/Y2,"No Contingency Table"), "Not Included")</f>
        <v>Not Included</v>
      </c>
      <c r="AB2" s="11" t="str">
        <f>IF(W2,IF(COUNTIF(Raw!AL2:AT2,"&gt;=0") = 9,SUM(SUM(Raw!AL2,Raw!AM2,Raw!AN2)*SUM(Raw!AL2,Raw!AO2,Raw!AR2),SUM(Raw!AO2,Raw!AP2,Raw!AQ2)*SUM(Raw!AM2,Raw!AP2,Raw!AS2),SUM(Raw!AR2,Raw!AS2,Raw!AT2)*SUM(Raw!AN2,Raw!AQ2,Raw!AT2))/Y2^2,"No Contingency Table"), "Not Included")</f>
        <v>Not Included</v>
      </c>
      <c r="AC2" s="11" t="str">
        <f>IF(W2,IF(COUNTIF(Raw!AL2:AT2,"&gt;=0") = 9,(AA2 - AB2) / (1 - AB2),"No Contingency Table"), "Not Included")</f>
        <v>Not Included</v>
      </c>
      <c r="AD2" s="11" t="str">
        <f>IF(W2, IF(NOT(ISBLANK(Raw!AU2)),Raw!AU2,"Not Reported"), "Not Included")</f>
        <v>Not Included</v>
      </c>
      <c r="AE2" s="11" t="str">
        <f t="shared" ref="AE2:AE107" si="6">IF(W2, IF(X2 = "Contingency", AC2,AD2), "Not Included")</f>
        <v>Not Included</v>
      </c>
      <c r="AF2" s="11" t="str">
        <f t="shared" ref="AF2:AF107" si="7">IFERROR(IF(W2,IF(ABS(AC2-AD2)/AC2 &gt; 0.05,0,1),"Not Included"),"NA")</f>
        <v>Not Included</v>
      </c>
      <c r="AG2" s="11" t="b">
        <f>COUNTIF(Raw!AV2:BK2, "&gt;=0") = 16</f>
        <v>0</v>
      </c>
      <c r="AH2" s="11" t="str">
        <f>IF(AG2, IF(COUNTIF(Raw!AV2:BK2,"&gt;=0") = 16, "Contingency", "Paper k"), "Not Included")</f>
        <v>Not Included</v>
      </c>
      <c r="AI2" s="11" t="str">
        <f>IF(AG2,IF(COUNTIF(Raw!AV2:BK2,"&gt;=0") = 16,SUM(Raw!AV2:BK2),"No Contingency Table"),"Not Included")</f>
        <v>Not Included</v>
      </c>
      <c r="AJ2" s="15">
        <f t="shared" ref="AJ2:AJ107" si="8">IF(AG2,IF(AH2="Contingency",AI2,H2), J2)</f>
        <v>83</v>
      </c>
      <c r="AK2" s="11" t="str">
        <f>IF(AG2,IF(COUNTIF(Raw!AV2:BK2,"&gt;=0") = 16,SUM(Raw!AV2,Raw!BA2,Raw!BF2,Raw!BK2)/AI2,"No Contingency Table"), "Not Included")</f>
        <v>Not Included</v>
      </c>
      <c r="AL2" s="11" t="str">
        <f>IF(AG2,IF(COUNTIF(Raw!AV2:BK2,"&gt;=0") = 16,SUM(SUM(Raw!AV2,Raw!AW2,Raw!AX2,Raw!AY2)*SUM(Raw!AV2,Raw!AZ2,Raw!BD2,Raw!BH2),SUM(Raw!AZ2,Raw!BA2,Raw!BB2,Raw!BC2)*SUM(Raw!AW2,Raw!BA2,Raw!BE2,Raw!BI2),SUM(Raw!BD2,Raw!BE2,Raw!BF2,Raw!BG2)*SUM(Raw!AX2,Raw!BB2,Raw!BF2,Raw!BJ2),SUM(Raw!BH2,Raw!BI2,Raw!BJ2,Raw!BK2)*SUM(Raw!AY2,Raw!BC2,Raw!BG2,Raw!BK2))/AI2^2,"No Contingency Table"), "Not Included")</f>
        <v>Not Included</v>
      </c>
      <c r="AM2" s="11" t="str">
        <f>IF(AG2,IF(COUNTIF(Raw!AV2:BK2,"&gt;=0") = 16,(AK2 - AL2) / (1 - AL2),"No Contingency Table"), "Not Included")</f>
        <v>Not Included</v>
      </c>
      <c r="AN2" s="11" t="str">
        <f>IF(NOT(ISBLANK(Raw!BL2)),Raw!BL2,"Not Reported")</f>
        <v>Not Reported</v>
      </c>
      <c r="AO2" s="11" t="str">
        <f t="shared" ref="AO2:AO107" si="9">IF(AH2="Contingency",AM2,AN2)</f>
        <v>Not Reported</v>
      </c>
      <c r="AP2" s="11" t="str">
        <f t="shared" ref="AP2:AP107" si="10">IFERROR(IF(AG2,IF(ABS(AM2-AN2)/AM2 &gt; 0.05,0,1),"Not Included"),"NA")</f>
        <v>Not Included</v>
      </c>
      <c r="AQ2" s="11" t="b">
        <f t="shared" ref="AQ2:AR2" si="11">BQ2</f>
        <v>0</v>
      </c>
      <c r="AR2" s="11" t="str">
        <f t="shared" si="11"/>
        <v>Not Included</v>
      </c>
      <c r="AS2" s="11" t="str">
        <f t="shared" ref="AS2:AS107" si="12">IF(AH2="Paper k", "Not Included", AI2)</f>
        <v>Not Included</v>
      </c>
      <c r="AT2" s="11" t="str">
        <f t="shared" ref="AT2:AT107" si="13">AS2</f>
        <v>Not Included</v>
      </c>
      <c r="AU2" s="11" t="str">
        <f>IF(AQ2, IF(COUNTIF(Raw!AV2:BK2, "&gt;=0") = 16, IFERROR((AT2*Raw!BK2 - SUM(Raw!BH2, Raw!BI2, Raw!BJ2, Raw!BK2)*SUM(Raw!AY2, Raw!BC2, Raw!BG2, Raw!BK2)) / SQRT((AT2*SUM(Raw!BH2, Raw!BI2, Raw!BJ2, Raw!BK2) - SUM(Raw!BH2, Raw!BI2, Raw!BJ2, Raw!BK2)^2) * (AT2*SUM(Raw!AY2, Raw!BC2, Raw!BG2, Raw!BK2) - SUM(Raw!AY2, Raw!BC2, Raw!BG2, Raw!BK2)^2)), 0), "No Contingency Table"), "Not Included")</f>
        <v>Not Included</v>
      </c>
      <c r="AV2" s="11" t="str">
        <f>IF(AQ2,IF(NOT(ISBLANK(Raw!BQ2)), Raw!BQ2, IF(NOT(ISBLANK(Raw!BR2)), Raw!BR2, "Not Reported")), "Not Included")</f>
        <v>Not Included</v>
      </c>
      <c r="AW2" s="57" t="str">
        <f t="shared" ref="AW2:AW107" si="14">AU2</f>
        <v>Not Included</v>
      </c>
      <c r="AX2" s="11" t="str">
        <f t="shared" ref="AX2:AX107" si="15">IFERROR(IF(AQ2,IF(ABS(AU2-AV2)/AU2 &gt; 0.05,0,1),"Not Included"),"NA")</f>
        <v>Not Included</v>
      </c>
      <c r="AY2" s="11" t="b">
        <f t="shared" ref="AY2:AZ2" si="16">AQ2</f>
        <v>0</v>
      </c>
      <c r="AZ2" s="11" t="str">
        <f t="shared" si="16"/>
        <v>Not Included</v>
      </c>
      <c r="BA2" s="11" t="str">
        <f>IF(AY2, IF(COUNTIF(Raw!AV2:BK2, "&gt;=0") = 16, SUM(Raw!AV2,Raw!AW2,Raw!AX2,Raw!AZ2,Raw!BA2,Raw!BB2,Raw!BD2,Raw!BE2,Raw!BF2,Raw!BK2)/SUM(Raw!AV2:BK2), "No Contingency Table"), "Not Included")</f>
        <v>Not Included</v>
      </c>
      <c r="BB2" s="11" t="str">
        <f>IF(AY2, IF(COUNTIF(Raw!AV2:BK2, "&gt;=0") = 16,SUM(SUM(Raw!BH2,Raw!BI2,Raw!BJ2,Raw!BK2)*SUM(Raw!AY2,Raw!BC2,Raw!BG2,Raw!BK2),SUM(Raw!AV2:BG2)*SUM(Raw!AV2,Raw!AW2,Raw!AX2,Raw!AZ2,Raw!BA2,Raw!BB2,Raw!BD2,Raw!BE2,Raw!BF2,Raw!BH2,Raw!BI2,Raw!BJ2))/AT2^2,"No Contingency Table"), "Not Included")</f>
        <v>Not Included</v>
      </c>
      <c r="BC2" s="11" t="str">
        <f>IF(AY2, IF(COUNTIF(Raw!AV2:BK2, "&gt;=0") = 16,(BA2-BB2) / (1 - BB2),"No Contingency Table"), "Not Included")</f>
        <v>Not Included</v>
      </c>
      <c r="BD2" s="11" t="str">
        <f>IF(AY2,IF(NOT(ISBLANK(Raw!BT23)),Raw!BT23,"Not Reported"),"Not Included")</f>
        <v>Not Included</v>
      </c>
      <c r="BE2" s="11" t="str">
        <f t="shared" ref="BE2:BE107" si="17">BC2</f>
        <v>Not Included</v>
      </c>
      <c r="BF2" s="11" t="str">
        <f t="shared" ref="BF2:BF107" si="18">IFERROR(IF(AY2,IF(ABS(BC2-BD2)/BC2 &gt; 0.05,0,1),"Not Included"),"NA")</f>
        <v>Not Included</v>
      </c>
      <c r="BG2" s="11">
        <f>Raw!K2</f>
        <v>2009</v>
      </c>
      <c r="BH2" s="11" t="str">
        <f>IF(Raw!L2 = "USA","USA","Non-USA")</f>
        <v>USA</v>
      </c>
      <c r="BI2" s="11" t="str">
        <f>Raw!M2</f>
        <v>Ainsworth/Cassidy-Marvin</v>
      </c>
      <c r="BJ2" s="11">
        <f>Raw!N2</f>
        <v>1</v>
      </c>
      <c r="BK2" s="11">
        <f>Raw!P2</f>
        <v>0</v>
      </c>
      <c r="BL2" s="11">
        <f>Raw!Q2</f>
        <v>0</v>
      </c>
      <c r="BM2" s="11">
        <f>Raw!T2</f>
        <v>1</v>
      </c>
      <c r="BN2" s="11" t="str">
        <f>IFERROR(IF(AND(ISBLANK(Raw!U2), ISBLANK(Raw!V2), ISBLANK(Raw!W2), ISBLANK(Raw!X2)), "NA", IF(OR(NOT(ISBLANK(Raw!U2)), NOT(ISBLANK(Raw!W2))), AVERAGE(Raw!U2,Raw!W2), AVERAGE(Raw!V2,Raw!X2) + IF(Raw!Y2 = "2-way", R2, IF(Raw!Y2 = "3-way", AB2, IF(Raw!Y2 = "4-way", AL2, "NA")))*(1 - AVERAGE(Raw!V2,Raw!X2)))), "NA")</f>
        <v>NA</v>
      </c>
      <c r="BO2" s="11">
        <f>Raw!O2</f>
        <v>0</v>
      </c>
      <c r="BP2" s="11" t="str">
        <f>Raw!F2</f>
        <v>Mixed</v>
      </c>
      <c r="BQ2" s="11" t="b">
        <f>COUNTIF(Raw!AV2:BK2, "&gt;=0") = 16</f>
        <v>0</v>
      </c>
      <c r="BR2" s="11" t="str">
        <f t="shared" ref="BR2:BR107" si="19">IF(AH2="Paper k", "Not Included", AH2)</f>
        <v>Not Included</v>
      </c>
      <c r="BS2" s="11" t="str">
        <f t="shared" ref="BS2:BS107" si="20">IF(AH2="Paper k", "Not Included", AI2)</f>
        <v>Not Included</v>
      </c>
      <c r="BT2" s="11" t="str">
        <f>IF(BQ2, IF(COUNTIF(Raw!AV2:BK2, "&gt;=0") = 16, IFERROR((BS2*Raw!AV2 - SUM(Raw!AV2, Raw!AW2, Raw!AX2, Raw!AY2)*SUM(Raw!AV2, Raw!AZ2, Raw!BD2, Raw!BH2)) / SQRT((BS2*SUM(Raw!AV2, Raw!AW2, Raw!AX2, Raw!AY2) - SUM(Raw!AV2, Raw!AW2, Raw!AX2, Raw!AY2)^2) * (BS2*SUM(Raw!AV2, Raw!AZ2, Raw!BD2, Raw!BH2) - SUM(Raw!AV2, Raw!AZ2, Raw!BD2, Raw!BH2)^2)), 0), "No Contingency Table"), "Not Included")</f>
        <v>Not Included</v>
      </c>
      <c r="BU2" s="11" t="str">
        <f>IF(BQ2, IF(COUNTIF(Raw!AV2:BK2, "&gt;=0") = 16, SUM(Raw!BK2,Raw!BJ2,Raw!BI2,Raw!BG2,Raw!BF2,Raw!BE2,Raw!BC2,Raw!BB2,Raw!BA2,Raw!AV2)/SUM(Raw!AV2:BK2), "No Contingency Table"), "Not Included")</f>
        <v>Not Included</v>
      </c>
      <c r="BV2" s="11" t="str">
        <f>IF(BQ2, IF(COUNTIF(Raw!AV2:BK2, "&gt;=0") = 16,SUM(SUM(Raw!AV2,Raw!AW2,Raw!AX2,Raw!AY2)*SUM(Raw!AV2,Raw!AZ2,Raw!BD2,Raw!BH2),SUM(Raw!AZ2:BK2)*SUM(Raw!AW2,Raw!AX2,Raw!AY2,Raw!BA2,Raw!BB2,Raw!BC2,Raw!BE2,Raw!BF2,Raw!BG2,Raw!BI2,Raw!BJ2,Raw!BK2))/BS2^2,"No Contingency Table"), "Not Included")</f>
        <v>Not Included</v>
      </c>
      <c r="BW2" s="11" t="str">
        <f>IF(BQ2, IF(COUNTIF(Raw!AV2:BK2, "&gt;=0") = 16,(BU2-BV2) / (1 - BV2),"No Contingency Table"), "Not Included")</f>
        <v>Not Included</v>
      </c>
      <c r="BX2" s="11" t="b">
        <f t="shared" ref="BX2:BZ2" si="21">BQ2</f>
        <v>0</v>
      </c>
      <c r="BY2" s="11" t="str">
        <f t="shared" si="21"/>
        <v>Not Included</v>
      </c>
      <c r="BZ2" s="11" t="str">
        <f t="shared" si="21"/>
        <v>Not Included</v>
      </c>
      <c r="CA2" s="11" t="str">
        <f>IF(BX2, IF(COUNTIF(Raw!AV2:BK2, "&gt;=0") = 16, IFERROR((BZ2*Raw!BF2 - SUM(Raw!BD2, Raw!BE2, Raw!BF2, Raw!BG2)*SUM(Raw!BF2, Raw!AX2, Raw!BB2, Raw!BJ2)) / SQRT((BZ2*SUM(Raw!BD2, Raw!BE2, Raw!BF2, Raw!BG2) - SUM(Raw!BD2, Raw!BE2, Raw!BF2, Raw!BG2)^2) * (BZ2*SUM(Raw!BF2, Raw!AX2, Raw!BB2, Raw!BJ2) - SUM(Raw!BF2, Raw!AX2, Raw!BB2, Raw!BJ2)^2)), 0), "No Contingency Table"), "Not Included")</f>
        <v>Not Included</v>
      </c>
      <c r="CB2" s="11" t="str">
        <f>IF(BX2, IF(COUNTIF(Raw!AV2:BK2, "&gt;=0") = 16, SUM(Raw!AV2,Raw!AW2,Raw!AY2,Raw!AZ2,Raw!BA2,Raw!BC2,Raw!BF2,Raw!BH2,Raw!BI2,Raw!BK2) / SUM(Raw!AV2:BK2), "No Contingency Table"), "Not Included")</f>
        <v>Not Included</v>
      </c>
      <c r="CC2" s="11" t="str">
        <f>IF(BX2, IF(COUNTIF(Raw!AV2:BK2, "&gt;=0") = 16,SUM(SUM(Raw!BD2,Raw!BE2,Raw!BF2,Raw!BG2)*SUM(Raw!BF2,Raw!AX2,Raw!BB2,Raw!BJ2),SUM(Raw!AV2:BC2,Raw!BH2:BK2)*SUM(Raw!AV2,Raw!AW2,Raw!AY2,Raw!AZ2,Raw!BA2,Raw!BC2,Raw!BD2,Raw!BE2,Raw!BG2,Raw!BH2,Raw!BI2,Raw!BK2))/BZ2^2,"No Contingency Table"), "Not Included")</f>
        <v>Not Included</v>
      </c>
      <c r="CD2" s="11" t="str">
        <f>IF(BX2, IF(COUNTIF(Raw!AV2:BK2, "&gt;=0") = 16,(CB2 - CC2) / (1 - CC2+0.000001),"No Contingency Table"), "Not Included")</f>
        <v>Not Included</v>
      </c>
      <c r="CE2" s="11" t="b">
        <f t="shared" ref="CE2:CG2" si="22">BQ2</f>
        <v>0</v>
      </c>
      <c r="CF2" s="11" t="str">
        <f t="shared" si="22"/>
        <v>Not Included</v>
      </c>
      <c r="CG2" s="11" t="str">
        <f t="shared" si="22"/>
        <v>Not Included</v>
      </c>
      <c r="CH2" s="11" t="str">
        <f>IF(CE2, IF(COUNTIF(Raw!AV2:BK2, "&gt;=0") = 16, IFERROR((CG2*Raw!BA2 - SUM(Raw!BA2, Raw!AZ2, Raw!BB2, Raw!BC2)*SUM(Raw!BA2, Raw!AW2, Raw!BE2, Raw!BI2)) / SQRT((CG2*SUM(Raw!BA2, Raw!AZ2, Raw!BB2, Raw!BC2) - SUM(Raw!BA2, Raw!AZ2, Raw!BB2, Raw!BC2)^2) * (CG2*SUM(Raw!BA2, Raw!AW2, Raw!BE2, Raw!BI2) - SUM(Raw!BA2, Raw!AW2, Raw!BE2, Raw!BI2)^2)), 0), "No Contingency Table"), "Not Included")</f>
        <v>Not Included</v>
      </c>
      <c r="CI2" s="11" t="str">
        <f>IF(CE2, IF(COUNTIF(Raw!AV2:BK2, "&gt;=0") = 16, SUM(Raw!AV2,Raw!AX2,Raw!AY2,Raw!BA2,Raw!BD2,Raw!BF2,Raw!BG2,Raw!BH2,Raw!BJ2,Raw!BK2) / SUM(Raw!AV2:BK2), "No Contingency Table"), "Not Included")</f>
        <v>Not Included</v>
      </c>
      <c r="CJ2" s="61" t="str">
        <f>IF(BX2, IF(COUNTIF(Raw!AV2:BK2, "&gt;=0") = 16,SUM(SUM(Raw!AZ2,Raw!BA2,Raw!BB2,Raw!BC2)*SUM(Raw!BA2,Raw!AW2,Raw!BE2,Raw!BI2),SUM(Raw!AV2:AY2,Raw!BD2:BK2)*SUM(Raw!AV2,Raw!AX2,Raw!AY2,Raw!AZ2,Raw!BB2,Raw!BC2,Raw!BD2,Raw!BF2,Raw!BG2,Raw!BH2,Raw!BJ2,Raw!BK2))/CG2^2,"No Contingency Table"), "Not Included")</f>
        <v>Not Included</v>
      </c>
      <c r="CK2" s="11" t="str">
        <f>IF(BX2, IF(COUNTIF(Raw!AV2:BK2, "&gt;=0") = 16,(CI2 - CJ2) / (1 - CJ2),"No Contingency Table"), "Not Included")</f>
        <v>Not Included</v>
      </c>
      <c r="CL2" s="11" t="str">
        <f>IF(BQ2, IFERROR(Raw!AV2/SUM(Raw!AV2:AY2), 0), "Not Included")</f>
        <v>Not Included</v>
      </c>
      <c r="CM2" s="11" t="str">
        <f>IF(BQ2, IFERROR(Raw!BA2/SUM(Raw!AZ2:BC2), 0), "Not Included")</f>
        <v>Not Included</v>
      </c>
      <c r="CN2" s="11" t="str">
        <f>IF(BQ2, IFERROR(Raw!BF2/SUM(Raw!BD2:BG2), 0), "Not Included")</f>
        <v>Not Included</v>
      </c>
      <c r="CO2" s="11" t="str">
        <f>IF(BQ2, IFERROR(Raw!BK2/SUM(Raw!BH2:BK2), 0), "Not Included")</f>
        <v>Not Included</v>
      </c>
      <c r="CP2" s="11" t="str">
        <f>IF(BQ2, IFERROR(SUM(Raw!AV2,Raw!AX2,Raw!AY2,Raw!BD2,Raw!BF2,Raw!BG2,Raw!BH2,Raw!BJ2,Raw!BK2)/SUM(Raw!AV2,Raw!AW2,Raw!AX2,Raw!AY2,Raw!BD2,Raw!BE2,Raw!BF2,Raw!BG2,Raw!BH2,Raw!BI2,Raw!BJ2,Raw!BK2), 0), "Not Included")</f>
        <v>Not Included</v>
      </c>
      <c r="CQ2" s="11" t="str">
        <f>IF(BQ2, IFERROR(SUM(Raw!AV2:AX2,Raw!AZ2:BB2,Raw!BD2:BF2)/SUM(Raw!AV2:BF2), 0), "Not Included")</f>
        <v>Not Included</v>
      </c>
      <c r="CR2" s="11" t="str">
        <f>IF(BQ2, IFERROR(SUM(Raw!AV2:AY2), 0), "Not Included")</f>
        <v>Not Included</v>
      </c>
      <c r="CS2" s="11" t="str">
        <f>IF(BQ2, IFERROR(SUM(Raw!AZ2:BC2), 0), "Not Included")</f>
        <v>Not Included</v>
      </c>
      <c r="CT2" s="11" t="str">
        <f>IF(BQ2, IFERROR(SUM(Raw!BD2:BG2), 0), "Not Included")</f>
        <v>Not Included</v>
      </c>
      <c r="CU2" s="11" t="str">
        <f>IF(BQ2, IFERROR(SUM(Raw!BH2:BK2), 0), "Not Included")</f>
        <v>Not Included</v>
      </c>
      <c r="CV2" s="11" t="str">
        <f>IF(BQ2, IFERROR(SUM(Raw!AV2,Raw!AW2,Raw!AX2,Raw!AY2,Raw!BD2,Raw!BE2,Raw!BF2,Raw!BG2,Raw!BH2,Raw!BI2,Raw!BJ2,Raw!BK2), 0), "Not Included")</f>
        <v>Not Included</v>
      </c>
      <c r="CW2" s="11" t="str">
        <f>IF(BQ2, IFERROR(SUM(Raw!AV2:BF2), 0), "Not Included")</f>
        <v>Not Included</v>
      </c>
      <c r="CX2" s="11" t="str">
        <f>IF(BQ2, IFERROR((CR2*SUM(Raw!AV2,Raw!AZ2,Raw!BD2,Raw!BH2))/BS2/CR2, 0), "Not Included")</f>
        <v>Not Included</v>
      </c>
      <c r="CY2" s="11" t="str">
        <f>IF(BX2, IFERROR((CS2*SUM(Raw!BA2,Raw!AW2,Raw!BE2,Raw!BI2))/CG2/CS2, 0), "Not Included")</f>
        <v>Not Included</v>
      </c>
      <c r="CZ2" s="11" t="str">
        <f>IF(BX2, IFERROR((CT2*SUM(Raw!BF2,Raw!AX2,Raw!BB2,Raw!BJ2))/BZ2/CT2, 0), "Not Included")</f>
        <v>Not Included</v>
      </c>
      <c r="DA2" s="11" t="str">
        <f>IF(AY2, IFERROR((CU2*SUM(Raw!AY2,Raw!BC2,Raw!BG2,Raw!BK2))/AT2/CU2, 0), "Not Included")</f>
        <v>Not Included</v>
      </c>
      <c r="DB2" s="11" t="str">
        <f>IF(BX2, IFERROR((CV2*SUM(Raw!AV2,Raw!AX2,Raw!AY2,Raw!AZ2,Raw!BB2,Raw!BC2,Raw!BD2,Raw!BF2,Raw!BG2,Raw!BH2,Raw!BJ2,Raw!BK2))/CG2/CV2,0), "Not Included")</f>
        <v>Not Included</v>
      </c>
      <c r="DC2" s="11" t="str">
        <f>IF(AY2, IFERROR((CW2*SUM(Raw!AV2,Raw!AW2,Raw!AX2,Raw!AZ2,Raw!BA2,Raw!BB2,Raw!BD2,Raw!BE2,Raw!BF2,Raw!BH2,Raw!BI2,Raw!BJ2))/AT2/CW2,0), "Not Included")</f>
        <v>Not Included</v>
      </c>
    </row>
    <row r="3" spans="1:107" ht="12.75" customHeight="1">
      <c r="A3" s="11">
        <f>Raw!D3</f>
        <v>2</v>
      </c>
      <c r="B3" s="11" t="str">
        <f>Raw!A3</f>
        <v>Ammaniti, Speranza, &amp; Fedele (2005)</v>
      </c>
      <c r="C3" s="11">
        <f>Raw!G3</f>
        <v>1</v>
      </c>
      <c r="D3" s="11" t="str">
        <f>Raw!E3</f>
        <v>51 month interval</v>
      </c>
      <c r="E3" s="11" t="str">
        <f>CONCATENATE(IF(Raw!I3&lt;='Interval Definitions'!$B$2, 'Interval Definitions'!$A$2, IF(Raw!I3&lt;='Interval Definitions'!$B$3, 'Interval Definitions'!$A$3, IF(Raw!I3&lt;='Interval Definitions'!$B$4, 'Interval Definitions'!$A$4, IF(Raw!I3&lt;='Interval Definitions'!$B$5, 'Interval Definitions'!$A$5, "None")))), " - ", IF(Raw!J3&lt;='Interval Definitions'!$B$2, 'Interval Definitions'!$A$2, IF(Raw!J3&lt;='Interval Definitions'!$B$3, 'Interval Definitions'!$A$3, IF(Raw!J3&lt;='Interval Definitions'!$B$4, 'Interval Definitions'!$A$4, IF(Raw!J3&lt;='Interval Definitions'!$B$5, 'Interval Definitions'!$A$5, "None")))))</f>
        <v>Infancy - Preschool</v>
      </c>
      <c r="F3" s="11" t="b">
        <f>OR(NOT(ISBLANK(Raw!AF3)),NOT(ISBLANK(Raw!AG3)),NOT(ISBLANK(Raw!AH3)),NOT(ISBLANK(Raw!AI3)),COUNTIF(Raw!AA3:AD3, "&gt;=0") = 4)</f>
        <v>1</v>
      </c>
      <c r="G3" s="11" t="str">
        <f>IF(F3, IF(COUNTIF(Raw!AA3:AD3,"&gt;=0") = 4, "Contingency", IF(NOT(ISBLANK(Raw!AF3)), "Paper r", IF(NOT(ISBLANK(Raw!AG3)), "Pinquart", IF(NOT(ISBLANK(Raw!AH3)), "Fraley", "Paper chiSq")))), "Not Included")</f>
        <v>Contingency</v>
      </c>
      <c r="H3" s="15">
        <f>IF(F3,Raw!AE3,"Not Included")</f>
        <v>35</v>
      </c>
      <c r="I3" s="15">
        <f>IF(COUNTIF(Raw!AA3:AD3,"&gt;=0") = 4, SUM(Raw!AA3:AD3), "No Contingency Table")</f>
        <v>35</v>
      </c>
      <c r="J3" s="15">
        <f t="shared" si="0"/>
        <v>35</v>
      </c>
      <c r="K3" s="38">
        <f>IF(F3, IF(COUNTIF(Raw!AA3:AD3,"&gt;=0") = 4, IFERROR((I3*Raw!AA3 - SUM(Raw!AA3,Raw!AB3)*SUM(Raw!AA3,Raw!AD3)) / SQRT((I3*SUM(Raw!AA3,Raw!AB3) - SUM(Raw!AA3,Raw!AB3)^2) * (I3*SUM(Raw!AA3,Raw!AD3) - SUM(Raw!AA3,Raw!AD3)^2)), 0), "No Contingency Table"), "Not Included")</f>
        <v>0.46915743162841822</v>
      </c>
      <c r="L3" s="41">
        <f>IF(F3,IF(NOT(ISBLANK(Raw!AF3)), Raw!AF3, IF(NOT(ISBLANK(Raw!AG3)), Raw!AG3, IF(NOT(ISBLANK(Raw!AH3)), Raw!AH3, IF(NOT(ISBLANK(Raw!AI3)), SQRT(Raw!AI3/H3)*Raw!AJ3, "Not Reported")))),"Not Included")</f>
        <v>0.47</v>
      </c>
      <c r="M3" s="43">
        <f t="shared" si="1"/>
        <v>0.46915743162841822</v>
      </c>
      <c r="N3" s="11">
        <f t="shared" si="2"/>
        <v>1</v>
      </c>
      <c r="O3" s="48" t="b">
        <f>OR(NOT(ISBLANK(Raw!AK3)), COUNTIF(Raw!AA3:AD3, "&gt;=0") = 4)</f>
        <v>1</v>
      </c>
      <c r="P3" s="24" t="str">
        <f>IF(O3,IF(COUNTIF(Raw!AA3:AD3,"&gt;=0") = 4,"Contingency", "Paper k"), "Not Included")</f>
        <v>Contingency</v>
      </c>
      <c r="Q3" s="48">
        <f>IF(O3, IF(COUNTIF(Raw!AA3:AD3,"&gt;=0") = 4,SUM(Raw!AA3,Raw!AC3)/H3,"No Contingency Table"), "Not Included")</f>
        <v>0.74285714285714288</v>
      </c>
      <c r="R3" s="38">
        <f>IF(O3, IF(COUNTIF(Raw!AA3:AD3, "&gt;=0") = 4,SUM(SUM(Raw!AA3,Raw!AB3)*SUM(Raw!AA3,Raw!AD3),SUM(Raw!AC3,Raw!AD3)*SUM(Raw!AC3,Raw!AB3))/H3^2,"No Contingency Table"), "Not Included")</f>
        <v>0.52244897959183678</v>
      </c>
      <c r="S3" s="38">
        <f>IF(O3, IF(COUNTIF(Raw!AA3:AD3,"&gt;=0") = 4, IFERROR((Q3 - R3) / (1 - R3), "Could not calculate"), "No Contingency Table"), "Not Included")</f>
        <v>0.46153846153846156</v>
      </c>
      <c r="T3" s="52" t="str">
        <f>IF(O3,IF(NOT(ISBLANK(Raw!AK3)), Raw!AK3, "Not Reported"), "Not Included")</f>
        <v>Not Reported</v>
      </c>
      <c r="U3" s="38">
        <f t="shared" si="3"/>
        <v>0.46153846153846156</v>
      </c>
      <c r="V3" s="11" t="str">
        <f t="shared" si="4"/>
        <v>NA</v>
      </c>
      <c r="W3" s="11" t="b">
        <f>OR(NOT(ISBLANK(Raw!AU3)),COUNTIF(Raw!AL3:AT3,"&gt;=0") = 9)</f>
        <v>1</v>
      </c>
      <c r="X3" s="11" t="str">
        <f>IF(W3, IF(COUNTIF(Raw!AL3:AT3,"&gt;=0") = 9, "Contingency", "Paper k"), "Not Included")</f>
        <v>Contingency</v>
      </c>
      <c r="Y3" s="15">
        <f>IF(W3,IF(COUNTIF(Raw!AL3:AT3,"&gt;=0") = 9,SUM(Raw!AL3:AT3),"No Contingency Table"),"Not Included")</f>
        <v>35</v>
      </c>
      <c r="Z3" s="15">
        <f t="shared" si="5"/>
        <v>35</v>
      </c>
      <c r="AA3" s="11">
        <f>IF(W3,IF(COUNTIF(Raw!AL3:AT3,"&gt;=0") = 9,SUM(Raw!AL3,Raw!AP3,Raw!AT3)/Y3,"No Contingency Table"), "Not Included")</f>
        <v>0.7142857142857143</v>
      </c>
      <c r="AB3" s="11">
        <f>IF(W3,IF(COUNTIF(Raw!AL3:AT3,"&gt;=0") = 9,SUM(SUM(Raw!AL3,Raw!AM3,Raw!AN3)*SUM(Raw!AL3,Raw!AO3,Raw!AR3),SUM(Raw!AO3,Raw!AP3,Raw!AQ3)*SUM(Raw!AM3,Raw!AP3,Raw!AS3),SUM(Raw!AR3,Raw!AS3,Raw!AT3)*SUM(Raw!AN3,Raw!AQ3,Raw!AT3))/Y3^2,"No Contingency Table"), "Not Included")</f>
        <v>0.44489795918367347</v>
      </c>
      <c r="AC3" s="11">
        <f>IF(W3,IF(COUNTIF(Raw!AL3:AT3,"&gt;=0") = 9,(AA3 - AB3) / (1 - AB3),"No Contingency Table"), "Not Included")</f>
        <v>0.48529411764705882</v>
      </c>
      <c r="AD3" s="32">
        <f>IF(W3, IF(NOT(ISBLANK(Raw!AU3)),Raw!AU3,"Not Reported"), "Not Included")</f>
        <v>0.48</v>
      </c>
      <c r="AE3" s="11">
        <f t="shared" si="6"/>
        <v>0.48529411764705882</v>
      </c>
      <c r="AF3" s="11">
        <f t="shared" si="7"/>
        <v>1</v>
      </c>
      <c r="AG3" s="11" t="b">
        <f>COUNTIF(Raw!AV3:BK3, "&gt;=0") = 16</f>
        <v>0</v>
      </c>
      <c r="AH3" s="11" t="str">
        <f>IF(AG3, IF(COUNTIF(Raw!AV3:BK3,"&gt;=0") = 16, "Contingency", "Paper k"), "Not Included")</f>
        <v>Not Included</v>
      </c>
      <c r="AI3" s="11" t="str">
        <f>IF(AG3,IF(COUNTIF(Raw!AV3:BK3,"&gt;=0") = 16,SUM(Raw!AV3:BK3),"No Contingency Table"),"Not Included")</f>
        <v>Not Included</v>
      </c>
      <c r="AJ3" s="15">
        <f t="shared" si="8"/>
        <v>35</v>
      </c>
      <c r="AK3" s="11" t="str">
        <f>IF(AG3,IF(COUNTIF(Raw!AV3:BK3,"&gt;=0") = 16,SUM(Raw!AV3,Raw!BA3,Raw!BF3,Raw!BK3)/AI3,"No Contingency Table"), "Not Included")</f>
        <v>Not Included</v>
      </c>
      <c r="AL3" s="11" t="str">
        <f>IF(AG3,IF(COUNTIF(Raw!AV3:BK3,"&gt;=0") = 16,SUM(SUM(Raw!AV3,Raw!AW3,Raw!AX3,Raw!AY3)*SUM(Raw!AV3,Raw!AZ3,Raw!BD3,Raw!BH3),SUM(Raw!AZ3,Raw!BA3,Raw!BB3,Raw!BC3)*SUM(Raw!AW3,Raw!BA3,Raw!BE3,Raw!BI3),SUM(Raw!BD3,Raw!BE3,Raw!BF3,Raw!BG3)*SUM(Raw!AX3,Raw!BB3,Raw!BF3,Raw!BJ3),SUM(Raw!BH3,Raw!BI3,Raw!BJ3,Raw!BK3)*SUM(Raw!AY3,Raw!BC3,Raw!BG3,Raw!BK3))/AI3^2,"No Contingency Table"), "Not Included")</f>
        <v>Not Included</v>
      </c>
      <c r="AM3" s="11" t="str">
        <f>IF(AG3,IF(COUNTIF(Raw!AV3:BK3,"&gt;=0") = 16,(AK3 - AL3) / (1 - AL3),"No Contingency Table"), "Not Included")</f>
        <v>Not Included</v>
      </c>
      <c r="AN3" s="11" t="str">
        <f>IF(NOT(ISBLANK(Raw!BL3)),Raw!BL3,"Not Reported")</f>
        <v>Not Reported</v>
      </c>
      <c r="AO3" s="11" t="str">
        <f t="shared" si="9"/>
        <v>Not Reported</v>
      </c>
      <c r="AP3" s="11" t="str">
        <f t="shared" si="10"/>
        <v>Not Included</v>
      </c>
      <c r="AQ3" s="11" t="b">
        <f t="shared" ref="AQ3:AR3" si="23">BQ3</f>
        <v>0</v>
      </c>
      <c r="AR3" s="11" t="str">
        <f t="shared" si="23"/>
        <v>Not Included</v>
      </c>
      <c r="AS3" s="11" t="str">
        <f t="shared" si="12"/>
        <v>Not Included</v>
      </c>
      <c r="AT3" s="11" t="str">
        <f t="shared" si="13"/>
        <v>Not Included</v>
      </c>
      <c r="AU3" s="11" t="str">
        <f>IF(AQ3, IF(COUNTIF(Raw!AV3:BK3, "&gt;=0") = 16, IFERROR((AT3*Raw!BK3 - SUM(Raw!BH3, Raw!BI3, Raw!BJ3, Raw!BK3)*SUM(Raw!AY3, Raw!BC3, Raw!BG3, Raw!BK3)) / SQRT((AT3*SUM(Raw!BH3, Raw!BI3, Raw!BJ3, Raw!BK3) - SUM(Raw!BH3, Raw!BI3, Raw!BJ3, Raw!BK3)^2) * (AT3*SUM(Raw!AY3, Raw!BC3, Raw!BG3, Raw!BK3) - SUM(Raw!AY3, Raw!BC3, Raw!BG3, Raw!BK3)^2)), 0), "No Contingency Table"), "Not Included")</f>
        <v>Not Included</v>
      </c>
      <c r="AV3" s="11" t="str">
        <f>IF(AQ3,IF(NOT(ISBLANK(Raw!BQ3)), Raw!BQ3, IF(NOT(ISBLANK(Raw!BR3)), Raw!BR3, "Not Reported")), "Not Included")</f>
        <v>Not Included</v>
      </c>
      <c r="AW3" s="57" t="str">
        <f t="shared" si="14"/>
        <v>Not Included</v>
      </c>
      <c r="AX3" s="11" t="str">
        <f t="shared" si="15"/>
        <v>Not Included</v>
      </c>
      <c r="AY3" s="11" t="b">
        <f t="shared" ref="AY3:AZ3" si="24">AQ3</f>
        <v>0</v>
      </c>
      <c r="AZ3" s="11" t="str">
        <f t="shared" si="24"/>
        <v>Not Included</v>
      </c>
      <c r="BA3" s="11" t="str">
        <f>IF(AY3, IF(COUNTIF(Raw!AV3:BK3, "&gt;=0") = 16, SUM(Raw!AV3,Raw!AW3,Raw!AX3,Raw!AZ3,Raw!BA3,Raw!BB3,Raw!BD3,Raw!BE3,Raw!BF3,Raw!BK3)/SUM(Raw!AV3:BK3), "No Contingency Table"), "Not Included")</f>
        <v>Not Included</v>
      </c>
      <c r="BB3" s="11" t="str">
        <f>IF(AY3, IF(COUNTIF(Raw!AV3:BK3, "&gt;=0") = 16,SUM(SUM(Raw!BH3,Raw!BI3,Raw!BJ3,Raw!BK3)*SUM(Raw!AY3,Raw!BC3,Raw!BG3,Raw!BK3),SUM(Raw!AV3:BG3)*SUM(Raw!AV3,Raw!AW3,Raw!AX3,Raw!AZ3,Raw!BA3,Raw!BB3,Raw!BD3,Raw!BE3,Raw!BF3,Raw!BH3,Raw!BI3,Raw!BJ3))/AT3^2,"No Contingency Table"), "Not Included")</f>
        <v>Not Included</v>
      </c>
      <c r="BC3" s="11" t="str">
        <f>IF(AY3, IF(COUNTIF(Raw!AV3:BK3, "&gt;=0") = 16,(BA3-BB3) / (1 - BB3),"No Contingency Table"), "Not Included")</f>
        <v>Not Included</v>
      </c>
      <c r="BD3" s="11" t="str">
        <f>IF(AY3,IF(NOT(ISBLANK(Raw!BT24)),Raw!BT24,"Not Reported"),"Not Included")</f>
        <v>Not Included</v>
      </c>
      <c r="BE3" s="11" t="str">
        <f t="shared" si="17"/>
        <v>Not Included</v>
      </c>
      <c r="BF3" s="11" t="str">
        <f t="shared" si="18"/>
        <v>Not Included</v>
      </c>
      <c r="BG3" s="11">
        <f>Raw!K3</f>
        <v>2005</v>
      </c>
      <c r="BH3" s="11" t="str">
        <f>IF(Raw!L3 = "USA","USA","Non-USA")</f>
        <v>Non-USA</v>
      </c>
      <c r="BI3" s="11" t="str">
        <f>Raw!M3</f>
        <v>Ainsworth/Cassidy-Marvin</v>
      </c>
      <c r="BJ3" s="11">
        <f>Raw!N3</f>
        <v>1</v>
      </c>
      <c r="BK3" s="11">
        <f>Raw!P3</f>
        <v>0</v>
      </c>
      <c r="BL3" s="11">
        <f>Raw!Q3</f>
        <v>0</v>
      </c>
      <c r="BM3" s="11">
        <f>Raw!T3</f>
        <v>1</v>
      </c>
      <c r="BN3" s="11" t="str">
        <f>IFERROR(IF(AND(ISBLANK(Raw!U3), ISBLANK(Raw!V3), ISBLANK(Raw!W3), ISBLANK(Raw!X3)), "NA", IF(OR(NOT(ISBLANK(Raw!U3)), NOT(ISBLANK(Raw!W3))), AVERAGE(Raw!U3,Raw!W3), AVERAGE(Raw!V3,Raw!X3) + IF(Raw!Y3 = "2-way", R3, IF(Raw!Y3 = "3-way", AB3, IF(Raw!Y3 = "4-way", AL3, "NA")))*(1 - AVERAGE(Raw!V3,Raw!X3)))), "NA")</f>
        <v>NA</v>
      </c>
      <c r="BO3" s="11">
        <f>Raw!O3</f>
        <v>0</v>
      </c>
      <c r="BP3" s="11" t="str">
        <f>Raw!F3</f>
        <v>Female</v>
      </c>
      <c r="BQ3" s="11" t="b">
        <f>COUNTIF(Raw!AV3:BK3, "&gt;=0") = 16</f>
        <v>0</v>
      </c>
      <c r="BR3" s="11" t="str">
        <f t="shared" si="19"/>
        <v>Not Included</v>
      </c>
      <c r="BS3" s="11" t="str">
        <f t="shared" si="20"/>
        <v>Not Included</v>
      </c>
      <c r="BT3" s="11" t="str">
        <f>IF(BQ3, IF(COUNTIF(Raw!AV3:BK3, "&gt;=0") = 16, IFERROR((BS3*Raw!AV3 - SUM(Raw!AV3, Raw!AW3, Raw!AX3, Raw!AY3)*SUM(Raw!AV3, Raw!AZ3, Raw!BD3, Raw!BH3)) / SQRT((BS3*SUM(Raw!AV3, Raw!AW3, Raw!AX3, Raw!AY3) - SUM(Raw!AV3, Raw!AW3, Raw!AX3, Raw!AY3)^2) * (BS3*SUM(Raw!AV3, Raw!AZ3, Raw!BD3, Raw!BH3) - SUM(Raw!AV3, Raw!AZ3, Raw!BD3, Raw!BH3)^2)), 0), "No Contingency Table"), "Not Included")</f>
        <v>Not Included</v>
      </c>
      <c r="BU3" s="11" t="str">
        <f>IF(BQ3, IF(COUNTIF(Raw!AV3:BK3, "&gt;=0") = 16, SUM(Raw!BK3,Raw!BJ3,Raw!BI3,Raw!BG3,Raw!BF3,Raw!BE3,Raw!BC3,Raw!BB3,Raw!BA3,Raw!AV3)/SUM(Raw!AV3:BK3), "No Contingency Table"), "Not Included")</f>
        <v>Not Included</v>
      </c>
      <c r="BV3" s="11" t="str">
        <f>IF(BQ3, IF(COUNTIF(Raw!AV3:BK3, "&gt;=0") = 16,SUM(SUM(Raw!AV3,Raw!AW3,Raw!AX3,Raw!AY3)*SUM(Raw!AV3,Raw!AZ3,Raw!BD3,Raw!BH3),SUM(Raw!AZ3:BK3)*SUM(Raw!AW3,Raw!AX3,Raw!AY3,Raw!BA3,Raw!BB3,Raw!BC3,Raw!BE3,Raw!BF3,Raw!BG3,Raw!BI3,Raw!BJ3,Raw!BK3))/BS3^2,"No Contingency Table"), "Not Included")</f>
        <v>Not Included</v>
      </c>
      <c r="BW3" s="11" t="str">
        <f>IF(BQ3, IF(COUNTIF(Raw!AV3:BK3, "&gt;=0") = 16,(BU3-BV3) / (1 - BV3),"No Contingency Table"), "Not Included")</f>
        <v>Not Included</v>
      </c>
      <c r="BX3" s="11" t="b">
        <f t="shared" ref="BX3:BZ3" si="25">BQ3</f>
        <v>0</v>
      </c>
      <c r="BY3" s="11" t="str">
        <f t="shared" si="25"/>
        <v>Not Included</v>
      </c>
      <c r="BZ3" s="11" t="str">
        <f t="shared" si="25"/>
        <v>Not Included</v>
      </c>
      <c r="CA3" s="11" t="str">
        <f>IF(BX3, IF(COUNTIF(Raw!AV3:BK3, "&gt;=0") = 16, IFERROR((BZ3*Raw!BF3 - SUM(Raw!BD3, Raw!BE3, Raw!BF3, Raw!BG3)*SUM(Raw!BF3, Raw!AX3, Raw!BB3, Raw!BJ3)) / SQRT((BZ3*SUM(Raw!BD3, Raw!BE3, Raw!BF3, Raw!BG3) - SUM(Raw!BD3, Raw!BE3, Raw!BF3, Raw!BG3)^2) * (BZ3*SUM(Raw!BF3, Raw!AX3, Raw!BB3, Raw!BJ3) - SUM(Raw!BF3, Raw!AX3, Raw!BB3, Raw!BJ3)^2)), 0), "No Contingency Table"), "Not Included")</f>
        <v>Not Included</v>
      </c>
      <c r="CB3" s="11" t="str">
        <f>IF(BX3, IF(COUNTIF(Raw!AV3:BK3, "&gt;=0") = 16, SUM(Raw!AV3,Raw!AW3,Raw!AY3,Raw!AZ3,Raw!BA3,Raw!BC3,Raw!BF3,Raw!BH3,Raw!BI3,Raw!BK3) / SUM(Raw!AV3:BK3), "No Contingency Table"), "Not Included")</f>
        <v>Not Included</v>
      </c>
      <c r="CC3" s="11" t="str">
        <f>IF(BX3, IF(COUNTIF(Raw!AV3:BK3, "&gt;=0") = 16,SUM(SUM(Raw!BD3,Raw!BE3,Raw!BF3,Raw!BG3)*SUM(Raw!BF3,Raw!AX3,Raw!BB3,Raw!BJ3),SUM(Raw!AV3:BC3,Raw!BH3:BK3)*SUM(Raw!AV3,Raw!AW3,Raw!AY3,Raw!AZ3,Raw!BA3,Raw!BC3,Raw!BD3,Raw!BE3,Raw!BG3,Raw!BH3,Raw!BI3,Raw!BK3))/BZ3^2,"No Contingency Table"), "Not Included")</f>
        <v>Not Included</v>
      </c>
      <c r="CD3" s="11" t="str">
        <f>IF(BX3, IF(COUNTIF(Raw!AV3:BK3, "&gt;=0") = 16,(CB3 - CC3) / (1 - CC3+0.000001),"No Contingency Table"), "Not Included")</f>
        <v>Not Included</v>
      </c>
      <c r="CE3" s="11" t="b">
        <f t="shared" ref="CE3:CG3" si="26">BQ3</f>
        <v>0</v>
      </c>
      <c r="CF3" s="11" t="str">
        <f t="shared" si="26"/>
        <v>Not Included</v>
      </c>
      <c r="CG3" s="11" t="str">
        <f t="shared" si="26"/>
        <v>Not Included</v>
      </c>
      <c r="CH3" s="11" t="str">
        <f>IF(CE3, IF(COUNTIF(Raw!AV3:BK3, "&gt;=0") = 16, IFERROR((CG3*Raw!BA3 - SUM(Raw!BA3, Raw!AZ3, Raw!BB3, Raw!BC3)*SUM(Raw!BA3, Raw!AW3, Raw!BE3, Raw!BI3)) / SQRT((CG3*SUM(Raw!BA3, Raw!AZ3, Raw!BB3, Raw!BC3) - SUM(Raw!BA3, Raw!AZ3, Raw!BB3, Raw!BC3)^2) * (CG3*SUM(Raw!BA3, Raw!AW3, Raw!BE3, Raw!BI3) - SUM(Raw!BA3, Raw!AW3, Raw!BE3, Raw!BI3)^2)), 0), "No Contingency Table"), "Not Included")</f>
        <v>Not Included</v>
      </c>
      <c r="CI3" s="11" t="str">
        <f>IF(CE3, IF(COUNTIF(Raw!AV3:BK3, "&gt;=0") = 16, SUM(Raw!AV3,Raw!AX3,Raw!AY3,Raw!BA3,Raw!BD3,Raw!BF3,Raw!BG3,Raw!BH3,Raw!BJ3,Raw!BK3) / SUM(Raw!AV3:BK3), "No Contingency Table"), "Not Included")</f>
        <v>Not Included</v>
      </c>
      <c r="CJ3" s="61" t="str">
        <f>IF(BX3, IF(COUNTIF(Raw!AV3:BK3, "&gt;=0") = 16,SUM(SUM(Raw!AZ3,Raw!BA3,Raw!BB3,Raw!BC3)*SUM(Raw!BA3,Raw!AW3,Raw!BE3,Raw!BI3),SUM(Raw!AV3:AY3,Raw!BD3:BK3)*SUM(Raw!AV3,Raw!AX3,Raw!AY3,Raw!AZ3,Raw!BB3,Raw!BC3,Raw!BD3,Raw!BF3,Raw!BG3,Raw!BH3,Raw!BJ3,Raw!BK3))/CG3^2,"No Contingency Table"), "Not Included")</f>
        <v>Not Included</v>
      </c>
      <c r="CK3" s="11" t="str">
        <f>IF(BX3, IF(COUNTIF(Raw!AV3:BK3, "&gt;=0") = 16,(CI3 - CJ3) / (1 - CJ3),"No Contingency Table"), "Not Included")</f>
        <v>Not Included</v>
      </c>
      <c r="CL3" s="11" t="str">
        <f>IF(BQ3, IFERROR(Raw!AV3/SUM(Raw!AV3:AY3), 0), "Not Included")</f>
        <v>Not Included</v>
      </c>
      <c r="CM3" s="11" t="str">
        <f>IF(BQ3, IFERROR(Raw!BA3/SUM(Raw!AZ3:BC3), 0), "Not Included")</f>
        <v>Not Included</v>
      </c>
      <c r="CN3" s="11" t="str">
        <f>IF(BQ3, IFERROR(Raw!BF3/SUM(Raw!BD3:BG3), 0), "Not Included")</f>
        <v>Not Included</v>
      </c>
      <c r="CO3" s="11" t="str">
        <f>IF(BQ3, IFERROR(Raw!BK3/SUM(Raw!BH3:BK3), 0), "Not Included")</f>
        <v>Not Included</v>
      </c>
      <c r="CP3" s="11" t="str">
        <f>IF(BQ3, IFERROR(SUM(Raw!AV3,Raw!AX3,Raw!AY3,Raw!BD3,Raw!BF3,Raw!BG3,Raw!BH3,Raw!BJ3,Raw!BK3)/SUM(Raw!AV3,Raw!AW3,Raw!AX3,Raw!AY3,Raw!BD3,Raw!BE3,Raw!BF3,Raw!BG3,Raw!BH3,Raw!BI3,Raw!BJ3,Raw!BK3), 0), "Not Included")</f>
        <v>Not Included</v>
      </c>
      <c r="CQ3" s="11" t="str">
        <f>IF(BQ3, IFERROR(SUM(Raw!AV3:AX3,Raw!AZ3:BB3,Raw!BD3:BF3)/SUM(Raw!AV3:BF3), 0), "Not Included")</f>
        <v>Not Included</v>
      </c>
      <c r="CR3" s="11" t="str">
        <f>IF(BQ3, IFERROR(SUM(Raw!AV3:AY3), 0), "Not Included")</f>
        <v>Not Included</v>
      </c>
      <c r="CS3" s="11" t="str">
        <f>IF(BQ3, IFERROR(SUM(Raw!AZ3:BC3), 0), "Not Included")</f>
        <v>Not Included</v>
      </c>
      <c r="CT3" s="11" t="str">
        <f>IF(BQ3, IFERROR(SUM(Raw!BD3:BG3), 0), "Not Included")</f>
        <v>Not Included</v>
      </c>
      <c r="CU3" s="11" t="str">
        <f>IF(BQ3, IFERROR(SUM(Raw!BH3:BK3), 0), "Not Included")</f>
        <v>Not Included</v>
      </c>
      <c r="CV3" s="11" t="str">
        <f>IF(BQ3, IFERROR(SUM(Raw!AV3,Raw!AW3,Raw!AX3,Raw!AY3,Raw!BD3,Raw!BE3,Raw!BF3,Raw!BG3,Raw!BH3,Raw!BI3,Raw!BJ3,Raw!BK3), 0), "Not Included")</f>
        <v>Not Included</v>
      </c>
      <c r="CW3" s="11" t="str">
        <f>IF(BQ3, IFERROR(SUM(Raw!AV3:BF3), 0), "Not Included")</f>
        <v>Not Included</v>
      </c>
      <c r="CX3" s="11" t="str">
        <f>IF(BQ3, IFERROR((CR3*SUM(Raw!AV3,Raw!AZ3,Raw!BD3,Raw!BH3))/BS3/CR3, 0), "Not Included")</f>
        <v>Not Included</v>
      </c>
      <c r="CY3" s="11" t="str">
        <f>IF(BX3, IFERROR((CS3*SUM(Raw!BA3,Raw!AW3,Raw!BE3,Raw!BI3))/CG3/CS3, 0), "Not Included")</f>
        <v>Not Included</v>
      </c>
      <c r="CZ3" s="11" t="str">
        <f>IF(BX3, IFERROR((CT3*SUM(Raw!BF3,Raw!AX3,Raw!BB3,Raw!BJ3))/BZ3/CT3, 0), "Not Included")</f>
        <v>Not Included</v>
      </c>
      <c r="DA3" s="11" t="str">
        <f>IF(AY3, IFERROR((CU3*SUM(Raw!AY3,Raw!BC3,Raw!BG3,Raw!BK3))/AT3/CU3, 0), "Not Included")</f>
        <v>Not Included</v>
      </c>
      <c r="DB3" s="11" t="str">
        <f>IF(BX3, IFERROR((CV3*SUM(Raw!AV3,Raw!AX3,Raw!AY3,Raw!AZ3,Raw!BB3,Raw!BC3,Raw!BD3,Raw!BF3,Raw!BG3,Raw!BH3,Raw!BJ3,Raw!BK3))/CG3/CV3,0), "Not Included")</f>
        <v>Not Included</v>
      </c>
      <c r="DC3" s="11" t="str">
        <f>IF(AY3, IFERROR((CW3*SUM(Raw!AV3,Raw!AW3,Raw!AX3,Raw!AZ3,Raw!BA3,Raw!BB3,Raw!BD3,Raw!BE3,Raw!BF3,Raw!BH3,Raw!BI3,Raw!BJ3))/AT3/CW3,0), "Not Included")</f>
        <v>Not Included</v>
      </c>
    </row>
    <row r="4" spans="1:107" ht="12.75" customHeight="1">
      <c r="A4" s="11">
        <f>Raw!D4</f>
        <v>3</v>
      </c>
      <c r="B4" s="11" t="str">
        <f>Raw!A4</f>
        <v>Atkinson et al. (1999)</v>
      </c>
      <c r="C4" s="11">
        <f>Raw!G4</f>
        <v>1</v>
      </c>
      <c r="D4" s="11" t="str">
        <f>Raw!E4</f>
        <v>Single sample</v>
      </c>
      <c r="E4" s="11" t="str">
        <f>CONCATENATE(IF(Raw!I4&lt;='Interval Definitions'!$B$2, 'Interval Definitions'!$A$2, IF(Raw!I4&lt;='Interval Definitions'!$B$3, 'Interval Definitions'!$A$3, IF(Raw!I4&lt;='Interval Definitions'!$B$4, 'Interval Definitions'!$A$4, IF(Raw!I4&lt;='Interval Definitions'!$B$5, 'Interval Definitions'!$A$5, "None")))), " - ", IF(Raw!J4&lt;='Interval Definitions'!$B$2, 'Interval Definitions'!$A$2, IF(Raw!J4&lt;='Interval Definitions'!$B$3, 'Interval Definitions'!$A$3, IF(Raw!J4&lt;='Interval Definitions'!$B$4, 'Interval Definitions'!$A$4, IF(Raw!J4&lt;='Interval Definitions'!$B$5, 'Interval Definitions'!$A$5, "None")))))</f>
        <v>Toddlerhood - Preschool</v>
      </c>
      <c r="F4" s="11" t="b">
        <f>OR(NOT(ISBLANK(Raw!AF4)),NOT(ISBLANK(Raw!AG4)),NOT(ISBLANK(Raw!AH4)),NOT(ISBLANK(Raw!AI4)),COUNTIF(Raw!AA4:AD4, "&gt;=0") = 4)</f>
        <v>1</v>
      </c>
      <c r="G4" s="11" t="str">
        <f>IF(F4, IF(COUNTIF(Raw!AA4:AD4,"&gt;=0") = 4, "Contingency", IF(NOT(ISBLANK(Raw!AF4)), "Paper r", IF(NOT(ISBLANK(Raw!AG4)), "Pinquart", IF(NOT(ISBLANK(Raw!AH4)), "Fraley", "Paper chiSq")))), "Not Included")</f>
        <v>Pinquart</v>
      </c>
      <c r="H4" s="15">
        <f>IF(F4,Raw!AE4,"Not Included")</f>
        <v>53</v>
      </c>
      <c r="I4" s="15" t="str">
        <f>IF(COUNTIF(Raw!AA4:AD4,"&gt;=0") = 4, SUM(Raw!AA4:AD4), "No Contingency Table")</f>
        <v>No Contingency Table</v>
      </c>
      <c r="J4" s="15">
        <f t="shared" si="0"/>
        <v>53</v>
      </c>
      <c r="K4" s="38" t="str">
        <f>IF(F4, IF(COUNTIF(Raw!AA4:AD4,"&gt;=0") = 4, IFERROR((I4*Raw!AA4 - SUM(Raw!AA4,Raw!AB4)*SUM(Raw!AA4,Raw!AD4)) / SQRT((I4*SUM(Raw!AA4,Raw!AB4) - SUM(Raw!AA4,Raw!AB4)^2) * (I4*SUM(Raw!AA4,Raw!AD4) - SUM(Raw!AA4,Raw!AD4)^2)), 0), "No Contingency Table"), "Not Included")</f>
        <v>No Contingency Table</v>
      </c>
      <c r="L4" s="41">
        <f>IF(F4,IF(NOT(ISBLANK(Raw!AF4)), Raw!AF4, IF(NOT(ISBLANK(Raw!AG4)), Raw!AG4, IF(NOT(ISBLANK(Raw!AH4)), Raw!AH4, IF(NOT(ISBLANK(Raw!AI4)), SQRT(Raw!AI4/H4)*Raw!AJ4, "Not Reported")))),"Not Included")</f>
        <v>0.2</v>
      </c>
      <c r="M4" s="43">
        <f t="shared" si="1"/>
        <v>0.2</v>
      </c>
      <c r="N4" s="11" t="str">
        <f t="shared" si="2"/>
        <v>NA</v>
      </c>
      <c r="O4" s="48" t="b">
        <f>OR(NOT(ISBLANK(Raw!AK4)), COUNTIF(Raw!AA4:AD4, "&gt;=0") = 4)</f>
        <v>0</v>
      </c>
      <c r="P4" s="24" t="str">
        <f>IF(O4,IF(COUNTIF(Raw!AA4:AD4,"&gt;=0") = 4,"Contingency", "Paper k"), "Not Included")</f>
        <v>Not Included</v>
      </c>
      <c r="Q4" s="48" t="str">
        <f>IF(O4, IF(COUNTIF(Raw!AA4:AD4,"&gt;=0") = 4,SUM(Raw!AA4,Raw!AC4)/H4,"No Contingency Table"), "Not Included")</f>
        <v>Not Included</v>
      </c>
      <c r="R4" s="38" t="str">
        <f>IF(O4, IF(COUNTIF(Raw!AA4:AD4, "&gt;=0") = 4,SUM(SUM(Raw!AA4,Raw!AB4)*SUM(Raw!AA4,Raw!AD4),SUM(Raw!AC4,Raw!AD4)*SUM(Raw!AC4,Raw!AB4))/H4^2,"No Contingency Table"), "Not Included")</f>
        <v>Not Included</v>
      </c>
      <c r="S4" s="38" t="str">
        <f>IF(O4, IF(COUNTIF(Raw!AA4:AD4,"&gt;=0") = 4, IFERROR((Q4 - R4) / (1 - R4), "Could not calculate"), "No Contingency Table"), "Not Included")</f>
        <v>Not Included</v>
      </c>
      <c r="T4" s="52" t="str">
        <f>IF(O4,IF(NOT(ISBLANK(Raw!AK4)), Raw!AK4, "Not Reported"), "Not Included")</f>
        <v>Not Included</v>
      </c>
      <c r="U4" s="11" t="str">
        <f t="shared" si="3"/>
        <v>Not Included</v>
      </c>
      <c r="V4" s="11" t="str">
        <f t="shared" si="4"/>
        <v>Not Included</v>
      </c>
      <c r="W4" s="11" t="b">
        <f>OR(NOT(ISBLANK(Raw!AU4)),COUNTIF(Raw!AL4:AT4,"&gt;=0") = 9)</f>
        <v>0</v>
      </c>
      <c r="X4" s="11" t="str">
        <f>IF(W4, IF(COUNTIF(Raw!AL4:AT4,"&gt;=0") = 9, "Contingency", "Paper k"), "Not Included")</f>
        <v>Not Included</v>
      </c>
      <c r="Y4" s="11" t="str">
        <f>IF(W4,IF(COUNTIF(Raw!AL4:AT4,"&gt;=0") = 9,SUM(Raw!AL4:AT4),"No Contingency Table"),"Not Included")</f>
        <v>Not Included</v>
      </c>
      <c r="Z4" s="11" t="str">
        <f t="shared" si="5"/>
        <v>Not Included</v>
      </c>
      <c r="AA4" s="11" t="str">
        <f>IF(W4,IF(COUNTIF(Raw!AL4:AT4,"&gt;=0") = 9,SUM(Raw!AL4,Raw!AP4,Raw!AT4)/Y4,"No Contingency Table"), "Not Included")</f>
        <v>Not Included</v>
      </c>
      <c r="AB4" s="11" t="str">
        <f>IF(W4,IF(COUNTIF(Raw!AL4:AT4,"&gt;=0") = 9,SUM(SUM(Raw!AL4,Raw!AM4,Raw!AN4)*SUM(Raw!AL4,Raw!AO4,Raw!AR4),SUM(Raw!AO4,Raw!AP4,Raw!AQ4)*SUM(Raw!AM4,Raw!AP4,Raw!AS4),SUM(Raw!AR4,Raw!AS4,Raw!AT4)*SUM(Raw!AN4,Raw!AQ4,Raw!AT4))/Y4^2,"No Contingency Table"), "Not Included")</f>
        <v>Not Included</v>
      </c>
      <c r="AC4" s="11" t="str">
        <f>IF(W4,IF(COUNTIF(Raw!AL4:AT4,"&gt;=0") = 9,(AA4 - AB4) / (1 - AB4),"No Contingency Table"), "Not Included")</f>
        <v>Not Included</v>
      </c>
      <c r="AD4" s="11" t="str">
        <f>IF(W4, IF(NOT(ISBLANK(Raw!AU4)),Raw!AU4,"Not Reported"), "Not Included")</f>
        <v>Not Included</v>
      </c>
      <c r="AE4" s="11" t="str">
        <f t="shared" si="6"/>
        <v>Not Included</v>
      </c>
      <c r="AF4" s="11" t="str">
        <f t="shared" si="7"/>
        <v>Not Included</v>
      </c>
      <c r="AG4" s="11" t="b">
        <f>COUNTIF(Raw!AV4:BK4, "&gt;=0") = 16</f>
        <v>0</v>
      </c>
      <c r="AH4" s="11" t="str">
        <f>IF(AG4, IF(COUNTIF(Raw!AV4:BK4,"&gt;=0") = 16, "Contingency", "Paper k"), "Not Included")</f>
        <v>Not Included</v>
      </c>
      <c r="AI4" s="11" t="str">
        <f>IF(AG4,IF(COUNTIF(Raw!AV4:BK4,"&gt;=0") = 16,SUM(Raw!AV4:BK4),"No Contingency Table"),"Not Included")</f>
        <v>Not Included</v>
      </c>
      <c r="AJ4" s="15">
        <f t="shared" si="8"/>
        <v>53</v>
      </c>
      <c r="AK4" s="11" t="str">
        <f>IF(AG4,IF(COUNTIF(Raw!AV4:BK4,"&gt;=0") = 16,SUM(Raw!AV4,Raw!BA4,Raw!BF4,Raw!BK4)/AI4,"No Contingency Table"), "Not Included")</f>
        <v>Not Included</v>
      </c>
      <c r="AL4" s="11" t="str">
        <f>IF(AG4,IF(COUNTIF(Raw!AV4:BK4,"&gt;=0") = 16,SUM(SUM(Raw!AV4,Raw!AW4,Raw!AX4,Raw!AY4)*SUM(Raw!AV4,Raw!AZ4,Raw!BD4,Raw!BH4),SUM(Raw!AZ4,Raw!BA4,Raw!BB4,Raw!BC4)*SUM(Raw!AW4,Raw!BA4,Raw!BE4,Raw!BI4),SUM(Raw!BD4,Raw!BE4,Raw!BF4,Raw!BG4)*SUM(Raw!AX4,Raw!BB4,Raw!BF4,Raw!BJ4),SUM(Raw!BH4,Raw!BI4,Raw!BJ4,Raw!BK4)*SUM(Raw!AY4,Raw!BC4,Raw!BG4,Raw!BK4))/AI4^2,"No Contingency Table"), "Not Included")</f>
        <v>Not Included</v>
      </c>
      <c r="AM4" s="11" t="str">
        <f>IF(AG4,IF(COUNTIF(Raw!AV4:BK4,"&gt;=0") = 16,(AK4 - AL4) / (1 - AL4),"No Contingency Table"), "Not Included")</f>
        <v>Not Included</v>
      </c>
      <c r="AN4" s="11" t="str">
        <f>IF(NOT(ISBLANK(Raw!BL4)),Raw!BL4,"Not Reported")</f>
        <v>Not Reported</v>
      </c>
      <c r="AO4" s="11" t="str">
        <f t="shared" si="9"/>
        <v>Not Reported</v>
      </c>
      <c r="AP4" s="11" t="str">
        <f t="shared" si="10"/>
        <v>Not Included</v>
      </c>
      <c r="AQ4" s="11" t="b">
        <f t="shared" ref="AQ4:AR4" si="27">BQ4</f>
        <v>0</v>
      </c>
      <c r="AR4" s="11" t="str">
        <f t="shared" si="27"/>
        <v>Not Included</v>
      </c>
      <c r="AS4" s="11" t="str">
        <f t="shared" si="12"/>
        <v>Not Included</v>
      </c>
      <c r="AT4" s="11" t="str">
        <f t="shared" si="13"/>
        <v>Not Included</v>
      </c>
      <c r="AU4" s="11" t="str">
        <f>IF(AQ4, IF(COUNTIF(Raw!AV4:BK4, "&gt;=0") = 16, IFERROR((AT4*Raw!BK4 - SUM(Raw!BH4, Raw!BI4, Raw!BJ4, Raw!BK4)*SUM(Raw!AY4, Raw!BC4, Raw!BG4, Raw!BK4)) / SQRT((AT4*SUM(Raw!BH4, Raw!BI4, Raw!BJ4, Raw!BK4) - SUM(Raw!BH4, Raw!BI4, Raw!BJ4, Raw!BK4)^2) * (AT4*SUM(Raw!AY4, Raw!BC4, Raw!BG4, Raw!BK4) - SUM(Raw!AY4, Raw!BC4, Raw!BG4, Raw!BK4)^2)), 0), "No Contingency Table"), "Not Included")</f>
        <v>Not Included</v>
      </c>
      <c r="AV4" s="11" t="str">
        <f>IF(AQ4,IF(NOT(ISBLANK(Raw!BQ4)), Raw!BQ4, IF(NOT(ISBLANK(Raw!BR4)), Raw!BR4, "Not Reported")), "Not Included")</f>
        <v>Not Included</v>
      </c>
      <c r="AW4" s="57" t="str">
        <f t="shared" si="14"/>
        <v>Not Included</v>
      </c>
      <c r="AX4" s="11" t="str">
        <f t="shared" si="15"/>
        <v>Not Included</v>
      </c>
      <c r="AY4" s="11" t="b">
        <f t="shared" ref="AY4:AZ4" si="28">AQ4</f>
        <v>0</v>
      </c>
      <c r="AZ4" s="11" t="str">
        <f t="shared" si="28"/>
        <v>Not Included</v>
      </c>
      <c r="BA4" s="11" t="str">
        <f>IF(AY4, IF(COUNTIF(Raw!AV4:BK4, "&gt;=0") = 16, SUM(Raw!AV4,Raw!AW4,Raw!AX4,Raw!AZ4,Raw!BA4,Raw!BB4,Raw!BD4,Raw!BE4,Raw!BF4,Raw!BK4)/SUM(Raw!AV4:BK4), "No Contingency Table"), "Not Included")</f>
        <v>Not Included</v>
      </c>
      <c r="BB4" s="11" t="str">
        <f>IF(AY4, IF(COUNTIF(Raw!AV4:BK4, "&gt;=0") = 16,SUM(SUM(Raw!BH4,Raw!BI4,Raw!BJ4,Raw!BK4)*SUM(Raw!AY4,Raw!BC4,Raw!BG4,Raw!BK4),SUM(Raw!AV4:BG4)*SUM(Raw!AV4,Raw!AW4,Raw!AX4,Raw!AZ4,Raw!BA4,Raw!BB4,Raw!BD4,Raw!BE4,Raw!BF4,Raw!BH4,Raw!BI4,Raw!BJ4))/AT4^2,"No Contingency Table"), "Not Included")</f>
        <v>Not Included</v>
      </c>
      <c r="BC4" s="11" t="str">
        <f>IF(AY4, IF(COUNTIF(Raw!AV4:BK4, "&gt;=0") = 16,(BA4-BB4) / (1 - BB4),"No Contingency Table"), "Not Included")</f>
        <v>Not Included</v>
      </c>
      <c r="BD4" s="11" t="str">
        <f>IF(AY4,IF(NOT(ISBLANK(Raw!BT25)),Raw!BT25,"Not Reported"),"Not Included")</f>
        <v>Not Included</v>
      </c>
      <c r="BE4" s="11" t="str">
        <f t="shared" si="17"/>
        <v>Not Included</v>
      </c>
      <c r="BF4" s="11" t="str">
        <f t="shared" si="18"/>
        <v>Not Included</v>
      </c>
      <c r="BG4" s="11">
        <f>Raw!K4</f>
        <v>1999</v>
      </c>
      <c r="BH4" s="11" t="str">
        <f>IF(Raw!L4 = "USA","USA","Non-USA")</f>
        <v>Non-USA</v>
      </c>
      <c r="BI4" s="11" t="str">
        <f>Raw!M4</f>
        <v>Ainsworth/Ainsworth</v>
      </c>
      <c r="BJ4" s="11">
        <f>Raw!N4</f>
        <v>1</v>
      </c>
      <c r="BK4" s="11">
        <f>Raw!P4</f>
        <v>0</v>
      </c>
      <c r="BL4" s="11">
        <f>Raw!Q4</f>
        <v>1</v>
      </c>
      <c r="BM4" s="11">
        <f>Raw!T4</f>
        <v>1</v>
      </c>
      <c r="BN4" s="11">
        <f>IFERROR(IF(AND(ISBLANK(Raw!U4), ISBLANK(Raw!V4), ISBLANK(Raw!W4), ISBLANK(Raw!X4)), "NA", IF(OR(NOT(ISBLANK(Raw!U4)), NOT(ISBLANK(Raw!W4))), AVERAGE(Raw!U4,Raw!W4), AVERAGE(Raw!V4,Raw!X4) + IF(Raw!Y4 = "2-way", R4, IF(Raw!Y4 = "3-way", AB4, IF(Raw!Y4 = "4-way", AL4, "NA")))*(1 - AVERAGE(Raw!V4,Raw!X4)))), "NA")</f>
        <v>0.73</v>
      </c>
      <c r="BO4" s="11">
        <f>Raw!O4</f>
        <v>0</v>
      </c>
      <c r="BP4" s="11" t="str">
        <f>Raw!F4</f>
        <v>Female</v>
      </c>
      <c r="BQ4" s="11" t="b">
        <f>COUNTIF(Raw!AV4:BK4, "&gt;=0") = 16</f>
        <v>0</v>
      </c>
      <c r="BR4" s="11" t="str">
        <f t="shared" si="19"/>
        <v>Not Included</v>
      </c>
      <c r="BS4" s="11" t="str">
        <f t="shared" si="20"/>
        <v>Not Included</v>
      </c>
      <c r="BT4" s="11" t="str">
        <f>IF(BQ4, IF(COUNTIF(Raw!AV4:BK4, "&gt;=0") = 16, IFERROR((BS4*Raw!AV4 - SUM(Raw!AV4, Raw!AW4, Raw!AX4, Raw!AY4)*SUM(Raw!AV4, Raw!AZ4, Raw!BD4, Raw!BH4)) / SQRT((BS4*SUM(Raw!AV4, Raw!AW4, Raw!AX4, Raw!AY4) - SUM(Raw!AV4, Raw!AW4, Raw!AX4, Raw!AY4)^2) * (BS4*SUM(Raw!AV4, Raw!AZ4, Raw!BD4, Raw!BH4) - SUM(Raw!AV4, Raw!AZ4, Raw!BD4, Raw!BH4)^2)), 0), "No Contingency Table"), "Not Included")</f>
        <v>Not Included</v>
      </c>
      <c r="BU4" s="11" t="str">
        <f>IF(BQ4, IF(COUNTIF(Raw!AV4:BK4, "&gt;=0") = 16, SUM(Raw!BK4,Raw!BJ4,Raw!BI4,Raw!BG4,Raw!BF4,Raw!BE4,Raw!BC4,Raw!BB4,Raw!BA4,Raw!AV4)/SUM(Raw!AV4:BK4), "No Contingency Table"), "Not Included")</f>
        <v>Not Included</v>
      </c>
      <c r="BV4" s="11" t="str">
        <f>IF(BQ4, IF(COUNTIF(Raw!AV4:BK4, "&gt;=0") = 16,SUM(SUM(Raw!AV4,Raw!AW4,Raw!AX4,Raw!AY4)*SUM(Raw!AV4,Raw!AZ4,Raw!BD4,Raw!BH4),SUM(Raw!AZ4:BK4)*SUM(Raw!AW4,Raw!AX4,Raw!AY4,Raw!BA4,Raw!BB4,Raw!BC4,Raw!BE4,Raw!BF4,Raw!BG4,Raw!BI4,Raw!BJ4,Raw!BK4))/BS4^2,"No Contingency Table"), "Not Included")</f>
        <v>Not Included</v>
      </c>
      <c r="BW4" s="11" t="str">
        <f>IF(BQ4, IF(COUNTIF(Raw!AV4:BK4, "&gt;=0") = 16,(BU4-BV4) / (1 - BV4),"No Contingency Table"), "Not Included")</f>
        <v>Not Included</v>
      </c>
      <c r="BX4" s="11" t="b">
        <f t="shared" ref="BX4:BZ4" si="29">BQ4</f>
        <v>0</v>
      </c>
      <c r="BY4" s="11" t="str">
        <f t="shared" si="29"/>
        <v>Not Included</v>
      </c>
      <c r="BZ4" s="11" t="str">
        <f t="shared" si="29"/>
        <v>Not Included</v>
      </c>
      <c r="CA4" s="11" t="str">
        <f>IF(BX4, IF(COUNTIF(Raw!AV4:BK4, "&gt;=0") = 16, IFERROR((BZ4*Raw!BF4 - SUM(Raw!BD4, Raw!BE4, Raw!BF4, Raw!BG4)*SUM(Raw!BF4, Raw!AX4, Raw!BB4, Raw!BJ4)) / SQRT((BZ4*SUM(Raw!BD4, Raw!BE4, Raw!BF4, Raw!BG4) - SUM(Raw!BD4, Raw!BE4, Raw!BF4, Raw!BG4)^2) * (BZ4*SUM(Raw!BF4, Raw!AX4, Raw!BB4, Raw!BJ4) - SUM(Raw!BF4, Raw!AX4, Raw!BB4, Raw!BJ4)^2)), 0), "No Contingency Table"), "Not Included")</f>
        <v>Not Included</v>
      </c>
      <c r="CB4" s="11" t="str">
        <f>IF(BX4, IF(COUNTIF(Raw!AV4:BK4, "&gt;=0") = 16, SUM(Raw!AV4,Raw!AW4,Raw!AY4,Raw!AZ4,Raw!BA4,Raw!BC4,Raw!BF4,Raw!BH4,Raw!BI4,Raw!BK4) / SUM(Raw!AV4:BK4), "No Contingency Table"), "Not Included")</f>
        <v>Not Included</v>
      </c>
      <c r="CC4" s="11" t="str">
        <f>IF(BX4, IF(COUNTIF(Raw!AV4:BK4, "&gt;=0") = 16,SUM(SUM(Raw!BD4,Raw!BE4,Raw!BF4,Raw!BG4)*SUM(Raw!BF4,Raw!AX4,Raw!BB4,Raw!BJ4),SUM(Raw!AV4:BC4,Raw!BH4:BK4)*SUM(Raw!AV4,Raw!AW4,Raw!AY4,Raw!AZ4,Raw!BA4,Raw!BC4,Raw!BD4,Raw!BE4,Raw!BG4,Raw!BH4,Raw!BI4,Raw!BK4))/BZ4^2,"No Contingency Table"), "Not Included")</f>
        <v>Not Included</v>
      </c>
      <c r="CD4" s="11" t="str">
        <f>IF(BX4, IF(COUNTIF(Raw!AV4:BK4, "&gt;=0") = 16,(CB4 - CC4) / (1 - CC4+0.000001),"No Contingency Table"), "Not Included")</f>
        <v>Not Included</v>
      </c>
      <c r="CE4" s="11" t="b">
        <f t="shared" ref="CE4:CG4" si="30">BQ4</f>
        <v>0</v>
      </c>
      <c r="CF4" s="11" t="str">
        <f t="shared" si="30"/>
        <v>Not Included</v>
      </c>
      <c r="CG4" s="11" t="str">
        <f t="shared" si="30"/>
        <v>Not Included</v>
      </c>
      <c r="CH4" s="11" t="str">
        <f>IF(CE4, IF(COUNTIF(Raw!AV4:BK4, "&gt;=0") = 16, IFERROR((CG4*Raw!BA4 - SUM(Raw!BA4, Raw!AZ4, Raw!BB4, Raw!BC4)*SUM(Raw!BA4, Raw!AW4, Raw!BE4, Raw!BI4)) / SQRT((CG4*SUM(Raw!BA4, Raw!AZ4, Raw!BB4, Raw!BC4) - SUM(Raw!BA4, Raw!AZ4, Raw!BB4, Raw!BC4)^2) * (CG4*SUM(Raw!BA4, Raw!AW4, Raw!BE4, Raw!BI4) - SUM(Raw!BA4, Raw!AW4, Raw!BE4, Raw!BI4)^2)), 0), "No Contingency Table"), "Not Included")</f>
        <v>Not Included</v>
      </c>
      <c r="CI4" s="11" t="str">
        <f>IF(CE4, IF(COUNTIF(Raw!AV4:BK4, "&gt;=0") = 16, SUM(Raw!AV4,Raw!AX4,Raw!AY4,Raw!BA4,Raw!BD4,Raw!BF4,Raw!BG4,Raw!BH4,Raw!BJ4,Raw!BK4) / SUM(Raw!AV4:BK4), "No Contingency Table"), "Not Included")</f>
        <v>Not Included</v>
      </c>
      <c r="CJ4" s="61" t="str">
        <f>IF(BX4, IF(COUNTIF(Raw!AV4:BK4, "&gt;=0") = 16,SUM(SUM(Raw!AZ4,Raw!BA4,Raw!BB4,Raw!BC4)*SUM(Raw!BA4,Raw!AW4,Raw!BE4,Raw!BI4),SUM(Raw!AV4:AY4,Raw!BD4:BK4)*SUM(Raw!AV4,Raw!AX4,Raw!AY4,Raw!AZ4,Raw!BB4,Raw!BC4,Raw!BD4,Raw!BF4,Raw!BG4,Raw!BH4,Raw!BJ4,Raw!BK4))/CG4^2,"No Contingency Table"), "Not Included")</f>
        <v>Not Included</v>
      </c>
      <c r="CK4" s="11" t="str">
        <f>IF(BX4, IF(COUNTIF(Raw!AV4:BK4, "&gt;=0") = 16,(CI4 - CJ4) / (1 - CJ4),"No Contingency Table"), "Not Included")</f>
        <v>Not Included</v>
      </c>
      <c r="CL4" s="11" t="str">
        <f>IF(BQ4, IFERROR(Raw!AV4/SUM(Raw!AV4:AY4), 0), "Not Included")</f>
        <v>Not Included</v>
      </c>
      <c r="CM4" s="11" t="str">
        <f>IF(BQ4, IFERROR(Raw!BA4/SUM(Raw!AZ4:BC4), 0), "Not Included")</f>
        <v>Not Included</v>
      </c>
      <c r="CN4" s="11" t="str">
        <f>IF(BQ4, IFERROR(Raw!BF4/SUM(Raw!BD4:BG4), 0), "Not Included")</f>
        <v>Not Included</v>
      </c>
      <c r="CO4" s="11" t="str">
        <f>IF(BQ4, IFERROR(Raw!BK4/SUM(Raw!BH4:BK4), 0), "Not Included")</f>
        <v>Not Included</v>
      </c>
      <c r="CP4" s="11" t="str">
        <f>IF(BQ4, IFERROR(SUM(Raw!AV4,Raw!AX4,Raw!AY4,Raw!BD4,Raw!BF4,Raw!BG4,Raw!BH4,Raw!BJ4,Raw!BK4)/SUM(Raw!AV4,Raw!AW4,Raw!AX4,Raw!AY4,Raw!BD4,Raw!BE4,Raw!BF4,Raw!BG4,Raw!BH4,Raw!BI4,Raw!BJ4,Raw!BK4), 0), "Not Included")</f>
        <v>Not Included</v>
      </c>
      <c r="CQ4" s="11" t="str">
        <f>IF(BQ4, IFERROR(SUM(Raw!AV4:AX4,Raw!AZ4:BB4,Raw!BD4:BF4)/SUM(Raw!AV4:BF4), 0), "Not Included")</f>
        <v>Not Included</v>
      </c>
      <c r="CR4" s="11" t="str">
        <f>IF(BQ4, IFERROR(SUM(Raw!AV4:AY4), 0), "Not Included")</f>
        <v>Not Included</v>
      </c>
      <c r="CS4" s="11" t="str">
        <f>IF(BQ4, IFERROR(SUM(Raw!AZ4:BC4), 0), "Not Included")</f>
        <v>Not Included</v>
      </c>
      <c r="CT4" s="11" t="str">
        <f>IF(BQ4, IFERROR(SUM(Raw!BD4:BG4), 0), "Not Included")</f>
        <v>Not Included</v>
      </c>
      <c r="CU4" s="11" t="str">
        <f>IF(BQ4, IFERROR(SUM(Raw!BH4:BK4), 0), "Not Included")</f>
        <v>Not Included</v>
      </c>
      <c r="CV4" s="11" t="str">
        <f>IF(BQ4, IFERROR(SUM(Raw!AV4,Raw!AW4,Raw!AX4,Raw!AY4,Raw!BD4,Raw!BE4,Raw!BF4,Raw!BG4,Raw!BH4,Raw!BI4,Raw!BJ4,Raw!BK4), 0), "Not Included")</f>
        <v>Not Included</v>
      </c>
      <c r="CW4" s="11" t="str">
        <f>IF(BQ4, IFERROR(SUM(Raw!AV4:BF4), 0), "Not Included")</f>
        <v>Not Included</v>
      </c>
      <c r="CX4" s="11" t="str">
        <f>IF(BQ4, IFERROR((CR4*SUM(Raw!AV4,Raw!AZ4,Raw!BD4,Raw!BH4))/BS4/CR4, 0), "Not Included")</f>
        <v>Not Included</v>
      </c>
      <c r="CY4" s="11" t="str">
        <f>IF(BX4, IFERROR((CS4*SUM(Raw!BA4,Raw!AW4,Raw!BE4,Raw!BI4))/CG4/CS4, 0), "Not Included")</f>
        <v>Not Included</v>
      </c>
      <c r="CZ4" s="11" t="str">
        <f>IF(BX4, IFERROR((CT4*SUM(Raw!BF4,Raw!AX4,Raw!BB4,Raw!BJ4))/BZ4/CT4, 0), "Not Included")</f>
        <v>Not Included</v>
      </c>
      <c r="DA4" s="11" t="str">
        <f>IF(AY4, IFERROR((CU4*SUM(Raw!AY4,Raw!BC4,Raw!BG4,Raw!BK4))/AT4/CU4, 0), "Not Included")</f>
        <v>Not Included</v>
      </c>
      <c r="DB4" s="11" t="str">
        <f>IF(BX4, IFERROR((CV4*SUM(Raw!AV4,Raw!AX4,Raw!AY4,Raw!AZ4,Raw!BB4,Raw!BC4,Raw!BD4,Raw!BF4,Raw!BG4,Raw!BH4,Raw!BJ4,Raw!BK4))/CG4/CV4,0), "Not Included")</f>
        <v>Not Included</v>
      </c>
      <c r="DC4" s="11" t="str">
        <f>IF(AY4, IFERROR((CW4*SUM(Raw!AV4,Raw!AW4,Raw!AX4,Raw!AZ4,Raw!BA4,Raw!BB4,Raw!BD4,Raw!BE4,Raw!BF4,Raw!BH4,Raw!BI4,Raw!BJ4))/AT4/CW4,0), "Not Included")</f>
        <v>Not Included</v>
      </c>
    </row>
    <row r="5" spans="1:107" ht="12.75" customHeight="1">
      <c r="A5" s="11">
        <f>Raw!D5</f>
        <v>4</v>
      </c>
      <c r="B5" s="11" t="str">
        <f>Raw!A5</f>
        <v xml:space="preserve">Bar-Haim et al. (2000) </v>
      </c>
      <c r="C5" s="11">
        <f>Raw!G5</f>
        <v>1</v>
      </c>
      <c r="D5" s="11" t="str">
        <f>Raw!E5</f>
        <v>10 month interval</v>
      </c>
      <c r="E5" s="11" t="str">
        <f>CONCATENATE(IF(Raw!I5&lt;='Interval Definitions'!$B$2, 'Interval Definitions'!$A$2, IF(Raw!I5&lt;='Interval Definitions'!$B$3, 'Interval Definitions'!$A$3, IF(Raw!I5&lt;='Interval Definitions'!$B$4, 'Interval Definitions'!$A$4, IF(Raw!I5&lt;='Interval Definitions'!$B$5, 'Interval Definitions'!$A$5, "None")))), " - ", IF(Raw!J5&lt;='Interval Definitions'!$B$2, 'Interval Definitions'!$A$2, IF(Raw!J5&lt;='Interval Definitions'!$B$3, 'Interval Definitions'!$A$3, IF(Raw!J5&lt;='Interval Definitions'!$B$4, 'Interval Definitions'!$A$4, IF(Raw!J5&lt;='Interval Definitions'!$B$5, 'Interval Definitions'!$A$5, "None")))))</f>
        <v>Infancy - Toddlerhood</v>
      </c>
      <c r="F5" s="11" t="b">
        <f>OR(NOT(ISBLANK(Raw!AF5)),NOT(ISBLANK(Raw!AG5)),NOT(ISBLANK(Raw!AH5)),NOT(ISBLANK(Raw!AI5)),COUNTIF(Raw!AA5:AD5, "&gt;=0") = 4)</f>
        <v>1</v>
      </c>
      <c r="G5" s="11" t="str">
        <f>IF(F5, IF(COUNTIF(Raw!AA5:AD5,"&gt;=0") = 4, "Contingency", IF(NOT(ISBLANK(Raw!AF5)), "Paper r", IF(NOT(ISBLANK(Raw!AG5)), "Pinquart", IF(NOT(ISBLANK(Raw!AH5)), "Fraley", "Paper chiSq")))), "Not Included")</f>
        <v>Contingency</v>
      </c>
      <c r="H5" s="15">
        <f>IF(F5,Raw!AE5,"Not Included")</f>
        <v>42</v>
      </c>
      <c r="I5" s="15">
        <f>IF(COUNTIF(Raw!AA5:AD5,"&gt;=0") = 4, SUM(Raw!AA5:AD5), "No Contingency Table")</f>
        <v>42</v>
      </c>
      <c r="J5" s="15">
        <f t="shared" si="0"/>
        <v>42</v>
      </c>
      <c r="K5" s="38">
        <f>IF(F5, IF(COUNTIF(Raw!AA5:AD5,"&gt;=0") = 4, IFERROR((I5*Raw!AA5 - SUM(Raw!AA5,Raw!AB5)*SUM(Raw!AA5,Raw!AD5)) / SQRT((I5*SUM(Raw!AA5,Raw!AB5) - SUM(Raw!AA5,Raw!AB5)^2) * (I5*SUM(Raw!AA5,Raw!AD5) - SUM(Raw!AA5,Raw!AD5)^2)), 0), "No Contingency Table"), "Not Included")</f>
        <v>0.37210420376762537</v>
      </c>
      <c r="L5" s="41">
        <f>IF(F5,IF(NOT(ISBLANK(Raw!AF5)), Raw!AF5, IF(NOT(ISBLANK(Raw!AG5)), Raw!AG5, IF(NOT(ISBLANK(Raw!AH5)), Raw!AH5, IF(NOT(ISBLANK(Raw!AI5)), SQRT(Raw!AI5/H5)*Raw!AJ5, "Not Reported")))),"Not Included")</f>
        <v>0.37</v>
      </c>
      <c r="M5" s="43">
        <f t="shared" si="1"/>
        <v>0.37210420376762537</v>
      </c>
      <c r="N5" s="11">
        <f t="shared" si="2"/>
        <v>1</v>
      </c>
      <c r="O5" s="48" t="b">
        <f>OR(NOT(ISBLANK(Raw!AK5)), COUNTIF(Raw!AA5:AD5, "&gt;=0") = 4)</f>
        <v>1</v>
      </c>
      <c r="P5" s="24" t="str">
        <f>IF(O5,IF(COUNTIF(Raw!AA5:AD5,"&gt;=0") = 4,"Contingency", "Paper k"), "Not Included")</f>
        <v>Contingency</v>
      </c>
      <c r="Q5" s="48">
        <f>IF(O5, IF(COUNTIF(Raw!AA5:AD5,"&gt;=0") = 4,SUM(Raw!AA5,Raw!AC5)/H5,"No Contingency Table"), "Not Included")</f>
        <v>0.7142857142857143</v>
      </c>
      <c r="R5" s="38">
        <f>IF(O5, IF(COUNTIF(Raw!AA5:AD5, "&gt;=0") = 4,SUM(SUM(Raw!AA5,Raw!AB5)*SUM(Raw!AA5,Raw!AD5),SUM(Raw!AC5,Raw!AD5)*SUM(Raw!AC5,Raw!AB5))/H5^2,"No Contingency Table"), "Not Included")</f>
        <v>0.55102040816326525</v>
      </c>
      <c r="S5" s="38">
        <f>IF(O5, IF(COUNTIF(Raw!AA5:AD5,"&gt;=0") = 4, IFERROR((Q5 - R5) / (1 - R5), "Could not calculate"), "No Contingency Table"), "Not Included")</f>
        <v>0.36363636363636376</v>
      </c>
      <c r="T5" s="52" t="str">
        <f>IF(O5,IF(NOT(ISBLANK(Raw!AK5)), Raw!AK5, "Not Reported"), "Not Included")</f>
        <v>Not Reported</v>
      </c>
      <c r="U5" s="38">
        <f t="shared" si="3"/>
        <v>0.36363636363636376</v>
      </c>
      <c r="V5" s="11" t="str">
        <f t="shared" si="4"/>
        <v>NA</v>
      </c>
      <c r="W5" s="11" t="b">
        <f>OR(NOT(ISBLANK(Raw!AU5)),COUNTIF(Raw!AL5:AT5,"&gt;=0") = 9)</f>
        <v>1</v>
      </c>
      <c r="X5" s="11" t="str">
        <f>IF(W5, IF(COUNTIF(Raw!AL5:AT5,"&gt;=0") = 9, "Contingency", "Paper k"), "Not Included")</f>
        <v>Contingency</v>
      </c>
      <c r="Y5" s="15">
        <f>IF(W5,IF(COUNTIF(Raw!AL5:AT5,"&gt;=0") = 9,SUM(Raw!AL5:AT5),"No Contingency Table"),"Not Included")</f>
        <v>42</v>
      </c>
      <c r="Z5" s="15">
        <f t="shared" si="5"/>
        <v>42</v>
      </c>
      <c r="AA5" s="11">
        <f>IF(W5,IF(COUNTIF(Raw!AL5:AT5,"&gt;=0") = 9,SUM(Raw!AL5,Raw!AP5,Raw!AT5)/Y5,"No Contingency Table"), "Not Included")</f>
        <v>0.6428571428571429</v>
      </c>
      <c r="AB5" s="11">
        <f>IF(W5,IF(COUNTIF(Raw!AL5:AT5,"&gt;=0") = 9,SUM(SUM(Raw!AL5,Raw!AM5,Raw!AN5)*SUM(Raw!AL5,Raw!AO5,Raw!AR5),SUM(Raw!AO5,Raw!AP5,Raw!AQ5)*SUM(Raw!AM5,Raw!AP5,Raw!AS5),SUM(Raw!AR5,Raw!AS5,Raw!AT5)*SUM(Raw!AN5,Raw!AQ5,Raw!AT5))/Y5^2,"No Contingency Table"), "Not Included")</f>
        <v>0.49886621315192742</v>
      </c>
      <c r="AC5" s="11">
        <f>IF(W5,IF(COUNTIF(Raw!AL5:AT5,"&gt;=0") = 9,(AA5 - AB5) / (1 - AB5),"No Contingency Table"), "Not Included")</f>
        <v>0.28733031674208159</v>
      </c>
      <c r="AD5" s="11" t="str">
        <f>IF(W5, IF(NOT(ISBLANK(Raw!AU5)),Raw!AU5,"Not Reported"), "Not Included")</f>
        <v>Not Reported</v>
      </c>
      <c r="AE5" s="11">
        <f t="shared" si="6"/>
        <v>0.28733031674208159</v>
      </c>
      <c r="AF5" s="11" t="str">
        <f t="shared" si="7"/>
        <v>NA</v>
      </c>
      <c r="AG5" s="11" t="b">
        <f>COUNTIF(Raw!AV5:BK5, "&gt;=0") = 16</f>
        <v>0</v>
      </c>
      <c r="AH5" s="11" t="str">
        <f>IF(AG5, IF(COUNTIF(Raw!AV5:BK5,"&gt;=0") = 16, "Contingency", "Paper k"), "Not Included")</f>
        <v>Not Included</v>
      </c>
      <c r="AI5" s="11" t="str">
        <f>IF(AG5,IF(COUNTIF(Raw!AV5:BK5,"&gt;=0") = 16,SUM(Raw!AV5:BK5),"No Contingency Table"),"Not Included")</f>
        <v>Not Included</v>
      </c>
      <c r="AJ5" s="15">
        <f t="shared" si="8"/>
        <v>42</v>
      </c>
      <c r="AK5" s="11" t="str">
        <f>IF(AG5,IF(COUNTIF(Raw!AV5:BK5,"&gt;=0") = 16,SUM(Raw!AV5,Raw!BA5,Raw!BF5,Raw!BK5)/AI5,"No Contingency Table"), "Not Included")</f>
        <v>Not Included</v>
      </c>
      <c r="AL5" s="11" t="str">
        <f>IF(AG5,IF(COUNTIF(Raw!AV5:BK5,"&gt;=0") = 16,SUM(SUM(Raw!AV5,Raw!AW5,Raw!AX5,Raw!AY5)*SUM(Raw!AV5,Raw!AZ5,Raw!BD5,Raw!BH5),SUM(Raw!AZ5,Raw!BA5,Raw!BB5,Raw!BC5)*SUM(Raw!AW5,Raw!BA5,Raw!BE5,Raw!BI5),SUM(Raw!BD5,Raw!BE5,Raw!BF5,Raw!BG5)*SUM(Raw!AX5,Raw!BB5,Raw!BF5,Raw!BJ5),SUM(Raw!BH5,Raw!BI5,Raw!BJ5,Raw!BK5)*SUM(Raw!AY5,Raw!BC5,Raw!BG5,Raw!BK5))/AI5^2,"No Contingency Table"), "Not Included")</f>
        <v>Not Included</v>
      </c>
      <c r="AM5" s="11" t="str">
        <f>IF(AG5,IF(COUNTIF(Raw!AV5:BK5,"&gt;=0") = 16,(AK5 - AL5) / (1 - AL5),"No Contingency Table"), "Not Included")</f>
        <v>Not Included</v>
      </c>
      <c r="AN5" s="11" t="str">
        <f>IF(NOT(ISBLANK(Raw!BL5)),Raw!BL5,"Not Reported")</f>
        <v>Not Reported</v>
      </c>
      <c r="AO5" s="11" t="str">
        <f t="shared" si="9"/>
        <v>Not Reported</v>
      </c>
      <c r="AP5" s="11" t="str">
        <f t="shared" si="10"/>
        <v>Not Included</v>
      </c>
      <c r="AQ5" s="11" t="b">
        <f t="shared" ref="AQ5:AR5" si="31">BQ5</f>
        <v>0</v>
      </c>
      <c r="AR5" s="11" t="str">
        <f t="shared" si="31"/>
        <v>Not Included</v>
      </c>
      <c r="AS5" s="11" t="str">
        <f t="shared" si="12"/>
        <v>Not Included</v>
      </c>
      <c r="AT5" s="11" t="str">
        <f t="shared" si="13"/>
        <v>Not Included</v>
      </c>
      <c r="AU5" s="11" t="str">
        <f>IF(AQ5, IF(COUNTIF(Raw!AV5:BK5, "&gt;=0") = 16, IFERROR((AT5*Raw!BK5 - SUM(Raw!BH5, Raw!BI5, Raw!BJ5, Raw!BK5)*SUM(Raw!AY5, Raw!BC5, Raw!BG5, Raw!BK5)) / SQRT((AT5*SUM(Raw!BH5, Raw!BI5, Raw!BJ5, Raw!BK5) - SUM(Raw!BH5, Raw!BI5, Raw!BJ5, Raw!BK5)^2) * (AT5*SUM(Raw!AY5, Raw!BC5, Raw!BG5, Raw!BK5) - SUM(Raw!AY5, Raw!BC5, Raw!BG5, Raw!BK5)^2)), 0), "No Contingency Table"), "Not Included")</f>
        <v>Not Included</v>
      </c>
      <c r="AV5" s="11" t="str">
        <f>IF(AQ5,IF(NOT(ISBLANK(Raw!BQ5)), Raw!BQ5, IF(NOT(ISBLANK(Raw!BR5)), Raw!BR5, "Not Reported")), "Not Included")</f>
        <v>Not Included</v>
      </c>
      <c r="AW5" s="57" t="str">
        <f t="shared" si="14"/>
        <v>Not Included</v>
      </c>
      <c r="AX5" s="11" t="str">
        <f t="shared" si="15"/>
        <v>Not Included</v>
      </c>
      <c r="AY5" s="11" t="b">
        <f t="shared" ref="AY5:AZ5" si="32">AQ5</f>
        <v>0</v>
      </c>
      <c r="AZ5" s="11" t="str">
        <f t="shared" si="32"/>
        <v>Not Included</v>
      </c>
      <c r="BA5" s="11" t="str">
        <f>IF(AY5, IF(COUNTIF(Raw!AV5:BK5, "&gt;=0") = 16, SUM(Raw!AV5,Raw!AW5,Raw!AX5,Raw!AZ5,Raw!BA5,Raw!BB5,Raw!BD5,Raw!BE5,Raw!BF5,Raw!BK5)/SUM(Raw!AV5:BK5), "No Contingency Table"), "Not Included")</f>
        <v>Not Included</v>
      </c>
      <c r="BB5" s="11" t="str">
        <f>IF(AY5, IF(COUNTIF(Raw!AV5:BK5, "&gt;=0") = 16,SUM(SUM(Raw!BH5,Raw!BI5,Raw!BJ5,Raw!BK5)*SUM(Raw!AY5,Raw!BC5,Raw!BG5,Raw!BK5),SUM(Raw!AV5:BG5)*SUM(Raw!AV5,Raw!AW5,Raw!AX5,Raw!AZ5,Raw!BA5,Raw!BB5,Raw!BD5,Raw!BE5,Raw!BF5,Raw!BH5,Raw!BI5,Raw!BJ5))/AT5^2,"No Contingency Table"), "Not Included")</f>
        <v>Not Included</v>
      </c>
      <c r="BC5" s="11" t="str">
        <f>IF(AY5, IF(COUNTIF(Raw!AV5:BK5, "&gt;=0") = 16,(BA5-BB5) / (1 - BB5),"No Contingency Table"), "Not Included")</f>
        <v>Not Included</v>
      </c>
      <c r="BD5" s="11" t="str">
        <f>IF(AY5,IF(NOT(ISBLANK(Raw!BT26)),Raw!BT26,"Not Reported"),"Not Included")</f>
        <v>Not Included</v>
      </c>
      <c r="BE5" s="11" t="str">
        <f t="shared" si="17"/>
        <v>Not Included</v>
      </c>
      <c r="BF5" s="11" t="str">
        <f t="shared" si="18"/>
        <v>Not Included</v>
      </c>
      <c r="BG5" s="11">
        <f>Raw!K5</f>
        <v>2000</v>
      </c>
      <c r="BH5" s="11" t="str">
        <f>IF(Raw!L5 = "USA","USA","Non-USA")</f>
        <v>USA</v>
      </c>
      <c r="BI5" s="11" t="str">
        <f>Raw!M5</f>
        <v>Ainsworth/Ainsworth</v>
      </c>
      <c r="BJ5" s="11">
        <f>Raw!N5</f>
        <v>1</v>
      </c>
      <c r="BK5" s="11">
        <f>Raw!P5</f>
        <v>0</v>
      </c>
      <c r="BL5" s="11">
        <f>Raw!Q5</f>
        <v>0</v>
      </c>
      <c r="BM5" s="11">
        <f>Raw!T5</f>
        <v>1</v>
      </c>
      <c r="BN5" s="11">
        <f>IFERROR(IF(AND(ISBLANK(Raw!U5), ISBLANK(Raw!V5), ISBLANK(Raw!W5), ISBLANK(Raw!X5)), "NA", IF(OR(NOT(ISBLANK(Raw!U5)), NOT(ISBLANK(Raw!W5))), AVERAGE(Raw!U5,Raw!W5), AVERAGE(Raw!V5,Raw!X5) + IF(Raw!Y5 = "2-way", R5, IF(Raw!Y5 = "3-way", AB5, IF(Raw!Y5 = "4-way", AL5, "NA")))*(1 - AVERAGE(Raw!V5,Raw!X5)))), "NA")</f>
        <v>0.82</v>
      </c>
      <c r="BO5" s="11">
        <f>Raw!O5</f>
        <v>0</v>
      </c>
      <c r="BP5" s="11" t="str">
        <f>Raw!F5</f>
        <v>Female</v>
      </c>
      <c r="BQ5" s="11" t="b">
        <f>COUNTIF(Raw!AV5:BK5, "&gt;=0") = 16</f>
        <v>0</v>
      </c>
      <c r="BR5" s="11" t="str">
        <f t="shared" si="19"/>
        <v>Not Included</v>
      </c>
      <c r="BS5" s="11" t="str">
        <f t="shared" si="20"/>
        <v>Not Included</v>
      </c>
      <c r="BT5" s="11" t="str">
        <f>IF(BQ5, IF(COUNTIF(Raw!AV5:BK5, "&gt;=0") = 16, IFERROR((BS5*Raw!AV5 - SUM(Raw!AV5, Raw!AW5, Raw!AX5, Raw!AY5)*SUM(Raw!AV5, Raw!AZ5, Raw!BD5, Raw!BH5)) / SQRT((BS5*SUM(Raw!AV5, Raw!AW5, Raw!AX5, Raw!AY5) - SUM(Raw!AV5, Raw!AW5, Raw!AX5, Raw!AY5)^2) * (BS5*SUM(Raw!AV5, Raw!AZ5, Raw!BD5, Raw!BH5) - SUM(Raw!AV5, Raw!AZ5, Raw!BD5, Raw!BH5)^2)), 0), "No Contingency Table"), "Not Included")</f>
        <v>Not Included</v>
      </c>
      <c r="BU5" s="11" t="str">
        <f>IF(BQ5, IF(COUNTIF(Raw!AV5:BK5, "&gt;=0") = 16, SUM(Raw!BK5,Raw!BJ5,Raw!BI5,Raw!BG5,Raw!BF5,Raw!BE5,Raw!BC5,Raw!BB5,Raw!BA5,Raw!AV5)/SUM(Raw!AV5:BK5), "No Contingency Table"), "Not Included")</f>
        <v>Not Included</v>
      </c>
      <c r="BV5" s="11" t="str">
        <f>IF(BQ5, IF(COUNTIF(Raw!AV5:BK5, "&gt;=0") = 16,SUM(SUM(Raw!AV5,Raw!AW5,Raw!AX5,Raw!AY5)*SUM(Raw!AV5,Raw!AZ5,Raw!BD5,Raw!BH5),SUM(Raw!AZ5:BK5)*SUM(Raw!AW5,Raw!AX5,Raw!AY5,Raw!BA5,Raw!BB5,Raw!BC5,Raw!BE5,Raw!BF5,Raw!BG5,Raw!BI5,Raw!BJ5,Raw!BK5))/BS5^2,"No Contingency Table"), "Not Included")</f>
        <v>Not Included</v>
      </c>
      <c r="BW5" s="11" t="str">
        <f>IF(BQ5, IF(COUNTIF(Raw!AV5:BK5, "&gt;=0") = 16,(BU5-BV5) / (1 - BV5),"No Contingency Table"), "Not Included")</f>
        <v>Not Included</v>
      </c>
      <c r="BX5" s="11" t="b">
        <f t="shared" ref="BX5:BZ5" si="33">BQ5</f>
        <v>0</v>
      </c>
      <c r="BY5" s="11" t="str">
        <f t="shared" si="33"/>
        <v>Not Included</v>
      </c>
      <c r="BZ5" s="11" t="str">
        <f t="shared" si="33"/>
        <v>Not Included</v>
      </c>
      <c r="CA5" s="11" t="str">
        <f>IF(BX5, IF(COUNTIF(Raw!AV5:BK5, "&gt;=0") = 16, IFERROR((BZ5*Raw!BF5 - SUM(Raw!BD5, Raw!BE5, Raw!BF5, Raw!BG5)*SUM(Raw!BF5, Raw!AX5, Raw!BB5, Raw!BJ5)) / SQRT((BZ5*SUM(Raw!BD5, Raw!BE5, Raw!BF5, Raw!BG5) - SUM(Raw!BD5, Raw!BE5, Raw!BF5, Raw!BG5)^2) * (BZ5*SUM(Raw!BF5, Raw!AX5, Raw!BB5, Raw!BJ5) - SUM(Raw!BF5, Raw!AX5, Raw!BB5, Raw!BJ5)^2)), 0), "No Contingency Table"), "Not Included")</f>
        <v>Not Included</v>
      </c>
      <c r="CB5" s="11" t="str">
        <f>IF(BX5, IF(COUNTIF(Raw!AV5:BK5, "&gt;=0") = 16, SUM(Raw!AV5,Raw!AW5,Raw!AY5,Raw!AZ5,Raw!BA5,Raw!BC5,Raw!BF5,Raw!BH5,Raw!BI5,Raw!BK5) / SUM(Raw!AV5:BK5), "No Contingency Table"), "Not Included")</f>
        <v>Not Included</v>
      </c>
      <c r="CC5" s="11" t="str">
        <f>IF(BX5, IF(COUNTIF(Raw!AV5:BK5, "&gt;=0") = 16,SUM(SUM(Raw!BD5,Raw!BE5,Raw!BF5,Raw!BG5)*SUM(Raw!BF5,Raw!AX5,Raw!BB5,Raw!BJ5),SUM(Raw!AV5:BC5,Raw!BH5:BK5)*SUM(Raw!AV5,Raw!AW5,Raw!AY5,Raw!AZ5,Raw!BA5,Raw!BC5,Raw!BD5,Raw!BE5,Raw!BG5,Raw!BH5,Raw!BI5,Raw!BK5))/BZ5^2,"No Contingency Table"), "Not Included")</f>
        <v>Not Included</v>
      </c>
      <c r="CD5" s="11" t="str">
        <f>IF(BX5, IF(COUNTIF(Raw!AV5:BK5, "&gt;=0") = 16,(CB5 - CC5) / (1 - CC5+0.000001),"No Contingency Table"), "Not Included")</f>
        <v>Not Included</v>
      </c>
      <c r="CE5" s="11" t="b">
        <f t="shared" ref="CE5:CG5" si="34">BQ5</f>
        <v>0</v>
      </c>
      <c r="CF5" s="11" t="str">
        <f t="shared" si="34"/>
        <v>Not Included</v>
      </c>
      <c r="CG5" s="11" t="str">
        <f t="shared" si="34"/>
        <v>Not Included</v>
      </c>
      <c r="CH5" s="11" t="str">
        <f>IF(CE5, IF(COUNTIF(Raw!AV5:BK5, "&gt;=0") = 16, IFERROR((CG5*Raw!BA5 - SUM(Raw!BA5, Raw!AZ5, Raw!BB5, Raw!BC5)*SUM(Raw!BA5, Raw!AW5, Raw!BE5, Raw!BI5)) / SQRT((CG5*SUM(Raw!BA5, Raw!AZ5, Raw!BB5, Raw!BC5) - SUM(Raw!BA5, Raw!AZ5, Raw!BB5, Raw!BC5)^2) * (CG5*SUM(Raw!BA5, Raw!AW5, Raw!BE5, Raw!BI5) - SUM(Raw!BA5, Raw!AW5, Raw!BE5, Raw!BI5)^2)), 0), "No Contingency Table"), "Not Included")</f>
        <v>Not Included</v>
      </c>
      <c r="CI5" s="11" t="str">
        <f>IF(CE5, IF(COUNTIF(Raw!AV5:BK5, "&gt;=0") = 16, SUM(Raw!AV5,Raw!AX5,Raw!AY5,Raw!BA5,Raw!BD5,Raw!BF5,Raw!BG5,Raw!BH5,Raw!BJ5,Raw!BK5) / SUM(Raw!AV5:BK5), "No Contingency Table"), "Not Included")</f>
        <v>Not Included</v>
      </c>
      <c r="CJ5" s="61" t="str">
        <f>IF(BX5, IF(COUNTIF(Raw!AV5:BK5, "&gt;=0") = 16,SUM(SUM(Raw!AZ5,Raw!BA5,Raw!BB5,Raw!BC5)*SUM(Raw!BA5,Raw!AW5,Raw!BE5,Raw!BI5),SUM(Raw!AV5:AY5,Raw!BD5:BK5)*SUM(Raw!AV5,Raw!AX5,Raw!AY5,Raw!AZ5,Raw!BB5,Raw!BC5,Raw!BD5,Raw!BF5,Raw!BG5,Raw!BH5,Raw!BJ5,Raw!BK5))/CG5^2,"No Contingency Table"), "Not Included")</f>
        <v>Not Included</v>
      </c>
      <c r="CK5" s="11" t="str">
        <f>IF(BX5, IF(COUNTIF(Raw!AV5:BK5, "&gt;=0") = 16,(CI5 - CJ5) / (1 - CJ5),"No Contingency Table"), "Not Included")</f>
        <v>Not Included</v>
      </c>
      <c r="CL5" s="11" t="str">
        <f>IF(BQ5, IFERROR(Raw!AV5/SUM(Raw!AV5:AY5), 0), "Not Included")</f>
        <v>Not Included</v>
      </c>
      <c r="CM5" s="11" t="str">
        <f>IF(BQ5, IFERROR(Raw!BA5/SUM(Raw!AZ5:BC5), 0), "Not Included")</f>
        <v>Not Included</v>
      </c>
      <c r="CN5" s="11" t="str">
        <f>IF(BQ5, IFERROR(Raw!BF5/SUM(Raw!BD5:BG5), 0), "Not Included")</f>
        <v>Not Included</v>
      </c>
      <c r="CO5" s="11" t="str">
        <f>IF(BQ5, IFERROR(Raw!BK5/SUM(Raw!BH5:BK5), 0), "Not Included")</f>
        <v>Not Included</v>
      </c>
      <c r="CP5" s="11" t="str">
        <f>IF(BQ5, IFERROR(SUM(Raw!AV5,Raw!AX5,Raw!AY5,Raw!BD5,Raw!BF5,Raw!BG5,Raw!BH5,Raw!BJ5,Raw!BK5)/SUM(Raw!AV5,Raw!AW5,Raw!AX5,Raw!AY5,Raw!BD5,Raw!BE5,Raw!BF5,Raw!BG5,Raw!BH5,Raw!BI5,Raw!BJ5,Raw!BK5), 0), "Not Included")</f>
        <v>Not Included</v>
      </c>
      <c r="CQ5" s="11" t="str">
        <f>IF(BQ5, IFERROR(SUM(Raw!AV5:AX5,Raw!AZ5:BB5,Raw!BD5:BF5)/SUM(Raw!AV5:BF5), 0), "Not Included")</f>
        <v>Not Included</v>
      </c>
      <c r="CR5" s="11" t="str">
        <f>IF(BQ5, IFERROR(SUM(Raw!AV5:AY5), 0), "Not Included")</f>
        <v>Not Included</v>
      </c>
      <c r="CS5" s="11" t="str">
        <f>IF(BQ5, IFERROR(SUM(Raw!AZ5:BC5), 0), "Not Included")</f>
        <v>Not Included</v>
      </c>
      <c r="CT5" s="11" t="str">
        <f>IF(BQ5, IFERROR(SUM(Raw!BD5:BG5), 0), "Not Included")</f>
        <v>Not Included</v>
      </c>
      <c r="CU5" s="11" t="str">
        <f>IF(BQ5, IFERROR(SUM(Raw!BH5:BK5), 0), "Not Included")</f>
        <v>Not Included</v>
      </c>
      <c r="CV5" s="11" t="str">
        <f>IF(BQ5, IFERROR(SUM(Raw!AV5,Raw!AW5,Raw!AX5,Raw!AY5,Raw!BD5,Raw!BE5,Raw!BF5,Raw!BG5,Raw!BH5,Raw!BI5,Raw!BJ5,Raw!BK5), 0), "Not Included")</f>
        <v>Not Included</v>
      </c>
      <c r="CW5" s="11" t="str">
        <f>IF(BQ5, IFERROR(SUM(Raw!AV5:BF5), 0), "Not Included")</f>
        <v>Not Included</v>
      </c>
      <c r="CX5" s="11" t="str">
        <f>IF(BQ5, IFERROR((CR5*SUM(Raw!AV5,Raw!AZ5,Raw!BD5,Raw!BH5))/BS5/CR5, 0), "Not Included")</f>
        <v>Not Included</v>
      </c>
      <c r="CY5" s="11" t="str">
        <f>IF(BX5, IFERROR((CS5*SUM(Raw!BA5,Raw!AW5,Raw!BE5,Raw!BI5))/CG5/CS5, 0), "Not Included")</f>
        <v>Not Included</v>
      </c>
      <c r="CZ5" s="11" t="str">
        <f>IF(BX5, IFERROR((CT5*SUM(Raw!BF5,Raw!AX5,Raw!BB5,Raw!BJ5))/BZ5/CT5, 0), "Not Included")</f>
        <v>Not Included</v>
      </c>
      <c r="DA5" s="11" t="str">
        <f>IF(AY5, IFERROR((CU5*SUM(Raw!AY5,Raw!BC5,Raw!BG5,Raw!BK5))/AT5/CU5, 0), "Not Included")</f>
        <v>Not Included</v>
      </c>
      <c r="DB5" s="11" t="str">
        <f>IF(BX5, IFERROR((CV5*SUM(Raw!AV5,Raw!AX5,Raw!AY5,Raw!AZ5,Raw!BB5,Raw!BC5,Raw!BD5,Raw!BF5,Raw!BG5,Raw!BH5,Raw!BJ5,Raw!BK5))/CG5/CV5,0), "Not Included")</f>
        <v>Not Included</v>
      </c>
      <c r="DC5" s="11" t="str">
        <f>IF(AY5, IFERROR((CW5*SUM(Raw!AV5,Raw!AW5,Raw!AX5,Raw!AZ5,Raw!BA5,Raw!BB5,Raw!BD5,Raw!BE5,Raw!BF5,Raw!BH5,Raw!BI5,Raw!BJ5))/AT5/CW5,0), "Not Included")</f>
        <v>Not Included</v>
      </c>
    </row>
    <row r="6" spans="1:107" ht="12.75" customHeight="1">
      <c r="A6" s="11">
        <f>Raw!D6</f>
        <v>4</v>
      </c>
      <c r="B6" s="11" t="str">
        <f>Raw!A6</f>
        <v xml:space="preserve">Bar-Haim et al. (2000) </v>
      </c>
      <c r="C6" s="11">
        <f>Raw!G6</f>
        <v>2</v>
      </c>
      <c r="D6" s="11" t="str">
        <f>Raw!E6</f>
        <v>34 month interval</v>
      </c>
      <c r="E6" s="11" t="str">
        <f>CONCATENATE(IF(Raw!I6&lt;='Interval Definitions'!$B$2, 'Interval Definitions'!$A$2, IF(Raw!I6&lt;='Interval Definitions'!$B$3, 'Interval Definitions'!$A$3, IF(Raw!I6&lt;='Interval Definitions'!$B$4, 'Interval Definitions'!$A$4, IF(Raw!I6&lt;='Interval Definitions'!$B$5, 'Interval Definitions'!$A$5, "None")))), " - ", IF(Raw!J6&lt;='Interval Definitions'!$B$2, 'Interval Definitions'!$A$2, IF(Raw!J6&lt;='Interval Definitions'!$B$3, 'Interval Definitions'!$A$3, IF(Raw!J6&lt;='Interval Definitions'!$B$4, 'Interval Definitions'!$A$4, IF(Raw!J6&lt;='Interval Definitions'!$B$5, 'Interval Definitions'!$A$5, "None")))))</f>
        <v>Toddlerhood - Preschool</v>
      </c>
      <c r="F6" s="11" t="b">
        <f>OR(NOT(ISBLANK(Raw!AF6)),NOT(ISBLANK(Raw!AG6)),NOT(ISBLANK(Raw!AH6)),NOT(ISBLANK(Raw!AI6)),COUNTIF(Raw!AA6:AD6, "&gt;=0") = 4)</f>
        <v>1</v>
      </c>
      <c r="G6" s="11" t="str">
        <f>IF(F6, IF(COUNTIF(Raw!AA6:AD6,"&gt;=0") = 4, "Contingency", IF(NOT(ISBLANK(Raw!AF6)), "Paper r", IF(NOT(ISBLANK(Raw!AG6)), "Pinquart", IF(NOT(ISBLANK(Raw!AH6)), "Fraley", "Paper chiSq")))), "Not Included")</f>
        <v>Contingency</v>
      </c>
      <c r="H6" s="15">
        <f>IF(F6,Raw!AE6,"Not Included")</f>
        <v>45</v>
      </c>
      <c r="I6" s="15">
        <f>IF(COUNTIF(Raw!AA6:AD6,"&gt;=0") = 4, SUM(Raw!AA6:AD6), "No Contingency Table")</f>
        <v>45</v>
      </c>
      <c r="J6" s="15">
        <f t="shared" si="0"/>
        <v>45</v>
      </c>
      <c r="K6" s="38">
        <f>IF(F6, IF(COUNTIF(Raw!AA6:AD6,"&gt;=0") = 4, IFERROR((I6*Raw!AA6 - SUM(Raw!AA6,Raw!AB6)*SUM(Raw!AA6,Raw!AD6)) / SQRT((I6*SUM(Raw!AA6,Raw!AB6) - SUM(Raw!AA6,Raw!AB6)^2) * (I6*SUM(Raw!AA6,Raw!AD6) - SUM(Raw!AA6,Raw!AD6)^2)), 0), "No Contingency Table"), "Not Included")</f>
        <v>-0.18573344409617151</v>
      </c>
      <c r="L6" s="41">
        <f>IF(F6,IF(NOT(ISBLANK(Raw!AF6)), Raw!AF6, IF(NOT(ISBLANK(Raw!AG6)), Raw!AG6, IF(NOT(ISBLANK(Raw!AH6)), Raw!AH6, IF(NOT(ISBLANK(Raw!AI6)), SQRT(Raw!AI6/H6)*Raw!AJ6, "Not Reported")))),"Not Included")</f>
        <v>-0.19</v>
      </c>
      <c r="M6" s="43">
        <f t="shared" si="1"/>
        <v>-0.18573344409617151</v>
      </c>
      <c r="N6" s="11">
        <f t="shared" si="2"/>
        <v>1</v>
      </c>
      <c r="O6" s="48" t="b">
        <f>OR(NOT(ISBLANK(Raw!AK6)), COUNTIF(Raw!AA6:AD6, "&gt;=0") = 4)</f>
        <v>1</v>
      </c>
      <c r="P6" s="24" t="str">
        <f>IF(O6,IF(COUNTIF(Raw!AA6:AD6,"&gt;=0") = 4,"Contingency", "Paper k"), "Not Included")</f>
        <v>Contingency</v>
      </c>
      <c r="Q6" s="48">
        <f>IF(O6, IF(COUNTIF(Raw!AA6:AD6,"&gt;=0") = 4,SUM(Raw!AA6,Raw!AC6)/H6,"No Contingency Table"), "Not Included")</f>
        <v>0.44444444444444442</v>
      </c>
      <c r="R6" s="38">
        <f>IF(O6, IF(COUNTIF(Raw!AA6:AD6, "&gt;=0") = 4,SUM(SUM(Raw!AA6,Raw!AB6)*SUM(Raw!AA6,Raw!AD6),SUM(Raw!AC6,Raw!AD6)*SUM(Raw!AC6,Raw!AB6))/H6^2,"No Contingency Table"), "Not Included")</f>
        <v>0.5293827160493827</v>
      </c>
      <c r="S6" s="38">
        <f>IF(O6, IF(COUNTIF(Raw!AA6:AD6,"&gt;=0") = 4, IFERROR((Q6 - R6) / (1 - R6), "Could not calculate"), "No Contingency Table"), "Not Included")</f>
        <v>-0.18048268625393493</v>
      </c>
      <c r="T6" s="52" t="str">
        <f>IF(O6,IF(NOT(ISBLANK(Raw!AK6)), Raw!AK6, "Not Reported"), "Not Included")</f>
        <v>Not Reported</v>
      </c>
      <c r="U6" s="38">
        <f t="shared" si="3"/>
        <v>-0.18048268625393493</v>
      </c>
      <c r="V6" s="11" t="str">
        <f t="shared" si="4"/>
        <v>NA</v>
      </c>
      <c r="W6" s="11" t="b">
        <f>OR(NOT(ISBLANK(Raw!AU6)),COUNTIF(Raw!AL6:AT6,"&gt;=0") = 9)</f>
        <v>1</v>
      </c>
      <c r="X6" s="11" t="str">
        <f>IF(W6, IF(COUNTIF(Raw!AL6:AT6,"&gt;=0") = 9, "Contingency", "Paper k"), "Not Included")</f>
        <v>Contingency</v>
      </c>
      <c r="Y6" s="15">
        <f>IF(W6,IF(COUNTIF(Raw!AL6:AT6,"&gt;=0") = 9,SUM(Raw!AL6:AT6),"No Contingency Table"),"Not Included")</f>
        <v>45</v>
      </c>
      <c r="Z6" s="15">
        <f t="shared" si="5"/>
        <v>45</v>
      </c>
      <c r="AA6" s="11">
        <f>IF(W6,IF(COUNTIF(Raw!AL6:AT6,"&gt;=0") = 9,SUM(Raw!AL6,Raw!AP6,Raw!AT6)/Y6,"No Contingency Table"), "Not Included")</f>
        <v>0.37777777777777777</v>
      </c>
      <c r="AB6" s="11">
        <f>IF(W6,IF(COUNTIF(Raw!AL6:AT6,"&gt;=0") = 9,SUM(SUM(Raw!AL6,Raw!AM6,Raw!AN6)*SUM(Raw!AL6,Raw!AO6,Raw!AR6),SUM(Raw!AO6,Raw!AP6,Raw!AQ6)*SUM(Raw!AM6,Raw!AP6,Raw!AS6),SUM(Raw!AR6,Raw!AS6,Raw!AT6)*SUM(Raw!AN6,Raw!AQ6,Raw!AT6))/Y6^2,"No Contingency Table"), "Not Included")</f>
        <v>0.46320987654320989</v>
      </c>
      <c r="AC6" s="11">
        <f>IF(W6,IF(COUNTIF(Raw!AL6:AT6,"&gt;=0") = 9,(AA6 - AB6) / (1 - AB6),"No Contingency Table"), "Not Included")</f>
        <v>-0.15915363385464584</v>
      </c>
      <c r="AD6" s="11" t="str">
        <f>IF(W6, IF(NOT(ISBLANK(Raw!AU6)),Raw!AU6,"Not Reported"), "Not Included")</f>
        <v>Not Reported</v>
      </c>
      <c r="AE6" s="11">
        <f t="shared" si="6"/>
        <v>-0.15915363385464584</v>
      </c>
      <c r="AF6" s="11" t="str">
        <f t="shared" si="7"/>
        <v>NA</v>
      </c>
      <c r="AG6" s="11" t="b">
        <f>COUNTIF(Raw!AV6:BK6, "&gt;=0") = 16</f>
        <v>0</v>
      </c>
      <c r="AH6" s="11" t="str">
        <f>IF(AG6, IF(COUNTIF(Raw!AV6:BK6,"&gt;=0") = 16, "Contingency", "Paper k"), "Not Included")</f>
        <v>Not Included</v>
      </c>
      <c r="AI6" s="11" t="str">
        <f>IF(AG6,IF(COUNTIF(Raw!AV6:BK6,"&gt;=0") = 16,SUM(Raw!AV6:BK6),"No Contingency Table"),"Not Included")</f>
        <v>Not Included</v>
      </c>
      <c r="AJ6" s="15">
        <f t="shared" si="8"/>
        <v>45</v>
      </c>
      <c r="AK6" s="11" t="str">
        <f>IF(AG6,IF(COUNTIF(Raw!AV6:BK6,"&gt;=0") = 16,SUM(Raw!AV6,Raw!BA6,Raw!BF6,Raw!BK6)/AI6,"No Contingency Table"), "Not Included")</f>
        <v>Not Included</v>
      </c>
      <c r="AL6" s="11" t="str">
        <f>IF(AG6,IF(COUNTIF(Raw!AV6:BK6,"&gt;=0") = 16,SUM(SUM(Raw!AV6,Raw!AW6,Raw!AX6,Raw!AY6)*SUM(Raw!AV6,Raw!AZ6,Raw!BD6,Raw!BH6),SUM(Raw!AZ6,Raw!BA6,Raw!BB6,Raw!BC6)*SUM(Raw!AW6,Raw!BA6,Raw!BE6,Raw!BI6),SUM(Raw!BD6,Raw!BE6,Raw!BF6,Raw!BG6)*SUM(Raw!AX6,Raw!BB6,Raw!BF6,Raw!BJ6),SUM(Raw!BH6,Raw!BI6,Raw!BJ6,Raw!BK6)*SUM(Raw!AY6,Raw!BC6,Raw!BG6,Raw!BK6))/AI6^2,"No Contingency Table"), "Not Included")</f>
        <v>Not Included</v>
      </c>
      <c r="AM6" s="11" t="str">
        <f>IF(AG6,IF(COUNTIF(Raw!AV6:BK6,"&gt;=0") = 16,(AK6 - AL6) / (1 - AL6),"No Contingency Table"), "Not Included")</f>
        <v>Not Included</v>
      </c>
      <c r="AN6" s="11" t="str">
        <f>IF(NOT(ISBLANK(Raw!BL6)),Raw!BL6,"Not Reported")</f>
        <v>Not Reported</v>
      </c>
      <c r="AO6" s="11" t="str">
        <f t="shared" si="9"/>
        <v>Not Reported</v>
      </c>
      <c r="AP6" s="11" t="str">
        <f t="shared" si="10"/>
        <v>Not Included</v>
      </c>
      <c r="AQ6" s="11" t="b">
        <f t="shared" ref="AQ6:AR6" si="35">BQ6</f>
        <v>0</v>
      </c>
      <c r="AR6" s="11" t="str">
        <f t="shared" si="35"/>
        <v>Not Included</v>
      </c>
      <c r="AS6" s="11" t="str">
        <f t="shared" si="12"/>
        <v>Not Included</v>
      </c>
      <c r="AT6" s="11" t="str">
        <f t="shared" si="13"/>
        <v>Not Included</v>
      </c>
      <c r="AU6" s="11" t="str">
        <f>IF(AQ6, IF(COUNTIF(Raw!AV6:BK6, "&gt;=0") = 16, IFERROR((AT6*Raw!BK6 - SUM(Raw!BH6, Raw!BI6, Raw!BJ6, Raw!BK6)*SUM(Raw!AY6, Raw!BC6, Raw!BG6, Raw!BK6)) / SQRT((AT6*SUM(Raw!BH6, Raw!BI6, Raw!BJ6, Raw!BK6) - SUM(Raw!BH6, Raw!BI6, Raw!BJ6, Raw!BK6)^2) * (AT6*SUM(Raw!AY6, Raw!BC6, Raw!BG6, Raw!BK6) - SUM(Raw!AY6, Raw!BC6, Raw!BG6, Raw!BK6)^2)), 0), "No Contingency Table"), "Not Included")</f>
        <v>Not Included</v>
      </c>
      <c r="AV6" s="11" t="str">
        <f>IF(AQ6,IF(NOT(ISBLANK(Raw!BQ6)), Raw!BQ6, IF(NOT(ISBLANK(Raw!BR6)), Raw!BR6, "Not Reported")), "Not Included")</f>
        <v>Not Included</v>
      </c>
      <c r="AW6" s="57" t="str">
        <f t="shared" si="14"/>
        <v>Not Included</v>
      </c>
      <c r="AX6" s="11" t="str">
        <f t="shared" si="15"/>
        <v>Not Included</v>
      </c>
      <c r="AY6" s="11" t="b">
        <f t="shared" ref="AY6:AZ6" si="36">AQ6</f>
        <v>0</v>
      </c>
      <c r="AZ6" s="11" t="str">
        <f t="shared" si="36"/>
        <v>Not Included</v>
      </c>
      <c r="BA6" s="11" t="str">
        <f>IF(AY6, IF(COUNTIF(Raw!AV6:BK6, "&gt;=0") = 16, SUM(Raw!AV6,Raw!AW6,Raw!AX6,Raw!AZ6,Raw!BA6,Raw!BB6,Raw!BD6,Raw!BE6,Raw!BF6,Raw!BK6)/SUM(Raw!AV6:BK6), "No Contingency Table"), "Not Included")</f>
        <v>Not Included</v>
      </c>
      <c r="BB6" s="11" t="str">
        <f>IF(AY6, IF(COUNTIF(Raw!AV6:BK6, "&gt;=0") = 16,SUM(SUM(Raw!BH6,Raw!BI6,Raw!BJ6,Raw!BK6)*SUM(Raw!AY6,Raw!BC6,Raw!BG6,Raw!BK6),SUM(Raw!AV6:BG6)*SUM(Raw!AV6,Raw!AW6,Raw!AX6,Raw!AZ6,Raw!BA6,Raw!BB6,Raw!BD6,Raw!BE6,Raw!BF6,Raw!BH6,Raw!BI6,Raw!BJ6))/AT6^2,"No Contingency Table"), "Not Included")</f>
        <v>Not Included</v>
      </c>
      <c r="BC6" s="11" t="str">
        <f>IF(AY6, IF(COUNTIF(Raw!AV6:BK6, "&gt;=0") = 16,(BA6-BB6) / (1 - BB6),"No Contingency Table"), "Not Included")</f>
        <v>Not Included</v>
      </c>
      <c r="BD6" s="11" t="str">
        <f>IF(AY6,IF(NOT(ISBLANK(Raw!BT27)),Raw!BT27,"Not Reported"),"Not Included")</f>
        <v>Not Included</v>
      </c>
      <c r="BE6" s="11" t="str">
        <f t="shared" si="17"/>
        <v>Not Included</v>
      </c>
      <c r="BF6" s="11" t="str">
        <f t="shared" si="18"/>
        <v>Not Included</v>
      </c>
      <c r="BG6" s="11">
        <f>Raw!K6</f>
        <v>2000</v>
      </c>
      <c r="BH6" s="11" t="str">
        <f>IF(Raw!L6 = "USA","USA","Non-USA")</f>
        <v>USA</v>
      </c>
      <c r="BI6" s="11" t="str">
        <f>Raw!M6</f>
        <v>Ainsworth/Cassidy-Marvin</v>
      </c>
      <c r="BJ6" s="11">
        <f>Raw!N6</f>
        <v>1</v>
      </c>
      <c r="BK6" s="11">
        <f>Raw!P6</f>
        <v>0</v>
      </c>
      <c r="BL6" s="11">
        <f>Raw!Q6</f>
        <v>0</v>
      </c>
      <c r="BM6" s="11">
        <f>Raw!T6</f>
        <v>1</v>
      </c>
      <c r="BN6" s="11">
        <f>IFERROR(IF(AND(ISBLANK(Raw!U6), ISBLANK(Raw!V6), ISBLANK(Raw!W6), ISBLANK(Raw!X6)), "NA", IF(OR(NOT(ISBLANK(Raw!U6)), NOT(ISBLANK(Raw!W6))), AVERAGE(Raw!U6,Raw!W6), AVERAGE(Raw!V6,Raw!X6) + IF(Raw!Y6 = "2-way", R6, IF(Raw!Y6 = "3-way", AB6, IF(Raw!Y6 = "4-way", AL6, "NA")))*(1 - AVERAGE(Raw!V6,Raw!X6)))), "NA")</f>
        <v>0.82</v>
      </c>
      <c r="BO6" s="11">
        <f>Raw!O6</f>
        <v>0</v>
      </c>
      <c r="BP6" s="11" t="str">
        <f>Raw!F6</f>
        <v>Female</v>
      </c>
      <c r="BQ6" s="11" t="b">
        <f>COUNTIF(Raw!AV6:BK6, "&gt;=0") = 16</f>
        <v>0</v>
      </c>
      <c r="BR6" s="11" t="str">
        <f t="shared" si="19"/>
        <v>Not Included</v>
      </c>
      <c r="BS6" s="11" t="str">
        <f t="shared" si="20"/>
        <v>Not Included</v>
      </c>
      <c r="BT6" s="11" t="str">
        <f>IF(BQ6, IF(COUNTIF(Raw!AV6:BK6, "&gt;=0") = 16, IFERROR((BS6*Raw!AV6 - SUM(Raw!AV6, Raw!AW6, Raw!AX6, Raw!AY6)*SUM(Raw!AV6, Raw!AZ6, Raw!BD6, Raw!BH6)) / SQRT((BS6*SUM(Raw!AV6, Raw!AW6, Raw!AX6, Raw!AY6) - SUM(Raw!AV6, Raw!AW6, Raw!AX6, Raw!AY6)^2) * (BS6*SUM(Raw!AV6, Raw!AZ6, Raw!BD6, Raw!BH6) - SUM(Raw!AV6, Raw!AZ6, Raw!BD6, Raw!BH6)^2)), 0), "No Contingency Table"), "Not Included")</f>
        <v>Not Included</v>
      </c>
      <c r="BU6" s="11" t="str">
        <f>IF(BQ6, IF(COUNTIF(Raw!AV6:BK6, "&gt;=0") = 16, SUM(Raw!BK6,Raw!BJ6,Raw!BI6,Raw!BG6,Raw!BF6,Raw!BE6,Raw!BC6,Raw!BB6,Raw!BA6,Raw!AV6)/SUM(Raw!AV6:BK6), "No Contingency Table"), "Not Included")</f>
        <v>Not Included</v>
      </c>
      <c r="BV6" s="11" t="str">
        <f>IF(BQ6, IF(COUNTIF(Raw!AV6:BK6, "&gt;=0") = 16,SUM(SUM(Raw!AV6,Raw!AW6,Raw!AX6,Raw!AY6)*SUM(Raw!AV6,Raw!AZ6,Raw!BD6,Raw!BH6),SUM(Raw!AZ6:BK6)*SUM(Raw!AW6,Raw!AX6,Raw!AY6,Raw!BA6,Raw!BB6,Raw!BC6,Raw!BE6,Raw!BF6,Raw!BG6,Raw!BI6,Raw!BJ6,Raw!BK6))/BS6^2,"No Contingency Table"), "Not Included")</f>
        <v>Not Included</v>
      </c>
      <c r="BW6" s="11" t="str">
        <f>IF(BQ6, IF(COUNTIF(Raw!AV6:BK6, "&gt;=0") = 16,(BU6-BV6) / (1 - BV6),"No Contingency Table"), "Not Included")</f>
        <v>Not Included</v>
      </c>
      <c r="BX6" s="11" t="b">
        <f t="shared" ref="BX6:BZ6" si="37">BQ6</f>
        <v>0</v>
      </c>
      <c r="BY6" s="11" t="str">
        <f t="shared" si="37"/>
        <v>Not Included</v>
      </c>
      <c r="BZ6" s="11" t="str">
        <f t="shared" si="37"/>
        <v>Not Included</v>
      </c>
      <c r="CA6" s="11" t="str">
        <f>IF(BX6, IF(COUNTIF(Raw!AV6:BK6, "&gt;=0") = 16, IFERROR((BZ6*Raw!BF6 - SUM(Raw!BD6, Raw!BE6, Raw!BF6, Raw!BG6)*SUM(Raw!BF6, Raw!AX6, Raw!BB6, Raw!BJ6)) / SQRT((BZ6*SUM(Raw!BD6, Raw!BE6, Raw!BF6, Raw!BG6) - SUM(Raw!BD6, Raw!BE6, Raw!BF6, Raw!BG6)^2) * (BZ6*SUM(Raw!BF6, Raw!AX6, Raw!BB6, Raw!BJ6) - SUM(Raw!BF6, Raw!AX6, Raw!BB6, Raw!BJ6)^2)), 0), "No Contingency Table"), "Not Included")</f>
        <v>Not Included</v>
      </c>
      <c r="CB6" s="11" t="str">
        <f>IF(BX6, IF(COUNTIF(Raw!AV6:BK6, "&gt;=0") = 16, SUM(Raw!AV6,Raw!AW6,Raw!AY6,Raw!AZ6,Raw!BA6,Raw!BC6,Raw!BF6,Raw!BH6,Raw!BI6,Raw!BK6) / SUM(Raw!AV6:BK6), "No Contingency Table"), "Not Included")</f>
        <v>Not Included</v>
      </c>
      <c r="CC6" s="11" t="str">
        <f>IF(BX6, IF(COUNTIF(Raw!AV6:BK6, "&gt;=0") = 16,SUM(SUM(Raw!BD6,Raw!BE6,Raw!BF6,Raw!BG6)*SUM(Raw!BF6,Raw!AX6,Raw!BB6,Raw!BJ6),SUM(Raw!AV6:BC6,Raw!BH6:BK6)*SUM(Raw!AV6,Raw!AW6,Raw!AY6,Raw!AZ6,Raw!BA6,Raw!BC6,Raw!BD6,Raw!BE6,Raw!BG6,Raw!BH6,Raw!BI6,Raw!BK6))/BZ6^2,"No Contingency Table"), "Not Included")</f>
        <v>Not Included</v>
      </c>
      <c r="CD6" s="11" t="str">
        <f>IF(BX6, IF(COUNTIF(Raw!AV6:BK6, "&gt;=0") = 16,(CB6 - CC6) / (1 - CC6+0.000001),"No Contingency Table"), "Not Included")</f>
        <v>Not Included</v>
      </c>
      <c r="CE6" s="11" t="b">
        <f t="shared" ref="CE6:CG6" si="38">BQ6</f>
        <v>0</v>
      </c>
      <c r="CF6" s="11" t="str">
        <f t="shared" si="38"/>
        <v>Not Included</v>
      </c>
      <c r="CG6" s="11" t="str">
        <f t="shared" si="38"/>
        <v>Not Included</v>
      </c>
      <c r="CH6" s="11" t="str">
        <f>IF(CE6, IF(COUNTIF(Raw!AV6:BK6, "&gt;=0") = 16, IFERROR((CG6*Raw!BA6 - SUM(Raw!BA6, Raw!AZ6, Raw!BB6, Raw!BC6)*SUM(Raw!BA6, Raw!AW6, Raw!BE6, Raw!BI6)) / SQRT((CG6*SUM(Raw!BA6, Raw!AZ6, Raw!BB6, Raw!BC6) - SUM(Raw!BA6, Raw!AZ6, Raw!BB6, Raw!BC6)^2) * (CG6*SUM(Raw!BA6, Raw!AW6, Raw!BE6, Raw!BI6) - SUM(Raw!BA6, Raw!AW6, Raw!BE6, Raw!BI6)^2)), 0), "No Contingency Table"), "Not Included")</f>
        <v>Not Included</v>
      </c>
      <c r="CI6" s="11" t="str">
        <f>IF(CE6, IF(COUNTIF(Raw!AV6:BK6, "&gt;=0") = 16, SUM(Raw!AV6,Raw!AX6,Raw!AY6,Raw!BA6,Raw!BD6,Raw!BF6,Raw!BG6,Raw!BH6,Raw!BJ6,Raw!BK6) / SUM(Raw!AV6:BK6), "No Contingency Table"), "Not Included")</f>
        <v>Not Included</v>
      </c>
      <c r="CJ6" s="61" t="str">
        <f>IF(BX6, IF(COUNTIF(Raw!AV6:BK6, "&gt;=0") = 16,SUM(SUM(Raw!AZ6,Raw!BA6,Raw!BB6,Raw!BC6)*SUM(Raw!BA6,Raw!AW6,Raw!BE6,Raw!BI6),SUM(Raw!AV6:AY6,Raw!BD6:BK6)*SUM(Raw!AV6,Raw!AX6,Raw!AY6,Raw!AZ6,Raw!BB6,Raw!BC6,Raw!BD6,Raw!BF6,Raw!BG6,Raw!BH6,Raw!BJ6,Raw!BK6))/CG6^2,"No Contingency Table"), "Not Included")</f>
        <v>Not Included</v>
      </c>
      <c r="CK6" s="11" t="str">
        <f>IF(BX6, IF(COUNTIF(Raw!AV6:BK6, "&gt;=0") = 16,(CI6 - CJ6) / (1 - CJ6),"No Contingency Table"), "Not Included")</f>
        <v>Not Included</v>
      </c>
      <c r="CL6" s="11" t="str">
        <f>IF(BQ6, IFERROR(Raw!AV6/SUM(Raw!AV6:AY6), 0), "Not Included")</f>
        <v>Not Included</v>
      </c>
      <c r="CM6" s="11" t="str">
        <f>IF(BQ6, IFERROR(Raw!BA6/SUM(Raw!AZ6:BC6), 0), "Not Included")</f>
        <v>Not Included</v>
      </c>
      <c r="CN6" s="11" t="str">
        <f>IF(BQ6, IFERROR(Raw!BF6/SUM(Raw!BD6:BG6), 0), "Not Included")</f>
        <v>Not Included</v>
      </c>
      <c r="CO6" s="11" t="str">
        <f>IF(BQ6, IFERROR(Raw!BK6/SUM(Raw!BH6:BK6), 0), "Not Included")</f>
        <v>Not Included</v>
      </c>
      <c r="CP6" s="11" t="str">
        <f>IF(BQ6, IFERROR(SUM(Raw!AV6,Raw!AX6,Raw!AY6,Raw!BD6,Raw!BF6,Raw!BG6,Raw!BH6,Raw!BJ6,Raw!BK6)/SUM(Raw!AV6,Raw!AW6,Raw!AX6,Raw!AY6,Raw!BD6,Raw!BE6,Raw!BF6,Raw!BG6,Raw!BH6,Raw!BI6,Raw!BJ6,Raw!BK6), 0), "Not Included")</f>
        <v>Not Included</v>
      </c>
      <c r="CQ6" s="11" t="str">
        <f>IF(BQ6, IFERROR(SUM(Raw!AV6:AX6,Raw!AZ6:BB6,Raw!BD6:BF6)/SUM(Raw!AV6:BF6), 0), "Not Included")</f>
        <v>Not Included</v>
      </c>
      <c r="CR6" s="11" t="str">
        <f>IF(BQ6, IFERROR(SUM(Raw!AV6:AY6), 0), "Not Included")</f>
        <v>Not Included</v>
      </c>
      <c r="CS6" s="11" t="str">
        <f>IF(BQ6, IFERROR(SUM(Raw!AZ6:BC6), 0), "Not Included")</f>
        <v>Not Included</v>
      </c>
      <c r="CT6" s="11" t="str">
        <f>IF(BQ6, IFERROR(SUM(Raw!BD6:BG6), 0), "Not Included")</f>
        <v>Not Included</v>
      </c>
      <c r="CU6" s="11" t="str">
        <f>IF(BQ6, IFERROR(SUM(Raw!BH6:BK6), 0), "Not Included")</f>
        <v>Not Included</v>
      </c>
      <c r="CV6" s="11" t="str">
        <f>IF(BQ6, IFERROR(SUM(Raw!AV6,Raw!AW6,Raw!AX6,Raw!AY6,Raw!BD6,Raw!BE6,Raw!BF6,Raw!BG6,Raw!BH6,Raw!BI6,Raw!BJ6,Raw!BK6), 0), "Not Included")</f>
        <v>Not Included</v>
      </c>
      <c r="CW6" s="11" t="str">
        <f>IF(BQ6, IFERROR(SUM(Raw!AV6:BF6), 0), "Not Included")</f>
        <v>Not Included</v>
      </c>
      <c r="CX6" s="11" t="str">
        <f>IF(BQ6, IFERROR((CR6*SUM(Raw!AV6,Raw!AZ6,Raw!BD6,Raw!BH6))/BS6/CR6, 0), "Not Included")</f>
        <v>Not Included</v>
      </c>
      <c r="CY6" s="11" t="str">
        <f>IF(BX6, IFERROR((CS6*SUM(Raw!BA6,Raw!AW6,Raw!BE6,Raw!BI6))/CG6/CS6, 0), "Not Included")</f>
        <v>Not Included</v>
      </c>
      <c r="CZ6" s="11" t="str">
        <f>IF(BX6, IFERROR((CT6*SUM(Raw!BF6,Raw!AX6,Raw!BB6,Raw!BJ6))/BZ6/CT6, 0), "Not Included")</f>
        <v>Not Included</v>
      </c>
      <c r="DA6" s="11" t="str">
        <f>IF(AY6, IFERROR((CU6*SUM(Raw!AY6,Raw!BC6,Raw!BG6,Raw!BK6))/AT6/CU6, 0), "Not Included")</f>
        <v>Not Included</v>
      </c>
      <c r="DB6" s="11" t="str">
        <f>IF(BX6, IFERROR((CV6*SUM(Raw!AV6,Raw!AX6,Raw!AY6,Raw!AZ6,Raw!BB6,Raw!BC6,Raw!BD6,Raw!BF6,Raw!BG6,Raw!BH6,Raw!BJ6,Raw!BK6))/CG6/CV6,0), "Not Included")</f>
        <v>Not Included</v>
      </c>
      <c r="DC6" s="11" t="str">
        <f>IF(AY6, IFERROR((CW6*SUM(Raw!AV6,Raw!AW6,Raw!AX6,Raw!AZ6,Raw!BA6,Raw!BB6,Raw!BD6,Raw!BE6,Raw!BF6,Raw!BH6,Raw!BI6,Raw!BJ6))/AT6/CW6,0), "Not Included")</f>
        <v>Not Included</v>
      </c>
    </row>
    <row r="7" spans="1:107" ht="12.75" customHeight="1">
      <c r="A7" s="11">
        <f>Raw!D7</f>
        <v>4</v>
      </c>
      <c r="B7" s="11" t="str">
        <f>Raw!A7</f>
        <v xml:space="preserve">Bar-Haimet al. (2000) </v>
      </c>
      <c r="C7" s="11">
        <f>Raw!G7</f>
        <v>3</v>
      </c>
      <c r="D7" s="11" t="str">
        <f>Raw!E7</f>
        <v>44 month interval</v>
      </c>
      <c r="E7" s="11" t="str">
        <f>CONCATENATE(IF(Raw!I7&lt;='Interval Definitions'!$B$2, 'Interval Definitions'!$A$2, IF(Raw!I7&lt;='Interval Definitions'!$B$3, 'Interval Definitions'!$A$3, IF(Raw!I7&lt;='Interval Definitions'!$B$4, 'Interval Definitions'!$A$4, IF(Raw!I7&lt;='Interval Definitions'!$B$5, 'Interval Definitions'!$A$5, "None")))), " - ", IF(Raw!J7&lt;='Interval Definitions'!$B$2, 'Interval Definitions'!$A$2, IF(Raw!J7&lt;='Interval Definitions'!$B$3, 'Interval Definitions'!$A$3, IF(Raw!J7&lt;='Interval Definitions'!$B$4, 'Interval Definitions'!$A$4, IF(Raw!J7&lt;='Interval Definitions'!$B$5, 'Interval Definitions'!$A$5, "None")))))</f>
        <v>Infancy - Preschool</v>
      </c>
      <c r="F7" s="11" t="b">
        <f>OR(NOT(ISBLANK(Raw!AF7)),NOT(ISBLANK(Raw!AG7)),NOT(ISBLANK(Raw!AH7)),NOT(ISBLANK(Raw!AI7)),COUNTIF(Raw!AA7:AD7, "&gt;=0") = 4)</f>
        <v>1</v>
      </c>
      <c r="G7" s="11" t="str">
        <f>IF(F7, IF(COUNTIF(Raw!AA7:AD7,"&gt;=0") = 4, "Contingency", IF(NOT(ISBLANK(Raw!AF7)), "Paper r", IF(NOT(ISBLANK(Raw!AG7)), "Pinquart", IF(NOT(ISBLANK(Raw!AH7)), "Fraley", "Paper chiSq")))), "Not Included")</f>
        <v>Contingency</v>
      </c>
      <c r="H7" s="15">
        <f>IF(F7,Raw!AE7,"Not Included")</f>
        <v>43</v>
      </c>
      <c r="I7" s="15">
        <f>IF(COUNTIF(Raw!AA7:AD7,"&gt;=0") = 4, SUM(Raw!AA7:AD7), "No Contingency Table")</f>
        <v>43</v>
      </c>
      <c r="J7" s="15">
        <f t="shared" si="0"/>
        <v>43</v>
      </c>
      <c r="K7" s="38">
        <f>IF(F7, IF(COUNTIF(Raw!AA7:AD7,"&gt;=0") = 4, IFERROR((I7*Raw!AA7 - SUM(Raw!AA7,Raw!AB7)*SUM(Raw!AA7,Raw!AD7)) / SQRT((I7*SUM(Raw!AA7,Raw!AB7) - SUM(Raw!AA7,Raw!AB7)^2) * (I7*SUM(Raw!AA7,Raw!AD7) - SUM(Raw!AA7,Raw!AD7)^2)), 0), "No Contingency Table"), "Not Included")</f>
        <v>1.4037248126871928E-2</v>
      </c>
      <c r="L7" s="41">
        <f>IF(F7,IF(NOT(ISBLANK(Raw!AF7)), Raw!AF7, IF(NOT(ISBLANK(Raw!AG7)), Raw!AG7, IF(NOT(ISBLANK(Raw!AH7)), Raw!AH7, IF(NOT(ISBLANK(Raw!AI7)), SQRT(Raw!AI7/H7)*Raw!AJ7, "Not Reported")))),"Not Included")</f>
        <v>0.01</v>
      </c>
      <c r="M7" s="43">
        <f t="shared" si="1"/>
        <v>1.4037248126871928E-2</v>
      </c>
      <c r="N7" s="11">
        <f t="shared" si="2"/>
        <v>0</v>
      </c>
      <c r="O7" s="48" t="b">
        <f>OR(NOT(ISBLANK(Raw!AK7)), COUNTIF(Raw!AA7:AD7, "&gt;=0") = 4)</f>
        <v>1</v>
      </c>
      <c r="P7" s="24" t="str">
        <f>IF(O7,IF(COUNTIF(Raw!AA7:AD7,"&gt;=0") = 4,"Contingency", "Paper k"), "Not Included")</f>
        <v>Contingency</v>
      </c>
      <c r="Q7" s="48">
        <f>IF(O7, IF(COUNTIF(Raw!AA7:AD7,"&gt;=0") = 4,SUM(Raw!AA7,Raw!AC7)/H7,"No Contingency Table"), "Not Included")</f>
        <v>0.53488372093023251</v>
      </c>
      <c r="R7" s="38">
        <f>IF(O7, IF(COUNTIF(Raw!AA7:AD7, "&gt;=0") = 4,SUM(SUM(Raw!AA7,Raw!AB7)*SUM(Raw!AA7,Raw!AD7),SUM(Raw!AC7,Raw!AD7)*SUM(Raw!AC7,Raw!AB7))/H7^2,"No Contingency Table"), "Not Included")</f>
        <v>0.52839372633856141</v>
      </c>
      <c r="S7" s="38">
        <f>IF(O7, IF(COUNTIF(Raw!AA7:AD7,"&gt;=0") = 4, IFERROR((Q7 - R7) / (1 - R7), "Could not calculate"), "No Contingency Table"), "Not Included")</f>
        <v>1.3761467889908102E-2</v>
      </c>
      <c r="T7" s="52" t="str">
        <f>IF(O7,IF(NOT(ISBLANK(Raw!AK7)), Raw!AK7, "Not Reported"), "Not Included")</f>
        <v>Not Reported</v>
      </c>
      <c r="U7" s="38">
        <f t="shared" si="3"/>
        <v>1.3761467889908102E-2</v>
      </c>
      <c r="V7" s="11" t="str">
        <f t="shared" si="4"/>
        <v>NA</v>
      </c>
      <c r="W7" s="11" t="b">
        <f>OR(NOT(ISBLANK(Raw!AU7)),COUNTIF(Raw!AL7:AT7,"&gt;=0") = 9)</f>
        <v>1</v>
      </c>
      <c r="X7" s="11" t="str">
        <f>IF(W7, IF(COUNTIF(Raw!AL7:AT7,"&gt;=0") = 9, "Contingency", "Paper k"), "Not Included")</f>
        <v>Contingency</v>
      </c>
      <c r="Y7" s="15">
        <f>IF(W7,IF(COUNTIF(Raw!AL7:AT7,"&gt;=0") = 9,SUM(Raw!AL7:AT7),"No Contingency Table"),"Not Included")</f>
        <v>43</v>
      </c>
      <c r="Z7" s="15">
        <f t="shared" si="5"/>
        <v>43</v>
      </c>
      <c r="AA7" s="11">
        <f>IF(W7,IF(COUNTIF(Raw!AL7:AT7,"&gt;=0") = 9,SUM(Raw!AL7,Raw!AP7,Raw!AT7)/Y7,"No Contingency Table"), "Not Included")</f>
        <v>0.41860465116279072</v>
      </c>
      <c r="AB7" s="11">
        <f>IF(W7,IF(COUNTIF(Raw!AL7:AT7,"&gt;=0") = 9,SUM(SUM(Raw!AL7,Raw!AM7,Raw!AN7)*SUM(Raw!AL7,Raw!AO7,Raw!AR7),SUM(Raw!AO7,Raw!AP7,Raw!AQ7)*SUM(Raw!AM7,Raw!AP7,Raw!AS7),SUM(Raw!AR7,Raw!AS7,Raw!AT7)*SUM(Raw!AN7,Raw!AQ7,Raw!AT7))/Y7^2,"No Contingency Table"), "Not Included")</f>
        <v>0.46024878312601408</v>
      </c>
      <c r="AC7" s="11">
        <f>IF(W7,IF(COUNTIF(Raw!AL7:AT7,"&gt;=0") = 9,(AA7 - AB7) / (1 - AB7),"No Contingency Table"), "Not Included")</f>
        <v>-7.7154308617234463E-2</v>
      </c>
      <c r="AD7" s="11" t="str">
        <f>IF(W7, IF(NOT(ISBLANK(Raw!AU7)),Raw!AU7,"Not Reported"), "Not Included")</f>
        <v>Not Reported</v>
      </c>
      <c r="AE7" s="11">
        <f t="shared" si="6"/>
        <v>-7.7154308617234463E-2</v>
      </c>
      <c r="AF7" s="11" t="str">
        <f t="shared" si="7"/>
        <v>NA</v>
      </c>
      <c r="AG7" s="11" t="b">
        <f>COUNTIF(Raw!AV7:BK7, "&gt;=0") = 16</f>
        <v>0</v>
      </c>
      <c r="AH7" s="11" t="str">
        <f>IF(AG7, IF(COUNTIF(Raw!AV7:BK7,"&gt;=0") = 16, "Contingency", "Paper k"), "Not Included")</f>
        <v>Not Included</v>
      </c>
      <c r="AI7" s="11" t="str">
        <f>IF(AG7,IF(COUNTIF(Raw!AV7:BK7,"&gt;=0") = 16,SUM(Raw!AV7:BK7),"No Contingency Table"),"Not Included")</f>
        <v>Not Included</v>
      </c>
      <c r="AJ7" s="15">
        <f t="shared" si="8"/>
        <v>43</v>
      </c>
      <c r="AK7" s="11" t="str">
        <f>IF(AG7,IF(COUNTIF(Raw!AV7:BK7,"&gt;=0") = 16,SUM(Raw!AV7,Raw!BA7,Raw!BF7,Raw!BK7)/AI7,"No Contingency Table"), "Not Included")</f>
        <v>Not Included</v>
      </c>
      <c r="AL7" s="11" t="str">
        <f>IF(AG7,IF(COUNTIF(Raw!AV7:BK7,"&gt;=0") = 16,SUM(SUM(Raw!AV7,Raw!AW7,Raw!AX7,Raw!AY7)*SUM(Raw!AV7,Raw!AZ7,Raw!BD7,Raw!BH7),SUM(Raw!AZ7,Raw!BA7,Raw!BB7,Raw!BC7)*SUM(Raw!AW7,Raw!BA7,Raw!BE7,Raw!BI7),SUM(Raw!BD7,Raw!BE7,Raw!BF7,Raw!BG7)*SUM(Raw!AX7,Raw!BB7,Raw!BF7,Raw!BJ7),SUM(Raw!BH7,Raw!BI7,Raw!BJ7,Raw!BK7)*SUM(Raw!AY7,Raw!BC7,Raw!BG7,Raw!BK7))/AI7^2,"No Contingency Table"), "Not Included")</f>
        <v>Not Included</v>
      </c>
      <c r="AM7" s="11" t="str">
        <f>IF(AG7,IF(COUNTIF(Raw!AV7:BK7,"&gt;=0") = 16,(AK7 - AL7) / (1 - AL7),"No Contingency Table"), "Not Included")</f>
        <v>Not Included</v>
      </c>
      <c r="AN7" s="11" t="str">
        <f>IF(NOT(ISBLANK(Raw!BL7)),Raw!BL7,"Not Reported")</f>
        <v>Not Reported</v>
      </c>
      <c r="AO7" s="11" t="str">
        <f t="shared" si="9"/>
        <v>Not Reported</v>
      </c>
      <c r="AP7" s="11" t="str">
        <f t="shared" si="10"/>
        <v>Not Included</v>
      </c>
      <c r="AQ7" s="11" t="b">
        <f t="shared" ref="AQ7:AR7" si="39">BQ7</f>
        <v>0</v>
      </c>
      <c r="AR7" s="11" t="str">
        <f t="shared" si="39"/>
        <v>Not Included</v>
      </c>
      <c r="AS7" s="11" t="str">
        <f t="shared" si="12"/>
        <v>Not Included</v>
      </c>
      <c r="AT7" s="11" t="str">
        <f t="shared" si="13"/>
        <v>Not Included</v>
      </c>
      <c r="AU7" s="11" t="str">
        <f>IF(AQ7, IF(COUNTIF(Raw!AV7:BK7, "&gt;=0") = 16, IFERROR((AT7*Raw!BK7 - SUM(Raw!BH7, Raw!BI7, Raw!BJ7, Raw!BK7)*SUM(Raw!AY7, Raw!BC7, Raw!BG7, Raw!BK7)) / SQRT((AT7*SUM(Raw!BH7, Raw!BI7, Raw!BJ7, Raw!BK7) - SUM(Raw!BH7, Raw!BI7, Raw!BJ7, Raw!BK7)^2) * (AT7*SUM(Raw!AY7, Raw!BC7, Raw!BG7, Raw!BK7) - SUM(Raw!AY7, Raw!BC7, Raw!BG7, Raw!BK7)^2)), 0), "No Contingency Table"), "Not Included")</f>
        <v>Not Included</v>
      </c>
      <c r="AV7" s="11" t="str">
        <f>IF(AQ7,IF(NOT(ISBLANK(Raw!BQ7)), Raw!BQ7, IF(NOT(ISBLANK(Raw!BR7)), Raw!BR7, "Not Reported")), "Not Included")</f>
        <v>Not Included</v>
      </c>
      <c r="AW7" s="57" t="str">
        <f t="shared" si="14"/>
        <v>Not Included</v>
      </c>
      <c r="AX7" s="11" t="str">
        <f t="shared" si="15"/>
        <v>Not Included</v>
      </c>
      <c r="AY7" s="11" t="b">
        <f t="shared" ref="AY7:AZ7" si="40">AQ7</f>
        <v>0</v>
      </c>
      <c r="AZ7" s="11" t="str">
        <f t="shared" si="40"/>
        <v>Not Included</v>
      </c>
      <c r="BA7" s="11" t="str">
        <f>IF(AY7, IF(COUNTIF(Raw!AV7:BK7, "&gt;=0") = 16, SUM(Raw!AV7,Raw!AW7,Raw!AX7,Raw!AZ7,Raw!BA7,Raw!BB7,Raw!BD7,Raw!BE7,Raw!BF7,Raw!BK7)/SUM(Raw!AV7:BK7), "No Contingency Table"), "Not Included")</f>
        <v>Not Included</v>
      </c>
      <c r="BB7" s="11" t="str">
        <f>IF(AY7, IF(COUNTIF(Raw!AV7:BK7, "&gt;=0") = 16,SUM(SUM(Raw!BH7,Raw!BI7,Raw!BJ7,Raw!BK7)*SUM(Raw!AY7,Raw!BC7,Raw!BG7,Raw!BK7),SUM(Raw!AV7:BG7)*SUM(Raw!AV7,Raw!AW7,Raw!AX7,Raw!AZ7,Raw!BA7,Raw!BB7,Raw!BD7,Raw!BE7,Raw!BF7,Raw!BH7,Raw!BI7,Raw!BJ7))/AT7^2,"No Contingency Table"), "Not Included")</f>
        <v>Not Included</v>
      </c>
      <c r="BC7" s="11" t="str">
        <f>IF(AY7, IF(COUNTIF(Raw!AV7:BK7, "&gt;=0") = 16,(BA7-BB7) / (1 - BB7),"No Contingency Table"), "Not Included")</f>
        <v>Not Included</v>
      </c>
      <c r="BD7" s="11" t="str">
        <f>IF(AY7,IF(NOT(ISBLANK(Raw!BT28)),Raw!BT28,"Not Reported"),"Not Included")</f>
        <v>Not Included</v>
      </c>
      <c r="BE7" s="11" t="str">
        <f t="shared" si="17"/>
        <v>Not Included</v>
      </c>
      <c r="BF7" s="11" t="str">
        <f t="shared" si="18"/>
        <v>Not Included</v>
      </c>
      <c r="BG7" s="11">
        <f>Raw!K7</f>
        <v>2000</v>
      </c>
      <c r="BH7" s="11" t="str">
        <f>IF(Raw!L7 = "USA","USA","Non-USA")</f>
        <v>USA</v>
      </c>
      <c r="BI7" s="11" t="str">
        <f>Raw!M7</f>
        <v>Ainsworth/Cassidy-Marvin</v>
      </c>
      <c r="BJ7" s="11">
        <f>Raw!N7</f>
        <v>1</v>
      </c>
      <c r="BK7" s="11">
        <f>Raw!P7</f>
        <v>0</v>
      </c>
      <c r="BL7" s="11">
        <f>Raw!Q7</f>
        <v>0</v>
      </c>
      <c r="BM7" s="11">
        <f>Raw!T7</f>
        <v>1</v>
      </c>
      <c r="BN7" s="11">
        <f>IFERROR(IF(AND(ISBLANK(Raw!U7), ISBLANK(Raw!V7), ISBLANK(Raw!W7), ISBLANK(Raw!X7)), "NA", IF(OR(NOT(ISBLANK(Raw!U7)), NOT(ISBLANK(Raw!W7))), AVERAGE(Raw!U7,Raw!W7), AVERAGE(Raw!V7,Raw!X7) + IF(Raw!Y7 = "2-way", R7, IF(Raw!Y7 = "3-way", AB7, IF(Raw!Y7 = "4-way", AL7, "NA")))*(1 - AVERAGE(Raw!V7,Raw!X7)))), "NA")</f>
        <v>0.82</v>
      </c>
      <c r="BO7" s="11">
        <f>Raw!O7</f>
        <v>0</v>
      </c>
      <c r="BP7" s="11" t="str">
        <f>Raw!F7</f>
        <v>Female</v>
      </c>
      <c r="BQ7" s="11" t="b">
        <f>COUNTIF(Raw!AV7:BK7, "&gt;=0") = 16</f>
        <v>0</v>
      </c>
      <c r="BR7" s="11" t="str">
        <f t="shared" si="19"/>
        <v>Not Included</v>
      </c>
      <c r="BS7" s="11" t="str">
        <f t="shared" si="20"/>
        <v>Not Included</v>
      </c>
      <c r="BT7" s="11" t="str">
        <f>IF(BQ7, IF(COUNTIF(Raw!AV7:BK7, "&gt;=0") = 16, IFERROR((BS7*Raw!AV7 - SUM(Raw!AV7, Raw!AW7, Raw!AX7, Raw!AY7)*SUM(Raw!AV7, Raw!AZ7, Raw!BD7, Raw!BH7)) / SQRT((BS7*SUM(Raw!AV7, Raw!AW7, Raw!AX7, Raw!AY7) - SUM(Raw!AV7, Raw!AW7, Raw!AX7, Raw!AY7)^2) * (BS7*SUM(Raw!AV7, Raw!AZ7, Raw!BD7, Raw!BH7) - SUM(Raw!AV7, Raw!AZ7, Raw!BD7, Raw!BH7)^2)), 0), "No Contingency Table"), "Not Included")</f>
        <v>Not Included</v>
      </c>
      <c r="BU7" s="11" t="str">
        <f>IF(BQ7, IF(COUNTIF(Raw!AV7:BK7, "&gt;=0") = 16, SUM(Raw!BK7,Raw!BJ7,Raw!BI7,Raw!BG7,Raw!BF7,Raw!BE7,Raw!BC7,Raw!BB7,Raw!BA7,Raw!AV7)/SUM(Raw!AV7:BK7), "No Contingency Table"), "Not Included")</f>
        <v>Not Included</v>
      </c>
      <c r="BV7" s="11" t="str">
        <f>IF(BQ7, IF(COUNTIF(Raw!AV7:BK7, "&gt;=0") = 16,SUM(SUM(Raw!AV7,Raw!AW7,Raw!AX7,Raw!AY7)*SUM(Raw!AV7,Raw!AZ7,Raw!BD7,Raw!BH7),SUM(Raw!AZ7:BK7)*SUM(Raw!AW7,Raw!AX7,Raw!AY7,Raw!BA7,Raw!BB7,Raw!BC7,Raw!BE7,Raw!BF7,Raw!BG7,Raw!BI7,Raw!BJ7,Raw!BK7))/BS7^2,"No Contingency Table"), "Not Included")</f>
        <v>Not Included</v>
      </c>
      <c r="BW7" s="11" t="str">
        <f>IF(BQ7, IF(COUNTIF(Raw!AV7:BK7, "&gt;=0") = 16,(BU7-BV7) / (1 - BV7),"No Contingency Table"), "Not Included")</f>
        <v>Not Included</v>
      </c>
      <c r="BX7" s="11" t="b">
        <f t="shared" ref="BX7:BZ7" si="41">BQ7</f>
        <v>0</v>
      </c>
      <c r="BY7" s="11" t="str">
        <f t="shared" si="41"/>
        <v>Not Included</v>
      </c>
      <c r="BZ7" s="11" t="str">
        <f t="shared" si="41"/>
        <v>Not Included</v>
      </c>
      <c r="CA7" s="11" t="str">
        <f>IF(BX7, IF(COUNTIF(Raw!AV7:BK7, "&gt;=0") = 16, IFERROR((BZ7*Raw!BF7 - SUM(Raw!BD7, Raw!BE7, Raw!BF7, Raw!BG7)*SUM(Raw!BF7, Raw!AX7, Raw!BB7, Raw!BJ7)) / SQRT((BZ7*SUM(Raw!BD7, Raw!BE7, Raw!BF7, Raw!BG7) - SUM(Raw!BD7, Raw!BE7, Raw!BF7, Raw!BG7)^2) * (BZ7*SUM(Raw!BF7, Raw!AX7, Raw!BB7, Raw!BJ7) - SUM(Raw!BF7, Raw!AX7, Raw!BB7, Raw!BJ7)^2)), 0), "No Contingency Table"), "Not Included")</f>
        <v>Not Included</v>
      </c>
      <c r="CB7" s="11" t="str">
        <f>IF(BX7, IF(COUNTIF(Raw!AV7:BK7, "&gt;=0") = 16, SUM(Raw!AV7,Raw!AW7,Raw!AY7,Raw!AZ7,Raw!BA7,Raw!BC7,Raw!BF7,Raw!BH7,Raw!BI7,Raw!BK7) / SUM(Raw!AV7:BK7), "No Contingency Table"), "Not Included")</f>
        <v>Not Included</v>
      </c>
      <c r="CC7" s="11" t="str">
        <f>IF(BX7, IF(COUNTIF(Raw!AV7:BK7, "&gt;=0") = 16,SUM(SUM(Raw!BD7,Raw!BE7,Raw!BF7,Raw!BG7)*SUM(Raw!BF7,Raw!AX7,Raw!BB7,Raw!BJ7),SUM(Raw!AV7:BC7,Raw!BH7:BK7)*SUM(Raw!AV7,Raw!AW7,Raw!AY7,Raw!AZ7,Raw!BA7,Raw!BC7,Raw!BD7,Raw!BE7,Raw!BG7,Raw!BH7,Raw!BI7,Raw!BK7))/BZ7^2,"No Contingency Table"), "Not Included")</f>
        <v>Not Included</v>
      </c>
      <c r="CD7" s="11" t="str">
        <f>IF(BX7, IF(COUNTIF(Raw!AV7:BK7, "&gt;=0") = 16,(CB7 - CC7) / (1 - CC7+0.000001),"No Contingency Table"), "Not Included")</f>
        <v>Not Included</v>
      </c>
      <c r="CE7" s="11" t="b">
        <f t="shared" ref="CE7:CG7" si="42">BQ7</f>
        <v>0</v>
      </c>
      <c r="CF7" s="11" t="str">
        <f t="shared" si="42"/>
        <v>Not Included</v>
      </c>
      <c r="CG7" s="11" t="str">
        <f t="shared" si="42"/>
        <v>Not Included</v>
      </c>
      <c r="CH7" s="11" t="str">
        <f>IF(CE7, IF(COUNTIF(Raw!AV7:BK7, "&gt;=0") = 16, IFERROR((CG7*Raw!BA7 - SUM(Raw!BA7, Raw!AZ7, Raw!BB7, Raw!BC7)*SUM(Raw!BA7, Raw!AW7, Raw!BE7, Raw!BI7)) / SQRT((CG7*SUM(Raw!BA7, Raw!AZ7, Raw!BB7, Raw!BC7) - SUM(Raw!BA7, Raw!AZ7, Raw!BB7, Raw!BC7)^2) * (CG7*SUM(Raw!BA7, Raw!AW7, Raw!BE7, Raw!BI7) - SUM(Raw!BA7, Raw!AW7, Raw!BE7, Raw!BI7)^2)), 0), "No Contingency Table"), "Not Included")</f>
        <v>Not Included</v>
      </c>
      <c r="CI7" s="11" t="str">
        <f>IF(CE7, IF(COUNTIF(Raw!AV7:BK7, "&gt;=0") = 16, SUM(Raw!AV7,Raw!AX7,Raw!AY7,Raw!BA7,Raw!BD7,Raw!BF7,Raw!BG7,Raw!BH7,Raw!BJ7,Raw!BK7) / SUM(Raw!AV7:BK7), "No Contingency Table"), "Not Included")</f>
        <v>Not Included</v>
      </c>
      <c r="CJ7" s="61" t="str">
        <f>IF(BX7, IF(COUNTIF(Raw!AV7:BK7, "&gt;=0") = 16,SUM(SUM(Raw!AZ7,Raw!BA7,Raw!BB7,Raw!BC7)*SUM(Raw!BA7,Raw!AW7,Raw!BE7,Raw!BI7),SUM(Raw!AV7:AY7,Raw!BD7:BK7)*SUM(Raw!AV7,Raw!AX7,Raw!AY7,Raw!AZ7,Raw!BB7,Raw!BC7,Raw!BD7,Raw!BF7,Raw!BG7,Raw!BH7,Raw!BJ7,Raw!BK7))/CG7^2,"No Contingency Table"), "Not Included")</f>
        <v>Not Included</v>
      </c>
      <c r="CK7" s="11" t="str">
        <f>IF(BX7, IF(COUNTIF(Raw!AV7:BK7, "&gt;=0") = 16,(CI7 - CJ7) / (1 - CJ7),"No Contingency Table"), "Not Included")</f>
        <v>Not Included</v>
      </c>
      <c r="CL7" s="11" t="str">
        <f>IF(BQ7, IFERROR(Raw!AV7/SUM(Raw!AV7:AY7), 0), "Not Included")</f>
        <v>Not Included</v>
      </c>
      <c r="CM7" s="11" t="str">
        <f>IF(BQ7, IFERROR(Raw!BA7/SUM(Raw!AZ7:BC7), 0), "Not Included")</f>
        <v>Not Included</v>
      </c>
      <c r="CN7" s="11" t="str">
        <f>IF(BQ7, IFERROR(Raw!BF7/SUM(Raw!BD7:BG7), 0), "Not Included")</f>
        <v>Not Included</v>
      </c>
      <c r="CO7" s="11" t="str">
        <f>IF(BQ7, IFERROR(Raw!BK7/SUM(Raw!BH7:BK7), 0), "Not Included")</f>
        <v>Not Included</v>
      </c>
      <c r="CP7" s="11" t="str">
        <f>IF(BQ7, IFERROR(SUM(Raw!AV7,Raw!AX7,Raw!AY7,Raw!BD7,Raw!BF7,Raw!BG7,Raw!BH7,Raw!BJ7,Raw!BK7)/SUM(Raw!AV7,Raw!AW7,Raw!AX7,Raw!AY7,Raw!BD7,Raw!BE7,Raw!BF7,Raw!BG7,Raw!BH7,Raw!BI7,Raw!BJ7,Raw!BK7), 0), "Not Included")</f>
        <v>Not Included</v>
      </c>
      <c r="CQ7" s="11" t="str">
        <f>IF(BQ7, IFERROR(SUM(Raw!AV7:AX7,Raw!AZ7:BB7,Raw!BD7:BF7)/SUM(Raw!AV7:BF7), 0), "Not Included")</f>
        <v>Not Included</v>
      </c>
      <c r="CR7" s="11" t="str">
        <f>IF(BQ7, IFERROR(SUM(Raw!AV7:AY7), 0), "Not Included")</f>
        <v>Not Included</v>
      </c>
      <c r="CS7" s="11" t="str">
        <f>IF(BQ7, IFERROR(SUM(Raw!AZ7:BC7), 0), "Not Included")</f>
        <v>Not Included</v>
      </c>
      <c r="CT7" s="11" t="str">
        <f>IF(BQ7, IFERROR(SUM(Raw!BD7:BG7), 0), "Not Included")</f>
        <v>Not Included</v>
      </c>
      <c r="CU7" s="11" t="str">
        <f>IF(BQ7, IFERROR(SUM(Raw!BH7:BK7), 0), "Not Included")</f>
        <v>Not Included</v>
      </c>
      <c r="CV7" s="11" t="str">
        <f>IF(BQ7, IFERROR(SUM(Raw!AV7,Raw!AW7,Raw!AX7,Raw!AY7,Raw!BD7,Raw!BE7,Raw!BF7,Raw!BG7,Raw!BH7,Raw!BI7,Raw!BJ7,Raw!BK7), 0), "Not Included")</f>
        <v>Not Included</v>
      </c>
      <c r="CW7" s="11" t="str">
        <f>IF(BQ7, IFERROR(SUM(Raw!AV7:BF7), 0), "Not Included")</f>
        <v>Not Included</v>
      </c>
      <c r="CX7" s="11" t="str">
        <f>IF(BQ7, IFERROR((CR7*SUM(Raw!AV7,Raw!AZ7,Raw!BD7,Raw!BH7))/BS7/CR7, 0), "Not Included")</f>
        <v>Not Included</v>
      </c>
      <c r="CY7" s="11" t="str">
        <f>IF(BX7, IFERROR((CS7*SUM(Raw!BA7,Raw!AW7,Raw!BE7,Raw!BI7))/CG7/CS7, 0), "Not Included")</f>
        <v>Not Included</v>
      </c>
      <c r="CZ7" s="11" t="str">
        <f>IF(BX7, IFERROR((CT7*SUM(Raw!BF7,Raw!AX7,Raw!BB7,Raw!BJ7))/BZ7/CT7, 0), "Not Included")</f>
        <v>Not Included</v>
      </c>
      <c r="DA7" s="11" t="str">
        <f>IF(AY7, IFERROR((CU7*SUM(Raw!AY7,Raw!BC7,Raw!BG7,Raw!BK7))/AT7/CU7, 0), "Not Included")</f>
        <v>Not Included</v>
      </c>
      <c r="DB7" s="11" t="str">
        <f>IF(BX7, IFERROR((CV7*SUM(Raw!AV7,Raw!AX7,Raw!AY7,Raw!AZ7,Raw!BB7,Raw!BC7,Raw!BD7,Raw!BF7,Raw!BG7,Raw!BH7,Raw!BJ7,Raw!BK7))/CG7/CV7,0), "Not Included")</f>
        <v>Not Included</v>
      </c>
      <c r="DC7" s="11" t="str">
        <f>IF(AY7, IFERROR((CW7*SUM(Raw!AV7,Raw!AW7,Raw!AX7,Raw!AZ7,Raw!BA7,Raw!BB7,Raw!BD7,Raw!BE7,Raw!BF7,Raw!BH7,Raw!BI7,Raw!BJ7))/AT7/CW7,0), "Not Included")</f>
        <v>Not Included</v>
      </c>
    </row>
    <row r="8" spans="1:107" ht="12.75" customHeight="1">
      <c r="A8" s="11">
        <f>Raw!D8</f>
        <v>5</v>
      </c>
      <c r="B8" s="11" t="str">
        <f>Raw!A8</f>
        <v>Barnett et al. (2006)</v>
      </c>
      <c r="C8" s="11">
        <f>Raw!G8</f>
        <v>1</v>
      </c>
      <c r="D8" s="11" t="str">
        <f>Raw!E8</f>
        <v>Single sample</v>
      </c>
      <c r="E8" s="11" t="str">
        <f>CONCATENATE(IF(Raw!I8&lt;='Interval Definitions'!$B$2, 'Interval Definitions'!$A$2, IF(Raw!I8&lt;='Interval Definitions'!$B$3, 'Interval Definitions'!$A$3, IF(Raw!I8&lt;='Interval Definitions'!$B$4, 'Interval Definitions'!$A$4, IF(Raw!I8&lt;='Interval Definitions'!$B$5, 'Interval Definitions'!$A$5, "None")))), " - ", IF(Raw!J8&lt;='Interval Definitions'!$B$2, 'Interval Definitions'!$A$2, IF(Raw!J8&lt;='Interval Definitions'!$B$3, 'Interval Definitions'!$A$3, IF(Raw!J8&lt;='Interval Definitions'!$B$4, 'Interval Definitions'!$A$4, IF(Raw!J8&lt;='Interval Definitions'!$B$5, 'Interval Definitions'!$A$5, "None")))))</f>
        <v>Toddlerhood - Preschool</v>
      </c>
      <c r="F8" s="11" t="b">
        <f>OR(NOT(ISBLANK(Raw!AF8)),NOT(ISBLANK(Raw!AG8)),NOT(ISBLANK(Raw!AH8)),NOT(ISBLANK(Raw!AI8)),COUNTIF(Raw!AA8:AD8, "&gt;=0") = 4)</f>
        <v>1</v>
      </c>
      <c r="G8" s="11" t="str">
        <f>IF(F8, IF(COUNTIF(Raw!AA8:AD8,"&gt;=0") = 4, "Contingency", IF(NOT(ISBLANK(Raw!AF8)), "Paper r", IF(NOT(ISBLANK(Raw!AG8)), "Pinquart", IF(NOT(ISBLANK(Raw!AH8)), "Fraley", "Paper chiSq")))), "Not Included")</f>
        <v>Contingency</v>
      </c>
      <c r="H8" s="15">
        <f>IF(F8,Raw!AE8,"Not Included")</f>
        <v>50</v>
      </c>
      <c r="I8" s="15">
        <f>IF(COUNTIF(Raw!AA8:AD8,"&gt;=0") = 4, SUM(Raw!AA8:AD8), "No Contingency Table")</f>
        <v>47</v>
      </c>
      <c r="J8" s="15">
        <f t="shared" si="0"/>
        <v>47</v>
      </c>
      <c r="K8" s="38">
        <f>IF(F8, IF(COUNTIF(Raw!AA8:AD8,"&gt;=0") = 4, IFERROR((I8*Raw!AA8 - SUM(Raw!AA8,Raw!AB8)*SUM(Raw!AA8,Raw!AD8)) / SQRT((I8*SUM(Raw!AA8,Raw!AB8) - SUM(Raw!AA8,Raw!AB8)^2) * (I8*SUM(Raw!AA8,Raw!AD8) - SUM(Raw!AA8,Raw!AD8)^2)), 0), "No Contingency Table"), "Not Included")</f>
        <v>-8.515098432270124E-2</v>
      </c>
      <c r="L8" s="41">
        <f>IF(F8,IF(NOT(ISBLANK(Raw!AF8)), Raw!AF8, IF(NOT(ISBLANK(Raw!AG8)), Raw!AG8, IF(NOT(ISBLANK(Raw!AH8)), Raw!AH8, IF(NOT(ISBLANK(Raw!AI8)), SQRT(Raw!AI8/H8)*Raw!AJ8, "Not Reported")))),"Not Included")</f>
        <v>-0.09</v>
      </c>
      <c r="M8" s="43">
        <f t="shared" si="1"/>
        <v>-8.515098432270124E-2</v>
      </c>
      <c r="N8" s="11">
        <f t="shared" si="2"/>
        <v>1</v>
      </c>
      <c r="O8" s="48" t="b">
        <f>OR(NOT(ISBLANK(Raw!AK8)), COUNTIF(Raw!AA8:AD8, "&gt;=0") = 4)</f>
        <v>1</v>
      </c>
      <c r="P8" s="24" t="str">
        <f>IF(O8,IF(COUNTIF(Raw!AA8:AD8,"&gt;=0") = 4,"Contingency", "Paper k"), "Not Included")</f>
        <v>Contingency</v>
      </c>
      <c r="Q8" s="48">
        <f>IF(O8, IF(COUNTIF(Raw!AA8:AD8,"&gt;=0") = 4,SUM(Raw!AA8,Raw!AC8)/H8,"No Contingency Table"), "Not Included")</f>
        <v>0.44</v>
      </c>
      <c r="R8" s="38">
        <f>IF(O8, IF(COUNTIF(Raw!AA8:AD8, "&gt;=0") = 4,SUM(SUM(Raw!AA8,Raw!AB8)*SUM(Raw!AA8,Raw!AD8),SUM(Raw!AC8,Raw!AD8)*SUM(Raw!AC8,Raw!AB8))/H8^2,"No Contingency Table"), "Not Included")</f>
        <v>0.44640000000000002</v>
      </c>
      <c r="S8" s="38">
        <f>IF(O8, IF(COUNTIF(Raw!AA8:AD8,"&gt;=0") = 4, IFERROR((Q8 - R8) / (1 - R8), "Could not calculate"), "No Contingency Table"), "Not Included")</f>
        <v>-1.1560693641618528E-2</v>
      </c>
      <c r="T8" s="52" t="str">
        <f>IF(O8,IF(NOT(ISBLANK(Raw!AK8)), Raw!AK8, "Not Reported"), "Not Included")</f>
        <v>Not Reported</v>
      </c>
      <c r="U8" s="38">
        <f t="shared" si="3"/>
        <v>-1.1560693641618528E-2</v>
      </c>
      <c r="V8" s="11" t="str">
        <f t="shared" si="4"/>
        <v>NA</v>
      </c>
      <c r="W8" s="11" t="b">
        <f>OR(NOT(ISBLANK(Raw!AU8)),COUNTIF(Raw!AL8:AT8,"&gt;=0") = 9)</f>
        <v>0</v>
      </c>
      <c r="X8" s="11" t="str">
        <f>IF(W8, IF(COUNTIF(Raw!AL8:AT8,"&gt;=0") = 9, "Contingency", "Paper k"), "Not Included")</f>
        <v>Not Included</v>
      </c>
      <c r="Y8" s="11" t="str">
        <f>IF(W8,IF(COUNTIF(Raw!AL8:AT8,"&gt;=0") = 9,SUM(Raw!AL8:AT8),"No Contingency Table"),"Not Included")</f>
        <v>Not Included</v>
      </c>
      <c r="Z8" s="11" t="str">
        <f t="shared" si="5"/>
        <v>Not Included</v>
      </c>
      <c r="AA8" s="11" t="str">
        <f>IF(W8,IF(COUNTIF(Raw!AL8:AT8,"&gt;=0") = 9,SUM(Raw!AL8,Raw!AP8,Raw!AT8)/Y8,"No Contingency Table"), "Not Included")</f>
        <v>Not Included</v>
      </c>
      <c r="AB8" s="11" t="str">
        <f>IF(W8,IF(COUNTIF(Raw!AL8:AT8,"&gt;=0") = 9,SUM(SUM(Raw!AL8,Raw!AM8,Raw!AN8)*SUM(Raw!AL8,Raw!AO8,Raw!AR8),SUM(Raw!AO8,Raw!AP8,Raw!AQ8)*SUM(Raw!AM8,Raw!AP8,Raw!AS8),SUM(Raw!AR8,Raw!AS8,Raw!AT8)*SUM(Raw!AN8,Raw!AQ8,Raw!AT8))/Y8^2,"No Contingency Table"), "Not Included")</f>
        <v>Not Included</v>
      </c>
      <c r="AC8" s="11" t="str">
        <f>IF(W8,IF(COUNTIF(Raw!AL8:AT8,"&gt;=0") = 9,(AA8 - AB8) / (1 - AB8),"No Contingency Table"), "Not Included")</f>
        <v>Not Included</v>
      </c>
      <c r="AD8" s="11" t="str">
        <f>IF(W8, IF(NOT(ISBLANK(Raw!AU8)),Raw!AU8,"Not Reported"), "Not Included")</f>
        <v>Not Included</v>
      </c>
      <c r="AE8" s="11" t="str">
        <f t="shared" si="6"/>
        <v>Not Included</v>
      </c>
      <c r="AF8" s="11" t="str">
        <f t="shared" si="7"/>
        <v>Not Included</v>
      </c>
      <c r="AG8" s="11" t="b">
        <f>COUNTIF(Raw!AV8:BK8, "&gt;=0") = 16</f>
        <v>0</v>
      </c>
      <c r="AH8" s="11" t="str">
        <f>IF(AG8, IF(COUNTIF(Raw!AV8:BK8,"&gt;=0") = 16, "Contingency", "Paper k"), "Not Included")</f>
        <v>Not Included</v>
      </c>
      <c r="AI8" s="11" t="str">
        <f>IF(AG8,IF(COUNTIF(Raw!AV8:BK8,"&gt;=0") = 16,SUM(Raw!AV8:BK8),"No Contingency Table"),"Not Included")</f>
        <v>Not Included</v>
      </c>
      <c r="AJ8" s="15">
        <f t="shared" si="8"/>
        <v>47</v>
      </c>
      <c r="AK8" s="11" t="str">
        <f>IF(AG8,IF(COUNTIF(Raw!AV8:BK8,"&gt;=0") = 16,SUM(Raw!AV8,Raw!BA8,Raw!BF8,Raw!BK8)/AI8,"No Contingency Table"), "Not Included")</f>
        <v>Not Included</v>
      </c>
      <c r="AL8" s="11" t="str">
        <f>IF(AG8,IF(COUNTIF(Raw!AV8:BK8,"&gt;=0") = 16,SUM(SUM(Raw!AV8,Raw!AW8,Raw!AX8,Raw!AY8)*SUM(Raw!AV8,Raw!AZ8,Raw!BD8,Raw!BH8),SUM(Raw!AZ8,Raw!BA8,Raw!BB8,Raw!BC8)*SUM(Raw!AW8,Raw!BA8,Raw!BE8,Raw!BI8),SUM(Raw!BD8,Raw!BE8,Raw!BF8,Raw!BG8)*SUM(Raw!AX8,Raw!BB8,Raw!BF8,Raw!BJ8),SUM(Raw!BH8,Raw!BI8,Raw!BJ8,Raw!BK8)*SUM(Raw!AY8,Raw!BC8,Raw!BG8,Raw!BK8))/AI8^2,"No Contingency Table"), "Not Included")</f>
        <v>Not Included</v>
      </c>
      <c r="AM8" s="11" t="str">
        <f>IF(AG8,IF(COUNTIF(Raw!AV8:BK8,"&gt;=0") = 16,(AK8 - AL8) / (1 - AL8),"No Contingency Table"), "Not Included")</f>
        <v>Not Included</v>
      </c>
      <c r="AN8" s="11" t="str">
        <f>IF(NOT(ISBLANK(Raw!BL8)),Raw!BL8,"Not Reported")</f>
        <v>Not Reported</v>
      </c>
      <c r="AO8" s="11" t="str">
        <f t="shared" si="9"/>
        <v>Not Reported</v>
      </c>
      <c r="AP8" s="11" t="str">
        <f t="shared" si="10"/>
        <v>Not Included</v>
      </c>
      <c r="AQ8" s="11" t="b">
        <f t="shared" ref="AQ8:AR8" si="43">BQ8</f>
        <v>0</v>
      </c>
      <c r="AR8" s="11" t="str">
        <f t="shared" si="43"/>
        <v>Not Included</v>
      </c>
      <c r="AS8" s="11" t="str">
        <f t="shared" si="12"/>
        <v>Not Included</v>
      </c>
      <c r="AT8" s="11" t="str">
        <f t="shared" si="13"/>
        <v>Not Included</v>
      </c>
      <c r="AU8" s="11" t="str">
        <f>IF(AQ8, IF(COUNTIF(Raw!AV8:BK8, "&gt;=0") = 16, IFERROR((AT8*Raw!BK8 - SUM(Raw!BH8, Raw!BI8, Raw!BJ8, Raw!BK8)*SUM(Raw!AY8, Raw!BC8, Raw!BG8, Raw!BK8)) / SQRT((AT8*SUM(Raw!BH8, Raw!BI8, Raw!BJ8, Raw!BK8) - SUM(Raw!BH8, Raw!BI8, Raw!BJ8, Raw!BK8)^2) * (AT8*SUM(Raw!AY8, Raw!BC8, Raw!BG8, Raw!BK8) - SUM(Raw!AY8, Raw!BC8, Raw!BG8, Raw!BK8)^2)), 0), "No Contingency Table"), "Not Included")</f>
        <v>Not Included</v>
      </c>
      <c r="AV8" s="11" t="str">
        <f>IF(AQ8,IF(NOT(ISBLANK(Raw!BQ8)), Raw!BQ8, IF(NOT(ISBLANK(Raw!BR8)), Raw!BR8, "Not Reported")), "Not Included")</f>
        <v>Not Included</v>
      </c>
      <c r="AW8" s="57" t="str">
        <f t="shared" si="14"/>
        <v>Not Included</v>
      </c>
      <c r="AX8" s="11" t="str">
        <f t="shared" si="15"/>
        <v>Not Included</v>
      </c>
      <c r="AY8" s="11" t="b">
        <f t="shared" ref="AY8:AZ8" si="44">AQ8</f>
        <v>0</v>
      </c>
      <c r="AZ8" s="11" t="str">
        <f t="shared" si="44"/>
        <v>Not Included</v>
      </c>
      <c r="BA8" s="11" t="str">
        <f>IF(AY8, IF(COUNTIF(Raw!AV8:BK8, "&gt;=0") = 16, SUM(Raw!AV8,Raw!AW8,Raw!AX8,Raw!AZ8,Raw!BA8,Raw!BB8,Raw!BD8,Raw!BE8,Raw!BF8,Raw!BK8)/SUM(Raw!AV8:BK8), "No Contingency Table"), "Not Included")</f>
        <v>Not Included</v>
      </c>
      <c r="BB8" s="11" t="str">
        <f>IF(AY8, IF(COUNTIF(Raw!AV8:BK8, "&gt;=0") = 16,SUM(SUM(Raw!BH8,Raw!BI8,Raw!BJ8,Raw!BK8)*SUM(Raw!AY8,Raw!BC8,Raw!BG8,Raw!BK8),SUM(Raw!AV8:BG8)*SUM(Raw!AV8,Raw!AW8,Raw!AX8,Raw!AZ8,Raw!BA8,Raw!BB8,Raw!BD8,Raw!BE8,Raw!BF8,Raw!BH8,Raw!BI8,Raw!BJ8))/AT8^2,"No Contingency Table"), "Not Included")</f>
        <v>Not Included</v>
      </c>
      <c r="BC8" s="11" t="str">
        <f>IF(AY8, IF(COUNTIF(Raw!AV8:BK8, "&gt;=0") = 16,(BA8-BB8) / (1 - BB8),"No Contingency Table"), "Not Included")</f>
        <v>Not Included</v>
      </c>
      <c r="BD8" s="11" t="str">
        <f>IF(AY8,IF(NOT(ISBLANK(Raw!BT29)),Raw!BT29,"Not Reported"),"Not Included")</f>
        <v>Not Included</v>
      </c>
      <c r="BE8" s="11" t="str">
        <f t="shared" si="17"/>
        <v>Not Included</v>
      </c>
      <c r="BF8" s="11" t="str">
        <f t="shared" si="18"/>
        <v>Not Included</v>
      </c>
      <c r="BG8" s="11">
        <f>Raw!K8</f>
        <v>2006</v>
      </c>
      <c r="BH8" s="11" t="str">
        <f>IF(Raw!L8 = "USA","USA","Non-USA")</f>
        <v>USA</v>
      </c>
      <c r="BI8" s="11" t="str">
        <f>Raw!M8</f>
        <v>NA</v>
      </c>
      <c r="BJ8" s="11">
        <f>Raw!N8</f>
        <v>1</v>
      </c>
      <c r="BK8" s="11">
        <f>Raw!P8</f>
        <v>0</v>
      </c>
      <c r="BL8" s="11">
        <f>Raw!Q8</f>
        <v>1</v>
      </c>
      <c r="BM8" s="11">
        <f>Raw!T8</f>
        <v>1</v>
      </c>
      <c r="BN8" s="11">
        <f>IFERROR(IF(AND(ISBLANK(Raw!U8), ISBLANK(Raw!V8), ISBLANK(Raw!W8), ISBLANK(Raw!X8)), "NA", IF(OR(NOT(ISBLANK(Raw!U8)), NOT(ISBLANK(Raw!W8))), AVERAGE(Raw!U8,Raw!W8), AVERAGE(Raw!V8,Raw!X8) + IF(Raw!Y8 = "2-way", R8, IF(Raw!Y8 = "3-way", AB8, IF(Raw!Y8 = "4-way", AL8, "NA")))*(1 - AVERAGE(Raw!V8,Raw!X8)))), "NA")</f>
        <v>0.94</v>
      </c>
      <c r="BO8" s="11">
        <f>Raw!O8</f>
        <v>0</v>
      </c>
      <c r="BP8" s="11" t="str">
        <f>Raw!F8</f>
        <v>Female</v>
      </c>
      <c r="BQ8" s="11" t="b">
        <f>COUNTIF(Raw!AV8:BK8, "&gt;=0") = 16</f>
        <v>0</v>
      </c>
      <c r="BR8" s="11" t="str">
        <f t="shared" si="19"/>
        <v>Not Included</v>
      </c>
      <c r="BS8" s="11" t="str">
        <f t="shared" si="20"/>
        <v>Not Included</v>
      </c>
      <c r="BT8" s="11" t="str">
        <f>IF(BQ8, IF(COUNTIF(Raw!AV8:BK8, "&gt;=0") = 16, IFERROR((BS8*Raw!AV8 - SUM(Raw!AV8, Raw!AW8, Raw!AX8, Raw!AY8)*SUM(Raw!AV8, Raw!AZ8, Raw!BD8, Raw!BH8)) / SQRT((BS8*SUM(Raw!AV8, Raw!AW8, Raw!AX8, Raw!AY8) - SUM(Raw!AV8, Raw!AW8, Raw!AX8, Raw!AY8)^2) * (BS8*SUM(Raw!AV8, Raw!AZ8, Raw!BD8, Raw!BH8) - SUM(Raw!AV8, Raw!AZ8, Raw!BD8, Raw!BH8)^2)), 0), "No Contingency Table"), "Not Included")</f>
        <v>Not Included</v>
      </c>
      <c r="BU8" s="11" t="str">
        <f>IF(BQ8, IF(COUNTIF(Raw!AV8:BK8, "&gt;=0") = 16, SUM(Raw!BK8,Raw!BJ8,Raw!BI8,Raw!BG8,Raw!BF8,Raw!BE8,Raw!BC8,Raw!BB8,Raw!BA8,Raw!AV8)/SUM(Raw!AV8:BK8), "No Contingency Table"), "Not Included")</f>
        <v>Not Included</v>
      </c>
      <c r="BV8" s="11" t="str">
        <f>IF(BQ8, IF(COUNTIF(Raw!AV8:BK8, "&gt;=0") = 16,SUM(SUM(Raw!AV8,Raw!AW8,Raw!AX8,Raw!AY8)*SUM(Raw!AV8,Raw!AZ8,Raw!BD8,Raw!BH8),SUM(Raw!AZ8:BK8)*SUM(Raw!AW8,Raw!AX8,Raw!AY8,Raw!BA8,Raw!BB8,Raw!BC8,Raw!BE8,Raw!BF8,Raw!BG8,Raw!BI8,Raw!BJ8,Raw!BK8))/BS8^2,"No Contingency Table"), "Not Included")</f>
        <v>Not Included</v>
      </c>
      <c r="BW8" s="11" t="str">
        <f>IF(BQ8, IF(COUNTIF(Raw!AV8:BK8, "&gt;=0") = 16,(BU8-BV8) / (1 - BV8),"No Contingency Table"), "Not Included")</f>
        <v>Not Included</v>
      </c>
      <c r="BX8" s="11" t="b">
        <f t="shared" ref="BX8:BZ8" si="45">BQ8</f>
        <v>0</v>
      </c>
      <c r="BY8" s="11" t="str">
        <f t="shared" si="45"/>
        <v>Not Included</v>
      </c>
      <c r="BZ8" s="11" t="str">
        <f t="shared" si="45"/>
        <v>Not Included</v>
      </c>
      <c r="CA8" s="11" t="str">
        <f>IF(BX8, IF(COUNTIF(Raw!AV8:BK8, "&gt;=0") = 16, IFERROR((BZ8*Raw!BF8 - SUM(Raw!BD8, Raw!BE8, Raw!BF8, Raw!BG8)*SUM(Raw!BF8, Raw!AX8, Raw!BB8, Raw!BJ8)) / SQRT((BZ8*SUM(Raw!BD8, Raw!BE8, Raw!BF8, Raw!BG8) - SUM(Raw!BD8, Raw!BE8, Raw!BF8, Raw!BG8)^2) * (BZ8*SUM(Raw!BF8, Raw!AX8, Raw!BB8, Raw!BJ8) - SUM(Raw!BF8, Raw!AX8, Raw!BB8, Raw!BJ8)^2)), 0), "No Contingency Table"), "Not Included")</f>
        <v>Not Included</v>
      </c>
      <c r="CB8" s="11" t="str">
        <f>IF(BX8, IF(COUNTIF(Raw!AV8:BK8, "&gt;=0") = 16, SUM(Raw!AV8,Raw!AW8,Raw!AY8,Raw!AZ8,Raw!BA8,Raw!BC8,Raw!BF8,Raw!BH8,Raw!BI8,Raw!BK8) / SUM(Raw!AV8:BK8), "No Contingency Table"), "Not Included")</f>
        <v>Not Included</v>
      </c>
      <c r="CC8" s="11" t="str">
        <f>IF(BX8, IF(COUNTIF(Raw!AV8:BK8, "&gt;=0") = 16,SUM(SUM(Raw!BD8,Raw!BE8,Raw!BF8,Raw!BG8)*SUM(Raw!BF8,Raw!AX8,Raw!BB8,Raw!BJ8),SUM(Raw!AV8:BC8,Raw!BH8:BK8)*SUM(Raw!AV8,Raw!AW8,Raw!AY8,Raw!AZ8,Raw!BA8,Raw!BC8,Raw!BD8,Raw!BE8,Raw!BG8,Raw!BH8,Raw!BI8,Raw!BK8))/BZ8^2,"No Contingency Table"), "Not Included")</f>
        <v>Not Included</v>
      </c>
      <c r="CD8" s="11" t="str">
        <f>IF(BX8, IF(COUNTIF(Raw!AV8:BK8, "&gt;=0") = 16,(CB8 - CC8) / (1 - CC8+0.000001),"No Contingency Table"), "Not Included")</f>
        <v>Not Included</v>
      </c>
      <c r="CE8" s="11" t="b">
        <f t="shared" ref="CE8:CG8" si="46">BQ8</f>
        <v>0</v>
      </c>
      <c r="CF8" s="11" t="str">
        <f t="shared" si="46"/>
        <v>Not Included</v>
      </c>
      <c r="CG8" s="11" t="str">
        <f t="shared" si="46"/>
        <v>Not Included</v>
      </c>
      <c r="CH8" s="11" t="str">
        <f>IF(CE8, IF(COUNTIF(Raw!AV8:BK8, "&gt;=0") = 16, IFERROR((CG8*Raw!BA8 - SUM(Raw!BA8, Raw!AZ8, Raw!BB8, Raw!BC8)*SUM(Raw!BA8, Raw!AW8, Raw!BE8, Raw!BI8)) / SQRT((CG8*SUM(Raw!BA8, Raw!AZ8, Raw!BB8, Raw!BC8) - SUM(Raw!BA8, Raw!AZ8, Raw!BB8, Raw!BC8)^2) * (CG8*SUM(Raw!BA8, Raw!AW8, Raw!BE8, Raw!BI8) - SUM(Raw!BA8, Raw!AW8, Raw!BE8, Raw!BI8)^2)), 0), "No Contingency Table"), "Not Included")</f>
        <v>Not Included</v>
      </c>
      <c r="CI8" s="11" t="str">
        <f>IF(CE8, IF(COUNTIF(Raw!AV8:BK8, "&gt;=0") = 16, SUM(Raw!AV8,Raw!AX8,Raw!AY8,Raw!BA8,Raw!BD8,Raw!BF8,Raw!BG8,Raw!BH8,Raw!BJ8,Raw!BK8) / SUM(Raw!AV8:BK8), "No Contingency Table"), "Not Included")</f>
        <v>Not Included</v>
      </c>
      <c r="CJ8" s="61" t="str">
        <f>IF(BX8, IF(COUNTIF(Raw!AV8:BK8, "&gt;=0") = 16,SUM(SUM(Raw!AZ8,Raw!BA8,Raw!BB8,Raw!BC8)*SUM(Raw!BA8,Raw!AW8,Raw!BE8,Raw!BI8),SUM(Raw!AV8:AY8,Raw!BD8:BK8)*SUM(Raw!AV8,Raw!AX8,Raw!AY8,Raw!AZ8,Raw!BB8,Raw!BC8,Raw!BD8,Raw!BF8,Raw!BG8,Raw!BH8,Raw!BJ8,Raw!BK8))/CG8^2,"No Contingency Table"), "Not Included")</f>
        <v>Not Included</v>
      </c>
      <c r="CK8" s="11" t="str">
        <f>IF(BX8, IF(COUNTIF(Raw!AV8:BK8, "&gt;=0") = 16,(CI8 - CJ8) / (1 - CJ8),"No Contingency Table"), "Not Included")</f>
        <v>Not Included</v>
      </c>
      <c r="CL8" s="11" t="str">
        <f>IF(BQ8, IFERROR(Raw!AV8/SUM(Raw!AV8:AY8), 0), "Not Included")</f>
        <v>Not Included</v>
      </c>
      <c r="CM8" s="11" t="str">
        <f>IF(BQ8, IFERROR(Raw!BA8/SUM(Raw!AZ8:BC8), 0), "Not Included")</f>
        <v>Not Included</v>
      </c>
      <c r="CN8" s="11" t="str">
        <f>IF(BQ8, IFERROR(Raw!BF8/SUM(Raw!BD8:BG8), 0), "Not Included")</f>
        <v>Not Included</v>
      </c>
      <c r="CO8" s="11" t="str">
        <f>IF(BQ8, IFERROR(Raw!BK8/SUM(Raw!BH8:BK8), 0), "Not Included")</f>
        <v>Not Included</v>
      </c>
      <c r="CP8" s="11" t="str">
        <f>IF(BQ8, IFERROR(SUM(Raw!AV8,Raw!AX8,Raw!AY8,Raw!BD8,Raw!BF8,Raw!BG8,Raw!BH8,Raw!BJ8,Raw!BK8)/SUM(Raw!AV8,Raw!AW8,Raw!AX8,Raw!AY8,Raw!BD8,Raw!BE8,Raw!BF8,Raw!BG8,Raw!BH8,Raw!BI8,Raw!BJ8,Raw!BK8), 0), "Not Included")</f>
        <v>Not Included</v>
      </c>
      <c r="CQ8" s="11" t="str">
        <f>IF(BQ8, IFERROR(SUM(Raw!AV8:AX8,Raw!AZ8:BB8,Raw!BD8:BF8)/SUM(Raw!AV8:BF8), 0), "Not Included")</f>
        <v>Not Included</v>
      </c>
      <c r="CR8" s="11" t="str">
        <f>IF(BQ8, IFERROR(SUM(Raw!AV8:AY8), 0), "Not Included")</f>
        <v>Not Included</v>
      </c>
      <c r="CS8" s="11" t="str">
        <f>IF(BQ8, IFERROR(SUM(Raw!AZ8:BC8), 0), "Not Included")</f>
        <v>Not Included</v>
      </c>
      <c r="CT8" s="11" t="str">
        <f>IF(BQ8, IFERROR(SUM(Raw!BD8:BG8), 0), "Not Included")</f>
        <v>Not Included</v>
      </c>
      <c r="CU8" s="11" t="str">
        <f>IF(BQ8, IFERROR(SUM(Raw!BH8:BK8), 0), "Not Included")</f>
        <v>Not Included</v>
      </c>
      <c r="CV8" s="11" t="str">
        <f>IF(BQ8, IFERROR(SUM(Raw!AV8,Raw!AW8,Raw!AX8,Raw!AY8,Raw!BD8,Raw!BE8,Raw!BF8,Raw!BG8,Raw!BH8,Raw!BI8,Raw!BJ8,Raw!BK8), 0), "Not Included")</f>
        <v>Not Included</v>
      </c>
      <c r="CW8" s="11" t="str">
        <f>IF(BQ8, IFERROR(SUM(Raw!AV8:BF8), 0), "Not Included")</f>
        <v>Not Included</v>
      </c>
      <c r="CX8" s="11" t="str">
        <f>IF(BQ8, IFERROR((CR8*SUM(Raw!AV8,Raw!AZ8,Raw!BD8,Raw!BH8))/BS8/CR8, 0), "Not Included")</f>
        <v>Not Included</v>
      </c>
      <c r="CY8" s="11" t="str">
        <f>IF(BX8, IFERROR((CS8*SUM(Raw!BA8,Raw!AW8,Raw!BE8,Raw!BI8))/CG8/CS8, 0), "Not Included")</f>
        <v>Not Included</v>
      </c>
      <c r="CZ8" s="11" t="str">
        <f>IF(BX8, IFERROR((CT8*SUM(Raw!BF8,Raw!AX8,Raw!BB8,Raw!BJ8))/BZ8/CT8, 0), "Not Included")</f>
        <v>Not Included</v>
      </c>
      <c r="DA8" s="11" t="str">
        <f>IF(AY8, IFERROR((CU8*SUM(Raw!AY8,Raw!BC8,Raw!BG8,Raw!BK8))/AT8/CU8, 0), "Not Included")</f>
        <v>Not Included</v>
      </c>
      <c r="DB8" s="11" t="str">
        <f>IF(BX8, IFERROR((CV8*SUM(Raw!AV8,Raw!AX8,Raw!AY8,Raw!AZ8,Raw!BB8,Raw!BC8,Raw!BD8,Raw!BF8,Raw!BG8,Raw!BH8,Raw!BJ8,Raw!BK8))/CG8/CV8,0), "Not Included")</f>
        <v>Not Included</v>
      </c>
      <c r="DC8" s="11" t="str">
        <f>IF(AY8, IFERROR((CW8*SUM(Raw!AV8,Raw!AW8,Raw!AX8,Raw!AZ8,Raw!BA8,Raw!BB8,Raw!BD8,Raw!BE8,Raw!BF8,Raw!BH8,Raw!BI8,Raw!BJ8))/AT8/CW8,0), "Not Included")</f>
        <v>Not Included</v>
      </c>
    </row>
    <row r="9" spans="1:107" ht="12.75" customHeight="1">
      <c r="A9" s="11">
        <f>Raw!D9</f>
        <v>6</v>
      </c>
      <c r="B9" s="11" t="str">
        <f>Raw!A9</f>
        <v>Barnett, Ganiban &amp; Cicchetti (1999)</v>
      </c>
      <c r="C9" s="11">
        <f>Raw!G9</f>
        <v>1</v>
      </c>
      <c r="D9" s="11" t="str">
        <f>Raw!E9</f>
        <v>Comparison</v>
      </c>
      <c r="E9" s="11" t="str">
        <f>CONCATENATE(IF(Raw!I9&lt;='Interval Definitions'!$B$2, 'Interval Definitions'!$A$2, IF(Raw!I9&lt;='Interval Definitions'!$B$3, 'Interval Definitions'!$A$3, IF(Raw!I9&lt;='Interval Definitions'!$B$4, 'Interval Definitions'!$A$4, IF(Raw!I9&lt;='Interval Definitions'!$B$5, 'Interval Definitions'!$A$5, "None")))), " - ", IF(Raw!J9&lt;='Interval Definitions'!$B$2, 'Interval Definitions'!$A$2, IF(Raw!J9&lt;='Interval Definitions'!$B$3, 'Interval Definitions'!$A$3, IF(Raw!J9&lt;='Interval Definitions'!$B$4, 'Interval Definitions'!$A$4, IF(Raw!J9&lt;='Interval Definitions'!$B$5, 'Interval Definitions'!$A$5, "None")))))</f>
        <v>Infancy - Toddlerhood</v>
      </c>
      <c r="F9" s="11" t="b">
        <f>OR(NOT(ISBLANK(Raw!AF9)),NOT(ISBLANK(Raw!AG9)),NOT(ISBLANK(Raw!AH9)),NOT(ISBLANK(Raw!AI9)),COUNTIF(Raw!AA9:AD9, "&gt;=0") = 4)</f>
        <v>1</v>
      </c>
      <c r="G9" s="11" t="str">
        <f>IF(F9, IF(COUNTIF(Raw!AA9:AD9,"&gt;=0") = 4, "Contingency", IF(NOT(ISBLANK(Raw!AF9)), "Paper r", IF(NOT(ISBLANK(Raw!AG9)), "Pinquart", IF(NOT(ISBLANK(Raw!AH9)), "Fraley", "Paper chiSq")))), "Not Included")</f>
        <v>Contingency</v>
      </c>
      <c r="H9" s="15">
        <f>IF(F9,Raw!AE9,"Not Included")</f>
        <v>20</v>
      </c>
      <c r="I9" s="15">
        <f>IF(COUNTIF(Raw!AA9:AD9,"&gt;=0") = 4, SUM(Raw!AA9:AD9), "No Contingency Table")</f>
        <v>20</v>
      </c>
      <c r="J9" s="15">
        <f t="shared" si="0"/>
        <v>20</v>
      </c>
      <c r="K9" s="38">
        <f>IF(F9, IF(COUNTIF(Raw!AA9:AD9,"&gt;=0") = 4, IFERROR((I9*Raw!AA9 - SUM(Raw!AA9,Raw!AB9)*SUM(Raw!AA9,Raw!AD9)) / SQRT((I9*SUM(Raw!AA9,Raw!AB9) - SUM(Raw!AA9,Raw!AB9)^2) * (I9*SUM(Raw!AA9,Raw!AD9) - SUM(Raw!AA9,Raw!AD9)^2)), 0), "No Contingency Table"), "Not Included")</f>
        <v>0.32824397594488725</v>
      </c>
      <c r="L9" s="41">
        <f>IF(F9,IF(NOT(ISBLANK(Raw!AF9)), Raw!AF9, IF(NOT(ISBLANK(Raw!AG9)), Raw!AG9, IF(NOT(ISBLANK(Raw!AH9)), Raw!AH9, IF(NOT(ISBLANK(Raw!AI9)), SQRT(Raw!AI9/H9)*Raw!AJ9, "Not Reported")))),"Not Included")</f>
        <v>0.33</v>
      </c>
      <c r="M9" s="43">
        <f t="shared" si="1"/>
        <v>0.32824397594488725</v>
      </c>
      <c r="N9" s="11">
        <f t="shared" si="2"/>
        <v>1</v>
      </c>
      <c r="O9" s="48" t="b">
        <f>OR(NOT(ISBLANK(Raw!AK9)), COUNTIF(Raw!AA9:AD9, "&gt;=0") = 4)</f>
        <v>1</v>
      </c>
      <c r="P9" s="24" t="str">
        <f>IF(O9,IF(COUNTIF(Raw!AA9:AD9,"&gt;=0") = 4,"Contingency", "Paper k"), "Not Included")</f>
        <v>Contingency</v>
      </c>
      <c r="Q9" s="48">
        <f>IF(O9, IF(COUNTIF(Raw!AA9:AD9,"&gt;=0") = 4,SUM(Raw!AA9,Raw!AC9)/H9,"No Contingency Table"), "Not Included")</f>
        <v>0.65</v>
      </c>
      <c r="R9" s="38">
        <f>IF(O9, IF(COUNTIF(Raw!AA9:AD9, "&gt;=0") = 4,SUM(SUM(Raw!AA9,Raw!AB9)*SUM(Raw!AA9,Raw!AD9),SUM(Raw!AC9,Raw!AD9)*SUM(Raw!AC9,Raw!AB9))/H9^2,"No Contingency Table"), "Not Included")</f>
        <v>0.49</v>
      </c>
      <c r="S9" s="38">
        <f>IF(O9, IF(COUNTIF(Raw!AA9:AD9,"&gt;=0") = 4, IFERROR((Q9 - R9) / (1 - R9), "Could not calculate"), "No Contingency Table"), "Not Included")</f>
        <v>0.31372549019607848</v>
      </c>
      <c r="T9" s="52" t="str">
        <f>IF(O9,IF(NOT(ISBLANK(Raw!AK9)), Raw!AK9, "Not Reported"), "Not Included")</f>
        <v>Not Reported</v>
      </c>
      <c r="U9" s="38">
        <f t="shared" si="3"/>
        <v>0.31372549019607848</v>
      </c>
      <c r="V9" s="11" t="str">
        <f t="shared" si="4"/>
        <v>NA</v>
      </c>
      <c r="W9" s="11" t="b">
        <f>OR(NOT(ISBLANK(Raw!AU9)),COUNTIF(Raw!AL9:AT9,"&gt;=0") = 9)</f>
        <v>0</v>
      </c>
      <c r="X9" s="11" t="str">
        <f>IF(W9, IF(COUNTIF(Raw!AL9:AT9,"&gt;=0") = 9, "Contingency", "Paper k"), "Not Included")</f>
        <v>Not Included</v>
      </c>
      <c r="Y9" s="11" t="str">
        <f>IF(W9,IF(COUNTIF(Raw!AL9:AT9,"&gt;=0") = 9,SUM(Raw!AL9:AT9),"No Contingency Table"),"Not Included")</f>
        <v>Not Included</v>
      </c>
      <c r="Z9" s="11" t="str">
        <f t="shared" si="5"/>
        <v>Not Included</v>
      </c>
      <c r="AA9" s="11" t="str">
        <f>IF(W9,IF(COUNTIF(Raw!AL9:AT9,"&gt;=0") = 9,SUM(Raw!AL9,Raw!AP9,Raw!AT9)/Y9,"No Contingency Table"), "Not Included")</f>
        <v>Not Included</v>
      </c>
      <c r="AB9" s="11" t="str">
        <f>IF(W9,IF(COUNTIF(Raw!AL9:AT9,"&gt;=0") = 9,SUM(SUM(Raw!AL9,Raw!AM9,Raw!AN9)*SUM(Raw!AL9,Raw!AO9,Raw!AR9),SUM(Raw!AO9,Raw!AP9,Raw!AQ9)*SUM(Raw!AM9,Raw!AP9,Raw!AS9),SUM(Raw!AR9,Raw!AS9,Raw!AT9)*SUM(Raw!AN9,Raw!AQ9,Raw!AT9))/Y9^2,"No Contingency Table"), "Not Included")</f>
        <v>Not Included</v>
      </c>
      <c r="AC9" s="11" t="str">
        <f>IF(W9,IF(COUNTIF(Raw!AL9:AT9,"&gt;=0") = 9,(AA9 - AB9) / (1 - AB9),"No Contingency Table"), "Not Included")</f>
        <v>Not Included</v>
      </c>
      <c r="AD9" s="11" t="str">
        <f>IF(W9, IF(NOT(ISBLANK(Raw!AU9)),Raw!AU9,"Not Reported"), "Not Included")</f>
        <v>Not Included</v>
      </c>
      <c r="AE9" s="11" t="str">
        <f t="shared" si="6"/>
        <v>Not Included</v>
      </c>
      <c r="AF9" s="11" t="str">
        <f t="shared" si="7"/>
        <v>Not Included</v>
      </c>
      <c r="AG9" s="11" t="b">
        <f>COUNTIF(Raw!AV9:BK9, "&gt;=0") = 16</f>
        <v>1</v>
      </c>
      <c r="AH9" s="11" t="str">
        <f>IF(AG9, IF(COUNTIF(Raw!AV9:BK9,"&gt;=0") = 16, "Contingency", "Paper k"), "Not Included")</f>
        <v>Contingency</v>
      </c>
      <c r="AI9" s="15">
        <f>IF(AG9,IF(COUNTIF(Raw!AV9:BK9,"&gt;=0") = 16,SUM(Raw!AV9:BK9),"No Contingency Table"),"Not Included")</f>
        <v>20</v>
      </c>
      <c r="AJ9" s="15">
        <f t="shared" si="8"/>
        <v>20</v>
      </c>
      <c r="AK9" s="11">
        <f>IF(AG9,IF(COUNTIF(Raw!AV9:BK9,"&gt;=0") = 16,SUM(Raw!AV9,Raw!BA9,Raw!BF9,Raw!BK9)/AI9,"No Contingency Table"), "Not Included")</f>
        <v>0.55000000000000004</v>
      </c>
      <c r="AL9" s="11">
        <f>IF(AG9,IF(COUNTIF(Raw!AV9:BK9,"&gt;=0") = 16,SUM(SUM(Raw!AV9,Raw!AW9,Raw!AX9,Raw!AY9)*SUM(Raw!AV9,Raw!AZ9,Raw!BD9,Raw!BH9),SUM(Raw!AZ9,Raw!BA9,Raw!BB9,Raw!BC9)*SUM(Raw!AW9,Raw!BA9,Raw!BE9,Raw!BI9),SUM(Raw!BD9,Raw!BE9,Raw!BF9,Raw!BG9)*SUM(Raw!AX9,Raw!BB9,Raw!BF9,Raw!BJ9),SUM(Raw!BH9,Raw!BI9,Raw!BJ9,Raw!BK9)*SUM(Raw!AY9,Raw!BC9,Raw!BG9,Raw!BK9))/AI9^2,"No Contingency Table"), "Not Included")</f>
        <v>0.33250000000000002</v>
      </c>
      <c r="AM9" s="11">
        <f>IF(AG9,IF(COUNTIF(Raw!AV9:BK9,"&gt;=0") = 16,(AK9 - AL9) / (1 - AL9),"No Contingency Table"), "Not Included")</f>
        <v>0.32584269662921356</v>
      </c>
      <c r="AN9" s="32">
        <f>IF(NOT(ISBLANK(Raw!BL9)),Raw!BL9,"Not Reported")</f>
        <v>0.32600000000000001</v>
      </c>
      <c r="AO9" s="11">
        <f t="shared" si="9"/>
        <v>0.32584269662921356</v>
      </c>
      <c r="AP9" s="11">
        <f t="shared" si="10"/>
        <v>1</v>
      </c>
      <c r="AQ9" s="11" t="b">
        <f t="shared" ref="AQ9:AR9" si="47">BQ9</f>
        <v>1</v>
      </c>
      <c r="AR9" s="11" t="str">
        <f t="shared" si="47"/>
        <v>Contingency</v>
      </c>
      <c r="AS9" s="15">
        <f t="shared" si="12"/>
        <v>20</v>
      </c>
      <c r="AT9" s="15">
        <f t="shared" si="13"/>
        <v>20</v>
      </c>
      <c r="AU9" s="11">
        <f>IF(AQ9, IF(COUNTIF(Raw!AV9:BK9, "&gt;=0") = 16, IFERROR((AT9*Raw!BK9 - SUM(Raw!BH9, Raw!BI9, Raw!BJ9, Raw!BK9)*SUM(Raw!AY9, Raw!BC9, Raw!BG9, Raw!BK9)) / SQRT((AT9*SUM(Raw!BH9, Raw!BI9, Raw!BJ9, Raw!BK9) - SUM(Raw!BH9, Raw!BI9, Raw!BJ9, Raw!BK9)^2) * (AT9*SUM(Raw!AY9, Raw!BC9, Raw!BG9, Raw!BK9) - SUM(Raw!AY9, Raw!BC9, Raw!BG9, Raw!BK9)^2)), 0), "No Contingency Table"), "Not Included")</f>
        <v>0.52380952380952384</v>
      </c>
      <c r="AV9" s="11" t="str">
        <f>IF(AQ9,IF(NOT(ISBLANK(Raw!BQ9)), Raw!BQ9, IF(NOT(ISBLANK(Raw!BR9)), Raw!BR9, "Not Reported")), "Not Included")</f>
        <v>Not Reported</v>
      </c>
      <c r="AW9" s="57">
        <f t="shared" si="14"/>
        <v>0.52380952380952384</v>
      </c>
      <c r="AX9" s="11" t="str">
        <f t="shared" si="15"/>
        <v>NA</v>
      </c>
      <c r="AY9" s="11" t="b">
        <f t="shared" ref="AY9:AZ9" si="48">AQ9</f>
        <v>1</v>
      </c>
      <c r="AZ9" s="11" t="str">
        <f t="shared" si="48"/>
        <v>Contingency</v>
      </c>
      <c r="BA9" s="11">
        <f>IF(AY9, IF(COUNTIF(Raw!AV9:BK9, "&gt;=0") = 16, SUM(Raw!AV9,Raw!AW9,Raw!AX9,Raw!AZ9,Raw!BA9,Raw!BB9,Raw!BD9,Raw!BE9,Raw!BF9,Raw!BK9)/SUM(Raw!AV9:BK9), "No Contingency Table"), "Not Included")</f>
        <v>0.8</v>
      </c>
      <c r="BB9" s="11">
        <f>IF(AY9, IF(COUNTIF(Raw!AV9:BK9, "&gt;=0") = 16,SUM(SUM(Raw!BH9,Raw!BI9,Raw!BJ9,Raw!BK9)*SUM(Raw!AY9,Raw!BC9,Raw!BG9,Raw!BK9),SUM(Raw!AV9:BG9)*SUM(Raw!AV9,Raw!AW9,Raw!AX9,Raw!AZ9,Raw!BA9,Raw!BB9,Raw!BD9,Raw!BE9,Raw!BF9,Raw!BH9,Raw!BI9,Raw!BJ9))/AT9^2,"No Contingency Table"), "Not Included")</f>
        <v>0.57999999999999996</v>
      </c>
      <c r="BC9" s="11">
        <f>IF(AY9, IF(COUNTIF(Raw!AV9:BK9, "&gt;=0") = 16,(BA9-BB9) / (1 - BB9),"No Contingency Table"), "Not Included")</f>
        <v>0.52380952380952395</v>
      </c>
      <c r="BD9" s="32">
        <f>IF(AY9,IF(NOT(ISBLANK(Raw!BT30)),Raw!BT30,"Not Reported"),"Not Included")</f>
        <v>-0.06</v>
      </c>
      <c r="BE9" s="11">
        <f t="shared" si="17"/>
        <v>0.52380952380952395</v>
      </c>
      <c r="BF9" s="11">
        <f t="shared" si="18"/>
        <v>0</v>
      </c>
      <c r="BG9" s="11">
        <f>Raw!K9</f>
        <v>1999</v>
      </c>
      <c r="BH9" s="11" t="str">
        <f>IF(Raw!L9 = "USA","USA","Non-USA")</f>
        <v>USA</v>
      </c>
      <c r="BI9" s="11" t="str">
        <f>Raw!M9</f>
        <v>Ainsworth/Ainsworth</v>
      </c>
      <c r="BJ9" s="11">
        <f>Raw!N9</f>
        <v>1</v>
      </c>
      <c r="BK9" s="11">
        <f>Raw!P9</f>
        <v>0</v>
      </c>
      <c r="BL9" s="11">
        <f>Raw!Q9</f>
        <v>0</v>
      </c>
      <c r="BM9" s="11">
        <f>Raw!T9</f>
        <v>1</v>
      </c>
      <c r="BN9" s="11">
        <f>IFERROR(IF(AND(ISBLANK(Raw!U9), ISBLANK(Raw!V9), ISBLANK(Raw!W9), ISBLANK(Raw!X9)), "NA", IF(OR(NOT(ISBLANK(Raw!U9)), NOT(ISBLANK(Raw!W9))), AVERAGE(Raw!U9,Raw!W9), AVERAGE(Raw!V9,Raw!X9) + IF(Raw!Y9 = "2-way", R9, IF(Raw!Y9 = "3-way", AB9, IF(Raw!Y9 = "4-way", AL9, "NA")))*(1 - AVERAGE(Raw!V9,Raw!X9)))), "NA")</f>
        <v>0.89500000000000002</v>
      </c>
      <c r="BO9" s="11">
        <f>Raw!O9</f>
        <v>0</v>
      </c>
      <c r="BP9" s="11" t="str">
        <f>Raw!F9</f>
        <v>Female</v>
      </c>
      <c r="BQ9" s="11" t="b">
        <f>COUNTIF(Raw!AV9:BK9, "&gt;=0") = 16</f>
        <v>1</v>
      </c>
      <c r="BR9" s="11" t="str">
        <f t="shared" si="19"/>
        <v>Contingency</v>
      </c>
      <c r="BS9" s="15">
        <f t="shared" si="20"/>
        <v>20</v>
      </c>
      <c r="BT9" s="11">
        <f>IF(BQ9, IF(COUNTIF(Raw!AV9:BK9, "&gt;=0") = 16, IFERROR((BS9*Raw!AV9 - SUM(Raw!AV9, Raw!AW9, Raw!AX9, Raw!AY9)*SUM(Raw!AV9, Raw!AZ9, Raw!BD9, Raw!BH9)) / SQRT((BS9*SUM(Raw!AV9, Raw!AW9, Raw!AX9, Raw!AY9) - SUM(Raw!AV9, Raw!AW9, Raw!AX9, Raw!AY9)^2) * (BS9*SUM(Raw!AV9, Raw!AZ9, Raw!BD9, Raw!BH9) - SUM(Raw!AV9, Raw!AZ9, Raw!BD9, Raw!BH9)^2)), 0), "No Contingency Table"), "Not Included")</f>
        <v>-9.6373884930485335E-2</v>
      </c>
      <c r="BU9" s="11">
        <f>IF(BQ9, IF(COUNTIF(Raw!AV9:BK9, "&gt;=0") = 16, SUM(Raw!BK9,Raw!BJ9,Raw!BI9,Raw!BG9,Raw!BF9,Raw!BE9,Raw!BC9,Raw!BB9,Raw!BA9,Raw!AV9)/SUM(Raw!AV9:BK9), "No Contingency Table"), "Not Included")</f>
        <v>0.8</v>
      </c>
      <c r="BV9" s="11">
        <f>IF(BQ9, IF(COUNTIF(Raw!AV9:BK9, "&gt;=0") = 16,SUM(SUM(Raw!AV9,Raw!AW9,Raw!AX9,Raw!AY9)*SUM(Raw!AV9,Raw!AZ9,Raw!BD9,Raw!BH9),SUM(Raw!AZ9:BK9)*SUM(Raw!AW9,Raw!AX9,Raw!AY9,Raw!BA9,Raw!BB9,Raw!BC9,Raw!BE9,Raw!BF9,Raw!BG9,Raw!BI9,Raw!BJ9,Raw!BK9))/BS9^2,"No Contingency Table"), "Not Included")</f>
        <v>0.81499999999999995</v>
      </c>
      <c r="BW9" s="11">
        <f>IF(BQ9, IF(COUNTIF(Raw!AV9:BK9, "&gt;=0") = 16,(BU9-BV9) / (1 - BV9),"No Contingency Table"), "Not Included")</f>
        <v>-8.108108108108053E-2</v>
      </c>
      <c r="BX9" s="11" t="b">
        <f t="shared" ref="BX9:BZ9" si="49">BQ9</f>
        <v>1</v>
      </c>
      <c r="BY9" s="11" t="str">
        <f t="shared" si="49"/>
        <v>Contingency</v>
      </c>
      <c r="BZ9" s="15">
        <f t="shared" si="49"/>
        <v>20</v>
      </c>
      <c r="CA9" s="11">
        <f>IF(BX9, IF(COUNTIF(Raw!AV9:BK9, "&gt;=0") = 16, IFERROR((BZ9*Raw!BF9 - SUM(Raw!BD9, Raw!BE9, Raw!BF9, Raw!BG9)*SUM(Raw!BF9, Raw!AX9, Raw!BB9, Raw!BJ9)) / SQRT((BZ9*SUM(Raw!BD9, Raw!BE9, Raw!BF9, Raw!BG9) - SUM(Raw!BD9, Raw!BE9, Raw!BF9, Raw!BG9)^2) * (BZ9*SUM(Raw!BF9, Raw!AX9, Raw!BB9, Raw!BJ9) - SUM(Raw!BF9, Raw!AX9, Raw!BB9, Raw!BJ9)^2)), 0), "No Contingency Table"), "Not Included")</f>
        <v>0.32673201960653564</v>
      </c>
      <c r="CB9" s="11">
        <f>IF(BX9, IF(COUNTIF(Raw!AV9:BK9, "&gt;=0") = 16, SUM(Raw!AV9,Raw!AW9,Raw!AY9,Raw!AZ9,Raw!BA9,Raw!BC9,Raw!BF9,Raw!BH9,Raw!BI9,Raw!BK9) / SUM(Raw!AV9:BK9), "No Contingency Table"), "Not Included")</f>
        <v>0.85</v>
      </c>
      <c r="CC9" s="11">
        <f>IF(BX9, IF(COUNTIF(Raw!AV9:BK9, "&gt;=0") = 16,SUM(SUM(Raw!BD9,Raw!BE9,Raw!BF9,Raw!BG9)*SUM(Raw!BF9,Raw!AX9,Raw!BB9,Raw!BJ9),SUM(Raw!AV9:BC9,Raw!BH9:BK9)*SUM(Raw!AV9,Raw!AW9,Raw!AY9,Raw!AZ9,Raw!BA9,Raw!BC9,Raw!BD9,Raw!BE9,Raw!BG9,Raw!BH9,Raw!BI9,Raw!BK9))/BZ9^2,"No Contingency Table"), "Not Included")</f>
        <v>0.78</v>
      </c>
      <c r="CD9" s="11">
        <f>IF(BX9, IF(COUNTIF(Raw!AV9:BK9, "&gt;=0") = 16,(CB9 - CC9) / (1 - CC9+0.000001),"No Contingency Table"), "Not Included")</f>
        <v>0.31818037190740023</v>
      </c>
      <c r="CE9" s="11" t="b">
        <f t="shared" ref="CE9:CG9" si="50">BQ9</f>
        <v>1</v>
      </c>
      <c r="CF9" s="11" t="str">
        <f t="shared" si="50"/>
        <v>Contingency</v>
      </c>
      <c r="CG9" s="15">
        <f t="shared" si="50"/>
        <v>20</v>
      </c>
      <c r="CH9" s="11">
        <f>IF(CE9, IF(COUNTIF(Raw!AV9:BK9, "&gt;=0") = 16, IFERROR((CG9*Raw!BA9 - SUM(Raw!BA9, Raw!AZ9, Raw!BB9, Raw!BC9)*SUM(Raw!BA9, Raw!AW9, Raw!BE9, Raw!BI9)) / SQRT((CG9*SUM(Raw!BA9, Raw!AZ9, Raw!BB9, Raw!BC9) - SUM(Raw!BA9, Raw!AZ9, Raw!BB9, Raw!BC9)^2) * (CG9*SUM(Raw!BA9, Raw!AW9, Raw!BE9, Raw!BI9) - SUM(Raw!BA9, Raw!AW9, Raw!BE9, Raw!BI9)^2)), 0), "No Contingency Table"), "Not Included")</f>
        <v>0.32824397594488725</v>
      </c>
      <c r="CI9" s="11">
        <f>IF(CE9, IF(COUNTIF(Raw!AV9:BK9, "&gt;=0") = 16, SUM(Raw!AV9,Raw!AX9,Raw!AY9,Raw!BA9,Raw!BD9,Raw!BF9,Raw!BG9,Raw!BH9,Raw!BJ9,Raw!BK9) / SUM(Raw!AV9:BK9), "No Contingency Table"), "Not Included")</f>
        <v>0.65</v>
      </c>
      <c r="CJ9" s="61">
        <f>IF(BX9, IF(COUNTIF(Raw!AV9:BK9, "&gt;=0") = 16,SUM(SUM(Raw!AZ9,Raw!BA9,Raw!BB9,Raw!BC9)*SUM(Raw!BA9,Raw!AW9,Raw!BE9,Raw!BI9),SUM(Raw!AV9:AY9,Raw!BD9:BK9)*SUM(Raw!AV9,Raw!AX9,Raw!AY9,Raw!AZ9,Raw!BB9,Raw!BC9,Raw!BD9,Raw!BF9,Raw!BG9,Raw!BH9,Raw!BJ9,Raw!BK9))/CG9^2,"No Contingency Table"), "Not Included")</f>
        <v>0.49</v>
      </c>
      <c r="CK9" s="11">
        <f>IF(BX9, IF(COUNTIF(Raw!AV9:BK9, "&gt;=0") = 16,(CI9 - CJ9) / (1 - CJ9),"No Contingency Table"), "Not Included")</f>
        <v>0.31372549019607848</v>
      </c>
      <c r="CL9" s="11">
        <f>IF(BQ9, IFERROR(Raw!AV9/SUM(Raw!AV9:AY9), 0), "Not Included")</f>
        <v>0</v>
      </c>
      <c r="CM9" s="11">
        <f>IF(BQ9, IFERROR(Raw!BA9/SUM(Raw!AZ9:BC9), 0), "Not Included")</f>
        <v>0.75</v>
      </c>
      <c r="CN9" s="11">
        <f>IF(BQ9, IFERROR(Raw!BF9/SUM(Raw!BD9:BG9), 0), "Not Included")</f>
        <v>0.33333333333333331</v>
      </c>
      <c r="CO9" s="11">
        <f>IF(BQ9, IFERROR(Raw!BK9/SUM(Raw!BH9:BK9), 0), "Not Included")</f>
        <v>0.66666666666666663</v>
      </c>
      <c r="CP9" s="11">
        <f>IF(BQ9, IFERROR(SUM(Raw!AV9,Raw!AX9,Raw!AY9,Raw!BD9,Raw!BF9,Raw!BG9,Raw!BH9,Raw!BJ9,Raw!BK9)/SUM(Raw!AV9,Raw!AW9,Raw!AX9,Raw!AY9,Raw!BD9,Raw!BE9,Raw!BF9,Raw!BG9,Raw!BH9,Raw!BI9,Raw!BJ9,Raw!BK9), 0), "Not Included")</f>
        <v>0.58333333333333337</v>
      </c>
      <c r="CQ9" s="11">
        <f>IF(BQ9, IFERROR(SUM(Raw!AV9:AX9,Raw!AZ9:BB9,Raw!BD9:BF9)/SUM(Raw!AV9:BF9), 0), "Not Included")</f>
        <v>0.92307692307692313</v>
      </c>
      <c r="CR9" s="11">
        <f>IF(BQ9, IFERROR(SUM(Raw!AV9:AY9), 0), "Not Included")</f>
        <v>3</v>
      </c>
      <c r="CS9" s="11">
        <f>IF(BQ9, IFERROR(SUM(Raw!AZ9:BC9), 0), "Not Included")</f>
        <v>8</v>
      </c>
      <c r="CT9" s="11">
        <f>IF(BQ9, IFERROR(SUM(Raw!BD9:BG9), 0), "Not Included")</f>
        <v>3</v>
      </c>
      <c r="CU9" s="11">
        <f>IF(BQ9, IFERROR(SUM(Raw!BH9:BK9), 0), "Not Included")</f>
        <v>6</v>
      </c>
      <c r="CV9" s="11">
        <f>IF(BQ9, IFERROR(SUM(Raw!AV9,Raw!AW9,Raw!AX9,Raw!AY9,Raw!BD9,Raw!BE9,Raw!BF9,Raw!BG9,Raw!BH9,Raw!BI9,Raw!BJ9,Raw!BK9), 0), "Not Included")</f>
        <v>12</v>
      </c>
      <c r="CW9" s="11">
        <f>IF(BQ9, IFERROR(SUM(Raw!AV9:BF9), 0), "Not Included")</f>
        <v>13</v>
      </c>
      <c r="CX9" s="11">
        <f>IF(BQ9, IFERROR((CR9*SUM(Raw!AV9,Raw!AZ9,Raw!BD9,Raw!BH9))/BS9/CR9, 0), "Not Included")</f>
        <v>4.9999999999999996E-2</v>
      </c>
      <c r="CY9" s="11">
        <f>IF(BX9, IFERROR((CS9*SUM(Raw!BA9,Raw!AW9,Raw!BE9,Raw!BI9))/CG9/CS9, 0), "Not Included")</f>
        <v>0.55000000000000004</v>
      </c>
      <c r="CZ9" s="11">
        <f>IF(BX9, IFERROR((CT9*SUM(Raw!BF9,Raw!AX9,Raw!BB9,Raw!BJ9))/BZ9/CT9, 0), "Not Included")</f>
        <v>9.9999999999999992E-2</v>
      </c>
      <c r="DA9" s="11">
        <f>IF(AY9, IFERROR((CU9*SUM(Raw!AY9,Raw!BC9,Raw!BG9,Raw!BK9))/AT9/CU9, 0), "Not Included")</f>
        <v>0.3</v>
      </c>
      <c r="DB9" s="11">
        <f>IF(BX9, IFERROR((CV9*SUM(Raw!AV9,Raw!AX9,Raw!AY9,Raw!AZ9,Raw!BB9,Raw!BC9,Raw!BD9,Raw!BF9,Raw!BG9,Raw!BH9,Raw!BJ9,Raw!BK9))/CG9/CV9,0), "Not Included")</f>
        <v>0.45</v>
      </c>
      <c r="DC9" s="11">
        <f>IF(AY9, IFERROR((CW9*SUM(Raw!AV9,Raw!AW9,Raw!AX9,Raw!AZ9,Raw!BA9,Raw!BB9,Raw!BD9,Raw!BE9,Raw!BF9,Raw!BH9,Raw!BI9,Raw!BJ9))/AT9/CW9,0), "Not Included")</f>
        <v>0.7</v>
      </c>
    </row>
    <row r="10" spans="1:107" ht="12.75" customHeight="1">
      <c r="A10" s="11">
        <f>Raw!D10</f>
        <v>6</v>
      </c>
      <c r="B10" s="11" t="str">
        <f>Raw!A10</f>
        <v>Barnett, Ganiban &amp; Cicchetti (1999)</v>
      </c>
      <c r="C10" s="11">
        <f>Raw!G10</f>
        <v>2</v>
      </c>
      <c r="D10" s="11" t="str">
        <f>Raw!E10</f>
        <v>Comparison</v>
      </c>
      <c r="E10" s="11" t="str">
        <f>CONCATENATE(IF(Raw!I10&lt;='Interval Definitions'!$B$2, 'Interval Definitions'!$A$2, IF(Raw!I10&lt;='Interval Definitions'!$B$3, 'Interval Definitions'!$A$3, IF(Raw!I10&lt;='Interval Definitions'!$B$4, 'Interval Definitions'!$A$4, IF(Raw!I10&lt;='Interval Definitions'!$B$5, 'Interval Definitions'!$A$5, "None")))), " - ", IF(Raw!J10&lt;='Interval Definitions'!$B$2, 'Interval Definitions'!$A$2, IF(Raw!J10&lt;='Interval Definitions'!$B$3, 'Interval Definitions'!$A$3, IF(Raw!J10&lt;='Interval Definitions'!$B$4, 'Interval Definitions'!$A$4, IF(Raw!J10&lt;='Interval Definitions'!$B$5, 'Interval Definitions'!$A$5, "None")))))</f>
        <v>Infancy - Infancy</v>
      </c>
      <c r="F10" s="11" t="b">
        <f>OR(NOT(ISBLANK(Raw!AF10)),NOT(ISBLANK(Raw!AG10)),NOT(ISBLANK(Raw!AH10)),NOT(ISBLANK(Raw!AI10)),COUNTIF(Raw!AA10:AD10, "&gt;=0") = 4)</f>
        <v>1</v>
      </c>
      <c r="G10" s="11" t="str">
        <f>IF(F10, IF(COUNTIF(Raw!AA10:AD10,"&gt;=0") = 4, "Contingency", IF(NOT(ISBLANK(Raw!AF10)), "Paper r", IF(NOT(ISBLANK(Raw!AG10)), "Pinquart", IF(NOT(ISBLANK(Raw!AH10)), "Fraley", "Paper chiSq")))), "Not Included")</f>
        <v>Contingency</v>
      </c>
      <c r="H10" s="15">
        <f>IF(F10,Raw!AE10,"Not Included")</f>
        <v>21</v>
      </c>
      <c r="I10" s="15">
        <f>IF(COUNTIF(Raw!AA10:AD10,"&gt;=0") = 4, SUM(Raw!AA10:AD10), "No Contingency Table")</f>
        <v>21</v>
      </c>
      <c r="J10" s="15">
        <f t="shared" si="0"/>
        <v>21</v>
      </c>
      <c r="K10" s="38">
        <f>IF(F10, IF(COUNTIF(Raw!AA10:AD10,"&gt;=0") = 4, IFERROR((I10*Raw!AA10 - SUM(Raw!AA10,Raw!AB10)*SUM(Raw!AA10,Raw!AD10)) / SQRT((I10*SUM(Raw!AA10,Raw!AB10) - SUM(Raw!AA10,Raw!AB10)^2) * (I10*SUM(Raw!AA10,Raw!AD10) - SUM(Raw!AA10,Raw!AD10)^2)), 0), "No Contingency Table"), "Not Included")</f>
        <v>0.44038550605054422</v>
      </c>
      <c r="L10" s="41">
        <f>IF(F10,IF(NOT(ISBLANK(Raw!AF10)), Raw!AF10, IF(NOT(ISBLANK(Raw!AG10)), Raw!AG10, IF(NOT(ISBLANK(Raw!AH10)), Raw!AH10, IF(NOT(ISBLANK(Raw!AI10)), SQRT(Raw!AI10/H10)*Raw!AJ10, "Not Reported")))),"Not Included")</f>
        <v>0.44</v>
      </c>
      <c r="M10" s="43">
        <f t="shared" si="1"/>
        <v>0.44038550605054422</v>
      </c>
      <c r="N10" s="11">
        <f t="shared" si="2"/>
        <v>1</v>
      </c>
      <c r="O10" s="48" t="b">
        <f>OR(NOT(ISBLANK(Raw!AK10)), COUNTIF(Raw!AA10:AD10, "&gt;=0") = 4)</f>
        <v>1</v>
      </c>
      <c r="P10" s="24" t="str">
        <f>IF(O10,IF(COUNTIF(Raw!AA10:AD10,"&gt;=0") = 4,"Contingency", "Paper k"), "Not Included")</f>
        <v>Contingency</v>
      </c>
      <c r="Q10" s="48">
        <f>IF(O10, IF(COUNTIF(Raw!AA10:AD10,"&gt;=0") = 4,SUM(Raw!AA10,Raw!AC10)/H10,"No Contingency Table"), "Not Included")</f>
        <v>0.7142857142857143</v>
      </c>
      <c r="R10" s="38">
        <f>IF(O10, IF(COUNTIF(Raw!AA10:AD10, "&gt;=0") = 4,SUM(SUM(Raw!AA10,Raw!AB10)*SUM(Raw!AA10,Raw!AD10),SUM(Raw!AC10,Raw!AD10)*SUM(Raw!AC10,Raw!AB10))/H10^2,"No Contingency Table"), "Not Included")</f>
        <v>0.49659863945578231</v>
      </c>
      <c r="S10" s="38">
        <f>IF(O10, IF(COUNTIF(Raw!AA10:AD10,"&gt;=0") = 4, IFERROR((Q10 - R10) / (1 - R10), "Could not calculate"), "No Contingency Table"), "Not Included")</f>
        <v>0.43243243243243246</v>
      </c>
      <c r="T10" s="52" t="str">
        <f>IF(O10,IF(NOT(ISBLANK(Raw!AK10)), Raw!AK10, "Not Reported"), "Not Included")</f>
        <v>Not Reported</v>
      </c>
      <c r="U10" s="38">
        <f t="shared" si="3"/>
        <v>0.43243243243243246</v>
      </c>
      <c r="V10" s="11" t="str">
        <f t="shared" si="4"/>
        <v>NA</v>
      </c>
      <c r="W10" s="11" t="b">
        <f>OR(NOT(ISBLANK(Raw!AU10)),COUNTIF(Raw!AL10:AT10,"&gt;=0") = 9)</f>
        <v>0</v>
      </c>
      <c r="X10" s="11" t="str">
        <f>IF(W10, IF(COUNTIF(Raw!AL10:AT10,"&gt;=0") = 9, "Contingency", "Paper k"), "Not Included")</f>
        <v>Not Included</v>
      </c>
      <c r="Y10" s="11" t="str">
        <f>IF(W10,IF(COUNTIF(Raw!AL10:AT10,"&gt;=0") = 9,SUM(Raw!AL10:AT10),"No Contingency Table"),"Not Included")</f>
        <v>Not Included</v>
      </c>
      <c r="Z10" s="11" t="str">
        <f t="shared" si="5"/>
        <v>Not Included</v>
      </c>
      <c r="AA10" s="11" t="str">
        <f>IF(W10,IF(COUNTIF(Raw!AL10:AT10,"&gt;=0") = 9,SUM(Raw!AL10,Raw!AP10,Raw!AT10)/Y10,"No Contingency Table"), "Not Included")</f>
        <v>Not Included</v>
      </c>
      <c r="AB10" s="11" t="str">
        <f>IF(W10,IF(COUNTIF(Raw!AL10:AT10,"&gt;=0") = 9,SUM(SUM(Raw!AL10,Raw!AM10,Raw!AN10)*SUM(Raw!AL10,Raw!AO10,Raw!AR10),SUM(Raw!AO10,Raw!AP10,Raw!AQ10)*SUM(Raw!AM10,Raw!AP10,Raw!AS10),SUM(Raw!AR10,Raw!AS10,Raw!AT10)*SUM(Raw!AN10,Raw!AQ10,Raw!AT10))/Y10^2,"No Contingency Table"), "Not Included")</f>
        <v>Not Included</v>
      </c>
      <c r="AC10" s="11" t="str">
        <f>IF(W10,IF(COUNTIF(Raw!AL10:AT10,"&gt;=0") = 9,(AA10 - AB10) / (1 - AB10),"No Contingency Table"), "Not Included")</f>
        <v>Not Included</v>
      </c>
      <c r="AD10" s="11" t="str">
        <f>IF(W10, IF(NOT(ISBLANK(Raw!AU10)),Raw!AU10,"Not Reported"), "Not Included")</f>
        <v>Not Included</v>
      </c>
      <c r="AE10" s="11" t="str">
        <f t="shared" si="6"/>
        <v>Not Included</v>
      </c>
      <c r="AF10" s="11" t="str">
        <f t="shared" si="7"/>
        <v>Not Included</v>
      </c>
      <c r="AG10" s="11" t="b">
        <f>COUNTIF(Raw!AV10:BK10, "&gt;=0") = 16</f>
        <v>1</v>
      </c>
      <c r="AH10" s="11" t="str">
        <f>IF(AG10, IF(COUNTIF(Raw!AV10:BK10,"&gt;=0") = 16, "Contingency", "Paper k"), "Not Included")</f>
        <v>Contingency</v>
      </c>
      <c r="AI10" s="15">
        <f>IF(AG10,IF(COUNTIF(Raw!AV10:BK10,"&gt;=0") = 16,SUM(Raw!AV10:BK10),"No Contingency Table"),"Not Included")</f>
        <v>21</v>
      </c>
      <c r="AJ10" s="15">
        <f t="shared" si="8"/>
        <v>21</v>
      </c>
      <c r="AK10" s="11">
        <f>IF(AG10,IF(COUNTIF(Raw!AV10:BK10,"&gt;=0") = 16,SUM(Raw!AV10,Raw!BA10,Raw!BF10,Raw!BK10)/AI10,"No Contingency Table"), "Not Included")</f>
        <v>0.61904761904761907</v>
      </c>
      <c r="AL10" s="11">
        <f>IF(AG10,IF(COUNTIF(Raw!AV10:BK10,"&gt;=0") = 16,SUM(SUM(Raw!AV10,Raw!AW10,Raw!AX10,Raw!AY10)*SUM(Raw!AV10,Raw!AZ10,Raw!BD10,Raw!BH10),SUM(Raw!AZ10,Raw!BA10,Raw!BB10,Raw!BC10)*SUM(Raw!AW10,Raw!BA10,Raw!BE10,Raw!BI10),SUM(Raw!BD10,Raw!BE10,Raw!BF10,Raw!BG10)*SUM(Raw!AX10,Raw!BB10,Raw!BF10,Raw!BJ10),SUM(Raw!BH10,Raw!BI10,Raw!BJ10,Raw!BK10)*SUM(Raw!AY10,Raw!BC10,Raw!BG10,Raw!BK10))/AI10^2,"No Contingency Table"), "Not Included")</f>
        <v>0.33333333333333331</v>
      </c>
      <c r="AM10" s="11">
        <f>IF(AG10,IF(COUNTIF(Raw!AV10:BK10,"&gt;=0") = 16,(AK10 - AL10) / (1 - AL10),"No Contingency Table"), "Not Included")</f>
        <v>0.4285714285714286</v>
      </c>
      <c r="AN10" s="11" t="str">
        <f>IF(NOT(ISBLANK(Raw!BL10)),Raw!BL10,"Not Reported")</f>
        <v>Not Reported</v>
      </c>
      <c r="AO10" s="11">
        <f t="shared" si="9"/>
        <v>0.4285714285714286</v>
      </c>
      <c r="AP10" s="11" t="str">
        <f t="shared" si="10"/>
        <v>NA</v>
      </c>
      <c r="AQ10" s="11" t="b">
        <f t="shared" ref="AQ10:AR10" si="51">BQ10</f>
        <v>1</v>
      </c>
      <c r="AR10" s="11" t="str">
        <f t="shared" si="51"/>
        <v>Contingency</v>
      </c>
      <c r="AS10" s="15">
        <f t="shared" si="12"/>
        <v>21</v>
      </c>
      <c r="AT10" s="15">
        <f t="shared" si="13"/>
        <v>21</v>
      </c>
      <c r="AU10" s="11">
        <f>IF(AQ10, IF(COUNTIF(Raw!AV10:BK10, "&gt;=0") = 16, IFERROR((AT10*Raw!BK10 - SUM(Raw!BH10, Raw!BI10, Raw!BJ10, Raw!BK10)*SUM(Raw!AY10, Raw!BC10, Raw!BG10, Raw!BK10)) / SQRT((AT10*SUM(Raw!BH10, Raw!BI10, Raw!BJ10, Raw!BK10) - SUM(Raw!BH10, Raw!BI10, Raw!BJ10, Raw!BK10)^2) * (AT10*SUM(Raw!AY10, Raw!BC10, Raw!BG10, Raw!BK10) - SUM(Raw!AY10, Raw!BC10, Raw!BG10, Raw!BK10)^2)), 0), "No Contingency Table"), "Not Included")</f>
        <v>0.53333333333333333</v>
      </c>
      <c r="AV10" s="11" t="str">
        <f>IF(AQ10,IF(NOT(ISBLANK(Raw!BQ10)), Raw!BQ10, IF(NOT(ISBLANK(Raw!BR10)), Raw!BR10, "Not Reported")), "Not Included")</f>
        <v>Not Reported</v>
      </c>
      <c r="AW10" s="57">
        <f t="shared" si="14"/>
        <v>0.53333333333333333</v>
      </c>
      <c r="AX10" s="11" t="str">
        <f t="shared" si="15"/>
        <v>NA</v>
      </c>
      <c r="AY10" s="11" t="b">
        <f t="shared" ref="AY10:AZ10" si="52">AQ10</f>
        <v>1</v>
      </c>
      <c r="AZ10" s="11" t="str">
        <f t="shared" si="52"/>
        <v>Contingency</v>
      </c>
      <c r="BA10" s="11">
        <f>IF(AY10, IF(COUNTIF(Raw!AV10:BK10, "&gt;=0") = 16, SUM(Raw!AV10,Raw!AW10,Raw!AX10,Raw!AZ10,Raw!BA10,Raw!BB10,Raw!BD10,Raw!BE10,Raw!BF10,Raw!BK10)/SUM(Raw!AV10:BK10), "No Contingency Table"), "Not Included")</f>
        <v>0.80952380952380953</v>
      </c>
      <c r="BB10" s="11">
        <f>IF(AY10, IF(COUNTIF(Raw!AV10:BK10, "&gt;=0") = 16,SUM(SUM(Raw!BH10,Raw!BI10,Raw!BJ10,Raw!BK10)*SUM(Raw!AY10,Raw!BC10,Raw!BG10,Raw!BK10),SUM(Raw!AV10:BG10)*SUM(Raw!AV10,Raw!AW10,Raw!AX10,Raw!AZ10,Raw!BA10,Raw!BB10,Raw!BD10,Raw!BE10,Raw!BF10,Raw!BH10,Raw!BI10,Raw!BJ10))/AT10^2,"No Contingency Table"), "Not Included")</f>
        <v>0.59183673469387754</v>
      </c>
      <c r="BC10" s="11">
        <f>IF(AY10, IF(COUNTIF(Raw!AV10:BK10, "&gt;=0") = 16,(BA10-BB10) / (1 - BB10),"No Contingency Table"), "Not Included")</f>
        <v>0.53333333333333333</v>
      </c>
      <c r="BD10" s="11" t="str">
        <f>IF(AY10,IF(NOT(ISBLANK(Raw!BT31)),Raw!BT31,"Not Reported"),"Not Included")</f>
        <v>Not Reported</v>
      </c>
      <c r="BE10" s="11">
        <f t="shared" si="17"/>
        <v>0.53333333333333333</v>
      </c>
      <c r="BF10" s="11" t="str">
        <f t="shared" si="18"/>
        <v>NA</v>
      </c>
      <c r="BG10" s="11">
        <f>Raw!K10</f>
        <v>1999</v>
      </c>
      <c r="BH10" s="11" t="str">
        <f>IF(Raw!L10 = "USA","USA","Non-USA")</f>
        <v>USA</v>
      </c>
      <c r="BI10" s="11" t="str">
        <f>Raw!M10</f>
        <v>Ainsworth/Ainsworth</v>
      </c>
      <c r="BJ10" s="11">
        <f>Raw!N10</f>
        <v>1</v>
      </c>
      <c r="BK10" s="11">
        <f>Raw!P10</f>
        <v>0</v>
      </c>
      <c r="BL10" s="11">
        <f>Raw!Q10</f>
        <v>0</v>
      </c>
      <c r="BM10" s="11">
        <f>Raw!T10</f>
        <v>1</v>
      </c>
      <c r="BN10" s="11">
        <f>IFERROR(IF(AND(ISBLANK(Raw!U10), ISBLANK(Raw!V10), ISBLANK(Raw!W10), ISBLANK(Raw!X10)), "NA", IF(OR(NOT(ISBLANK(Raw!U10)), NOT(ISBLANK(Raw!W10))), AVERAGE(Raw!U10,Raw!W10), AVERAGE(Raw!V10,Raw!X10) + IF(Raw!Y10 = "2-way", R10, IF(Raw!Y10 = "3-way", AB10, IF(Raw!Y10 = "4-way", AL10, "NA")))*(1 - AVERAGE(Raw!V10,Raw!X10)))), "NA")</f>
        <v>0.86499999999999999</v>
      </c>
      <c r="BO10" s="11">
        <f>Raw!O10</f>
        <v>0</v>
      </c>
      <c r="BP10" s="11" t="str">
        <f>Raw!F10</f>
        <v>Female</v>
      </c>
      <c r="BQ10" s="11" t="b">
        <f>COUNTIF(Raw!AV10:BK10, "&gt;=0") = 16</f>
        <v>1</v>
      </c>
      <c r="BR10" s="11" t="str">
        <f t="shared" si="19"/>
        <v>Contingency</v>
      </c>
      <c r="BS10" s="15">
        <f t="shared" si="20"/>
        <v>21</v>
      </c>
      <c r="BT10" s="11">
        <f>IF(BQ10, IF(COUNTIF(Raw!AV10:BK10, "&gt;=0") = 16, IFERROR((BS10*Raw!AV10 - SUM(Raw!AV10, Raw!AW10, Raw!AX10, Raw!AY10)*SUM(Raw!AV10, Raw!AZ10, Raw!BD10, Raw!BH10)) / SQRT((BS10*SUM(Raw!AV10, Raw!AW10, Raw!AX10, Raw!AY10) - SUM(Raw!AV10, Raw!AW10, Raw!AX10, Raw!AY10)^2) * (BS10*SUM(Raw!AV10, Raw!AZ10, Raw!BD10, Raw!BH10) - SUM(Raw!AV10, Raw!AZ10, Raw!BD10, Raw!BH10)^2)), 0), "No Contingency Table"), "Not Included")</f>
        <v>-9.1287092917527693E-2</v>
      </c>
      <c r="BU10" s="11">
        <f>IF(BQ10, IF(COUNTIF(Raw!AV10:BK10, "&gt;=0") = 16, SUM(Raw!BK10,Raw!BJ10,Raw!BI10,Raw!BG10,Raw!BF10,Raw!BE10,Raw!BC10,Raw!BB10,Raw!BA10,Raw!AV10)/SUM(Raw!AV10:BK10), "No Contingency Table"), "Not Included")</f>
        <v>0.80952380952380953</v>
      </c>
      <c r="BV10" s="11">
        <f>IF(BQ10, IF(COUNTIF(Raw!AV10:BK10, "&gt;=0") = 16,SUM(SUM(Raw!AV10,Raw!AW10,Raw!AX10,Raw!AY10)*SUM(Raw!AV10,Raw!AZ10,Raw!BD10,Raw!BH10),SUM(Raw!AZ10:BK10)*SUM(Raw!AW10,Raw!AX10,Raw!AY10,Raw!BA10,Raw!BB10,Raw!BC10,Raw!BE10,Raw!BF10,Raw!BG10,Raw!BI10,Raw!BJ10,Raw!BK10))/BS10^2,"No Contingency Table"), "Not Included")</f>
        <v>0.8231292517006803</v>
      </c>
      <c r="BW10" s="11">
        <f>IF(BQ10, IF(COUNTIF(Raw!AV10:BK10, "&gt;=0") = 16,(BU10-BV10) / (1 - BV10),"No Contingency Table"), "Not Included")</f>
        <v>-7.6923076923077024E-2</v>
      </c>
      <c r="BX10" s="11" t="b">
        <f t="shared" ref="BX10:BZ10" si="53">BQ10</f>
        <v>1</v>
      </c>
      <c r="BY10" s="11" t="str">
        <f t="shared" si="53"/>
        <v>Contingency</v>
      </c>
      <c r="BZ10" s="15">
        <f t="shared" si="53"/>
        <v>21</v>
      </c>
      <c r="CA10" s="11">
        <f>IF(BX10, IF(COUNTIF(Raw!AV10:BK10, "&gt;=0") = 16, IFERROR((BZ10*Raw!BF10 - SUM(Raw!BD10, Raw!BE10, Raw!BF10, Raw!BG10)*SUM(Raw!BF10, Raw!AX10, Raw!BB10, Raw!BJ10)) / SQRT((BZ10*SUM(Raw!BD10, Raw!BE10, Raw!BF10, Raw!BG10) - SUM(Raw!BD10, Raw!BE10, Raw!BF10, Raw!BG10)^2) * (BZ10*SUM(Raw!BF10, Raw!AX10, Raw!BB10, Raw!BJ10) - SUM(Raw!BF10, Raw!AX10, Raw!BB10, Raw!BJ10)^2)), 0), "No Contingency Table"), "Not Included")</f>
        <v>0.61111111111111116</v>
      </c>
      <c r="CB10" s="11">
        <f>IF(BX10, IF(COUNTIF(Raw!AV10:BK10, "&gt;=0") = 16, SUM(Raw!AV10,Raw!AW10,Raw!AY10,Raw!AZ10,Raw!BA10,Raw!BC10,Raw!BF10,Raw!BH10,Raw!BI10,Raw!BK10) / SUM(Raw!AV10:BK10), "No Contingency Table"), "Not Included")</f>
        <v>0.90476190476190477</v>
      </c>
      <c r="CC10" s="11">
        <f>IF(BX10, IF(COUNTIF(Raw!AV10:BK10, "&gt;=0") = 16,SUM(SUM(Raw!BD10,Raw!BE10,Raw!BF10,Raw!BG10)*SUM(Raw!BF10,Raw!AX10,Raw!BB10,Raw!BJ10),SUM(Raw!AV10:BC10,Raw!BH10:BK10)*SUM(Raw!AV10,Raw!AW10,Raw!AY10,Raw!AZ10,Raw!BA10,Raw!BC10,Raw!BD10,Raw!BE10,Raw!BG10,Raw!BH10,Raw!BI10,Raw!BK10))/BZ10^2,"No Contingency Table"), "Not Included")</f>
        <v>0.75510204081632648</v>
      </c>
      <c r="CD10" s="11">
        <f>IF(BX10, IF(COUNTIF(Raw!AV10:BK10, "&gt;=0") = 16,(CB10 - CC10) / (1 - CC10+0.000001),"No Contingency Table"), "Not Included")</f>
        <v>0.61110861575093023</v>
      </c>
      <c r="CE10" s="11" t="b">
        <f t="shared" ref="CE10:CG10" si="54">BQ10</f>
        <v>1</v>
      </c>
      <c r="CF10" s="11" t="str">
        <f t="shared" si="54"/>
        <v>Contingency</v>
      </c>
      <c r="CG10" s="15">
        <f t="shared" si="54"/>
        <v>21</v>
      </c>
      <c r="CH10" s="11">
        <f>IF(CE10, IF(COUNTIF(Raw!AV10:BK10, "&gt;=0") = 16, IFERROR((CG10*Raw!BA10 - SUM(Raw!BA10, Raw!AZ10, Raw!BB10, Raw!BC10)*SUM(Raw!BA10, Raw!AW10, Raw!BE10, Raw!BI10)) / SQRT((CG10*SUM(Raw!BA10, Raw!AZ10, Raw!BB10, Raw!BC10) - SUM(Raw!BA10, Raw!AZ10, Raw!BB10, Raw!BC10)^2) * (CG10*SUM(Raw!BA10, Raw!AW10, Raw!BE10, Raw!BI10) - SUM(Raw!BA10, Raw!AW10, Raw!BE10, Raw!BI10)^2)), 0), "No Contingency Table"), "Not Included")</f>
        <v>0.44038550605054422</v>
      </c>
      <c r="CI10" s="11">
        <f>IF(CE10, IF(COUNTIF(Raw!AV10:BK10, "&gt;=0") = 16, SUM(Raw!AV10,Raw!AX10,Raw!AY10,Raw!BA10,Raw!BD10,Raw!BF10,Raw!BG10,Raw!BH10,Raw!BJ10,Raw!BK10) / SUM(Raw!AV10:BK10), "No Contingency Table"), "Not Included")</f>
        <v>0.7142857142857143</v>
      </c>
      <c r="CJ10" s="61">
        <f>IF(BX10, IF(COUNTIF(Raw!AV10:BK10, "&gt;=0") = 16,SUM(SUM(Raw!AZ10,Raw!BA10,Raw!BB10,Raw!BC10)*SUM(Raw!BA10,Raw!AW10,Raw!BE10,Raw!BI10),SUM(Raw!AV10:AY10,Raw!BD10:BK10)*SUM(Raw!AV10,Raw!AX10,Raw!AY10,Raw!AZ10,Raw!BB10,Raw!BC10,Raw!BD10,Raw!BF10,Raw!BG10,Raw!BH10,Raw!BJ10,Raw!BK10))/CG10^2,"No Contingency Table"), "Not Included")</f>
        <v>0.49659863945578231</v>
      </c>
      <c r="CK10" s="11">
        <f>IF(BX10, IF(COUNTIF(Raw!AV10:BK10, "&gt;=0") = 16,(CI10 - CJ10) / (1 - CJ10),"No Contingency Table"), "Not Included")</f>
        <v>0.43243243243243246</v>
      </c>
      <c r="CL10" s="11">
        <f>IF(BQ10, IFERROR(Raw!AV10/SUM(Raw!AV10:AY10), 0), "Not Included")</f>
        <v>0</v>
      </c>
      <c r="CM10" s="11">
        <f>IF(BQ10, IFERROR(Raw!BA10/SUM(Raw!AZ10:BC10), 0), "Not Included")</f>
        <v>0.77777777777777779</v>
      </c>
      <c r="CN10" s="11">
        <f>IF(BQ10, IFERROR(Raw!BF10/SUM(Raw!BD10:BG10), 0), "Not Included")</f>
        <v>0.66666666666666663</v>
      </c>
      <c r="CO10" s="11">
        <f>IF(BQ10, IFERROR(Raw!BK10/SUM(Raw!BH10:BK10), 0), "Not Included")</f>
        <v>0.66666666666666663</v>
      </c>
      <c r="CP10" s="11">
        <f>IF(BQ10, IFERROR(SUM(Raw!AV10,Raw!AX10,Raw!AY10,Raw!BD10,Raw!BF10,Raw!BG10,Raw!BH10,Raw!BJ10,Raw!BK10)/SUM(Raw!AV10,Raw!AW10,Raw!AX10,Raw!AY10,Raw!BD10,Raw!BE10,Raw!BF10,Raw!BG10,Raw!BH10,Raw!BI10,Raw!BJ10,Raw!BK10), 0), "Not Included")</f>
        <v>0.66666666666666663</v>
      </c>
      <c r="CQ10" s="11">
        <f>IF(BQ10, IFERROR(SUM(Raw!AV10:AX10,Raw!AZ10:BB10,Raw!BD10:BF10)/SUM(Raw!AV10:BF10), 0), "Not Included")</f>
        <v>0.9285714285714286</v>
      </c>
      <c r="CR10" s="11">
        <f>IF(BQ10, IFERROR(SUM(Raw!AV10:AY10), 0), "Not Included")</f>
        <v>3</v>
      </c>
      <c r="CS10" s="11">
        <f>IF(BQ10, IFERROR(SUM(Raw!AZ10:BC10), 0), "Not Included")</f>
        <v>9</v>
      </c>
      <c r="CT10" s="11">
        <f>IF(BQ10, IFERROR(SUM(Raw!BD10:BG10), 0), "Not Included")</f>
        <v>3</v>
      </c>
      <c r="CU10" s="11">
        <f>IF(BQ10, IFERROR(SUM(Raw!BH10:BK10), 0), "Not Included")</f>
        <v>6</v>
      </c>
      <c r="CV10" s="11">
        <f>IF(BQ10, IFERROR(SUM(Raw!AV10,Raw!AW10,Raw!AX10,Raw!AY10,Raw!BD10,Raw!BE10,Raw!BF10,Raw!BG10,Raw!BH10,Raw!BI10,Raw!BJ10,Raw!BK10), 0), "Not Included")</f>
        <v>12</v>
      </c>
      <c r="CW10" s="11">
        <f>IF(BQ10, IFERROR(SUM(Raw!AV10:BF10), 0), "Not Included")</f>
        <v>14</v>
      </c>
      <c r="CX10" s="11">
        <f>IF(BQ10, IFERROR((CR10*SUM(Raw!AV10,Raw!AZ10,Raw!BD10,Raw!BH10))/BS10/CR10, 0), "Not Included")</f>
        <v>4.7619047619047616E-2</v>
      </c>
      <c r="CY10" s="11">
        <f>IF(BX10, IFERROR((CS10*SUM(Raw!BA10,Raw!AW10,Raw!BE10,Raw!BI10))/CG10/CS10, 0), "Not Included")</f>
        <v>0.52380952380952384</v>
      </c>
      <c r="CZ10" s="11">
        <f>IF(BX10, IFERROR((CT10*SUM(Raw!BF10,Raw!AX10,Raw!BB10,Raw!BJ10))/BZ10/CT10, 0), "Not Included")</f>
        <v>0.14285714285714285</v>
      </c>
      <c r="DA10" s="11">
        <f>IF(AY10, IFERROR((CU10*SUM(Raw!AY10,Raw!BC10,Raw!BG10,Raw!BK10))/AT10/CU10, 0), "Not Included")</f>
        <v>0.2857142857142857</v>
      </c>
      <c r="DB10" s="11">
        <f>IF(BX10, IFERROR((CV10*SUM(Raw!AV10,Raw!AX10,Raw!AY10,Raw!AZ10,Raw!BB10,Raw!BC10,Raw!BD10,Raw!BF10,Raw!BG10,Raw!BH10,Raw!BJ10,Raw!BK10))/CG10/CV10,0), "Not Included")</f>
        <v>0.47619047619047622</v>
      </c>
      <c r="DC10" s="11">
        <f>IF(AY10, IFERROR((CW10*SUM(Raw!AV10,Raw!AW10,Raw!AX10,Raw!AZ10,Raw!BA10,Raw!BB10,Raw!BD10,Raw!BE10,Raw!BF10,Raw!BH10,Raw!BI10,Raw!BJ10))/AT10/CW10,0), "Not Included")</f>
        <v>0.7142857142857143</v>
      </c>
    </row>
    <row r="11" spans="1:107" ht="12.75" customHeight="1">
      <c r="A11" s="11">
        <f>Raw!D11</f>
        <v>6</v>
      </c>
      <c r="B11" s="11" t="str">
        <f>Raw!A11</f>
        <v>Barnett, Ganiban &amp; Cicchetti (1999)</v>
      </c>
      <c r="C11" s="11">
        <f>Raw!G11</f>
        <v>3</v>
      </c>
      <c r="D11" s="11" t="str">
        <f>Raw!E11</f>
        <v>Comparison</v>
      </c>
      <c r="E11" s="11" t="str">
        <f>CONCATENATE(IF(Raw!I11&lt;='Interval Definitions'!$B$2, 'Interval Definitions'!$A$2, IF(Raw!I11&lt;='Interval Definitions'!$B$3, 'Interval Definitions'!$A$3, IF(Raw!I11&lt;='Interval Definitions'!$B$4, 'Interval Definitions'!$A$4, IF(Raw!I11&lt;='Interval Definitions'!$B$5, 'Interval Definitions'!$A$5, "None")))), " - ", IF(Raw!J11&lt;='Interval Definitions'!$B$2, 'Interval Definitions'!$A$2, IF(Raw!J11&lt;='Interval Definitions'!$B$3, 'Interval Definitions'!$A$3, IF(Raw!J11&lt;='Interval Definitions'!$B$4, 'Interval Definitions'!$A$4, IF(Raw!J11&lt;='Interval Definitions'!$B$5, 'Interval Definitions'!$A$5, "None")))))</f>
        <v>Infancy - Toddlerhood</v>
      </c>
      <c r="F11" s="11" t="b">
        <f>OR(NOT(ISBLANK(Raw!AF11)),NOT(ISBLANK(Raw!AG11)),NOT(ISBLANK(Raw!AH11)),NOT(ISBLANK(Raw!AI11)),COUNTIF(Raw!AA11:AD11, "&gt;=0") = 4)</f>
        <v>1</v>
      </c>
      <c r="G11" s="11" t="str">
        <f>IF(F11, IF(COUNTIF(Raw!AA11:AD11,"&gt;=0") = 4, "Contingency", IF(NOT(ISBLANK(Raw!AF11)), "Paper r", IF(NOT(ISBLANK(Raw!AG11)), "Pinquart", IF(NOT(ISBLANK(Raw!AH11)), "Fraley", "Paper chiSq")))), "Not Included")</f>
        <v>Contingency</v>
      </c>
      <c r="H11" s="15">
        <f>IF(F11,Raw!AE11,"Not Included")</f>
        <v>20</v>
      </c>
      <c r="I11" s="15">
        <f>IF(COUNTIF(Raw!AA11:AD11,"&gt;=0") = 4, SUM(Raw!AA11:AD11), "No Contingency Table")</f>
        <v>20</v>
      </c>
      <c r="J11" s="15">
        <f t="shared" si="0"/>
        <v>20</v>
      </c>
      <c r="K11" s="38">
        <f>IF(F11, IF(COUNTIF(Raw!AA11:AD11,"&gt;=0") = 4, IFERROR((I11*Raw!AA11 - SUM(Raw!AA11,Raw!AB11)*SUM(Raw!AA11,Raw!AD11)) / SQRT((I11*SUM(Raw!AA11,Raw!AB11) - SUM(Raw!AA11,Raw!AB11)^2) * (I11*SUM(Raw!AA11,Raw!AD11) - SUM(Raw!AA11,Raw!AD11)^2)), 0), "No Contingency Table"), "Not Included")</f>
        <v>0.50251890762960605</v>
      </c>
      <c r="L11" s="41">
        <f>IF(F11,IF(NOT(ISBLANK(Raw!AF11)), Raw!AF11, IF(NOT(ISBLANK(Raw!AG11)), Raw!AG11, IF(NOT(ISBLANK(Raw!AH11)), Raw!AH11, IF(NOT(ISBLANK(Raw!AI11)), SQRT(Raw!AI11/H11)*Raw!AJ11, "Not Reported")))),"Not Included")</f>
        <v>0.5</v>
      </c>
      <c r="M11" s="43">
        <f t="shared" si="1"/>
        <v>0.50251890762960605</v>
      </c>
      <c r="N11" s="11">
        <f t="shared" si="2"/>
        <v>1</v>
      </c>
      <c r="O11" s="48" t="b">
        <f>OR(NOT(ISBLANK(Raw!AK11)), COUNTIF(Raw!AA11:AD11, "&gt;=0") = 4)</f>
        <v>1</v>
      </c>
      <c r="P11" s="24" t="str">
        <f>IF(O11,IF(COUNTIF(Raw!AA11:AD11,"&gt;=0") = 4,"Contingency", "Paper k"), "Not Included")</f>
        <v>Contingency</v>
      </c>
      <c r="Q11" s="48">
        <f>IF(O11, IF(COUNTIF(Raw!AA11:AD11,"&gt;=0") = 4,SUM(Raw!AA11,Raw!AC11)/H11,"No Contingency Table"), "Not Included")</f>
        <v>0.75</v>
      </c>
      <c r="R11" s="38">
        <f>IF(O11, IF(COUNTIF(Raw!AA11:AD11, "&gt;=0") = 4,SUM(SUM(Raw!AA11,Raw!AB11)*SUM(Raw!AA11,Raw!AD11),SUM(Raw!AC11,Raw!AD11)*SUM(Raw!AC11,Raw!AB11))/H11^2,"No Contingency Table"), "Not Included")</f>
        <v>0.5</v>
      </c>
      <c r="S11" s="38">
        <f>IF(O11, IF(COUNTIF(Raw!AA11:AD11,"&gt;=0") = 4, IFERROR((Q11 - R11) / (1 - R11), "Could not calculate"), "No Contingency Table"), "Not Included")</f>
        <v>0.5</v>
      </c>
      <c r="T11" s="52" t="str">
        <f>IF(O11,IF(NOT(ISBLANK(Raw!AK11)), Raw!AK11, "Not Reported"), "Not Included")</f>
        <v>Not Reported</v>
      </c>
      <c r="U11" s="38">
        <f t="shared" si="3"/>
        <v>0.5</v>
      </c>
      <c r="V11" s="11" t="str">
        <f t="shared" si="4"/>
        <v>NA</v>
      </c>
      <c r="W11" s="11" t="b">
        <f>OR(NOT(ISBLANK(Raw!AU11)),COUNTIF(Raw!AL11:AT11,"&gt;=0") = 9)</f>
        <v>0</v>
      </c>
      <c r="X11" s="11" t="str">
        <f>IF(W11, IF(COUNTIF(Raw!AL11:AT11,"&gt;=0") = 9, "Contingency", "Paper k"), "Not Included")</f>
        <v>Not Included</v>
      </c>
      <c r="Y11" s="11" t="str">
        <f>IF(W11,IF(COUNTIF(Raw!AL11:AT11,"&gt;=0") = 9,SUM(Raw!AL11:AT11),"No Contingency Table"),"Not Included")</f>
        <v>Not Included</v>
      </c>
      <c r="Z11" s="11" t="str">
        <f t="shared" si="5"/>
        <v>Not Included</v>
      </c>
      <c r="AA11" s="11" t="str">
        <f>IF(W11,IF(COUNTIF(Raw!AL11:AT11,"&gt;=0") = 9,SUM(Raw!AL11,Raw!AP11,Raw!AT11)/Y11,"No Contingency Table"), "Not Included")</f>
        <v>Not Included</v>
      </c>
      <c r="AB11" s="11" t="str">
        <f>IF(W11,IF(COUNTIF(Raw!AL11:AT11,"&gt;=0") = 9,SUM(SUM(Raw!AL11,Raw!AM11,Raw!AN11)*SUM(Raw!AL11,Raw!AO11,Raw!AR11),SUM(Raw!AO11,Raw!AP11,Raw!AQ11)*SUM(Raw!AM11,Raw!AP11,Raw!AS11),SUM(Raw!AR11,Raw!AS11,Raw!AT11)*SUM(Raw!AN11,Raw!AQ11,Raw!AT11))/Y11^2,"No Contingency Table"), "Not Included")</f>
        <v>Not Included</v>
      </c>
      <c r="AC11" s="11" t="str">
        <f>IF(W11,IF(COUNTIF(Raw!AL11:AT11,"&gt;=0") = 9,(AA11 - AB11) / (1 - AB11),"No Contingency Table"), "Not Included")</f>
        <v>Not Included</v>
      </c>
      <c r="AD11" s="11" t="str">
        <f>IF(W11, IF(NOT(ISBLANK(Raw!AU11)),Raw!AU11,"Not Reported"), "Not Included")</f>
        <v>Not Included</v>
      </c>
      <c r="AE11" s="11" t="str">
        <f t="shared" si="6"/>
        <v>Not Included</v>
      </c>
      <c r="AF11" s="11" t="str">
        <f t="shared" si="7"/>
        <v>Not Included</v>
      </c>
      <c r="AG11" s="11" t="b">
        <f>COUNTIF(Raw!AV11:BK11, "&gt;=0") = 16</f>
        <v>1</v>
      </c>
      <c r="AH11" s="11" t="str">
        <f>IF(AG11, IF(COUNTIF(Raw!AV11:BK11,"&gt;=0") = 16, "Contingency", "Paper k"), "Not Included")</f>
        <v>Contingency</v>
      </c>
      <c r="AI11" s="15">
        <f>IF(AG11,IF(COUNTIF(Raw!AV11:BK11,"&gt;=0") = 16,SUM(Raw!AV11:BK11),"No Contingency Table"),"Not Included")</f>
        <v>20</v>
      </c>
      <c r="AJ11" s="15">
        <f t="shared" si="8"/>
        <v>20</v>
      </c>
      <c r="AK11" s="11">
        <f>IF(AG11,IF(COUNTIF(Raw!AV11:BK11,"&gt;=0") = 16,SUM(Raw!AV11,Raw!BA11,Raw!BF11,Raw!BK11)/AI11,"No Contingency Table"), "Not Included")</f>
        <v>0.7</v>
      </c>
      <c r="AL11" s="11">
        <f>IF(AG11,IF(COUNTIF(Raw!AV11:BK11,"&gt;=0") = 16,SUM(SUM(Raw!AV11,Raw!AW11,Raw!AX11,Raw!AY11)*SUM(Raw!AV11,Raw!AZ11,Raw!BD11,Raw!BH11),SUM(Raw!AZ11,Raw!BA11,Raw!BB11,Raw!BC11)*SUM(Raw!AW11,Raw!BA11,Raw!BE11,Raw!BI11),SUM(Raw!BD11,Raw!BE11,Raw!BF11,Raw!BG11)*SUM(Raw!AX11,Raw!BB11,Raw!BF11,Raw!BJ11),SUM(Raw!BH11,Raw!BI11,Raw!BJ11,Raw!BK11)*SUM(Raw!AY11,Raw!BC11,Raw!BG11,Raw!BK11))/AI11^2,"No Contingency Table"), "Not Included")</f>
        <v>0.38250000000000001</v>
      </c>
      <c r="AM11" s="11">
        <f>IF(AG11,IF(COUNTIF(Raw!AV11:BK11,"&gt;=0") = 16,(AK11 - AL11) / (1 - AL11),"No Contingency Table"), "Not Included")</f>
        <v>0.51417004048582993</v>
      </c>
      <c r="AN11" s="11" t="str">
        <f>IF(NOT(ISBLANK(Raw!BL11)),Raw!BL11,"Not Reported")</f>
        <v>Not Reported</v>
      </c>
      <c r="AO11" s="11">
        <f t="shared" si="9"/>
        <v>0.51417004048582993</v>
      </c>
      <c r="AP11" s="11" t="str">
        <f t="shared" si="10"/>
        <v>NA</v>
      </c>
      <c r="AQ11" s="11" t="b">
        <f t="shared" ref="AQ11:AR11" si="55">BQ11</f>
        <v>1</v>
      </c>
      <c r="AR11" s="11" t="str">
        <f t="shared" si="55"/>
        <v>Contingency</v>
      </c>
      <c r="AS11" s="15">
        <f t="shared" si="12"/>
        <v>20</v>
      </c>
      <c r="AT11" s="15">
        <f t="shared" si="13"/>
        <v>20</v>
      </c>
      <c r="AU11" s="11">
        <f>IF(AQ11, IF(COUNTIF(Raw!AV11:BK11, "&gt;=0") = 16, IFERROR((AT11*Raw!BK11 - SUM(Raw!BH11, Raw!BI11, Raw!BJ11, Raw!BK11)*SUM(Raw!AY11, Raw!BC11, Raw!BG11, Raw!BK11)) / SQRT((AT11*SUM(Raw!BH11, Raw!BI11, Raw!BJ11, Raw!BK11) - SUM(Raw!BH11, Raw!BI11, Raw!BJ11, Raw!BK11)^2) * (AT11*SUM(Raw!AY11, Raw!BC11, Raw!BG11, Raw!BK11) - SUM(Raw!AY11, Raw!BC11, Raw!BG11, Raw!BK11)^2)), 0), "No Contingency Table"), "Not Included")</f>
        <v>0.52380952380952384</v>
      </c>
      <c r="AV11" s="11" t="str">
        <f>IF(AQ11,IF(NOT(ISBLANK(Raw!BQ11)), Raw!BQ11, IF(NOT(ISBLANK(Raw!BR11)), Raw!BR11, "Not Reported")), "Not Included")</f>
        <v>Not Reported</v>
      </c>
      <c r="AW11" s="57">
        <f t="shared" si="14"/>
        <v>0.52380952380952384</v>
      </c>
      <c r="AX11" s="11" t="str">
        <f t="shared" si="15"/>
        <v>NA</v>
      </c>
      <c r="AY11" s="11" t="b">
        <f t="shared" ref="AY11:AZ11" si="56">AQ11</f>
        <v>1</v>
      </c>
      <c r="AZ11" s="11" t="str">
        <f t="shared" si="56"/>
        <v>Contingency</v>
      </c>
      <c r="BA11" s="11">
        <f>IF(AY11, IF(COUNTIF(Raw!AV11:BK11, "&gt;=0") = 16, SUM(Raw!AV11,Raw!AW11,Raw!AX11,Raw!AZ11,Raw!BA11,Raw!BB11,Raw!BD11,Raw!BE11,Raw!BF11,Raw!BK11)/SUM(Raw!AV11:BK11), "No Contingency Table"), "Not Included")</f>
        <v>0.8</v>
      </c>
      <c r="BB11" s="11">
        <f>IF(AY11, IF(COUNTIF(Raw!AV11:BK11, "&gt;=0") = 16,SUM(SUM(Raw!BH11,Raw!BI11,Raw!BJ11,Raw!BK11)*SUM(Raw!AY11,Raw!BC11,Raw!BG11,Raw!BK11),SUM(Raw!AV11:BG11)*SUM(Raw!AV11,Raw!AW11,Raw!AX11,Raw!AZ11,Raw!BA11,Raw!BB11,Raw!BD11,Raw!BE11,Raw!BF11,Raw!BH11,Raw!BI11,Raw!BJ11))/AT11^2,"No Contingency Table"), "Not Included")</f>
        <v>0.57999999999999996</v>
      </c>
      <c r="BC11" s="11">
        <f>IF(AY11, IF(COUNTIF(Raw!AV11:BK11, "&gt;=0") = 16,(BA11-BB11) / (1 - BB11),"No Contingency Table"), "Not Included")</f>
        <v>0.52380952380952395</v>
      </c>
      <c r="BD11" s="11" t="str">
        <f>IF(AY11,IF(NOT(ISBLANK(Raw!BT32)),Raw!BT32,"Not Reported"),"Not Included")</f>
        <v>Not Reported</v>
      </c>
      <c r="BE11" s="11">
        <f t="shared" si="17"/>
        <v>0.52380952380952395</v>
      </c>
      <c r="BF11" s="11" t="str">
        <f t="shared" si="18"/>
        <v>NA</v>
      </c>
      <c r="BG11" s="11">
        <f>Raw!K11</f>
        <v>1999</v>
      </c>
      <c r="BH11" s="11" t="str">
        <f>IF(Raw!L11 = "USA","USA","Non-USA")</f>
        <v>USA</v>
      </c>
      <c r="BI11" s="11" t="str">
        <f>Raw!M11</f>
        <v>Ainsworth/Ainsworth</v>
      </c>
      <c r="BJ11" s="11">
        <f>Raw!N11</f>
        <v>1</v>
      </c>
      <c r="BK11" s="11">
        <f>Raw!P11</f>
        <v>0</v>
      </c>
      <c r="BL11" s="11">
        <f>Raw!Q11</f>
        <v>0</v>
      </c>
      <c r="BM11" s="11">
        <f>Raw!T11</f>
        <v>1</v>
      </c>
      <c r="BN11" s="11">
        <f>IFERROR(IF(AND(ISBLANK(Raw!U11), ISBLANK(Raw!V11), ISBLANK(Raw!W11), ISBLANK(Raw!X11)), "NA", IF(OR(NOT(ISBLANK(Raw!U11)), NOT(ISBLANK(Raw!W11))), AVERAGE(Raw!U11,Raw!W11), AVERAGE(Raw!V11,Raw!X11) + IF(Raw!Y11 = "2-way", R11, IF(Raw!Y11 = "3-way", AB11, IF(Raw!Y11 = "4-way", AL11, "NA")))*(1 - AVERAGE(Raw!V11,Raw!X11)))), "NA")</f>
        <v>0.88</v>
      </c>
      <c r="BO11" s="11">
        <f>Raw!O11</f>
        <v>0</v>
      </c>
      <c r="BP11" s="11" t="str">
        <f>Raw!F11</f>
        <v>Female</v>
      </c>
      <c r="BQ11" s="11" t="b">
        <f>COUNTIF(Raw!AV11:BK11, "&gt;=0") = 16</f>
        <v>1</v>
      </c>
      <c r="BR11" s="11" t="str">
        <f t="shared" si="19"/>
        <v>Contingency</v>
      </c>
      <c r="BS11" s="15">
        <f t="shared" si="20"/>
        <v>20</v>
      </c>
      <c r="BT11" s="11">
        <f>IF(BQ11, IF(COUNTIF(Raw!AV11:BK11, "&gt;=0") = 16, IFERROR((BS11*Raw!AV11 - SUM(Raw!AV11, Raw!AW11, Raw!AX11, Raw!AY11)*SUM(Raw!AV11, Raw!AZ11, Raw!BD11, Raw!BH11)) / SQRT((BS11*SUM(Raw!AV11, Raw!AW11, Raw!AX11, Raw!AY11) - SUM(Raw!AV11, Raw!AW11, Raw!AX11, Raw!AY11)^2) * (BS11*SUM(Raw!AV11, Raw!AZ11, Raw!BD11, Raw!BH11) - SUM(Raw!AV11, Raw!AZ11, Raw!BD11, Raw!BH11)^2)), 0), "No Contingency Table"), "Not Included")</f>
        <v>1</v>
      </c>
      <c r="BU11" s="11">
        <f>IF(BQ11, IF(COUNTIF(Raw!AV11:BK11, "&gt;=0") = 16, SUM(Raw!BK11,Raw!BJ11,Raw!BI11,Raw!BG11,Raw!BF11,Raw!BE11,Raw!BC11,Raw!BB11,Raw!BA11,Raw!AV11)/SUM(Raw!AV11:BK11), "No Contingency Table"), "Not Included")</f>
        <v>1</v>
      </c>
      <c r="BV11" s="11">
        <f>IF(BQ11, IF(COUNTIF(Raw!AV11:BK11, "&gt;=0") = 16,SUM(SUM(Raw!AV11,Raw!AW11,Raw!AX11,Raw!AY11)*SUM(Raw!AV11,Raw!AZ11,Raw!BD11,Raw!BH11),SUM(Raw!AZ11:BK11)*SUM(Raw!AW11,Raw!AX11,Raw!AY11,Raw!BA11,Raw!BB11,Raw!BC11,Raw!BE11,Raw!BF11,Raw!BG11,Raw!BI11,Raw!BJ11,Raw!BK11))/BS11^2,"No Contingency Table"), "Not Included")</f>
        <v>0.90500000000000003</v>
      </c>
      <c r="BW11" s="11">
        <f>IF(BQ11, IF(COUNTIF(Raw!AV11:BK11, "&gt;=0") = 16,(BU11-BV11) / (1 - BV11),"No Contingency Table"), "Not Included")</f>
        <v>1</v>
      </c>
      <c r="BX11" s="11" t="b">
        <f t="shared" ref="BX11:BZ11" si="57">BQ11</f>
        <v>1</v>
      </c>
      <c r="BY11" s="11" t="str">
        <f t="shared" si="57"/>
        <v>Contingency</v>
      </c>
      <c r="BZ11" s="15">
        <f t="shared" si="57"/>
        <v>20</v>
      </c>
      <c r="CA11" s="11">
        <f>IF(BX11, IF(COUNTIF(Raw!AV11:BK11, "&gt;=0") = 16, IFERROR((BZ11*Raw!BF11 - SUM(Raw!BD11, Raw!BE11, Raw!BF11, Raw!BG11)*SUM(Raw!BF11, Raw!AX11, Raw!BB11, Raw!BJ11)) / SQRT((BZ11*SUM(Raw!BD11, Raw!BE11, Raw!BF11, Raw!BG11) - SUM(Raw!BD11, Raw!BE11, Raw!BF11, Raw!BG11)^2) * (BZ11*SUM(Raw!BF11, Raw!AX11, Raw!BB11, Raw!BJ11) - SUM(Raw!BF11, Raw!AX11, Raw!BB11, Raw!BJ11)^2)), 0), "No Contingency Table"), "Not Included")</f>
        <v>0.32673201960653564</v>
      </c>
      <c r="CB11" s="11">
        <f>IF(BX11, IF(COUNTIF(Raw!AV11:BK11, "&gt;=0") = 16, SUM(Raw!AV11,Raw!AW11,Raw!AY11,Raw!AZ11,Raw!BA11,Raw!BC11,Raw!BF11,Raw!BH11,Raw!BI11,Raw!BK11) / SUM(Raw!AV11:BK11), "No Contingency Table"), "Not Included")</f>
        <v>0.85</v>
      </c>
      <c r="CC11" s="11">
        <f>IF(BX11, IF(COUNTIF(Raw!AV11:BK11, "&gt;=0") = 16,SUM(SUM(Raw!BD11,Raw!BE11,Raw!BF11,Raw!BG11)*SUM(Raw!BF11,Raw!AX11,Raw!BB11,Raw!BJ11),SUM(Raw!AV11:BC11,Raw!BH11:BK11)*SUM(Raw!AV11,Raw!AW11,Raw!AY11,Raw!AZ11,Raw!BA11,Raw!BC11,Raw!BD11,Raw!BE11,Raw!BG11,Raw!BH11,Raw!BI11,Raw!BK11))/BZ11^2,"No Contingency Table"), "Not Included")</f>
        <v>0.78</v>
      </c>
      <c r="CD11" s="11">
        <f>IF(BX11, IF(COUNTIF(Raw!AV11:BK11, "&gt;=0") = 16,(CB11 - CC11) / (1 - CC11+0.000001),"No Contingency Table"), "Not Included")</f>
        <v>0.31818037190740023</v>
      </c>
      <c r="CE11" s="11" t="b">
        <f t="shared" ref="CE11:CG11" si="58">BQ11</f>
        <v>1</v>
      </c>
      <c r="CF11" s="11" t="str">
        <f t="shared" si="58"/>
        <v>Contingency</v>
      </c>
      <c r="CG11" s="15">
        <f t="shared" si="58"/>
        <v>20</v>
      </c>
      <c r="CH11" s="11">
        <f>IF(CE11, IF(COUNTIF(Raw!AV11:BK11, "&gt;=0") = 16, IFERROR((CG11*Raw!BA11 - SUM(Raw!BA11, Raw!AZ11, Raw!BB11, Raw!BC11)*SUM(Raw!BA11, Raw!AW11, Raw!BE11, Raw!BI11)) / SQRT((CG11*SUM(Raw!BA11, Raw!AZ11, Raw!BB11, Raw!BC11) - SUM(Raw!BA11, Raw!AZ11, Raw!BB11, Raw!BC11)^2) * (CG11*SUM(Raw!BA11, Raw!AW11, Raw!BE11, Raw!BI11) - SUM(Raw!BA11, Raw!AW11, Raw!BE11, Raw!BI11)^2)), 0), "No Contingency Table"), "Not Included")</f>
        <v>0.50251890762960605</v>
      </c>
      <c r="CI11" s="11">
        <f>IF(CE11, IF(COUNTIF(Raw!AV11:BK11, "&gt;=0") = 16, SUM(Raw!AV11,Raw!AX11,Raw!AY11,Raw!BA11,Raw!BD11,Raw!BF11,Raw!BG11,Raw!BH11,Raw!BJ11,Raw!BK11) / SUM(Raw!AV11:BK11), "No Contingency Table"), "Not Included")</f>
        <v>0.75</v>
      </c>
      <c r="CJ11" s="61">
        <f>IF(BX11, IF(COUNTIF(Raw!AV11:BK11, "&gt;=0") = 16,SUM(SUM(Raw!AZ11,Raw!BA11,Raw!BB11,Raw!BC11)*SUM(Raw!BA11,Raw!AW11,Raw!BE11,Raw!BI11),SUM(Raw!AV11:AY11,Raw!BD11:BK11)*SUM(Raw!AV11,Raw!AX11,Raw!AY11,Raw!AZ11,Raw!BB11,Raw!BC11,Raw!BD11,Raw!BF11,Raw!BG11,Raw!BH11,Raw!BJ11,Raw!BK11))/CG11^2,"No Contingency Table"), "Not Included")</f>
        <v>0.5</v>
      </c>
      <c r="CK11" s="11">
        <f>IF(BX11, IF(COUNTIF(Raw!AV11:BK11, "&gt;=0") = 16,(CI11 - CJ11) / (1 - CJ11),"No Contingency Table"), "Not Included")</f>
        <v>0.5</v>
      </c>
      <c r="CL11" s="11">
        <f>IF(BQ11, IFERROR(Raw!AV11/SUM(Raw!AV11:AY11), 0), "Not Included")</f>
        <v>1</v>
      </c>
      <c r="CM11" s="11">
        <f>IF(BQ11, IFERROR(Raw!BA11/SUM(Raw!AZ11:BC11), 0), "Not Included")</f>
        <v>0.8</v>
      </c>
      <c r="CN11" s="11">
        <f>IF(BQ11, IFERROR(Raw!BF11/SUM(Raw!BD11:BG11), 0), "Not Included")</f>
        <v>0.33333333333333331</v>
      </c>
      <c r="CO11" s="11">
        <f>IF(BQ11, IFERROR(Raw!BK11/SUM(Raw!BH11:BK11), 0), "Not Included")</f>
        <v>0.66666666666666663</v>
      </c>
      <c r="CP11" s="11">
        <f>IF(BQ11, IFERROR(SUM(Raw!AV11,Raw!AX11,Raw!AY11,Raw!BD11,Raw!BF11,Raw!BG11,Raw!BH11,Raw!BJ11,Raw!BK11)/SUM(Raw!AV11,Raw!AW11,Raw!AX11,Raw!AY11,Raw!BD11,Raw!BE11,Raw!BF11,Raw!BG11,Raw!BH11,Raw!BI11,Raw!BJ11,Raw!BK11), 0), "Not Included")</f>
        <v>0.7</v>
      </c>
      <c r="CQ11" s="11">
        <f>IF(BQ11, IFERROR(SUM(Raw!AV11:AX11,Raw!AZ11:BB11,Raw!BD11:BF11)/SUM(Raw!AV11:BF11), 0), "Not Included")</f>
        <v>0.92307692307692313</v>
      </c>
      <c r="CR11" s="11">
        <f>IF(BQ11, IFERROR(SUM(Raw!AV11:AY11), 0), "Not Included")</f>
        <v>1</v>
      </c>
      <c r="CS11" s="11">
        <f>IF(BQ11, IFERROR(SUM(Raw!AZ11:BC11), 0), "Not Included")</f>
        <v>10</v>
      </c>
      <c r="CT11" s="11">
        <f>IF(BQ11, IFERROR(SUM(Raw!BD11:BG11), 0), "Not Included")</f>
        <v>3</v>
      </c>
      <c r="CU11" s="11">
        <f>IF(BQ11, IFERROR(SUM(Raw!BH11:BK11), 0), "Not Included")</f>
        <v>6</v>
      </c>
      <c r="CV11" s="11">
        <f>IF(BQ11, IFERROR(SUM(Raw!AV11,Raw!AW11,Raw!AX11,Raw!AY11,Raw!BD11,Raw!BE11,Raw!BF11,Raw!BG11,Raw!BH11,Raw!BI11,Raw!BJ11,Raw!BK11), 0), "Not Included")</f>
        <v>10</v>
      </c>
      <c r="CW11" s="11">
        <f>IF(BQ11, IFERROR(SUM(Raw!AV11:BF11), 0), "Not Included")</f>
        <v>13</v>
      </c>
      <c r="CX11" s="11">
        <f>IF(BQ11, IFERROR((CR11*SUM(Raw!AV11,Raw!AZ11,Raw!BD11,Raw!BH11))/BS11/CR11, 0), "Not Included")</f>
        <v>0.05</v>
      </c>
      <c r="CY11" s="11">
        <f>IF(BX11, IFERROR((CS11*SUM(Raw!BA11,Raw!AW11,Raw!BE11,Raw!BI11))/CG11/CS11, 0), "Not Included")</f>
        <v>0.55000000000000004</v>
      </c>
      <c r="CZ11" s="11">
        <f>IF(BX11, IFERROR((CT11*SUM(Raw!BF11,Raw!AX11,Raw!BB11,Raw!BJ11))/BZ11/CT11, 0), "Not Included")</f>
        <v>9.9999999999999992E-2</v>
      </c>
      <c r="DA11" s="11">
        <f>IF(AY11, IFERROR((CU11*SUM(Raw!AY11,Raw!BC11,Raw!BG11,Raw!BK11))/AT11/CU11, 0), "Not Included")</f>
        <v>0.3</v>
      </c>
      <c r="DB11" s="11">
        <f>IF(BX11, IFERROR((CV11*SUM(Raw!AV11,Raw!AX11,Raw!AY11,Raw!AZ11,Raw!BB11,Raw!BC11,Raw!BD11,Raw!BF11,Raw!BG11,Raw!BH11,Raw!BJ11,Raw!BK11))/CG11/CV11,0), "Not Included")</f>
        <v>0.45</v>
      </c>
      <c r="DC11" s="11">
        <f>IF(AY11, IFERROR((CW11*SUM(Raw!AV11,Raw!AW11,Raw!AX11,Raw!AZ11,Raw!BA11,Raw!BB11,Raw!BD11,Raw!BE11,Raw!BF11,Raw!BH11,Raw!BI11,Raw!BJ11))/AT11/CW11,0), "Not Included")</f>
        <v>0.7</v>
      </c>
    </row>
    <row r="12" spans="1:107" ht="12.75" customHeight="1">
      <c r="A12" s="11">
        <f>Raw!D12</f>
        <v>7</v>
      </c>
      <c r="B12" s="11" t="str">
        <f>Raw!A12</f>
        <v>Barnett, Ganiban &amp; Cicchetti (1999)</v>
      </c>
      <c r="C12" s="11">
        <f>Raw!G12</f>
        <v>1</v>
      </c>
      <c r="D12" s="11" t="str">
        <f>Raw!E12</f>
        <v>Maltreated</v>
      </c>
      <c r="E12" s="11" t="str">
        <f>CONCATENATE(IF(Raw!I12&lt;='Interval Definitions'!$B$2, 'Interval Definitions'!$A$2, IF(Raw!I12&lt;='Interval Definitions'!$B$3, 'Interval Definitions'!$A$3, IF(Raw!I12&lt;='Interval Definitions'!$B$4, 'Interval Definitions'!$A$4, IF(Raw!I12&lt;='Interval Definitions'!$B$5, 'Interval Definitions'!$A$5, "None")))), " - ", IF(Raw!J12&lt;='Interval Definitions'!$B$2, 'Interval Definitions'!$A$2, IF(Raw!J12&lt;='Interval Definitions'!$B$3, 'Interval Definitions'!$A$3, IF(Raw!J12&lt;='Interval Definitions'!$B$4, 'Interval Definitions'!$A$4, IF(Raw!J12&lt;='Interval Definitions'!$B$5, 'Interval Definitions'!$A$5, "None")))))</f>
        <v>Infancy - Toddlerhood</v>
      </c>
      <c r="F12" s="11" t="b">
        <f>OR(NOT(ISBLANK(Raw!AF12)),NOT(ISBLANK(Raw!AG12)),NOT(ISBLANK(Raw!AH12)),NOT(ISBLANK(Raw!AI12)),COUNTIF(Raw!AA12:AD12, "&gt;=0") = 4)</f>
        <v>1</v>
      </c>
      <c r="G12" s="11" t="str">
        <f>IF(F12, IF(COUNTIF(Raw!AA12:AD12,"&gt;=0") = 4, "Contingency", IF(NOT(ISBLANK(Raw!AF12)), "Paper r", IF(NOT(ISBLANK(Raw!AG12)), "Pinquart", IF(NOT(ISBLANK(Raw!AH12)), "Fraley", "Paper chiSq")))), "Not Included")</f>
        <v>Contingency</v>
      </c>
      <c r="H12" s="15">
        <f>IF(F12,Raw!AE12,"Not Included")</f>
        <v>16</v>
      </c>
      <c r="I12" s="15">
        <f>IF(COUNTIF(Raw!AA12:AD12,"&gt;=0") = 4, SUM(Raw!AA12:AD12), "No Contingency Table")</f>
        <v>16</v>
      </c>
      <c r="J12" s="15">
        <f t="shared" si="0"/>
        <v>16</v>
      </c>
      <c r="K12" s="38">
        <f>IF(F12, IF(COUNTIF(Raw!AA12:AD12,"&gt;=0") = 4, IFERROR((I12*Raw!AA12 - SUM(Raw!AA12,Raw!AB12)*SUM(Raw!AA12,Raw!AD12)) / SQRT((I12*SUM(Raw!AA12,Raw!AB12) - SUM(Raw!AA12,Raw!AB12)^2) * (I12*SUM(Raw!AA12,Raw!AD12) - SUM(Raw!AA12,Raw!AD12)^2)), 0), "No Contingency Table"), "Not Included")</f>
        <v>1</v>
      </c>
      <c r="L12" s="41">
        <f>IF(F12,IF(NOT(ISBLANK(Raw!AF12)), Raw!AF12, IF(NOT(ISBLANK(Raw!AG12)), Raw!AG12, IF(NOT(ISBLANK(Raw!AH12)), Raw!AH12, IF(NOT(ISBLANK(Raw!AI12)), SQRT(Raw!AI12/H12)*Raw!AJ12, "Not Reported")))),"Not Included")</f>
        <v>1</v>
      </c>
      <c r="M12" s="43">
        <f t="shared" si="1"/>
        <v>1</v>
      </c>
      <c r="N12" s="11">
        <f t="shared" si="2"/>
        <v>1</v>
      </c>
      <c r="O12" s="48" t="b">
        <f>OR(NOT(ISBLANK(Raw!AK12)), COUNTIF(Raw!AA12:AD12, "&gt;=0") = 4)</f>
        <v>1</v>
      </c>
      <c r="P12" s="24" t="str">
        <f>IF(O12,IF(COUNTIF(Raw!AA12:AD12,"&gt;=0") = 4,"Contingency", "Paper k"), "Not Included")</f>
        <v>Contingency</v>
      </c>
      <c r="Q12" s="48">
        <f>IF(O12, IF(COUNTIF(Raw!AA12:AD12,"&gt;=0") = 4,SUM(Raw!AA12,Raw!AC12)/H12,"No Contingency Table"), "Not Included")</f>
        <v>1</v>
      </c>
      <c r="R12" s="38">
        <f>IF(O12, IF(COUNTIF(Raw!AA12:AD12, "&gt;=0") = 4,SUM(SUM(Raw!AA12,Raw!AB12)*SUM(Raw!AA12,Raw!AD12),SUM(Raw!AC12,Raw!AD12)*SUM(Raw!AC12,Raw!AB12))/H12^2,"No Contingency Table"), "Not Included")</f>
        <v>0.78125</v>
      </c>
      <c r="S12" s="38">
        <f>IF(O12, IF(COUNTIF(Raw!AA12:AD12,"&gt;=0") = 4, IFERROR((Q12 - R12) / (1 - R12), "Could not calculate"), "No Contingency Table"), "Not Included")</f>
        <v>1</v>
      </c>
      <c r="T12" s="52" t="str">
        <f>IF(O12,IF(NOT(ISBLANK(Raw!AK12)), Raw!AK12, "Not Reported"), "Not Included")</f>
        <v>Not Reported</v>
      </c>
      <c r="U12" s="38">
        <f t="shared" si="3"/>
        <v>1</v>
      </c>
      <c r="V12" s="11" t="str">
        <f t="shared" si="4"/>
        <v>NA</v>
      </c>
      <c r="W12" s="11" t="b">
        <f>OR(NOT(ISBLANK(Raw!AU12)),COUNTIF(Raw!AL12:AT12,"&gt;=0") = 9)</f>
        <v>0</v>
      </c>
      <c r="X12" s="11" t="str">
        <f>IF(W12, IF(COUNTIF(Raw!AL12:AT12,"&gt;=0") = 9, "Contingency", "Paper k"), "Not Included")</f>
        <v>Not Included</v>
      </c>
      <c r="Y12" s="11" t="str">
        <f>IF(W12,IF(COUNTIF(Raw!AL12:AT12,"&gt;=0") = 9,SUM(Raw!AL12:AT12),"No Contingency Table"),"Not Included")</f>
        <v>Not Included</v>
      </c>
      <c r="Z12" s="11" t="str">
        <f t="shared" si="5"/>
        <v>Not Included</v>
      </c>
      <c r="AA12" s="11" t="str">
        <f>IF(W12,IF(COUNTIF(Raw!AL12:AT12,"&gt;=0") = 9,SUM(Raw!AL12,Raw!AP12,Raw!AT12)/Y12,"No Contingency Table"), "Not Included")</f>
        <v>Not Included</v>
      </c>
      <c r="AB12" s="11" t="str">
        <f>IF(W12,IF(COUNTIF(Raw!AL12:AT12,"&gt;=0") = 9,SUM(SUM(Raw!AL12,Raw!AM12,Raw!AN12)*SUM(Raw!AL12,Raw!AO12,Raw!AR12),SUM(Raw!AO12,Raw!AP12,Raw!AQ12)*SUM(Raw!AM12,Raw!AP12,Raw!AS12),SUM(Raw!AR12,Raw!AS12,Raw!AT12)*SUM(Raw!AN12,Raw!AQ12,Raw!AT12))/Y12^2,"No Contingency Table"), "Not Included")</f>
        <v>Not Included</v>
      </c>
      <c r="AC12" s="11" t="str">
        <f>IF(W12,IF(COUNTIF(Raw!AL12:AT12,"&gt;=0") = 9,(AA12 - AB12) / (1 - AB12),"No Contingency Table"), "Not Included")</f>
        <v>Not Included</v>
      </c>
      <c r="AD12" s="11" t="str">
        <f>IF(W12, IF(NOT(ISBLANK(Raw!AU12)),Raw!AU12,"Not Reported"), "Not Included")</f>
        <v>Not Included</v>
      </c>
      <c r="AE12" s="11" t="str">
        <f t="shared" si="6"/>
        <v>Not Included</v>
      </c>
      <c r="AF12" s="11" t="str">
        <f t="shared" si="7"/>
        <v>Not Included</v>
      </c>
      <c r="AG12" s="11" t="b">
        <f>COUNTIF(Raw!AV12:BK12, "&gt;=0") = 16</f>
        <v>1</v>
      </c>
      <c r="AH12" s="11" t="str">
        <f>IF(AG12, IF(COUNTIF(Raw!AV12:BK12,"&gt;=0") = 16, "Contingency", "Paper k"), "Not Included")</f>
        <v>Contingency</v>
      </c>
      <c r="AI12" s="15">
        <f>IF(AG12,IF(COUNTIF(Raw!AV12:BK12,"&gt;=0") = 16,SUM(Raw!AV12:BK12),"No Contingency Table"),"Not Included")</f>
        <v>16</v>
      </c>
      <c r="AJ12" s="15">
        <f t="shared" si="8"/>
        <v>16</v>
      </c>
      <c r="AK12" s="11">
        <f>IF(AG12,IF(COUNTIF(Raw!AV12:BK12,"&gt;=0") = 16,SUM(Raw!AV12,Raw!BA12,Raw!BF12,Raw!BK12)/AI12,"No Contingency Table"), "Not Included")</f>
        <v>0.875</v>
      </c>
      <c r="AL12" s="11">
        <f>IF(AG12,IF(COUNTIF(Raw!AV12:BK12,"&gt;=0") = 16,SUM(SUM(Raw!AV12,Raw!AW12,Raw!AX12,Raw!AY12)*SUM(Raw!AV12,Raw!AZ12,Raw!BD12,Raw!BH12),SUM(Raw!AZ12,Raw!BA12,Raw!BB12,Raw!BC12)*SUM(Raw!AW12,Raw!BA12,Raw!BE12,Raw!BI12),SUM(Raw!BD12,Raw!BE12,Raw!BF12,Raw!BG12)*SUM(Raw!AX12,Raw!BB12,Raw!BF12,Raw!BJ12),SUM(Raw!BH12,Raw!BI12,Raw!BJ12,Raw!BK12)*SUM(Raw!AY12,Raw!BC12,Raw!BG12,Raw!BK12))/AI12^2,"No Contingency Table"), "Not Included")</f>
        <v>0.671875</v>
      </c>
      <c r="AM12" s="11">
        <f>IF(AG12,IF(COUNTIF(Raw!AV12:BK12,"&gt;=0") = 16,(AK12 - AL12) / (1 - AL12),"No Contingency Table"), "Not Included")</f>
        <v>0.61904761904761907</v>
      </c>
      <c r="AN12" s="32">
        <f>IF(NOT(ISBLANK(Raw!BL12)),Raw!BL12,"Not Reported")</f>
        <v>0.46700000000000003</v>
      </c>
      <c r="AO12" s="11">
        <f t="shared" si="9"/>
        <v>0.61904761904761907</v>
      </c>
      <c r="AP12" s="11">
        <f t="shared" si="10"/>
        <v>0</v>
      </c>
      <c r="AQ12" s="11" t="b">
        <f t="shared" ref="AQ12:AR12" si="59">BQ12</f>
        <v>1</v>
      </c>
      <c r="AR12" s="11" t="str">
        <f t="shared" si="59"/>
        <v>Contingency</v>
      </c>
      <c r="AS12" s="15">
        <f t="shared" si="12"/>
        <v>16</v>
      </c>
      <c r="AT12" s="15">
        <f t="shared" si="13"/>
        <v>16</v>
      </c>
      <c r="AU12" s="11">
        <f>IF(AQ12, IF(COUNTIF(Raw!AV12:BK12, "&gt;=0") = 16, IFERROR((AT12*Raw!BK12 - SUM(Raw!BH12, Raw!BI12, Raw!BJ12, Raw!BK12)*SUM(Raw!AY12, Raw!BC12, Raw!BG12, Raw!BK12)) / SQRT((AT12*SUM(Raw!BH12, Raw!BI12, Raw!BJ12, Raw!BK12) - SUM(Raw!BH12, Raw!BI12, Raw!BJ12, Raw!BK12)^2) * (AT12*SUM(Raw!AY12, Raw!BC12, Raw!BG12, Raw!BK12) - SUM(Raw!AY12, Raw!BC12, Raw!BG12, Raw!BK12)^2)), 0), "No Contingency Table"), "Not Included")</f>
        <v>0.6546536707079772</v>
      </c>
      <c r="AV12" s="11" t="str">
        <f>IF(AQ12,IF(NOT(ISBLANK(Raw!BQ12)), Raw!BQ12, IF(NOT(ISBLANK(Raw!BR12)), Raw!BR12, "Not Reported")), "Not Included")</f>
        <v>Not Reported</v>
      </c>
      <c r="AW12" s="57">
        <f t="shared" si="14"/>
        <v>0.6546536707079772</v>
      </c>
      <c r="AX12" s="11" t="str">
        <f t="shared" si="15"/>
        <v>NA</v>
      </c>
      <c r="AY12" s="11" t="b">
        <f t="shared" ref="AY12:AZ12" si="60">AQ12</f>
        <v>1</v>
      </c>
      <c r="AZ12" s="11" t="str">
        <f t="shared" si="60"/>
        <v>Contingency</v>
      </c>
      <c r="BA12" s="11">
        <f>IF(AY12, IF(COUNTIF(Raw!AV12:BK12, "&gt;=0") = 16, SUM(Raw!AV12,Raw!AW12,Raw!AX12,Raw!AZ12,Raw!BA12,Raw!BB12,Raw!BD12,Raw!BE12,Raw!BF12,Raw!BK12)/SUM(Raw!AV12:BK12), "No Contingency Table"), "Not Included")</f>
        <v>0.875</v>
      </c>
      <c r="BB12" s="11">
        <f>IF(AY12, IF(COUNTIF(Raw!AV12:BK12, "&gt;=0") = 16,SUM(SUM(Raw!BH12,Raw!BI12,Raw!BJ12,Raw!BK12)*SUM(Raw!AY12,Raw!BC12,Raw!BG12,Raw!BK12),SUM(Raw!AV12:BG12)*SUM(Raw!AV12,Raw!AW12,Raw!AX12,Raw!AZ12,Raw!BA12,Raw!BB12,Raw!BD12,Raw!BE12,Raw!BF12,Raw!BH12,Raw!BI12,Raw!BJ12))/AT12^2,"No Contingency Table"), "Not Included")</f>
        <v>0.6875</v>
      </c>
      <c r="BC12" s="11">
        <f>IF(AY12, IF(COUNTIF(Raw!AV12:BK12, "&gt;=0") = 16,(BA12-BB12) / (1 - BB12),"No Contingency Table"), "Not Included")</f>
        <v>0.6</v>
      </c>
      <c r="BD12" s="11" t="str">
        <f>IF(AY12,IF(NOT(ISBLANK(Raw!BT33)),Raw!BT33,"Not Reported"),"Not Included")</f>
        <v>Not Reported</v>
      </c>
      <c r="BE12" s="11">
        <f t="shared" si="17"/>
        <v>0.6</v>
      </c>
      <c r="BF12" s="11" t="str">
        <f t="shared" si="18"/>
        <v>NA</v>
      </c>
      <c r="BG12" s="11">
        <f>Raw!K12</f>
        <v>1999</v>
      </c>
      <c r="BH12" s="11" t="str">
        <f>IF(Raw!L12 = "USA","USA","Non-USA")</f>
        <v>USA</v>
      </c>
      <c r="BI12" s="11" t="str">
        <f>Raw!M12</f>
        <v>Ainsworth/Ainsworth</v>
      </c>
      <c r="BJ12" s="11">
        <f>Raw!N12</f>
        <v>1</v>
      </c>
      <c r="BK12" s="11">
        <f>Raw!P12</f>
        <v>1</v>
      </c>
      <c r="BL12" s="11">
        <f>Raw!Q12</f>
        <v>0</v>
      </c>
      <c r="BM12" s="11">
        <f>Raw!T12</f>
        <v>1</v>
      </c>
      <c r="BN12" s="11">
        <f>IFERROR(IF(AND(ISBLANK(Raw!U12), ISBLANK(Raw!V12), ISBLANK(Raw!W12), ISBLANK(Raw!X12)), "NA", IF(OR(NOT(ISBLANK(Raw!U12)), NOT(ISBLANK(Raw!W12))), AVERAGE(Raw!U12,Raw!W12), AVERAGE(Raw!V12,Raw!X12) + IF(Raw!Y12 = "2-way", R12, IF(Raw!Y12 = "3-way", AB12, IF(Raw!Y12 = "4-way", AL12, "NA")))*(1 - AVERAGE(Raw!V12,Raw!X12)))), "NA")</f>
        <v>0.89500000000000002</v>
      </c>
      <c r="BO12" s="11">
        <f>Raw!O12</f>
        <v>0</v>
      </c>
      <c r="BP12" s="11" t="str">
        <f>Raw!F12</f>
        <v>Female</v>
      </c>
      <c r="BQ12" s="11" t="b">
        <f>COUNTIF(Raw!AV12:BK12, "&gt;=0") = 16</f>
        <v>1</v>
      </c>
      <c r="BR12" s="11" t="str">
        <f t="shared" si="19"/>
        <v>Contingency</v>
      </c>
      <c r="BS12" s="15">
        <f t="shared" si="20"/>
        <v>16</v>
      </c>
      <c r="BT12" s="11">
        <f>IF(BQ12, IF(COUNTIF(Raw!AV12:BK12, "&gt;=0") = 16, IFERROR((BS12*Raw!AV12 - SUM(Raw!AV12, Raw!AW12, Raw!AX12, Raw!AY12)*SUM(Raw!AV12, Raw!AZ12, Raw!BD12, Raw!BH12)) / SQRT((BS12*SUM(Raw!AV12, Raw!AW12, Raw!AX12, Raw!AY12) - SUM(Raw!AV12, Raw!AW12, Raw!AX12, Raw!AY12)^2) * (BS12*SUM(Raw!AV12, Raw!AZ12, Raw!BD12, Raw!BH12) - SUM(Raw!AV12, Raw!AZ12, Raw!BD12, Raw!BH12)^2)), 0), "No Contingency Table"), "Not Included")</f>
        <v>0</v>
      </c>
      <c r="BU12" s="11">
        <f>IF(BQ12, IF(COUNTIF(Raw!AV12:BK12, "&gt;=0") = 16, SUM(Raw!BK12,Raw!BJ12,Raw!BI12,Raw!BG12,Raw!BF12,Raw!BE12,Raw!BC12,Raw!BB12,Raw!BA12,Raw!AV12)/SUM(Raw!AV12:BK12), "No Contingency Table"), "Not Included")</f>
        <v>0.9375</v>
      </c>
      <c r="BV12" s="11">
        <f>IF(BQ12, IF(COUNTIF(Raw!AV12:BK12, "&gt;=0") = 16,SUM(SUM(Raw!AV12,Raw!AW12,Raw!AX12,Raw!AY12)*SUM(Raw!AV12,Raw!AZ12,Raw!BD12,Raw!BH12),SUM(Raw!AZ12:BK12)*SUM(Raw!AW12,Raw!AX12,Raw!AY12,Raw!BA12,Raw!BB12,Raw!BC12,Raw!BE12,Raw!BF12,Raw!BG12,Raw!BI12,Raw!BJ12,Raw!BK12))/BS12^2,"No Contingency Table"), "Not Included")</f>
        <v>0.9375</v>
      </c>
      <c r="BW12" s="11">
        <f>IF(BQ12, IF(COUNTIF(Raw!AV12:BK12, "&gt;=0") = 16,(BU12-BV12) / (1 - BV12),"No Contingency Table"), "Not Included")</f>
        <v>0</v>
      </c>
      <c r="BX12" s="11" t="b">
        <f t="shared" ref="BX12:BZ12" si="61">BQ12</f>
        <v>1</v>
      </c>
      <c r="BY12" s="11" t="str">
        <f t="shared" si="61"/>
        <v>Contingency</v>
      </c>
      <c r="BZ12" s="15">
        <f t="shared" si="61"/>
        <v>16</v>
      </c>
      <c r="CA12" s="11">
        <f>IF(BX12, IF(COUNTIF(Raw!AV12:BK12, "&gt;=0") = 16, IFERROR((BZ12*Raw!BF12 - SUM(Raw!BD12, Raw!BE12, Raw!BF12, Raw!BG12)*SUM(Raw!BF12, Raw!AX12, Raw!BB12, Raw!BJ12)) / SQRT((BZ12*SUM(Raw!BD12, Raw!BE12, Raw!BF12, Raw!BG12) - SUM(Raw!BD12, Raw!BE12, Raw!BF12, Raw!BG12)^2) * (BZ12*SUM(Raw!BF12, Raw!AX12, Raw!BB12, Raw!BJ12) - SUM(Raw!BF12, Raw!AX12, Raw!BB12, Raw!BJ12)^2)), 0), "No Contingency Table"), "Not Included")</f>
        <v>0</v>
      </c>
      <c r="CB12" s="11">
        <f>IF(BX12, IF(COUNTIF(Raw!AV12:BK12, "&gt;=0") = 16, SUM(Raw!AV12,Raw!AW12,Raw!AY12,Raw!AZ12,Raw!BA12,Raw!BC12,Raw!BF12,Raw!BH12,Raw!BI12,Raw!BK12) / SUM(Raw!AV12:BK12), "No Contingency Table"), "Not Included")</f>
        <v>0.9375</v>
      </c>
      <c r="CC12" s="11">
        <f>IF(BX12, IF(COUNTIF(Raw!AV12:BK12, "&gt;=0") = 16,SUM(SUM(Raw!BD12,Raw!BE12,Raw!BF12,Raw!BG12)*SUM(Raw!BF12,Raw!AX12,Raw!BB12,Raw!BJ12),SUM(Raw!AV12:BC12,Raw!BH12:BK12)*SUM(Raw!AV12,Raw!AW12,Raw!AY12,Raw!AZ12,Raw!BA12,Raw!BC12,Raw!BD12,Raw!BE12,Raw!BG12,Raw!BH12,Raw!BI12,Raw!BK12))/BZ12^2,"No Contingency Table"), "Not Included")</f>
        <v>0.9375</v>
      </c>
      <c r="CD12" s="11">
        <f>IF(BX12, IF(COUNTIF(Raw!AV12:BK12, "&gt;=0") = 16,(CB12 - CC12) / (1 - CC12+0.000001),"No Contingency Table"), "Not Included")</f>
        <v>0</v>
      </c>
      <c r="CE12" s="11" t="b">
        <f t="shared" ref="CE12:CG12" si="62">BQ12</f>
        <v>1</v>
      </c>
      <c r="CF12" s="11" t="str">
        <f t="shared" si="62"/>
        <v>Contingency</v>
      </c>
      <c r="CG12" s="15">
        <f t="shared" si="62"/>
        <v>16</v>
      </c>
      <c r="CH12" s="11">
        <f>IF(CE12, IF(COUNTIF(Raw!AV12:BK12, "&gt;=0") = 16, IFERROR((CG12*Raw!BA12 - SUM(Raw!BA12, Raw!AZ12, Raw!BB12, Raw!BC12)*SUM(Raw!BA12, Raw!AW12, Raw!BE12, Raw!BI12)) / SQRT((CG12*SUM(Raw!BA12, Raw!AZ12, Raw!BB12, Raw!BC12) - SUM(Raw!BA12, Raw!AZ12, Raw!BB12, Raw!BC12)^2) * (CG12*SUM(Raw!BA12, Raw!AW12, Raw!BE12, Raw!BI12) - SUM(Raw!BA12, Raw!AW12, Raw!BE12, Raw!BI12)^2)), 0), "No Contingency Table"), "Not Included")</f>
        <v>1</v>
      </c>
      <c r="CI12" s="11">
        <f>IF(CE12, IF(COUNTIF(Raw!AV12:BK12, "&gt;=0") = 16, SUM(Raw!AV12,Raw!AX12,Raw!AY12,Raw!BA12,Raw!BD12,Raw!BF12,Raw!BG12,Raw!BH12,Raw!BJ12,Raw!BK12) / SUM(Raw!AV12:BK12), "No Contingency Table"), "Not Included")</f>
        <v>1</v>
      </c>
      <c r="CJ12" s="61">
        <f>IF(BX12, IF(COUNTIF(Raw!AV12:BK12, "&gt;=0") = 16,SUM(SUM(Raw!AZ12,Raw!BA12,Raw!BB12,Raw!BC12)*SUM(Raw!BA12,Raw!AW12,Raw!BE12,Raw!BI12),SUM(Raw!AV12:AY12,Raw!BD12:BK12)*SUM(Raw!AV12,Raw!AX12,Raw!AY12,Raw!AZ12,Raw!BB12,Raw!BC12,Raw!BD12,Raw!BF12,Raw!BG12,Raw!BH12,Raw!BJ12,Raw!BK12))/CG12^2,"No Contingency Table"), "Not Included")</f>
        <v>0.78125</v>
      </c>
      <c r="CK12" s="11">
        <f>IF(BX12, IF(COUNTIF(Raw!AV12:BK12, "&gt;=0") = 16,(CI12 - CJ12) / (1 - CJ12),"No Contingency Table"), "Not Included")</f>
        <v>1</v>
      </c>
      <c r="CL12" s="11">
        <f>IF(BQ12, IFERROR(Raw!AV12/SUM(Raw!AV12:AY12), 0), "Not Included")</f>
        <v>0</v>
      </c>
      <c r="CM12" s="11">
        <f>IF(BQ12, IFERROR(Raw!BA12/SUM(Raw!AZ12:BC12), 0), "Not Included")</f>
        <v>1</v>
      </c>
      <c r="CN12" s="11">
        <f>IF(BQ12, IFERROR(Raw!BF12/SUM(Raw!BD12:BG12), 0), "Not Included")</f>
        <v>0</v>
      </c>
      <c r="CO12" s="11">
        <f>IF(BQ12, IFERROR(Raw!BK12/SUM(Raw!BH12:BK12), 0), "Not Included")</f>
        <v>0.8571428571428571</v>
      </c>
      <c r="CP12" s="11">
        <f>IF(BQ12, IFERROR(SUM(Raw!AV12,Raw!AX12,Raw!AY12,Raw!BD12,Raw!BF12,Raw!BG12,Raw!BH12,Raw!BJ12,Raw!BK12)/SUM(Raw!AV12,Raw!AW12,Raw!AX12,Raw!AY12,Raw!BD12,Raw!BE12,Raw!BF12,Raw!BG12,Raw!BH12,Raw!BI12,Raw!BJ12,Raw!BK12), 0), "Not Included")</f>
        <v>1</v>
      </c>
      <c r="CQ12" s="11">
        <f>IF(BQ12, IFERROR(SUM(Raw!AV12:AX12,Raw!AZ12:BB12,Raw!BD12:BF12)/SUM(Raw!AV12:BF12), 0), "Not Included")</f>
        <v>1</v>
      </c>
      <c r="CR12" s="11">
        <f>IF(BQ12, IFERROR(SUM(Raw!AV12:AY12), 0), "Not Included")</f>
        <v>0</v>
      </c>
      <c r="CS12" s="11">
        <f>IF(BQ12, IFERROR(SUM(Raw!AZ12:BC12), 0), "Not Included")</f>
        <v>2</v>
      </c>
      <c r="CT12" s="11">
        <f>IF(BQ12, IFERROR(SUM(Raw!BD12:BG12), 0), "Not Included")</f>
        <v>0</v>
      </c>
      <c r="CU12" s="11">
        <f>IF(BQ12, IFERROR(SUM(Raw!BH12:BK12), 0), "Not Included")</f>
        <v>14</v>
      </c>
      <c r="CV12" s="11">
        <f>IF(BQ12, IFERROR(SUM(Raw!AV12,Raw!AW12,Raw!AX12,Raw!AY12,Raw!BD12,Raw!BE12,Raw!BF12,Raw!BG12,Raw!BH12,Raw!BI12,Raw!BJ12,Raw!BK12), 0), "Not Included")</f>
        <v>14</v>
      </c>
      <c r="CW12" s="11">
        <f>IF(BQ12, IFERROR(SUM(Raw!AV12:BF12), 0), "Not Included")</f>
        <v>2</v>
      </c>
      <c r="CX12" s="11">
        <f>IF(BQ12, IFERROR((CR12*SUM(Raw!AV12,Raw!AZ12,Raw!BD12,Raw!BH12))/BS12/CR12, 0), "Not Included")</f>
        <v>0</v>
      </c>
      <c r="CY12" s="11">
        <f>IF(BX12, IFERROR((CS12*SUM(Raw!BA12,Raw!AW12,Raw!BE12,Raw!BI12))/CG12/CS12, 0), "Not Included")</f>
        <v>0.125</v>
      </c>
      <c r="CZ12" s="11">
        <f>IF(BX12, IFERROR((CT12*SUM(Raw!BF12,Raw!AX12,Raw!BB12,Raw!BJ12))/BZ12/CT12, 0), "Not Included")</f>
        <v>0</v>
      </c>
      <c r="DA12" s="11">
        <f>IF(AY12, IFERROR((CU12*SUM(Raw!AY12,Raw!BC12,Raw!BG12,Raw!BK12))/AT12/CU12, 0), "Not Included")</f>
        <v>0.75</v>
      </c>
      <c r="DB12" s="11">
        <f>IF(BX12, IFERROR((CV12*SUM(Raw!AV12,Raw!AX12,Raw!AY12,Raw!AZ12,Raw!BB12,Raw!BC12,Raw!BD12,Raw!BF12,Raw!BG12,Raw!BH12,Raw!BJ12,Raw!BK12))/CG12/CV12,0), "Not Included")</f>
        <v>0.875</v>
      </c>
      <c r="DC12" s="11">
        <f>IF(AY12, IFERROR((CW12*SUM(Raw!AV12,Raw!AW12,Raw!AX12,Raw!AZ12,Raw!BA12,Raw!BB12,Raw!BD12,Raw!BE12,Raw!BF12,Raw!BH12,Raw!BI12,Raw!BJ12))/AT12/CW12,0), "Not Included")</f>
        <v>0.25</v>
      </c>
    </row>
    <row r="13" spans="1:107" ht="12.75" customHeight="1">
      <c r="A13" s="11">
        <f>Raw!D13</f>
        <v>7</v>
      </c>
      <c r="B13" s="11" t="str">
        <f>Raw!A13</f>
        <v>Barnett, Ganiban &amp; Cicchetti (1999)</v>
      </c>
      <c r="C13" s="11">
        <f>Raw!G13</f>
        <v>2</v>
      </c>
      <c r="D13" s="11" t="str">
        <f>Raw!E13</f>
        <v>Maltreated</v>
      </c>
      <c r="E13" s="11" t="str">
        <f>CONCATENATE(IF(Raw!I13&lt;='Interval Definitions'!$B$2, 'Interval Definitions'!$A$2, IF(Raw!I13&lt;='Interval Definitions'!$B$3, 'Interval Definitions'!$A$3, IF(Raw!I13&lt;='Interval Definitions'!$B$4, 'Interval Definitions'!$A$4, IF(Raw!I13&lt;='Interval Definitions'!$B$5, 'Interval Definitions'!$A$5, "None")))), " - ", IF(Raw!J13&lt;='Interval Definitions'!$B$2, 'Interval Definitions'!$A$2, IF(Raw!J13&lt;='Interval Definitions'!$B$3, 'Interval Definitions'!$A$3, IF(Raw!J13&lt;='Interval Definitions'!$B$4, 'Interval Definitions'!$A$4, IF(Raw!J13&lt;='Interval Definitions'!$B$5, 'Interval Definitions'!$A$5, "None")))))</f>
        <v>Infancy - Infancy</v>
      </c>
      <c r="F13" s="11" t="b">
        <f>OR(NOT(ISBLANK(Raw!AF13)),NOT(ISBLANK(Raw!AG13)),NOT(ISBLANK(Raw!AH13)),NOT(ISBLANK(Raw!AI13)),COUNTIF(Raw!AA13:AD13, "&gt;=0") = 4)</f>
        <v>1</v>
      </c>
      <c r="G13" s="11" t="str">
        <f>IF(F13, IF(COUNTIF(Raw!AA13:AD13,"&gt;=0") = 4, "Contingency", IF(NOT(ISBLANK(Raw!AF13)), "Paper r", IF(NOT(ISBLANK(Raw!AG13)), "Pinquart", IF(NOT(ISBLANK(Raw!AH13)), "Fraley", "Paper chiSq")))), "Not Included")</f>
        <v>Contingency</v>
      </c>
      <c r="H13" s="15">
        <f>IF(F13,Raw!AE13,"Not Included")</f>
        <v>18</v>
      </c>
      <c r="I13" s="15">
        <f>IF(COUNTIF(Raw!AA13:AD13,"&gt;=0") = 4, SUM(Raw!AA13:AD13), "No Contingency Table")</f>
        <v>18</v>
      </c>
      <c r="J13" s="15">
        <f t="shared" si="0"/>
        <v>18</v>
      </c>
      <c r="K13" s="38">
        <f>IF(F13, IF(COUNTIF(Raw!AA13:AD13,"&gt;=0") = 4, IFERROR((I13*Raw!AA13 - SUM(Raw!AA13,Raw!AB13)*SUM(Raw!AA13,Raw!AD13)) / SQRT((I13*SUM(Raw!AA13,Raw!AB13) - SUM(Raw!AA13,Raw!AB13)^2) * (I13*SUM(Raw!AA13,Raw!AD13) - SUM(Raw!AA13,Raw!AD13)^2)), 0), "No Contingency Table"), "Not Included")</f>
        <v>0.4780914437337575</v>
      </c>
      <c r="L13" s="41">
        <f>IF(F13,IF(NOT(ISBLANK(Raw!AF13)), Raw!AF13, IF(NOT(ISBLANK(Raw!AG13)), Raw!AG13, IF(NOT(ISBLANK(Raw!AH13)), Raw!AH13, IF(NOT(ISBLANK(Raw!AI13)), SQRT(Raw!AI13/H13)*Raw!AJ13, "Not Reported")))),"Not Included")</f>
        <v>0.48</v>
      </c>
      <c r="M13" s="43">
        <f t="shared" si="1"/>
        <v>0.4780914437337575</v>
      </c>
      <c r="N13" s="11">
        <f t="shared" si="2"/>
        <v>1</v>
      </c>
      <c r="O13" s="48" t="b">
        <f>OR(NOT(ISBLANK(Raw!AK13)), COUNTIF(Raw!AA13:AD13, "&gt;=0") = 4)</f>
        <v>1</v>
      </c>
      <c r="P13" s="24" t="str">
        <f>IF(O13,IF(COUNTIF(Raw!AA13:AD13,"&gt;=0") = 4,"Contingency", "Paper k"), "Not Included")</f>
        <v>Contingency</v>
      </c>
      <c r="Q13" s="48">
        <f>IF(O13, IF(COUNTIF(Raw!AA13:AD13,"&gt;=0") = 4,SUM(Raw!AA13,Raw!AC13)/H13,"No Contingency Table"), "Not Included")</f>
        <v>0.83333333333333337</v>
      </c>
      <c r="R13" s="38">
        <f>IF(O13, IF(COUNTIF(Raw!AA13:AD13, "&gt;=0") = 4,SUM(SUM(Raw!AA13,Raw!AB13)*SUM(Raw!AA13,Raw!AD13),SUM(Raw!AC13,Raw!AD13)*SUM(Raw!AC13,Raw!AB13))/H13^2,"No Contingency Table"), "Not Included")</f>
        <v>0.68518518518518523</v>
      </c>
      <c r="S13" s="38">
        <f>IF(O13, IF(COUNTIF(Raw!AA13:AD13,"&gt;=0") = 4, IFERROR((Q13 - R13) / (1 - R13), "Could not calculate"), "No Contingency Table"), "Not Included")</f>
        <v>0.4705882352941177</v>
      </c>
      <c r="T13" s="52" t="str">
        <f>IF(O13,IF(NOT(ISBLANK(Raw!AK13)), Raw!AK13, "Not Reported"), "Not Included")</f>
        <v>Not Reported</v>
      </c>
      <c r="U13" s="38">
        <f t="shared" si="3"/>
        <v>0.4705882352941177</v>
      </c>
      <c r="V13" s="11" t="str">
        <f t="shared" si="4"/>
        <v>NA</v>
      </c>
      <c r="W13" s="11" t="b">
        <f>OR(NOT(ISBLANK(Raw!AU13)),COUNTIF(Raw!AL13:AT13,"&gt;=0") = 9)</f>
        <v>0</v>
      </c>
      <c r="X13" s="11" t="str">
        <f>IF(W13, IF(COUNTIF(Raw!AL13:AT13,"&gt;=0") = 9, "Contingency", "Paper k"), "Not Included")</f>
        <v>Not Included</v>
      </c>
      <c r="Y13" s="11" t="str">
        <f>IF(W13,IF(COUNTIF(Raw!AL13:AT13,"&gt;=0") = 9,SUM(Raw!AL13:AT13),"No Contingency Table"),"Not Included")</f>
        <v>Not Included</v>
      </c>
      <c r="Z13" s="11" t="str">
        <f t="shared" si="5"/>
        <v>Not Included</v>
      </c>
      <c r="AA13" s="11" t="str">
        <f>IF(W13,IF(COUNTIF(Raw!AL13:AT13,"&gt;=0") = 9,SUM(Raw!AL13,Raw!AP13,Raw!AT13)/Y13,"No Contingency Table"), "Not Included")</f>
        <v>Not Included</v>
      </c>
      <c r="AB13" s="11" t="str">
        <f>IF(W13,IF(COUNTIF(Raw!AL13:AT13,"&gt;=0") = 9,SUM(SUM(Raw!AL13,Raw!AM13,Raw!AN13)*SUM(Raw!AL13,Raw!AO13,Raw!AR13),SUM(Raw!AO13,Raw!AP13,Raw!AQ13)*SUM(Raw!AM13,Raw!AP13,Raw!AS13),SUM(Raw!AR13,Raw!AS13,Raw!AT13)*SUM(Raw!AN13,Raw!AQ13,Raw!AT13))/Y13^2,"No Contingency Table"), "Not Included")</f>
        <v>Not Included</v>
      </c>
      <c r="AC13" s="11" t="str">
        <f>IF(W13,IF(COUNTIF(Raw!AL13:AT13,"&gt;=0") = 9,(AA13 - AB13) / (1 - AB13),"No Contingency Table"), "Not Included")</f>
        <v>Not Included</v>
      </c>
      <c r="AD13" s="11" t="str">
        <f>IF(W13, IF(NOT(ISBLANK(Raw!AU13)),Raw!AU13,"Not Reported"), "Not Included")</f>
        <v>Not Included</v>
      </c>
      <c r="AE13" s="11" t="str">
        <f t="shared" si="6"/>
        <v>Not Included</v>
      </c>
      <c r="AF13" s="11" t="str">
        <f t="shared" si="7"/>
        <v>Not Included</v>
      </c>
      <c r="AG13" s="11" t="b">
        <f>COUNTIF(Raw!AV13:BK13, "&gt;=0") = 16</f>
        <v>1</v>
      </c>
      <c r="AH13" s="11" t="str">
        <f>IF(AG13, IF(COUNTIF(Raw!AV13:BK13,"&gt;=0") = 16, "Contingency", "Paper k"), "Not Included")</f>
        <v>Contingency</v>
      </c>
      <c r="AI13" s="15">
        <f>IF(AG13,IF(COUNTIF(Raw!AV13:BK13,"&gt;=0") = 16,SUM(Raw!AV13:BK13),"No Contingency Table"),"Not Included")</f>
        <v>18</v>
      </c>
      <c r="AJ13" s="15">
        <f t="shared" si="8"/>
        <v>18</v>
      </c>
      <c r="AK13" s="11">
        <f>IF(AG13,IF(COUNTIF(Raw!AV13:BK13,"&gt;=0") = 16,SUM(Raw!AV13,Raw!BA13,Raw!BF13,Raw!BK13)/AI13,"No Contingency Table"), "Not Included")</f>
        <v>0.66666666666666663</v>
      </c>
      <c r="AL13" s="11">
        <f>IF(AG13,IF(COUNTIF(Raw!AV13:BK13,"&gt;=0") = 16,SUM(SUM(Raw!AV13,Raw!AW13,Raw!AX13,Raw!AY13)*SUM(Raw!AV13,Raw!AZ13,Raw!BD13,Raw!BH13),SUM(Raw!AZ13,Raw!BA13,Raw!BB13,Raw!BC13)*SUM(Raw!AW13,Raw!BA13,Raw!BE13,Raw!BI13),SUM(Raw!BD13,Raw!BE13,Raw!BF13,Raw!BG13)*SUM(Raw!AX13,Raw!BB13,Raw!BF13,Raw!BJ13),SUM(Raw!BH13,Raw!BI13,Raw!BJ13,Raw!BK13)*SUM(Raw!AY13,Raw!BC13,Raw!BG13,Raw!BK13))/AI13^2,"No Contingency Table"), "Not Included")</f>
        <v>0.54629629629629628</v>
      </c>
      <c r="AM13" s="11">
        <f>IF(AG13,IF(COUNTIF(Raw!AV13:BK13,"&gt;=0") = 16,(AK13 - AL13) / (1 - AL13),"No Contingency Table"), "Not Included")</f>
        <v>0.26530612244897955</v>
      </c>
      <c r="AN13" s="11" t="str">
        <f>IF(NOT(ISBLANK(Raw!BL13)),Raw!BL13,"Not Reported")</f>
        <v>Not Reported</v>
      </c>
      <c r="AO13" s="11">
        <f t="shared" si="9"/>
        <v>0.26530612244897955</v>
      </c>
      <c r="AP13" s="11" t="str">
        <f t="shared" si="10"/>
        <v>NA</v>
      </c>
      <c r="AQ13" s="11" t="b">
        <f t="shared" ref="AQ13:AR13" si="63">BQ13</f>
        <v>1</v>
      </c>
      <c r="AR13" s="11" t="str">
        <f t="shared" si="63"/>
        <v>Contingency</v>
      </c>
      <c r="AS13" s="15">
        <f t="shared" si="12"/>
        <v>18</v>
      </c>
      <c r="AT13" s="15">
        <f t="shared" si="13"/>
        <v>18</v>
      </c>
      <c r="AU13" s="11">
        <f>IF(AQ13, IF(COUNTIF(Raw!AV13:BK13, "&gt;=0") = 16, IFERROR((AT13*Raw!BK13 - SUM(Raw!BH13, Raw!BI13, Raw!BJ13, Raw!BK13)*SUM(Raw!AY13, Raw!BC13, Raw!BG13, Raw!BK13)) / SQRT((AT13*SUM(Raw!BH13, Raw!BI13, Raw!BJ13, Raw!BK13) - SUM(Raw!BH13, Raw!BI13, Raw!BJ13, Raw!BK13)^2) * (AT13*SUM(Raw!AY13, Raw!BC13, Raw!BG13, Raw!BK13) - SUM(Raw!AY13, Raw!BC13, Raw!BG13, Raw!BK13)^2)), 0), "No Contingency Table"), "Not Included")</f>
        <v>0.2548235957188128</v>
      </c>
      <c r="AV13" s="11" t="str">
        <f>IF(AQ13,IF(NOT(ISBLANK(Raw!BQ13)), Raw!BQ13, IF(NOT(ISBLANK(Raw!BR13)), Raw!BR13, "Not Reported")), "Not Included")</f>
        <v>Not Reported</v>
      </c>
      <c r="AW13" s="57">
        <f t="shared" si="14"/>
        <v>0.2548235957188128</v>
      </c>
      <c r="AX13" s="11" t="str">
        <f t="shared" si="15"/>
        <v>NA</v>
      </c>
      <c r="AY13" s="11" t="b">
        <f t="shared" ref="AY13:AZ13" si="64">AQ13</f>
        <v>1</v>
      </c>
      <c r="AZ13" s="11" t="str">
        <f t="shared" si="64"/>
        <v>Contingency</v>
      </c>
      <c r="BA13" s="11">
        <f>IF(AY13, IF(COUNTIF(Raw!AV13:BK13, "&gt;=0") = 16, SUM(Raw!AV13,Raw!AW13,Raw!AX13,Raw!AZ13,Raw!BA13,Raw!BB13,Raw!BD13,Raw!BE13,Raw!BF13,Raw!BK13)/SUM(Raw!AV13:BK13), "No Contingency Table"), "Not Included")</f>
        <v>0.66666666666666663</v>
      </c>
      <c r="BB13" s="11">
        <f>IF(AY13, IF(COUNTIF(Raw!AV13:BK13, "&gt;=0") = 16,SUM(SUM(Raw!BH13,Raw!BI13,Raw!BJ13,Raw!BK13)*SUM(Raw!AY13,Raw!BC13,Raw!BG13,Raw!BK13),SUM(Raw!AV13:BG13)*SUM(Raw!AV13,Raw!AW13,Raw!AX13,Raw!AZ13,Raw!BA13,Raw!BB13,Raw!BD13,Raw!BE13,Raw!BF13,Raw!BH13,Raw!BI13,Raw!BJ13))/AT13^2,"No Contingency Table"), "Not Included")</f>
        <v>0.57407407407407407</v>
      </c>
      <c r="BC13" s="11">
        <f>IF(AY13, IF(COUNTIF(Raw!AV13:BK13, "&gt;=0") = 16,(BA13-BB13) / (1 - BB13),"No Contingency Table"), "Not Included")</f>
        <v>0.217391304347826</v>
      </c>
      <c r="BD13" s="11" t="str">
        <f>IF(AY13,IF(NOT(ISBLANK(Raw!BT34)),Raw!BT34,"Not Reported"),"Not Included")</f>
        <v>Not Reported</v>
      </c>
      <c r="BE13" s="11">
        <f t="shared" si="17"/>
        <v>0.217391304347826</v>
      </c>
      <c r="BF13" s="11" t="str">
        <f t="shared" si="18"/>
        <v>NA</v>
      </c>
      <c r="BG13" s="11">
        <f>Raw!K13</f>
        <v>1999</v>
      </c>
      <c r="BH13" s="11" t="str">
        <f>IF(Raw!L13 = "USA","USA","Non-USA")</f>
        <v>USA</v>
      </c>
      <c r="BI13" s="11" t="str">
        <f>Raw!M13</f>
        <v>Ainsworth/Ainsworth</v>
      </c>
      <c r="BJ13" s="11">
        <f>Raw!N13</f>
        <v>1</v>
      </c>
      <c r="BK13" s="11">
        <f>Raw!P13</f>
        <v>1</v>
      </c>
      <c r="BL13" s="11">
        <f>Raw!Q13</f>
        <v>0</v>
      </c>
      <c r="BM13" s="11">
        <f>Raw!T13</f>
        <v>1</v>
      </c>
      <c r="BN13" s="11">
        <f>IFERROR(IF(AND(ISBLANK(Raw!U13), ISBLANK(Raw!V13), ISBLANK(Raw!W13), ISBLANK(Raw!X13)), "NA", IF(OR(NOT(ISBLANK(Raw!U13)), NOT(ISBLANK(Raw!W13))), AVERAGE(Raw!U13,Raw!W13), AVERAGE(Raw!V13,Raw!X13) + IF(Raw!Y13 = "2-way", R13, IF(Raw!Y13 = "3-way", AB13, IF(Raw!Y13 = "4-way", AL13, "NA")))*(1 - AVERAGE(Raw!V13,Raw!X13)))), "NA")</f>
        <v>0.86499999999999999</v>
      </c>
      <c r="BO13" s="11">
        <f>Raw!O13</f>
        <v>0</v>
      </c>
      <c r="BP13" s="11" t="str">
        <f>Raw!F13</f>
        <v>Female</v>
      </c>
      <c r="BQ13" s="11" t="b">
        <f>COUNTIF(Raw!AV13:BK13, "&gt;=0") = 16</f>
        <v>1</v>
      </c>
      <c r="BR13" s="11" t="str">
        <f t="shared" si="19"/>
        <v>Contingency</v>
      </c>
      <c r="BS13" s="15">
        <f t="shared" si="20"/>
        <v>18</v>
      </c>
      <c r="BT13" s="11">
        <f>IF(BQ13, IF(COUNTIF(Raw!AV13:BK13, "&gt;=0") = 16, IFERROR((BS13*Raw!AV13 - SUM(Raw!AV13, Raw!AW13, Raw!AX13, Raw!AY13)*SUM(Raw!AV13, Raw!AZ13, Raw!BD13, Raw!BH13)) / SQRT((BS13*SUM(Raw!AV13, Raw!AW13, Raw!AX13, Raw!AY13) - SUM(Raw!AV13, Raw!AW13, Raw!AX13, Raw!AY13)^2) * (BS13*SUM(Raw!AV13, Raw!AZ13, Raw!BD13, Raw!BH13) - SUM(Raw!AV13, Raw!AZ13, Raw!BD13, Raw!BH13)^2)), 0), "No Contingency Table"), "Not Included")</f>
        <v>0</v>
      </c>
      <c r="BU13" s="11">
        <f>IF(BQ13, IF(COUNTIF(Raw!AV13:BK13, "&gt;=0") = 16, SUM(Raw!BK13,Raw!BJ13,Raw!BI13,Raw!BG13,Raw!BF13,Raw!BE13,Raw!BC13,Raw!BB13,Raw!BA13,Raw!AV13)/SUM(Raw!AV13:BK13), "No Contingency Table"), "Not Included")</f>
        <v>0.94444444444444442</v>
      </c>
      <c r="BV13" s="11">
        <f>IF(BQ13, IF(COUNTIF(Raw!AV13:BK13, "&gt;=0") = 16,SUM(SUM(Raw!AV13,Raw!AW13,Raw!AX13,Raw!AY13)*SUM(Raw!AV13,Raw!AZ13,Raw!BD13,Raw!BH13),SUM(Raw!AZ13:BK13)*SUM(Raw!AW13,Raw!AX13,Raw!AY13,Raw!BA13,Raw!BB13,Raw!BC13,Raw!BE13,Raw!BF13,Raw!BG13,Raw!BI13,Raw!BJ13,Raw!BK13))/BS13^2,"No Contingency Table"), "Not Included")</f>
        <v>0.94444444444444442</v>
      </c>
      <c r="BW13" s="11">
        <f>IF(BQ13, IF(COUNTIF(Raw!AV13:BK13, "&gt;=0") = 16,(BU13-BV13) / (1 - BV13),"No Contingency Table"), "Not Included")</f>
        <v>0</v>
      </c>
      <c r="BX13" s="11" t="b">
        <f t="shared" ref="BX13:BZ13" si="65">BQ13</f>
        <v>1</v>
      </c>
      <c r="BY13" s="11" t="str">
        <f t="shared" si="65"/>
        <v>Contingency</v>
      </c>
      <c r="BZ13" s="15">
        <f t="shared" si="65"/>
        <v>18</v>
      </c>
      <c r="CA13" s="11">
        <f>IF(BX13, IF(COUNTIF(Raw!AV13:BK13, "&gt;=0") = 16, IFERROR((BZ13*Raw!BF13 - SUM(Raw!BD13, Raw!BE13, Raw!BF13, Raw!BG13)*SUM(Raw!BF13, Raw!AX13, Raw!BB13, Raw!BJ13)) / SQRT((BZ13*SUM(Raw!BD13, Raw!BE13, Raw!BF13, Raw!BG13) - SUM(Raw!BD13, Raw!BE13, Raw!BF13, Raw!BG13)^2) * (BZ13*SUM(Raw!BF13, Raw!AX13, Raw!BB13, Raw!BJ13) - SUM(Raw!BF13, Raw!AX13, Raw!BB13, Raw!BJ13)^2)), 0), "No Contingency Table"), "Not Included")</f>
        <v>0</v>
      </c>
      <c r="CB13" s="11">
        <f>IF(BX13, IF(COUNTIF(Raw!AV13:BK13, "&gt;=0") = 16, SUM(Raw!AV13,Raw!AW13,Raw!AY13,Raw!AZ13,Raw!BA13,Raw!BC13,Raw!BF13,Raw!BH13,Raw!BI13,Raw!BK13) / SUM(Raw!AV13:BK13), "No Contingency Table"), "Not Included")</f>
        <v>0.88888888888888884</v>
      </c>
      <c r="CC13" s="11">
        <f>IF(BX13, IF(COUNTIF(Raw!AV13:BK13, "&gt;=0") = 16,SUM(SUM(Raw!BD13,Raw!BE13,Raw!BF13,Raw!BG13)*SUM(Raw!BF13,Raw!AX13,Raw!BB13,Raw!BJ13),SUM(Raw!AV13:BC13,Raw!BH13:BK13)*SUM(Raw!AV13,Raw!AW13,Raw!AY13,Raw!AZ13,Raw!BA13,Raw!BC13,Raw!BD13,Raw!BE13,Raw!BG13,Raw!BH13,Raw!BI13,Raw!BK13))/BZ13^2,"No Contingency Table"), "Not Included")</f>
        <v>0.88888888888888884</v>
      </c>
      <c r="CD13" s="11">
        <f>IF(BX13, IF(COUNTIF(Raw!AV13:BK13, "&gt;=0") = 16,(CB13 - CC13) / (1 - CC13+0.000001),"No Contingency Table"), "Not Included")</f>
        <v>0</v>
      </c>
      <c r="CE13" s="11" t="b">
        <f t="shared" ref="CE13:CG13" si="66">BQ13</f>
        <v>1</v>
      </c>
      <c r="CF13" s="11" t="str">
        <f t="shared" si="66"/>
        <v>Contingency</v>
      </c>
      <c r="CG13" s="15">
        <f t="shared" si="66"/>
        <v>18</v>
      </c>
      <c r="CH13" s="11">
        <f>IF(CE13, IF(COUNTIF(Raw!AV13:BK13, "&gt;=0") = 16, IFERROR((CG13*Raw!BA13 - SUM(Raw!BA13, Raw!AZ13, Raw!BB13, Raw!BC13)*SUM(Raw!BA13, Raw!AW13, Raw!BE13, Raw!BI13)) / SQRT((CG13*SUM(Raw!BA13, Raw!AZ13, Raw!BB13, Raw!BC13) - SUM(Raw!BA13, Raw!AZ13, Raw!BB13, Raw!BC13)^2) * (CG13*SUM(Raw!BA13, Raw!AW13, Raw!BE13, Raw!BI13) - SUM(Raw!BA13, Raw!AW13, Raw!BE13, Raw!BI13)^2)), 0), "No Contingency Table"), "Not Included")</f>
        <v>0.4780914437337575</v>
      </c>
      <c r="CI13" s="11">
        <f>IF(CE13, IF(COUNTIF(Raw!AV13:BK13, "&gt;=0") = 16, SUM(Raw!AV13,Raw!AX13,Raw!AY13,Raw!BA13,Raw!BD13,Raw!BF13,Raw!BG13,Raw!BH13,Raw!BJ13,Raw!BK13) / SUM(Raw!AV13:BK13), "No Contingency Table"), "Not Included")</f>
        <v>0.83333333333333337</v>
      </c>
      <c r="CJ13" s="61">
        <f>IF(BX13, IF(COUNTIF(Raw!AV13:BK13, "&gt;=0") = 16,SUM(SUM(Raw!AZ13,Raw!BA13,Raw!BB13,Raw!BC13)*SUM(Raw!BA13,Raw!AW13,Raw!BE13,Raw!BI13),SUM(Raw!AV13:AY13,Raw!BD13:BK13)*SUM(Raw!AV13,Raw!AX13,Raw!AY13,Raw!AZ13,Raw!BB13,Raw!BC13,Raw!BD13,Raw!BF13,Raw!BG13,Raw!BH13,Raw!BJ13,Raw!BK13))/CG13^2,"No Contingency Table"), "Not Included")</f>
        <v>0.68518518518518523</v>
      </c>
      <c r="CK13" s="11">
        <f>IF(BX13, IF(COUNTIF(Raw!AV13:BK13, "&gt;=0") = 16,(CI13 - CJ13) / (1 - CJ13),"No Contingency Table"), "Not Included")</f>
        <v>0.4705882352941177</v>
      </c>
      <c r="CL13" s="11">
        <f>IF(BQ13, IFERROR(Raw!AV13/SUM(Raw!AV13:AY13), 0), "Not Included")</f>
        <v>0</v>
      </c>
      <c r="CM13" s="11">
        <f>IF(BQ13, IFERROR(Raw!BA13/SUM(Raw!AZ13:BC13), 0), "Not Included")</f>
        <v>0.66666666666666663</v>
      </c>
      <c r="CN13" s="11">
        <f>IF(BQ13, IFERROR(Raw!BF13/SUM(Raw!BD13:BG13), 0), "Not Included")</f>
        <v>0</v>
      </c>
      <c r="CO13" s="11">
        <f>IF(BQ13, IFERROR(Raw!BK13/SUM(Raw!BH13:BK13), 0), "Not Included")</f>
        <v>0.66666666666666663</v>
      </c>
      <c r="CP13" s="11">
        <f>IF(BQ13, IFERROR(SUM(Raw!AV13,Raw!AX13,Raw!AY13,Raw!BD13,Raw!BF13,Raw!BG13,Raw!BH13,Raw!BJ13,Raw!BK13)/SUM(Raw!AV13,Raw!AW13,Raw!AX13,Raw!AY13,Raw!BD13,Raw!BE13,Raw!BF13,Raw!BG13,Raw!BH13,Raw!BI13,Raw!BJ13,Raw!BK13), 0), "Not Included")</f>
        <v>0.8666666666666667</v>
      </c>
      <c r="CQ13" s="11">
        <f>IF(BQ13, IFERROR(SUM(Raw!AV13:AX13,Raw!AZ13:BB13,Raw!BD13:BF13)/SUM(Raw!AV13:BF13), 0), "Not Included")</f>
        <v>0.66666666666666663</v>
      </c>
      <c r="CR13" s="11">
        <f>IF(BQ13, IFERROR(SUM(Raw!AV13:AY13), 0), "Not Included")</f>
        <v>0</v>
      </c>
      <c r="CS13" s="11">
        <f>IF(BQ13, IFERROR(SUM(Raw!AZ13:BC13), 0), "Not Included")</f>
        <v>3</v>
      </c>
      <c r="CT13" s="11">
        <f>IF(BQ13, IFERROR(SUM(Raw!BD13:BG13), 0), "Not Included")</f>
        <v>0</v>
      </c>
      <c r="CU13" s="11">
        <f>IF(BQ13, IFERROR(SUM(Raw!BH13:BK13), 0), "Not Included")</f>
        <v>15</v>
      </c>
      <c r="CV13" s="11">
        <f>IF(BQ13, IFERROR(SUM(Raw!AV13,Raw!AW13,Raw!AX13,Raw!AY13,Raw!BD13,Raw!BE13,Raw!BF13,Raw!BG13,Raw!BH13,Raw!BI13,Raw!BJ13,Raw!BK13), 0), "Not Included")</f>
        <v>15</v>
      </c>
      <c r="CW13" s="11">
        <f>IF(BQ13, IFERROR(SUM(Raw!AV13:BF13), 0), "Not Included")</f>
        <v>3</v>
      </c>
      <c r="CX13" s="11">
        <f>IF(BQ13, IFERROR((CR13*SUM(Raw!AV13,Raw!AZ13,Raw!BD13,Raw!BH13))/BS13/CR13, 0), "Not Included")</f>
        <v>0</v>
      </c>
      <c r="CY13" s="11">
        <f>IF(BX13, IFERROR((CS13*SUM(Raw!BA13,Raw!AW13,Raw!BE13,Raw!BI13))/CG13/CS13, 0), "Not Included")</f>
        <v>0.22222222222222221</v>
      </c>
      <c r="CZ13" s="11">
        <f>IF(BX13, IFERROR((CT13*SUM(Raw!BF13,Raw!AX13,Raw!BB13,Raw!BJ13))/BZ13/CT13, 0), "Not Included")</f>
        <v>0</v>
      </c>
      <c r="DA13" s="11">
        <f>IF(AY13, IFERROR((CU13*SUM(Raw!AY13,Raw!BC13,Raw!BG13,Raw!BK13))/AT13/CU13, 0), "Not Included")</f>
        <v>0.61111111111111105</v>
      </c>
      <c r="DB13" s="11">
        <f>IF(BX13, IFERROR((CV13*SUM(Raw!AV13,Raw!AX13,Raw!AY13,Raw!AZ13,Raw!BB13,Raw!BC13,Raw!BD13,Raw!BF13,Raw!BG13,Raw!BH13,Raw!BJ13,Raw!BK13))/CG13/CV13,0), "Not Included")</f>
        <v>0.77777777777777779</v>
      </c>
      <c r="DC13" s="11">
        <f>IF(AY13, IFERROR((CW13*SUM(Raw!AV13,Raw!AW13,Raw!AX13,Raw!AZ13,Raw!BA13,Raw!BB13,Raw!BD13,Raw!BE13,Raw!BF13,Raw!BH13,Raw!BI13,Raw!BJ13))/AT13/CW13,0), "Not Included")</f>
        <v>0.3888888888888889</v>
      </c>
    </row>
    <row r="14" spans="1:107" ht="12.75" customHeight="1">
      <c r="A14" s="11">
        <f>Raw!D14</f>
        <v>7</v>
      </c>
      <c r="B14" s="11" t="str">
        <f>Raw!A14</f>
        <v>Barnett, Ganiban &amp; Cicchetti (1999)</v>
      </c>
      <c r="C14" s="11">
        <f>Raw!G14</f>
        <v>3</v>
      </c>
      <c r="D14" s="11" t="str">
        <f>Raw!E14</f>
        <v>Maltreated</v>
      </c>
      <c r="E14" s="11" t="str">
        <f>CONCATENATE(IF(Raw!I14&lt;='Interval Definitions'!$B$2, 'Interval Definitions'!$A$2, IF(Raw!I14&lt;='Interval Definitions'!$B$3, 'Interval Definitions'!$A$3, IF(Raw!I14&lt;='Interval Definitions'!$B$4, 'Interval Definitions'!$A$4, IF(Raw!I14&lt;='Interval Definitions'!$B$5, 'Interval Definitions'!$A$5, "None")))), " - ", IF(Raw!J14&lt;='Interval Definitions'!$B$2, 'Interval Definitions'!$A$2, IF(Raw!J14&lt;='Interval Definitions'!$B$3, 'Interval Definitions'!$A$3, IF(Raw!J14&lt;='Interval Definitions'!$B$4, 'Interval Definitions'!$A$4, IF(Raw!J14&lt;='Interval Definitions'!$B$5, 'Interval Definitions'!$A$5, "None")))))</f>
        <v>Infancy - Toddlerhood</v>
      </c>
      <c r="F14" s="11" t="b">
        <f>OR(NOT(ISBLANK(Raw!AF14)),NOT(ISBLANK(Raw!AG14)),NOT(ISBLANK(Raw!AH14)),NOT(ISBLANK(Raw!AI14)),COUNTIF(Raw!AA14:AD14, "&gt;=0") = 4)</f>
        <v>1</v>
      </c>
      <c r="G14" s="11" t="str">
        <f>IF(F14, IF(COUNTIF(Raw!AA14:AD14,"&gt;=0") = 4, "Contingency", IF(NOT(ISBLANK(Raw!AF14)), "Paper r", IF(NOT(ISBLANK(Raw!AG14)), "Pinquart", IF(NOT(ISBLANK(Raw!AH14)), "Fraley", "Paper chiSq")))), "Not Included")</f>
        <v>Contingency</v>
      </c>
      <c r="H14" s="15">
        <f>IF(F14,Raw!AE14,"Not Included")</f>
        <v>16</v>
      </c>
      <c r="I14" s="15">
        <f>IF(COUNTIF(Raw!AA14:AD14,"&gt;=0") = 4, SUM(Raw!AA14:AD14), "No Contingency Table")</f>
        <v>16</v>
      </c>
      <c r="J14" s="15">
        <f t="shared" si="0"/>
        <v>16</v>
      </c>
      <c r="K14" s="38">
        <f>IF(F14, IF(COUNTIF(Raw!AA14:AD14,"&gt;=0") = 4, IFERROR((I14*Raw!AA14 - SUM(Raw!AA14,Raw!AB14)*SUM(Raw!AA14,Raw!AD14)) / SQRT((I14*SUM(Raw!AA14,Raw!AB14) - SUM(Raw!AA14,Raw!AB14)^2) * (I14*SUM(Raw!AA14,Raw!AD14) - SUM(Raw!AA14,Raw!AD14)^2)), 0), "No Contingency Table"), "Not Included")</f>
        <v>0.30261376633440124</v>
      </c>
      <c r="L14" s="41">
        <f>IF(F14,IF(NOT(ISBLANK(Raw!AF14)), Raw!AF14, IF(NOT(ISBLANK(Raw!AG14)), Raw!AG14, IF(NOT(ISBLANK(Raw!AH14)), Raw!AH14, IF(NOT(ISBLANK(Raw!AI14)), SQRT(Raw!AI14/H14)*Raw!AJ14, "Not Reported")))),"Not Included")</f>
        <v>0.3</v>
      </c>
      <c r="M14" s="43">
        <f t="shared" si="1"/>
        <v>0.30261376633440124</v>
      </c>
      <c r="N14" s="11">
        <f t="shared" si="2"/>
        <v>1</v>
      </c>
      <c r="O14" s="48" t="b">
        <f>OR(NOT(ISBLANK(Raw!AK14)), COUNTIF(Raw!AA14:AD14, "&gt;=0") = 4)</f>
        <v>1</v>
      </c>
      <c r="P14" s="24" t="str">
        <f>IF(O14,IF(COUNTIF(Raw!AA14:AD14,"&gt;=0") = 4,"Contingency", "Paper k"), "Not Included")</f>
        <v>Contingency</v>
      </c>
      <c r="Q14" s="48">
        <f>IF(O14, IF(COUNTIF(Raw!AA14:AD14,"&gt;=0") = 4,SUM(Raw!AA14,Raw!AC14)/H14,"No Contingency Table"), "Not Included")</f>
        <v>0.8125</v>
      </c>
      <c r="R14" s="38">
        <f>IF(O14, IF(COUNTIF(Raw!AA14:AD14, "&gt;=0") = 4,SUM(SUM(Raw!AA14,Raw!AB14)*SUM(Raw!AA14,Raw!AD14),SUM(Raw!AC14,Raw!AD14)*SUM(Raw!AC14,Raw!AB14))/H14^2,"No Contingency Table"), "Not Included")</f>
        <v>0.734375</v>
      </c>
      <c r="S14" s="38">
        <f>IF(O14, IF(COUNTIF(Raw!AA14:AD14,"&gt;=0") = 4, IFERROR((Q14 - R14) / (1 - R14), "Could not calculate"), "No Contingency Table"), "Not Included")</f>
        <v>0.29411764705882354</v>
      </c>
      <c r="T14" s="52" t="str">
        <f>IF(O14,IF(NOT(ISBLANK(Raw!AK14)), Raw!AK14, "Not Reported"), "Not Included")</f>
        <v>Not Reported</v>
      </c>
      <c r="U14" s="38">
        <f t="shared" si="3"/>
        <v>0.29411764705882354</v>
      </c>
      <c r="V14" s="11" t="str">
        <f t="shared" si="4"/>
        <v>NA</v>
      </c>
      <c r="W14" s="11" t="b">
        <f>OR(NOT(ISBLANK(Raw!AU14)),COUNTIF(Raw!AL14:AT14,"&gt;=0") = 9)</f>
        <v>0</v>
      </c>
      <c r="X14" s="11" t="str">
        <f>IF(W14, IF(COUNTIF(Raw!AL14:AT14,"&gt;=0") = 9, "Contingency", "Paper k"), "Not Included")</f>
        <v>Not Included</v>
      </c>
      <c r="Y14" s="11" t="str">
        <f>IF(W14,IF(COUNTIF(Raw!AL14:AT14,"&gt;=0") = 9,SUM(Raw!AL14:AT14),"No Contingency Table"),"Not Included")</f>
        <v>Not Included</v>
      </c>
      <c r="Z14" s="11" t="str">
        <f t="shared" si="5"/>
        <v>Not Included</v>
      </c>
      <c r="AA14" s="11" t="str">
        <f>IF(W14,IF(COUNTIF(Raw!AL14:AT14,"&gt;=0") = 9,SUM(Raw!AL14,Raw!AP14,Raw!AT14)/Y14,"No Contingency Table"), "Not Included")</f>
        <v>Not Included</v>
      </c>
      <c r="AB14" s="11" t="str">
        <f>IF(W14,IF(COUNTIF(Raw!AL14:AT14,"&gt;=0") = 9,SUM(SUM(Raw!AL14,Raw!AM14,Raw!AN14)*SUM(Raw!AL14,Raw!AO14,Raw!AR14),SUM(Raw!AO14,Raw!AP14,Raw!AQ14)*SUM(Raw!AM14,Raw!AP14,Raw!AS14),SUM(Raw!AR14,Raw!AS14,Raw!AT14)*SUM(Raw!AN14,Raw!AQ14,Raw!AT14))/Y14^2,"No Contingency Table"), "Not Included")</f>
        <v>Not Included</v>
      </c>
      <c r="AC14" s="11" t="str">
        <f>IF(W14,IF(COUNTIF(Raw!AL14:AT14,"&gt;=0") = 9,(AA14 - AB14) / (1 - AB14),"No Contingency Table"), "Not Included")</f>
        <v>Not Included</v>
      </c>
      <c r="AD14" s="11" t="str">
        <f>IF(W14, IF(NOT(ISBLANK(Raw!AU14)),Raw!AU14,"Not Reported"), "Not Included")</f>
        <v>Not Included</v>
      </c>
      <c r="AE14" s="11" t="str">
        <f t="shared" si="6"/>
        <v>Not Included</v>
      </c>
      <c r="AF14" s="11" t="str">
        <f t="shared" si="7"/>
        <v>Not Included</v>
      </c>
      <c r="AG14" s="11" t="b">
        <f>COUNTIF(Raw!AV14:BK14, "&gt;=0") = 16</f>
        <v>1</v>
      </c>
      <c r="AH14" s="11" t="str">
        <f>IF(AG14, IF(COUNTIF(Raw!AV14:BK14,"&gt;=0") = 16, "Contingency", "Paper k"), "Not Included")</f>
        <v>Contingency</v>
      </c>
      <c r="AI14" s="15">
        <f>IF(AG14,IF(COUNTIF(Raw!AV14:BK14,"&gt;=0") = 16,SUM(Raw!AV14:BK14),"No Contingency Table"),"Not Included")</f>
        <v>16</v>
      </c>
      <c r="AJ14" s="15">
        <f t="shared" si="8"/>
        <v>16</v>
      </c>
      <c r="AK14" s="11">
        <f>IF(AG14,IF(COUNTIF(Raw!AV14:BK14,"&gt;=0") = 16,SUM(Raw!AV14,Raw!BA14,Raw!BF14,Raw!BK14)/AI14,"No Contingency Table"), "Not Included")</f>
        <v>0.6875</v>
      </c>
      <c r="AL14" s="11">
        <f>IF(AG14,IF(COUNTIF(Raw!AV14:BK14,"&gt;=0") = 16,SUM(SUM(Raw!AV14,Raw!AW14,Raw!AX14,Raw!AY14)*SUM(Raw!AV14,Raw!AZ14,Raw!BD14,Raw!BH14),SUM(Raw!AZ14,Raw!BA14,Raw!BB14,Raw!BC14)*SUM(Raw!AW14,Raw!BA14,Raw!BE14,Raw!BI14),SUM(Raw!BD14,Raw!BE14,Raw!BF14,Raw!BG14)*SUM(Raw!AX14,Raw!BB14,Raw!BF14,Raw!BJ14),SUM(Raw!BH14,Raw!BI14,Raw!BJ14,Raw!BK14)*SUM(Raw!AY14,Raw!BC14,Raw!BG14,Raw!BK14))/AI14^2,"No Contingency Table"), "Not Included")</f>
        <v>0.50390625</v>
      </c>
      <c r="AM14" s="11">
        <f>IF(AG14,IF(COUNTIF(Raw!AV14:BK14,"&gt;=0") = 16,(AK14 - AL14) / (1 - AL14),"No Contingency Table"), "Not Included")</f>
        <v>0.37007874015748032</v>
      </c>
      <c r="AN14" s="11" t="str">
        <f>IF(NOT(ISBLANK(Raw!BL14)),Raw!BL14,"Not Reported")</f>
        <v>Not Reported</v>
      </c>
      <c r="AO14" s="11">
        <f t="shared" si="9"/>
        <v>0.37007874015748032</v>
      </c>
      <c r="AP14" s="11" t="str">
        <f t="shared" si="10"/>
        <v>NA</v>
      </c>
      <c r="AQ14" s="11" t="b">
        <f t="shared" ref="AQ14:AR14" si="67">BQ14</f>
        <v>1</v>
      </c>
      <c r="AR14" s="11" t="str">
        <f t="shared" si="67"/>
        <v>Contingency</v>
      </c>
      <c r="AS14" s="15">
        <f t="shared" si="12"/>
        <v>16</v>
      </c>
      <c r="AT14" s="15">
        <f t="shared" si="13"/>
        <v>16</v>
      </c>
      <c r="AU14" s="11">
        <f>IF(AQ14, IF(COUNTIF(Raw!AV14:BK14, "&gt;=0") = 16, IFERROR((AT14*Raw!BK14 - SUM(Raw!BH14, Raw!BI14, Raw!BJ14, Raw!BK14)*SUM(Raw!AY14, Raw!BC14, Raw!BG14, Raw!BK14)) / SQRT((AT14*SUM(Raw!BH14, Raw!BI14, Raw!BJ14, Raw!BK14) - SUM(Raw!BH14, Raw!BI14, Raw!BJ14, Raw!BK14)^2) * (AT14*SUM(Raw!AY14, Raw!BC14, Raw!BG14, Raw!BK14) - SUM(Raw!AY14, Raw!BC14, Raw!BG14, Raw!BK14)^2)), 0), "No Contingency Table"), "Not Included")</f>
        <v>0.44721359549995793</v>
      </c>
      <c r="AV14" s="11" t="str">
        <f>IF(AQ14,IF(NOT(ISBLANK(Raw!BQ14)), Raw!BQ14, IF(NOT(ISBLANK(Raw!BR14)), Raw!BR14, "Not Reported")), "Not Included")</f>
        <v>Not Reported</v>
      </c>
      <c r="AW14" s="57">
        <f t="shared" si="14"/>
        <v>0.44721359549995793</v>
      </c>
      <c r="AX14" s="11" t="str">
        <f t="shared" si="15"/>
        <v>NA</v>
      </c>
      <c r="AY14" s="11" t="b">
        <f t="shared" ref="AY14:AZ14" si="68">AQ14</f>
        <v>1</v>
      </c>
      <c r="AZ14" s="11" t="str">
        <f t="shared" si="68"/>
        <v>Contingency</v>
      </c>
      <c r="BA14" s="11">
        <f>IF(AY14, IF(COUNTIF(Raw!AV14:BK14, "&gt;=0") = 16, SUM(Raw!AV14,Raw!AW14,Raw!AX14,Raw!AZ14,Raw!BA14,Raw!BB14,Raw!BD14,Raw!BE14,Raw!BF14,Raw!BK14)/SUM(Raw!AV14:BK14), "No Contingency Table"), "Not Included")</f>
        <v>0.75</v>
      </c>
      <c r="BB14" s="11">
        <f>IF(AY14, IF(COUNTIF(Raw!AV14:BK14, "&gt;=0") = 16,SUM(SUM(Raw!BH14,Raw!BI14,Raw!BJ14,Raw!BK14)*SUM(Raw!AY14,Raw!BC14,Raw!BG14,Raw!BK14),SUM(Raw!AV14:BG14)*SUM(Raw!AV14,Raw!AW14,Raw!AX14,Raw!AZ14,Raw!BA14,Raw!BB14,Raw!BD14,Raw!BE14,Raw!BF14,Raw!BH14,Raw!BI14,Raw!BJ14))/AT14^2,"No Contingency Table"), "Not Included")</f>
        <v>0.5625</v>
      </c>
      <c r="BC14" s="11">
        <f>IF(AY14, IF(COUNTIF(Raw!AV14:BK14, "&gt;=0") = 16,(BA14-BB14) / (1 - BB14),"No Contingency Table"), "Not Included")</f>
        <v>0.42857142857142855</v>
      </c>
      <c r="BD14" s="11" t="str">
        <f>IF(AY14,IF(NOT(ISBLANK(Raw!BT35)),Raw!BT35,"Not Reported"),"Not Included")</f>
        <v>Not Reported</v>
      </c>
      <c r="BE14" s="11">
        <f t="shared" si="17"/>
        <v>0.42857142857142855</v>
      </c>
      <c r="BF14" s="11" t="str">
        <f t="shared" si="18"/>
        <v>NA</v>
      </c>
      <c r="BG14" s="11">
        <f>Raw!K14</f>
        <v>1999</v>
      </c>
      <c r="BH14" s="11" t="str">
        <f>IF(Raw!L14 = "USA","USA","Non-USA")</f>
        <v>USA</v>
      </c>
      <c r="BI14" s="11" t="str">
        <f>Raw!M14</f>
        <v>Ainsworth/Ainsworth</v>
      </c>
      <c r="BJ14" s="11">
        <f>Raw!N14</f>
        <v>1</v>
      </c>
      <c r="BK14" s="11">
        <f>Raw!P14</f>
        <v>1</v>
      </c>
      <c r="BL14" s="11">
        <f>Raw!Q14</f>
        <v>0</v>
      </c>
      <c r="BM14" s="11">
        <f>Raw!T14</f>
        <v>1</v>
      </c>
      <c r="BN14" s="11">
        <f>IFERROR(IF(AND(ISBLANK(Raw!U14), ISBLANK(Raw!V14), ISBLANK(Raw!W14), ISBLANK(Raw!X14)), "NA", IF(OR(NOT(ISBLANK(Raw!U14)), NOT(ISBLANK(Raw!W14))), AVERAGE(Raw!U14,Raw!W14), AVERAGE(Raw!V14,Raw!X14) + IF(Raw!Y14 = "2-way", R14, IF(Raw!Y14 = "3-way", AB14, IF(Raw!Y14 = "4-way", AL14, "NA")))*(1 - AVERAGE(Raw!V14,Raw!X14)))), "NA")</f>
        <v>0.88</v>
      </c>
      <c r="BO14" s="11">
        <f>Raw!O14</f>
        <v>0</v>
      </c>
      <c r="BP14" s="11" t="str">
        <f>Raw!F14</f>
        <v>Female</v>
      </c>
      <c r="BQ14" s="11" t="b">
        <f>COUNTIF(Raw!AV14:BK14, "&gt;=0") = 16</f>
        <v>1</v>
      </c>
      <c r="BR14" s="11" t="str">
        <f t="shared" si="19"/>
        <v>Contingency</v>
      </c>
      <c r="BS14" s="15">
        <f t="shared" si="20"/>
        <v>16</v>
      </c>
      <c r="BT14" s="11">
        <f>IF(BQ14, IF(COUNTIF(Raw!AV14:BK14, "&gt;=0") = 16, IFERROR((BS14*Raw!AV14 - SUM(Raw!AV14, Raw!AW14, Raw!AX14, Raw!AY14)*SUM(Raw!AV14, Raw!AZ14, Raw!BD14, Raw!BH14)) / SQRT((BS14*SUM(Raw!AV14, Raw!AW14, Raw!AX14, Raw!AY14) - SUM(Raw!AV14, Raw!AW14, Raw!AX14, Raw!AY14)^2) * (BS14*SUM(Raw!AV14, Raw!AZ14, Raw!BD14, Raw!BH14) - SUM(Raw!AV14, Raw!AZ14, Raw!BD14, Raw!BH14)^2)), 0), "No Contingency Table"), "Not Included")</f>
        <v>-6.6666666666666666E-2</v>
      </c>
      <c r="BU14" s="11">
        <f>IF(BQ14, IF(COUNTIF(Raw!AV14:BK14, "&gt;=0") = 16, SUM(Raw!BK14,Raw!BJ14,Raw!BI14,Raw!BG14,Raw!BF14,Raw!BE14,Raw!BC14,Raw!BB14,Raw!BA14,Raw!AV14)/SUM(Raw!AV14:BK14), "No Contingency Table"), "Not Included")</f>
        <v>0.875</v>
      </c>
      <c r="BV14" s="11">
        <f>IF(BQ14, IF(COUNTIF(Raw!AV14:BK14, "&gt;=0") = 16,SUM(SUM(Raw!AV14,Raw!AW14,Raw!AX14,Raw!AY14)*SUM(Raw!AV14,Raw!AZ14,Raw!BD14,Raw!BH14),SUM(Raw!AZ14:BK14)*SUM(Raw!AW14,Raw!AX14,Raw!AY14,Raw!BA14,Raw!BB14,Raw!BC14,Raw!BE14,Raw!BF14,Raw!BG14,Raw!BI14,Raw!BJ14,Raw!BK14))/BS14^2,"No Contingency Table"), "Not Included")</f>
        <v>0.8828125</v>
      </c>
      <c r="BW14" s="11">
        <f>IF(BQ14, IF(COUNTIF(Raw!AV14:BK14, "&gt;=0") = 16,(BU14-BV14) / (1 - BV14),"No Contingency Table"), "Not Included")</f>
        <v>-6.6666666666666666E-2</v>
      </c>
      <c r="BX14" s="11" t="b">
        <f t="shared" ref="BX14:BZ14" si="69">BQ14</f>
        <v>1</v>
      </c>
      <c r="BY14" s="11" t="str">
        <f t="shared" si="69"/>
        <v>Contingency</v>
      </c>
      <c r="BZ14" s="15">
        <f t="shared" si="69"/>
        <v>16</v>
      </c>
      <c r="CA14" s="11">
        <f>IF(BX14, IF(COUNTIF(Raw!AV14:BK14, "&gt;=0") = 16, IFERROR((BZ14*Raw!BF14 - SUM(Raw!BD14, Raw!BE14, Raw!BF14, Raw!BG14)*SUM(Raw!BF14, Raw!AX14, Raw!BB14, Raw!BJ14)) / SQRT((BZ14*SUM(Raw!BD14, Raw!BE14, Raw!BF14, Raw!BG14) - SUM(Raw!BD14, Raw!BE14, Raw!BF14, Raw!BG14)^2) * (BZ14*SUM(Raw!BF14, Raw!AX14, Raw!BB14, Raw!BJ14) - SUM(Raw!BF14, Raw!AX14, Raw!BB14, Raw!BJ14)^2)), 0), "No Contingency Table"), "Not Included")</f>
        <v>0.68313005106397329</v>
      </c>
      <c r="CB14" s="11">
        <f>IF(BX14, IF(COUNTIF(Raw!AV14:BK14, "&gt;=0") = 16, SUM(Raw!AV14,Raw!AW14,Raw!AY14,Raw!AZ14,Raw!BA14,Raw!BC14,Raw!BF14,Raw!BH14,Raw!BI14,Raw!BK14) / SUM(Raw!AV14:BK14), "No Contingency Table"), "Not Included")</f>
        <v>0.9375</v>
      </c>
      <c r="CC14" s="11">
        <f>IF(BX14, IF(COUNTIF(Raw!AV14:BK14, "&gt;=0") = 16,SUM(SUM(Raw!BD14,Raw!BE14,Raw!BF14,Raw!BG14)*SUM(Raw!BF14,Raw!AX14,Raw!BB14,Raw!BJ14),SUM(Raw!AV14:BC14,Raw!BH14:BK14)*SUM(Raw!AV14,Raw!AW14,Raw!AY14,Raw!AZ14,Raw!BA14,Raw!BC14,Raw!BD14,Raw!BE14,Raw!BG14,Raw!BH14,Raw!BI14,Raw!BK14))/BZ14^2,"No Contingency Table"), "Not Included")</f>
        <v>0.828125</v>
      </c>
      <c r="CD14" s="11">
        <f>IF(BX14, IF(COUNTIF(Raw!AV14:BK14, "&gt;=0") = 16,(CB14 - CC14) / (1 - CC14+0.000001),"No Contingency Table"), "Not Included")</f>
        <v>0.63635993390583911</v>
      </c>
      <c r="CE14" s="11" t="b">
        <f t="shared" ref="CE14:CG14" si="70">BQ14</f>
        <v>1</v>
      </c>
      <c r="CF14" s="11" t="str">
        <f t="shared" si="70"/>
        <v>Contingency</v>
      </c>
      <c r="CG14" s="15">
        <f t="shared" si="70"/>
        <v>16</v>
      </c>
      <c r="CH14" s="11">
        <f>IF(CE14, IF(COUNTIF(Raw!AV14:BK14, "&gt;=0") = 16, IFERROR((CG14*Raw!BA14 - SUM(Raw!BA14, Raw!AZ14, Raw!BB14, Raw!BC14)*SUM(Raw!BA14, Raw!AW14, Raw!BE14, Raw!BI14)) / SQRT((CG14*SUM(Raw!BA14, Raw!AZ14, Raw!BB14, Raw!BC14) - SUM(Raw!BA14, Raw!AZ14, Raw!BB14, Raw!BC14)^2) * (CG14*SUM(Raw!BA14, Raw!AW14, Raw!BE14, Raw!BI14) - SUM(Raw!BA14, Raw!AW14, Raw!BE14, Raw!BI14)^2)), 0), "No Contingency Table"), "Not Included")</f>
        <v>0.30261376633440124</v>
      </c>
      <c r="CI14" s="11">
        <f>IF(CE14, IF(COUNTIF(Raw!AV14:BK14, "&gt;=0") = 16, SUM(Raw!AV14,Raw!AX14,Raw!AY14,Raw!BA14,Raw!BD14,Raw!BF14,Raw!BG14,Raw!BH14,Raw!BJ14,Raw!BK14) / SUM(Raw!AV14:BK14), "No Contingency Table"), "Not Included")</f>
        <v>0.8125</v>
      </c>
      <c r="CJ14" s="61">
        <f>IF(BX14, IF(COUNTIF(Raw!AV14:BK14, "&gt;=0") = 16,SUM(SUM(Raw!AZ14,Raw!BA14,Raw!BB14,Raw!BC14)*SUM(Raw!BA14,Raw!AW14,Raw!BE14,Raw!BI14),SUM(Raw!AV14:AY14,Raw!BD14:BK14)*SUM(Raw!AV14,Raw!AX14,Raw!AY14,Raw!AZ14,Raw!BB14,Raw!BC14,Raw!BD14,Raw!BF14,Raw!BG14,Raw!BH14,Raw!BJ14,Raw!BK14))/CG14^2,"No Contingency Table"), "Not Included")</f>
        <v>0.734375</v>
      </c>
      <c r="CK14" s="11">
        <f>IF(BX14, IF(COUNTIF(Raw!AV14:BK14, "&gt;=0") = 16,(CI14 - CJ14) / (1 - CJ14),"No Contingency Table"), "Not Included")</f>
        <v>0.29411764705882354</v>
      </c>
      <c r="CL14" s="11">
        <f>IF(BQ14, IFERROR(Raw!AV14/SUM(Raw!AV14:AY14), 0), "Not Included")</f>
        <v>0</v>
      </c>
      <c r="CM14" s="11">
        <f>IF(BQ14, IFERROR(Raw!BA14/SUM(Raw!AZ14:BC14), 0), "Not Included")</f>
        <v>0.33333333333333331</v>
      </c>
      <c r="CN14" s="11">
        <f>IF(BQ14, IFERROR(Raw!BF14/SUM(Raw!BD14:BG14), 0), "Not Included")</f>
        <v>0.5</v>
      </c>
      <c r="CO14" s="11">
        <f>IF(BQ14, IFERROR(Raw!BK14/SUM(Raw!BH14:BK14), 0), "Not Included")</f>
        <v>0.9</v>
      </c>
      <c r="CP14" s="11">
        <f>IF(BQ14, IFERROR(SUM(Raw!AV14,Raw!AX14,Raw!AY14,Raw!BD14,Raw!BF14,Raw!BG14,Raw!BH14,Raw!BJ14,Raw!BK14)/SUM(Raw!AV14,Raw!AW14,Raw!AX14,Raw!AY14,Raw!BD14,Raw!BE14,Raw!BF14,Raw!BG14,Raw!BH14,Raw!BI14,Raw!BJ14,Raw!BK14), 0), "Not Included")</f>
        <v>0.92307692307692313</v>
      </c>
      <c r="CQ14" s="11">
        <f>IF(BQ14, IFERROR(SUM(Raw!AV14:AX14,Raw!AZ14:BB14,Raw!BD14:BF14)/SUM(Raw!AV14:BF14), 0), "Not Included")</f>
        <v>0.6</v>
      </c>
      <c r="CR14" s="11">
        <f>IF(BQ14, IFERROR(SUM(Raw!AV14:AY14), 0), "Not Included")</f>
        <v>1</v>
      </c>
      <c r="CS14" s="11">
        <f>IF(BQ14, IFERROR(SUM(Raw!AZ14:BC14), 0), "Not Included")</f>
        <v>3</v>
      </c>
      <c r="CT14" s="11">
        <f>IF(BQ14, IFERROR(SUM(Raw!BD14:BG14), 0), "Not Included")</f>
        <v>2</v>
      </c>
      <c r="CU14" s="11">
        <f>IF(BQ14, IFERROR(SUM(Raw!BH14:BK14), 0), "Not Included")</f>
        <v>10</v>
      </c>
      <c r="CV14" s="11">
        <f>IF(BQ14, IFERROR(SUM(Raw!AV14,Raw!AW14,Raw!AX14,Raw!AY14,Raw!BD14,Raw!BE14,Raw!BF14,Raw!BG14,Raw!BH14,Raw!BI14,Raw!BJ14,Raw!BK14), 0), "Not Included")</f>
        <v>13</v>
      </c>
      <c r="CW14" s="11">
        <f>IF(BQ14, IFERROR(SUM(Raw!AV14:BF14), 0), "Not Included")</f>
        <v>5</v>
      </c>
      <c r="CX14" s="11">
        <f>IF(BQ14, IFERROR((CR14*SUM(Raw!AV14,Raw!AZ14,Raw!BD14,Raw!BH14))/BS14/CR14, 0), "Not Included")</f>
        <v>6.25E-2</v>
      </c>
      <c r="CY14" s="11">
        <f>IF(BX14, IFERROR((CS14*SUM(Raw!BA14,Raw!AW14,Raw!BE14,Raw!BI14))/CG14/CS14, 0), "Not Included")</f>
        <v>0.125</v>
      </c>
      <c r="CZ14" s="11">
        <f>IF(BX14, IFERROR((CT14*SUM(Raw!BF14,Raw!AX14,Raw!BB14,Raw!BJ14))/BZ14/CT14, 0), "Not Included")</f>
        <v>6.25E-2</v>
      </c>
      <c r="DA14" s="11">
        <f>IF(AY14, IFERROR((CU14*SUM(Raw!AY14,Raw!BC14,Raw!BG14,Raw!BK14))/AT14/CU14, 0), "Not Included")</f>
        <v>0.75</v>
      </c>
      <c r="DB14" s="11">
        <f>IF(BX14, IFERROR((CV14*SUM(Raw!AV14,Raw!AX14,Raw!AY14,Raw!AZ14,Raw!BB14,Raw!BC14,Raw!BD14,Raw!BF14,Raw!BG14,Raw!BH14,Raw!BJ14,Raw!BK14))/CG14/CV14,0), "Not Included")</f>
        <v>0.875</v>
      </c>
      <c r="DC14" s="11">
        <f>IF(AY14, IFERROR((CW14*SUM(Raw!AV14,Raw!AW14,Raw!AX14,Raw!AZ14,Raw!BA14,Raw!BB14,Raw!BD14,Raw!BE14,Raw!BF14,Raw!BH14,Raw!BI14,Raw!BJ14))/AT14/CW14,0), "Not Included")</f>
        <v>0.25</v>
      </c>
    </row>
    <row r="15" spans="1:107" ht="12.75" customHeight="1">
      <c r="A15" s="11">
        <f>Raw!D15</f>
        <v>8</v>
      </c>
      <c r="B15" s="11" t="str">
        <f>Raw!A15</f>
        <v>Cicchetti &amp; Barnett (1991)</v>
      </c>
      <c r="C15" s="11">
        <f>Raw!G15</f>
        <v>1</v>
      </c>
      <c r="D15" s="11" t="str">
        <f>Raw!E15</f>
        <v>Maltreated, 18 month interval</v>
      </c>
      <c r="E15" s="11" t="str">
        <f>CONCATENATE(IF(Raw!I15&lt;='Interval Definitions'!$B$2, 'Interval Definitions'!$A$2, IF(Raw!I15&lt;='Interval Definitions'!$B$3, 'Interval Definitions'!$A$3, IF(Raw!I15&lt;='Interval Definitions'!$B$4, 'Interval Definitions'!$A$4, IF(Raw!I15&lt;='Interval Definitions'!$B$5, 'Interval Definitions'!$A$5, "None")))), " - ", IF(Raw!J15&lt;='Interval Definitions'!$B$2, 'Interval Definitions'!$A$2, IF(Raw!J15&lt;='Interval Definitions'!$B$3, 'Interval Definitions'!$A$3, IF(Raw!J15&lt;='Interval Definitions'!$B$4, 'Interval Definitions'!$A$4, IF(Raw!J15&lt;='Interval Definitions'!$B$5, 'Interval Definitions'!$A$5, "None")))))</f>
        <v>Toddlerhood - Preschool</v>
      </c>
      <c r="F15" s="11" t="b">
        <f>OR(NOT(ISBLANK(Raw!AF15)),NOT(ISBLANK(Raw!AG15)),NOT(ISBLANK(Raw!AH15)),NOT(ISBLANK(Raw!AI15)),COUNTIF(Raw!AA15:AD15, "&gt;=0") = 4)</f>
        <v>1</v>
      </c>
      <c r="G15" s="11" t="str">
        <f>IF(F15, IF(COUNTIF(Raw!AA15:AD15,"&gt;=0") = 4, "Contingency", IF(NOT(ISBLANK(Raw!AF15)), "Paper r", IF(NOT(ISBLANK(Raw!AG15)), "Pinquart", IF(NOT(ISBLANK(Raw!AH15)), "Fraley", "Paper chiSq")))), "Not Included")</f>
        <v>Contingency</v>
      </c>
      <c r="H15" s="15">
        <f>IF(F15,Raw!AE15,"Not Included")</f>
        <v>18</v>
      </c>
      <c r="I15" s="15">
        <f>IF(COUNTIF(Raw!AA15:AD15,"&gt;=0") = 4, SUM(Raw!AA15:AD15), "No Contingency Table")</f>
        <v>18</v>
      </c>
      <c r="J15" s="15">
        <f t="shared" si="0"/>
        <v>18</v>
      </c>
      <c r="K15" s="38">
        <f>IF(F15, IF(COUNTIF(Raw!AA15:AD15,"&gt;=0") = 4, IFERROR((I15*Raw!AA15 - SUM(Raw!AA15,Raw!AB15)*SUM(Raw!AA15,Raw!AD15)) / SQRT((I15*SUM(Raw!AA15,Raw!AB15) - SUM(Raw!AA15,Raw!AB15)^2) * (I15*SUM(Raw!AA15,Raw!AD15) - SUM(Raw!AA15,Raw!AD15)^2)), 0), "No Contingency Table"), "Not Included")</f>
        <v>0.4780914437337575</v>
      </c>
      <c r="L15" s="41">
        <f>IF(F15,IF(NOT(ISBLANK(Raw!AF15)), Raw!AF15, IF(NOT(ISBLANK(Raw!AG15)), Raw!AG15, IF(NOT(ISBLANK(Raw!AH15)), Raw!AH15, IF(NOT(ISBLANK(Raw!AI15)), SQRT(Raw!AI15/H15)*Raw!AJ15, "Not Reported")))),"Not Included")</f>
        <v>0.48</v>
      </c>
      <c r="M15" s="43">
        <f t="shared" si="1"/>
        <v>0.4780914437337575</v>
      </c>
      <c r="N15" s="11">
        <f t="shared" si="2"/>
        <v>1</v>
      </c>
      <c r="O15" s="48" t="b">
        <f>OR(NOT(ISBLANK(Raw!AK15)), COUNTIF(Raw!AA15:AD15, "&gt;=0") = 4)</f>
        <v>1</v>
      </c>
      <c r="P15" s="24" t="str">
        <f>IF(O15,IF(COUNTIF(Raw!AA15:AD15,"&gt;=0") = 4,"Contingency", "Paper k"), "Not Included")</f>
        <v>Contingency</v>
      </c>
      <c r="Q15" s="48">
        <f>IF(O15, IF(COUNTIF(Raw!AA15:AD15,"&gt;=0") = 4,SUM(Raw!AA15,Raw!AC15)/H15,"No Contingency Table"), "Not Included")</f>
        <v>0.83333333333333337</v>
      </c>
      <c r="R15" s="38">
        <f>IF(O15, IF(COUNTIF(Raw!AA15:AD15, "&gt;=0") = 4,SUM(SUM(Raw!AA15,Raw!AB15)*SUM(Raw!AA15,Raw!AD15),SUM(Raw!AC15,Raw!AD15)*SUM(Raw!AC15,Raw!AB15))/H15^2,"No Contingency Table"), "Not Included")</f>
        <v>0.68518518518518523</v>
      </c>
      <c r="S15" s="38">
        <f>IF(O15, IF(COUNTIF(Raw!AA15:AD15,"&gt;=0") = 4, IFERROR((Q15 - R15) / (1 - R15), "Could not calculate"), "No Contingency Table"), "Not Included")</f>
        <v>0.4705882352941177</v>
      </c>
      <c r="T15" s="52" t="str">
        <f>IF(O15,IF(NOT(ISBLANK(Raw!AK15)), Raw!AK15, "Not Reported"), "Not Included")</f>
        <v>Not Reported</v>
      </c>
      <c r="U15" s="38">
        <f t="shared" si="3"/>
        <v>0.4705882352941177</v>
      </c>
      <c r="V15" s="11" t="str">
        <f t="shared" si="4"/>
        <v>NA</v>
      </c>
      <c r="W15" s="11" t="b">
        <f>OR(NOT(ISBLANK(Raw!AU15)),COUNTIF(Raw!AL15:AT15,"&gt;=0") = 9)</f>
        <v>0</v>
      </c>
      <c r="X15" s="11" t="str">
        <f>IF(W15, IF(COUNTIF(Raw!AL15:AT15,"&gt;=0") = 9, "Contingency", "Paper k"), "Not Included")</f>
        <v>Not Included</v>
      </c>
      <c r="Y15" s="11" t="str">
        <f>IF(W15,IF(COUNTIF(Raw!AL15:AT15,"&gt;=0") = 9,SUM(Raw!AL15:AT15),"No Contingency Table"),"Not Included")</f>
        <v>Not Included</v>
      </c>
      <c r="Z15" s="11" t="str">
        <f t="shared" si="5"/>
        <v>Not Included</v>
      </c>
      <c r="AA15" s="11" t="str">
        <f>IF(W15,IF(COUNTIF(Raw!AL15:AT15,"&gt;=0") = 9,SUM(Raw!AL15,Raw!AP15,Raw!AT15)/Y15,"No Contingency Table"), "Not Included")</f>
        <v>Not Included</v>
      </c>
      <c r="AB15" s="11" t="str">
        <f>IF(W15,IF(COUNTIF(Raw!AL15:AT15,"&gt;=0") = 9,SUM(SUM(Raw!AL15,Raw!AM15,Raw!AN15)*SUM(Raw!AL15,Raw!AO15,Raw!AR15),SUM(Raw!AO15,Raw!AP15,Raw!AQ15)*SUM(Raw!AM15,Raw!AP15,Raw!AS15),SUM(Raw!AR15,Raw!AS15,Raw!AT15)*SUM(Raw!AN15,Raw!AQ15,Raw!AT15))/Y15^2,"No Contingency Table"), "Not Included")</f>
        <v>Not Included</v>
      </c>
      <c r="AC15" s="11" t="str">
        <f>IF(W15,IF(COUNTIF(Raw!AL15:AT15,"&gt;=0") = 9,(AA15 - AB15) / (1 - AB15),"No Contingency Table"), "Not Included")</f>
        <v>Not Included</v>
      </c>
      <c r="AD15" s="11" t="str">
        <f>IF(W15, IF(NOT(ISBLANK(Raw!AU15)),Raw!AU15,"Not Reported"), "Not Included")</f>
        <v>Not Included</v>
      </c>
      <c r="AE15" s="11" t="str">
        <f t="shared" si="6"/>
        <v>Not Included</v>
      </c>
      <c r="AF15" s="11" t="str">
        <f t="shared" si="7"/>
        <v>Not Included</v>
      </c>
      <c r="AG15" s="11" t="b">
        <f>COUNTIF(Raw!AV15:BK15, "&gt;=0") = 16</f>
        <v>1</v>
      </c>
      <c r="AH15" s="11" t="str">
        <f>IF(AG15, IF(COUNTIF(Raw!AV15:BK15,"&gt;=0") = 16, "Contingency", "Paper k"), "Not Included")</f>
        <v>Contingency</v>
      </c>
      <c r="AI15" s="15">
        <f>IF(AG15,IF(COUNTIF(Raw!AV15:BK15,"&gt;=0") = 16,SUM(Raw!AV15:BK15),"No Contingency Table"),"Not Included")</f>
        <v>18</v>
      </c>
      <c r="AJ15" s="15">
        <f t="shared" si="8"/>
        <v>18</v>
      </c>
      <c r="AK15" s="11">
        <f>IF(AG15,IF(COUNTIF(Raw!AV15:BK15,"&gt;=0") = 16,SUM(Raw!AV15,Raw!BA15,Raw!BF15,Raw!BK15)/AI15,"No Contingency Table"), "Not Included")</f>
        <v>0.61111111111111116</v>
      </c>
      <c r="AL15" s="11">
        <f>IF(AG15,IF(COUNTIF(Raw!AV15:BK15,"&gt;=0") = 16,SUM(SUM(Raw!AV15,Raw!AW15,Raw!AX15,Raw!AY15)*SUM(Raw!AV15,Raw!AZ15,Raw!BD15,Raw!BH15),SUM(Raw!AZ15,Raw!BA15,Raw!BB15,Raw!BC15)*SUM(Raw!AW15,Raw!BA15,Raw!BE15,Raw!BI15),SUM(Raw!BD15,Raw!BE15,Raw!BF15,Raw!BG15)*SUM(Raw!AX15,Raw!BB15,Raw!BF15,Raw!BJ15),SUM(Raw!BH15,Raw!BI15,Raw!BJ15,Raw!BK15)*SUM(Raw!AY15,Raw!BC15,Raw!BG15,Raw!BK15))/AI15^2,"No Contingency Table"), "Not Included")</f>
        <v>0.27777777777777779</v>
      </c>
      <c r="AM15" s="11">
        <f>IF(AG15,IF(COUNTIF(Raw!AV15:BK15,"&gt;=0") = 16,(AK15 - AL15) / (1 - AL15),"No Contingency Table"), "Not Included")</f>
        <v>0.46153846153846162</v>
      </c>
      <c r="AN15" s="11" t="str">
        <f>IF(NOT(ISBLANK(Raw!BL15)),Raw!BL15,"Not Reported")</f>
        <v>Not Reported</v>
      </c>
      <c r="AO15" s="11">
        <f t="shared" si="9"/>
        <v>0.46153846153846162</v>
      </c>
      <c r="AP15" s="11" t="str">
        <f t="shared" si="10"/>
        <v>NA</v>
      </c>
      <c r="AQ15" s="11" t="b">
        <f t="shared" ref="AQ15:AR15" si="71">BQ15</f>
        <v>1</v>
      </c>
      <c r="AR15" s="11" t="str">
        <f t="shared" si="71"/>
        <v>Contingency</v>
      </c>
      <c r="AS15" s="15">
        <f t="shared" si="12"/>
        <v>18</v>
      </c>
      <c r="AT15" s="15">
        <f t="shared" si="13"/>
        <v>18</v>
      </c>
      <c r="AU15" s="11">
        <f>IF(AQ15, IF(COUNTIF(Raw!AV15:BK15, "&gt;=0") = 16, IFERROR((AT15*Raw!BK15 - SUM(Raw!BH15, Raw!BI15, Raw!BJ15, Raw!BK15)*SUM(Raw!AY15, Raw!BC15, Raw!BG15, Raw!BK15)) / SQRT((AT15*SUM(Raw!BH15, Raw!BI15, Raw!BJ15, Raw!BK15) - SUM(Raw!BH15, Raw!BI15, Raw!BJ15, Raw!BK15)^2) * (AT15*SUM(Raw!AY15, Raw!BC15, Raw!BG15, Raw!BK15) - SUM(Raw!AY15, Raw!BC15, Raw!BG15, Raw!BK15)^2)), 0), "No Contingency Table"), "Not Included")</f>
        <v>0.29870129870129869</v>
      </c>
      <c r="AV15" s="11" t="str">
        <f>IF(AQ15,IF(NOT(ISBLANK(Raw!BQ15)), Raw!BQ15, IF(NOT(ISBLANK(Raw!BR15)), Raw!BR15, "Not Reported")), "Not Included")</f>
        <v>Not Reported</v>
      </c>
      <c r="AW15" s="57">
        <f t="shared" si="14"/>
        <v>0.29870129870129869</v>
      </c>
      <c r="AX15" s="11" t="str">
        <f t="shared" si="15"/>
        <v>NA</v>
      </c>
      <c r="AY15" s="11" t="b">
        <f t="shared" ref="AY15:AZ15" si="72">AQ15</f>
        <v>1</v>
      </c>
      <c r="AZ15" s="11" t="str">
        <f t="shared" si="72"/>
        <v>Contingency</v>
      </c>
      <c r="BA15" s="11">
        <f>IF(AY15, IF(COUNTIF(Raw!AV15:BK15, "&gt;=0") = 16, SUM(Raw!AV15,Raw!AW15,Raw!AX15,Raw!AZ15,Raw!BA15,Raw!BB15,Raw!BD15,Raw!BE15,Raw!BF15,Raw!BK15)/SUM(Raw!AV15:BK15), "No Contingency Table"), "Not Included")</f>
        <v>0.66666666666666663</v>
      </c>
      <c r="BB15" s="11">
        <f>IF(AY15, IF(COUNTIF(Raw!AV15:BK15, "&gt;=0") = 16,SUM(SUM(Raw!BH15,Raw!BI15,Raw!BJ15,Raw!BK15)*SUM(Raw!AY15,Raw!BC15,Raw!BG15,Raw!BK15),SUM(Raw!AV15:BG15)*SUM(Raw!AV15,Raw!AW15,Raw!AX15,Raw!AZ15,Raw!BA15,Raw!BB15,Raw!BD15,Raw!BE15,Raw!BF15,Raw!BH15,Raw!BI15,Raw!BJ15))/AT15^2,"No Contingency Table"), "Not Included")</f>
        <v>0.52469135802469136</v>
      </c>
      <c r="BC15" s="11">
        <f>IF(AY15, IF(COUNTIF(Raw!AV15:BK15, "&gt;=0") = 16,(BA15-BB15) / (1 - BB15),"No Contingency Table"), "Not Included")</f>
        <v>0.29870129870129863</v>
      </c>
      <c r="BD15" s="11" t="str">
        <f>IF(AY15,IF(NOT(ISBLANK(Raw!BT36)),Raw!BT36,"Not Reported"),"Not Included")</f>
        <v>Not Reported</v>
      </c>
      <c r="BE15" s="11">
        <f t="shared" si="17"/>
        <v>0.29870129870129863</v>
      </c>
      <c r="BF15" s="11" t="str">
        <f t="shared" si="18"/>
        <v>NA</v>
      </c>
      <c r="BG15" s="11">
        <f>Raw!K15</f>
        <v>1991</v>
      </c>
      <c r="BH15" s="11" t="str">
        <f>IF(Raw!L15 = "USA","USA","Non-USA")</f>
        <v>USA</v>
      </c>
      <c r="BI15" s="11" t="str">
        <f>Raw!M15</f>
        <v>Cassidy-Marvin/Cassidy-Marvin</v>
      </c>
      <c r="BJ15" s="11">
        <f>Raw!N15</f>
        <v>1</v>
      </c>
      <c r="BK15" s="11">
        <f>Raw!P15</f>
        <v>1</v>
      </c>
      <c r="BL15" s="11">
        <f>Raw!Q15</f>
        <v>0</v>
      </c>
      <c r="BM15" s="11">
        <f>Raw!T15</f>
        <v>1</v>
      </c>
      <c r="BN15" s="11">
        <f>IFERROR(IF(AND(ISBLANK(Raw!U15), ISBLANK(Raw!V15), ISBLANK(Raw!W15), ISBLANK(Raw!X15)), "NA", IF(OR(NOT(ISBLANK(Raw!U15)), NOT(ISBLANK(Raw!W15))), AVERAGE(Raw!U15,Raw!W15), AVERAGE(Raw!V15,Raw!X15) + IF(Raw!Y15 = "2-way", R15, IF(Raw!Y15 = "3-way", AB15, IF(Raw!Y15 = "4-way", AL15, "NA")))*(1 - AVERAGE(Raw!V15,Raw!X15)))), "NA")</f>
        <v>0.75</v>
      </c>
      <c r="BO15" s="11">
        <f>Raw!O15</f>
        <v>0</v>
      </c>
      <c r="BP15" s="11" t="str">
        <f>Raw!F15</f>
        <v>Mixed</v>
      </c>
      <c r="BQ15" s="11" t="b">
        <f>COUNTIF(Raw!AV15:BK15, "&gt;=0") = 16</f>
        <v>1</v>
      </c>
      <c r="BR15" s="11" t="str">
        <f t="shared" si="19"/>
        <v>Contingency</v>
      </c>
      <c r="BS15" s="15">
        <f t="shared" si="20"/>
        <v>18</v>
      </c>
      <c r="BT15" s="11">
        <f>IF(BQ15, IF(COUNTIF(Raw!AV15:BK15, "&gt;=0") = 16, IFERROR((BS15*Raw!AV15 - SUM(Raw!AV15, Raw!AW15, Raw!AX15, Raw!AY15)*SUM(Raw!AV15, Raw!AZ15, Raw!BD15, Raw!BH15)) / SQRT((BS15*SUM(Raw!AV15, Raw!AW15, Raw!AX15, Raw!AY15) - SUM(Raw!AV15, Raw!AW15, Raw!AX15, Raw!AY15)^2) * (BS15*SUM(Raw!AV15, Raw!AZ15, Raw!BD15, Raw!BH15) - SUM(Raw!AV15, Raw!AZ15, Raw!BD15, Raw!BH15)^2)), 0), "No Contingency Table"), "Not Included")</f>
        <v>0.56354451251202653</v>
      </c>
      <c r="BU15" s="11">
        <f>IF(BQ15, IF(COUNTIF(Raw!AV15:BK15, "&gt;=0") = 16, SUM(Raw!BK15,Raw!BJ15,Raw!BI15,Raw!BG15,Raw!BF15,Raw!BE15,Raw!BC15,Raw!BB15,Raw!BA15,Raw!AV15)/SUM(Raw!AV15:BK15), "No Contingency Table"), "Not Included")</f>
        <v>0.83333333333333337</v>
      </c>
      <c r="BV15" s="11">
        <f>IF(BQ15, IF(COUNTIF(Raw!AV15:BK15, "&gt;=0") = 16,SUM(SUM(Raw!AV15,Raw!AW15,Raw!AX15,Raw!AY15)*SUM(Raw!AV15,Raw!AZ15,Raw!BD15,Raw!BH15),SUM(Raw!AZ15:BK15)*SUM(Raw!AW15,Raw!AX15,Raw!AY15,Raw!BA15,Raw!BB15,Raw!BC15,Raw!BE15,Raw!BF15,Raw!BG15,Raw!BI15,Raw!BJ15,Raw!BK15))/BS15^2,"No Contingency Table"), "Not Included")</f>
        <v>0.62345679012345678</v>
      </c>
      <c r="BW15" s="11">
        <f>IF(BQ15, IF(COUNTIF(Raw!AV15:BK15, "&gt;=0") = 16,(BU15-BV15) / (1 - BV15),"No Contingency Table"), "Not Included")</f>
        <v>0.55737704918032793</v>
      </c>
      <c r="BX15" s="11" t="b">
        <f t="shared" ref="BX15:BZ15" si="73">BQ15</f>
        <v>1</v>
      </c>
      <c r="BY15" s="11" t="str">
        <f t="shared" si="73"/>
        <v>Contingency</v>
      </c>
      <c r="BZ15" s="15">
        <f t="shared" si="73"/>
        <v>18</v>
      </c>
      <c r="CA15" s="11">
        <f>IF(BX15, IF(COUNTIF(Raw!AV15:BK15, "&gt;=0") = 16, IFERROR((BZ15*Raw!BF15 - SUM(Raw!BD15, Raw!BE15, Raw!BF15, Raw!BG15)*SUM(Raw!BF15, Raw!AX15, Raw!BB15, Raw!BJ15)) / SQRT((BZ15*SUM(Raw!BD15, Raw!BE15, Raw!BF15, Raw!BG15) - SUM(Raw!BD15, Raw!BE15, Raw!BF15, Raw!BG15)^2) * (BZ15*SUM(Raw!BF15, Raw!AX15, Raw!BB15, Raw!BJ15) - SUM(Raw!BF15, Raw!AX15, Raw!BB15, Raw!BJ15)^2)), 0), "No Contingency Table"), "Not Included")</f>
        <v>0.6</v>
      </c>
      <c r="CB15" s="11">
        <f>IF(BX15, IF(COUNTIF(Raw!AV15:BK15, "&gt;=0") = 16, SUM(Raw!AV15,Raw!AW15,Raw!AY15,Raw!AZ15,Raw!BA15,Raw!BC15,Raw!BF15,Raw!BH15,Raw!BI15,Raw!BK15) / SUM(Raw!AV15:BK15), "No Contingency Table"), "Not Included")</f>
        <v>0.88888888888888884</v>
      </c>
      <c r="CC15" s="11">
        <f>IF(BX15, IF(COUNTIF(Raw!AV15:BK15, "&gt;=0") = 16,SUM(SUM(Raw!BD15,Raw!BE15,Raw!BF15,Raw!BG15)*SUM(Raw!BF15,Raw!AX15,Raw!BB15,Raw!BJ15),SUM(Raw!AV15:BC15,Raw!BH15:BK15)*SUM(Raw!AV15,Raw!AW15,Raw!AY15,Raw!AZ15,Raw!BA15,Raw!BC15,Raw!BD15,Raw!BE15,Raw!BG15,Raw!BH15,Raw!BI15,Raw!BK15))/BZ15^2,"No Contingency Table"), "Not Included")</f>
        <v>0.72222222222222221</v>
      </c>
      <c r="CD15" s="11">
        <f>IF(BX15, IF(COUNTIF(Raw!AV15:BK15, "&gt;=0") = 16,(CB15 - CC15) / (1 - CC15+0.000001),"No Contingency Table"), "Not Included")</f>
        <v>0.5999978400077759</v>
      </c>
      <c r="CE15" s="11" t="b">
        <f t="shared" ref="CE15:CG15" si="74">BQ15</f>
        <v>1</v>
      </c>
      <c r="CF15" s="11" t="str">
        <f t="shared" si="74"/>
        <v>Contingency</v>
      </c>
      <c r="CG15" s="15">
        <f t="shared" si="74"/>
        <v>18</v>
      </c>
      <c r="CH15" s="11">
        <f>IF(CE15, IF(COUNTIF(Raw!AV15:BK15, "&gt;=0") = 16, IFERROR((CG15*Raw!BA15 - SUM(Raw!BA15, Raw!AZ15, Raw!BB15, Raw!BC15)*SUM(Raw!BA15, Raw!AW15, Raw!BE15, Raw!BI15)) / SQRT((CG15*SUM(Raw!BA15, Raw!AZ15, Raw!BB15, Raw!BC15) - SUM(Raw!BA15, Raw!AZ15, Raw!BB15, Raw!BC15)^2) * (CG15*SUM(Raw!BA15, Raw!AW15, Raw!BE15, Raw!BI15) - SUM(Raw!BA15, Raw!AW15, Raw!BE15, Raw!BI15)^2)), 0), "No Contingency Table"), "Not Included")</f>
        <v>0.4780914437337575</v>
      </c>
      <c r="CI15" s="11">
        <f>IF(CE15, IF(COUNTIF(Raw!AV15:BK15, "&gt;=0") = 16, SUM(Raw!AV15,Raw!AX15,Raw!AY15,Raw!BA15,Raw!BD15,Raw!BF15,Raw!BG15,Raw!BH15,Raw!BJ15,Raw!BK15) / SUM(Raw!AV15:BK15), "No Contingency Table"), "Not Included")</f>
        <v>0.83333333333333337</v>
      </c>
      <c r="CJ15" s="61">
        <f>IF(BX15, IF(COUNTIF(Raw!AV15:BK15, "&gt;=0") = 16,SUM(SUM(Raw!AZ15,Raw!BA15,Raw!BB15,Raw!BC15)*SUM(Raw!BA15,Raw!AW15,Raw!BE15,Raw!BI15),SUM(Raw!AV15:AY15,Raw!BD15:BK15)*SUM(Raw!AV15,Raw!AX15,Raw!AY15,Raw!AZ15,Raw!BB15,Raw!BC15,Raw!BD15,Raw!BF15,Raw!BG15,Raw!BH15,Raw!BJ15,Raw!BK15))/CG15^2,"No Contingency Table"), "Not Included")</f>
        <v>0.68518518518518523</v>
      </c>
      <c r="CK15" s="11">
        <f>IF(BX15, IF(COUNTIF(Raw!AV15:BK15, "&gt;=0") = 16,(CI15 - CJ15) / (1 - CJ15),"No Contingency Table"), "Not Included")</f>
        <v>0.4705882352941177</v>
      </c>
      <c r="CL15" s="11">
        <f>IF(BQ15, IFERROR(Raw!AV15/SUM(Raw!AV15:AY15), 0), "Not Included")</f>
        <v>0.75</v>
      </c>
      <c r="CM15" s="11">
        <f>IF(BQ15, IFERROR(Raw!BA15/SUM(Raw!AZ15:BC15), 0), "Not Included")</f>
        <v>0.5</v>
      </c>
      <c r="CN15" s="11">
        <f>IF(BQ15, IFERROR(Raw!BF15/SUM(Raw!BD15:BG15), 0), "Not Included")</f>
        <v>0.66666666666666663</v>
      </c>
      <c r="CO15" s="11">
        <f>IF(BQ15, IFERROR(Raw!BK15/SUM(Raw!BH15:BK15), 0), "Not Included")</f>
        <v>0.5714285714285714</v>
      </c>
      <c r="CP15" s="11">
        <f>IF(BQ15, IFERROR(SUM(Raw!AV15,Raw!AX15,Raw!AY15,Raw!BD15,Raw!BF15,Raw!BG15,Raw!BH15,Raw!BJ15,Raw!BK15)/SUM(Raw!AV15,Raw!AW15,Raw!AX15,Raw!AY15,Raw!BD15,Raw!BE15,Raw!BF15,Raw!BG15,Raw!BH15,Raw!BI15,Raw!BJ15,Raw!BK15), 0), "Not Included")</f>
        <v>0.9285714285714286</v>
      </c>
      <c r="CQ15" s="11">
        <f>IF(BQ15, IFERROR(SUM(Raw!AV15:AX15,Raw!AZ15:BB15,Raw!BD15:BF15)/SUM(Raw!AV15:BF15), 0), "Not Included")</f>
        <v>0.72727272727272729</v>
      </c>
      <c r="CR15" s="11">
        <f>IF(BQ15, IFERROR(SUM(Raw!AV15:AY15), 0), "Not Included")</f>
        <v>4</v>
      </c>
      <c r="CS15" s="11">
        <f>IF(BQ15, IFERROR(SUM(Raw!AZ15:BC15), 0), "Not Included")</f>
        <v>4</v>
      </c>
      <c r="CT15" s="11">
        <f>IF(BQ15, IFERROR(SUM(Raw!BD15:BG15), 0), "Not Included")</f>
        <v>3</v>
      </c>
      <c r="CU15" s="11">
        <f>IF(BQ15, IFERROR(SUM(Raw!BH15:BK15), 0), "Not Included")</f>
        <v>7</v>
      </c>
      <c r="CV15" s="11">
        <f>IF(BQ15, IFERROR(SUM(Raw!AV15,Raw!AW15,Raw!AX15,Raw!AY15,Raw!BD15,Raw!BE15,Raw!BF15,Raw!BG15,Raw!BH15,Raw!BI15,Raw!BJ15,Raw!BK15), 0), "Not Included")</f>
        <v>14</v>
      </c>
      <c r="CW15" s="11">
        <f>IF(BQ15, IFERROR(SUM(Raw!AV15:BF15), 0), "Not Included")</f>
        <v>11</v>
      </c>
      <c r="CX15" s="11">
        <f>IF(BQ15, IFERROR((CR15*SUM(Raw!AV15,Raw!AZ15,Raw!BD15,Raw!BH15))/BS15/CR15, 0), "Not Included")</f>
        <v>0.27777777777777779</v>
      </c>
      <c r="CY15" s="11">
        <f>IF(BX15, IFERROR((CS15*SUM(Raw!BA15,Raw!AW15,Raw!BE15,Raw!BI15))/CG15/CS15, 0), "Not Included")</f>
        <v>0.16666666666666666</v>
      </c>
      <c r="CZ15" s="11">
        <f>IF(BX15, IFERROR((CT15*SUM(Raw!BF15,Raw!AX15,Raw!BB15,Raw!BJ15))/BZ15/CT15, 0), "Not Included")</f>
        <v>0.16666666666666666</v>
      </c>
      <c r="DA15" s="11">
        <f>IF(AY15, IFERROR((CU15*SUM(Raw!AY15,Raw!BC15,Raw!BG15,Raw!BK15))/AT15/CU15, 0), "Not Included")</f>
        <v>0.3888888888888889</v>
      </c>
      <c r="DB15" s="11">
        <f>IF(BX15, IFERROR((CV15*SUM(Raw!AV15,Raw!AX15,Raw!AY15,Raw!AZ15,Raw!BB15,Raw!BC15,Raw!BD15,Raw!BF15,Raw!BG15,Raw!BH15,Raw!BJ15,Raw!BK15))/CG15/CV15,0), "Not Included")</f>
        <v>0.83333333333333326</v>
      </c>
      <c r="DC15" s="11">
        <f>IF(AY15, IFERROR((CW15*SUM(Raw!AV15,Raw!AW15,Raw!AX15,Raw!AZ15,Raw!BA15,Raw!BB15,Raw!BD15,Raw!BE15,Raw!BF15,Raw!BH15,Raw!BI15,Raw!BJ15))/AT15/CW15,0), "Not Included")</f>
        <v>0.61111111111111116</v>
      </c>
    </row>
    <row r="16" spans="1:107" ht="12.75" customHeight="1">
      <c r="A16" s="11">
        <f>Raw!D16</f>
        <v>8</v>
      </c>
      <c r="B16" s="11" t="str">
        <f>Raw!A16</f>
        <v>Cicchetti &amp; Barnett (1991)</v>
      </c>
      <c r="C16" s="11">
        <f>Raw!G16</f>
        <v>2</v>
      </c>
      <c r="D16" s="11" t="str">
        <f>Raw!E16</f>
        <v>Maltreated, 12 month interval</v>
      </c>
      <c r="E16" s="11" t="str">
        <f>CONCATENATE(IF(Raw!I16&lt;='Interval Definitions'!$B$2, 'Interval Definitions'!$A$2, IF(Raw!I16&lt;='Interval Definitions'!$B$3, 'Interval Definitions'!$A$3, IF(Raw!I16&lt;='Interval Definitions'!$B$4, 'Interval Definitions'!$A$4, IF(Raw!I16&lt;='Interval Definitions'!$B$5, 'Interval Definitions'!$A$5, "None")))), " - ", IF(Raw!J16&lt;='Interval Definitions'!$B$2, 'Interval Definitions'!$A$2, IF(Raw!J16&lt;='Interval Definitions'!$B$3, 'Interval Definitions'!$A$3, IF(Raw!J16&lt;='Interval Definitions'!$B$4, 'Interval Definitions'!$A$4, IF(Raw!J16&lt;='Interval Definitions'!$B$5, 'Interval Definitions'!$A$5, "None")))))</f>
        <v>Toddlerhood - Preschool</v>
      </c>
      <c r="F16" s="11" t="b">
        <f>OR(NOT(ISBLANK(Raw!AF16)),NOT(ISBLANK(Raw!AG16)),NOT(ISBLANK(Raw!AH16)),NOT(ISBLANK(Raw!AI16)),COUNTIF(Raw!AA16:AD16, "&gt;=0") = 4)</f>
        <v>1</v>
      </c>
      <c r="G16" s="11" t="str">
        <f>IF(F16, IF(COUNTIF(Raw!AA16:AD16,"&gt;=0") = 4, "Contingency", IF(NOT(ISBLANK(Raw!AF16)), "Paper r", IF(NOT(ISBLANK(Raw!AG16)), "Pinquart", IF(NOT(ISBLANK(Raw!AH16)), "Fraley", "Paper chiSq")))), "Not Included")</f>
        <v>Contingency</v>
      </c>
      <c r="H16" s="15">
        <f>IF(F16,Raw!AE16,"Not Included")</f>
        <v>25</v>
      </c>
      <c r="I16" s="15">
        <f>IF(COUNTIF(Raw!AA16:AD16,"&gt;=0") = 4, SUM(Raw!AA16:AD16), "No Contingency Table")</f>
        <v>25</v>
      </c>
      <c r="J16" s="15">
        <f t="shared" si="0"/>
        <v>25</v>
      </c>
      <c r="K16" s="38">
        <f>IF(F16, IF(COUNTIF(Raw!AA16:AD16,"&gt;=0") = 4, IFERROR((I16*Raw!AA16 - SUM(Raw!AA16,Raw!AB16)*SUM(Raw!AA16,Raw!AD16)) / SQRT((I16*SUM(Raw!AA16,Raw!AB16) - SUM(Raw!AA16,Raw!AB16)^2) * (I16*SUM(Raw!AA16,Raw!AD16) - SUM(Raw!AA16,Raw!AD16)^2)), 0), "No Contingency Table"), "Not Included")</f>
        <v>0.12280701754385964</v>
      </c>
      <c r="L16" s="41">
        <f>IF(F16,IF(NOT(ISBLANK(Raw!AF16)), Raw!AF16, IF(NOT(ISBLANK(Raw!AG16)), Raw!AG16, IF(NOT(ISBLANK(Raw!AH16)), Raw!AH16, IF(NOT(ISBLANK(Raw!AI16)), SQRT(Raw!AI16/H16)*Raw!AJ16, "Not Reported")))),"Not Included")</f>
        <v>0.12</v>
      </c>
      <c r="M16" s="43">
        <f t="shared" si="1"/>
        <v>0.12280701754385964</v>
      </c>
      <c r="N16" s="11">
        <f t="shared" si="2"/>
        <v>1</v>
      </c>
      <c r="O16" s="48" t="b">
        <f>OR(NOT(ISBLANK(Raw!AK16)), COUNTIF(Raw!AA16:AD16, "&gt;=0") = 4)</f>
        <v>1</v>
      </c>
      <c r="P16" s="24" t="str">
        <f>IF(O16,IF(COUNTIF(Raw!AA16:AD16,"&gt;=0") = 4,"Contingency", "Paper k"), "Not Included")</f>
        <v>Contingency</v>
      </c>
      <c r="Q16" s="48">
        <f>IF(O16, IF(COUNTIF(Raw!AA16:AD16,"&gt;=0") = 4,SUM(Raw!AA16,Raw!AC16)/H16,"No Contingency Table"), "Not Included")</f>
        <v>0.68</v>
      </c>
      <c r="R16" s="38">
        <f>IF(O16, IF(COUNTIF(Raw!AA16:AD16, "&gt;=0") = 4,SUM(SUM(Raw!AA16,Raw!AB16)*SUM(Raw!AA16,Raw!AD16),SUM(Raw!AC16,Raw!AD16)*SUM(Raw!AC16,Raw!AB16))/H16^2,"No Contingency Table"), "Not Included")</f>
        <v>0.63519999999999999</v>
      </c>
      <c r="S16" s="38">
        <f>IF(O16, IF(COUNTIF(Raw!AA16:AD16,"&gt;=0") = 4, IFERROR((Q16 - R16) / (1 - R16), "Could not calculate"), "No Contingency Table"), "Not Included")</f>
        <v>0.12280701754385981</v>
      </c>
      <c r="T16" s="52" t="str">
        <f>IF(O16,IF(NOT(ISBLANK(Raw!AK16)), Raw!AK16, "Not Reported"), "Not Included")</f>
        <v>Not Reported</v>
      </c>
      <c r="U16" s="38">
        <f t="shared" si="3"/>
        <v>0.12280701754385981</v>
      </c>
      <c r="V16" s="11" t="str">
        <f t="shared" si="4"/>
        <v>NA</v>
      </c>
      <c r="W16" s="11" t="b">
        <f>OR(NOT(ISBLANK(Raw!AU16)),COUNTIF(Raw!AL16:AT16,"&gt;=0") = 9)</f>
        <v>0</v>
      </c>
      <c r="X16" s="11" t="str">
        <f>IF(W16, IF(COUNTIF(Raw!AL16:AT16,"&gt;=0") = 9, "Contingency", "Paper k"), "Not Included")</f>
        <v>Not Included</v>
      </c>
      <c r="Y16" s="11" t="str">
        <f>IF(W16,IF(COUNTIF(Raw!AL16:AT16,"&gt;=0") = 9,SUM(Raw!AL16:AT16),"No Contingency Table"),"Not Included")</f>
        <v>Not Included</v>
      </c>
      <c r="Z16" s="11" t="str">
        <f t="shared" si="5"/>
        <v>Not Included</v>
      </c>
      <c r="AA16" s="11" t="str">
        <f>IF(W16,IF(COUNTIF(Raw!AL16:AT16,"&gt;=0") = 9,SUM(Raw!AL16,Raw!AP16,Raw!AT16)/Y16,"No Contingency Table"), "Not Included")</f>
        <v>Not Included</v>
      </c>
      <c r="AB16" s="11" t="str">
        <f>IF(W16,IF(COUNTIF(Raw!AL16:AT16,"&gt;=0") = 9,SUM(SUM(Raw!AL16,Raw!AM16,Raw!AN16)*SUM(Raw!AL16,Raw!AO16,Raw!AR16),SUM(Raw!AO16,Raw!AP16,Raw!AQ16)*SUM(Raw!AM16,Raw!AP16,Raw!AS16),SUM(Raw!AR16,Raw!AS16,Raw!AT16)*SUM(Raw!AN16,Raw!AQ16,Raw!AT16))/Y16^2,"No Contingency Table"), "Not Included")</f>
        <v>Not Included</v>
      </c>
      <c r="AC16" s="11" t="str">
        <f>IF(W16,IF(COUNTIF(Raw!AL16:AT16,"&gt;=0") = 9,(AA16 - AB16) / (1 - AB16),"No Contingency Table"), "Not Included")</f>
        <v>Not Included</v>
      </c>
      <c r="AD16" s="11" t="str">
        <f>IF(W16, IF(NOT(ISBLANK(Raw!AU16)),Raw!AU16,"Not Reported"), "Not Included")</f>
        <v>Not Included</v>
      </c>
      <c r="AE16" s="11" t="str">
        <f t="shared" si="6"/>
        <v>Not Included</v>
      </c>
      <c r="AF16" s="11" t="str">
        <f t="shared" si="7"/>
        <v>Not Included</v>
      </c>
      <c r="AG16" s="11" t="b">
        <f>COUNTIF(Raw!AV16:BK16, "&gt;=0") = 16</f>
        <v>1</v>
      </c>
      <c r="AH16" s="11" t="str">
        <f>IF(AG16, IF(COUNTIF(Raw!AV16:BK16,"&gt;=0") = 16, "Contingency", "Paper k"), "Not Included")</f>
        <v>Contingency</v>
      </c>
      <c r="AI16" s="15">
        <f>IF(AG16,IF(COUNTIF(Raw!AV16:BK16,"&gt;=0") = 16,SUM(Raw!AV16:BK16),"No Contingency Table"),"Not Included")</f>
        <v>25</v>
      </c>
      <c r="AJ16" s="15">
        <f t="shared" si="8"/>
        <v>25</v>
      </c>
      <c r="AK16" s="11">
        <f>IF(AG16,IF(COUNTIF(Raw!AV16:BK16,"&gt;=0") = 16,SUM(Raw!AV16,Raw!BA16,Raw!BF16,Raw!BK16)/AI16,"No Contingency Table"), "Not Included")</f>
        <v>0.48</v>
      </c>
      <c r="AL16" s="11">
        <f>IF(AG16,IF(COUNTIF(Raw!AV16:BK16,"&gt;=0") = 16,SUM(SUM(Raw!AV16,Raw!AW16,Raw!AX16,Raw!AY16)*SUM(Raw!AV16,Raw!AZ16,Raw!BD16,Raw!BH16),SUM(Raw!AZ16,Raw!BA16,Raw!BB16,Raw!BC16)*SUM(Raw!AW16,Raw!BA16,Raw!BE16,Raw!BI16),SUM(Raw!BD16,Raw!BE16,Raw!BF16,Raw!BG16)*SUM(Raw!AX16,Raw!BB16,Raw!BF16,Raw!BJ16),SUM(Raw!BH16,Raw!BI16,Raw!BJ16,Raw!BK16)*SUM(Raw!AY16,Raw!BC16,Raw!BG16,Raw!BK16))/AI16^2,"No Contingency Table"), "Not Included")</f>
        <v>0.26719999999999999</v>
      </c>
      <c r="AM16" s="11">
        <f>IF(AG16,IF(COUNTIF(Raw!AV16:BK16,"&gt;=0") = 16,(AK16 - AL16) / (1 - AL16),"No Contingency Table"), "Not Included")</f>
        <v>0.29039301310043664</v>
      </c>
      <c r="AN16" s="11" t="str">
        <f>IF(NOT(ISBLANK(Raw!BL16)),Raw!BL16,"Not Reported")</f>
        <v>Not Reported</v>
      </c>
      <c r="AO16" s="11">
        <f t="shared" si="9"/>
        <v>0.29039301310043664</v>
      </c>
      <c r="AP16" s="11" t="str">
        <f t="shared" si="10"/>
        <v>NA</v>
      </c>
      <c r="AQ16" s="11" t="b">
        <f t="shared" ref="AQ16:AR16" si="75">BQ16</f>
        <v>1</v>
      </c>
      <c r="AR16" s="11" t="str">
        <f t="shared" si="75"/>
        <v>Contingency</v>
      </c>
      <c r="AS16" s="15">
        <f t="shared" si="12"/>
        <v>25</v>
      </c>
      <c r="AT16" s="15">
        <f t="shared" si="13"/>
        <v>25</v>
      </c>
      <c r="AU16" s="11">
        <f>IF(AQ16, IF(COUNTIF(Raw!AV16:BK16, "&gt;=0") = 16, IFERROR((AT16*Raw!BK16 - SUM(Raw!BH16, Raw!BI16, Raw!BJ16, Raw!BK16)*SUM(Raw!AY16, Raw!BC16, Raw!BG16, Raw!BK16)) / SQRT((AT16*SUM(Raw!BH16, Raw!BI16, Raw!BJ16, Raw!BK16) - SUM(Raw!BH16, Raw!BI16, Raw!BJ16, Raw!BK16)^2) * (AT16*SUM(Raw!AY16, Raw!BC16, Raw!BG16, Raw!BK16) - SUM(Raw!AY16, Raw!BC16, Raw!BG16, Raw!BK16)^2)), 0), "No Contingency Table"), "Not Included")</f>
        <v>8.9087080637474794E-2</v>
      </c>
      <c r="AV16" s="11" t="str">
        <f>IF(AQ16,IF(NOT(ISBLANK(Raw!BQ16)), Raw!BQ16, IF(NOT(ISBLANK(Raw!BR16)), Raw!BR16, "Not Reported")), "Not Included")</f>
        <v>Not Reported</v>
      </c>
      <c r="AW16" s="57">
        <f t="shared" si="14"/>
        <v>8.9087080637474794E-2</v>
      </c>
      <c r="AX16" s="11" t="str">
        <f t="shared" si="15"/>
        <v>NA</v>
      </c>
      <c r="AY16" s="11" t="b">
        <f t="shared" ref="AY16:AZ16" si="76">AQ16</f>
        <v>1</v>
      </c>
      <c r="AZ16" s="11" t="str">
        <f t="shared" si="76"/>
        <v>Contingency</v>
      </c>
      <c r="BA16" s="11">
        <f>IF(AY16, IF(COUNTIF(Raw!AV16:BK16, "&gt;=0") = 16, SUM(Raw!AV16,Raw!AW16,Raw!AX16,Raw!AZ16,Raw!BA16,Raw!BB16,Raw!BD16,Raw!BE16,Raw!BF16,Raw!BK16)/SUM(Raw!AV16:BK16), "No Contingency Table"), "Not Included")</f>
        <v>0.6</v>
      </c>
      <c r="BB16" s="11">
        <f>IF(AY16, IF(COUNTIF(Raw!AV16:BK16, "&gt;=0") = 16,SUM(SUM(Raw!BH16,Raw!BI16,Raw!BJ16,Raw!BK16)*SUM(Raw!AY16,Raw!BC16,Raw!BG16,Raw!BK16),SUM(Raw!AV16:BG16)*SUM(Raw!AV16,Raw!AW16,Raw!AX16,Raw!AZ16,Raw!BA16,Raw!BB16,Raw!BD16,Raw!BE16,Raw!BF16,Raw!BH16,Raw!BI16,Raw!BJ16))/AT16^2,"No Contingency Table"), "Not Included")</f>
        <v>0.56159999999999999</v>
      </c>
      <c r="BC16" s="11">
        <f>IF(AY16, IF(COUNTIF(Raw!AV16:BK16, "&gt;=0") = 16,(BA16-BB16) / (1 - BB16),"No Contingency Table"), "Not Included")</f>
        <v>8.7591240875912385E-2</v>
      </c>
      <c r="BD16" s="11" t="str">
        <f>IF(AY16,IF(NOT(ISBLANK(Raw!BT37)),Raw!BT37,"Not Reported"),"Not Included")</f>
        <v>Not Reported</v>
      </c>
      <c r="BE16" s="11">
        <f t="shared" si="17"/>
        <v>8.7591240875912385E-2</v>
      </c>
      <c r="BF16" s="11" t="str">
        <f t="shared" si="18"/>
        <v>NA</v>
      </c>
      <c r="BG16" s="11">
        <f>Raw!K16</f>
        <v>1991</v>
      </c>
      <c r="BH16" s="11" t="str">
        <f>IF(Raw!L16 = "USA","USA","Non-USA")</f>
        <v>USA</v>
      </c>
      <c r="BI16" s="11" t="str">
        <f>Raw!M16</f>
        <v>Cassidy-Marvin/Cassidy-Marvin</v>
      </c>
      <c r="BJ16" s="11">
        <f>Raw!N16</f>
        <v>1</v>
      </c>
      <c r="BK16" s="11">
        <f>Raw!P16</f>
        <v>1</v>
      </c>
      <c r="BL16" s="11">
        <f>Raw!Q16</f>
        <v>0</v>
      </c>
      <c r="BM16" s="11">
        <f>Raw!T16</f>
        <v>1</v>
      </c>
      <c r="BN16" s="11">
        <f>IFERROR(IF(AND(ISBLANK(Raw!U16), ISBLANK(Raw!V16), ISBLANK(Raw!W16), ISBLANK(Raw!X16)), "NA", IF(OR(NOT(ISBLANK(Raw!U16)), NOT(ISBLANK(Raw!W16))), AVERAGE(Raw!U16,Raw!W16), AVERAGE(Raw!V16,Raw!X16) + IF(Raw!Y16 = "2-way", R16, IF(Raw!Y16 = "3-way", AB16, IF(Raw!Y16 = "4-way", AL16, "NA")))*(1 - AVERAGE(Raw!V16,Raw!X16)))), "NA")</f>
        <v>0.75</v>
      </c>
      <c r="BO16" s="11">
        <f>Raw!O16</f>
        <v>0</v>
      </c>
      <c r="BP16" s="11" t="str">
        <f>Raw!F16</f>
        <v>Mixed</v>
      </c>
      <c r="BQ16" s="11" t="b">
        <f>COUNTIF(Raw!AV16:BK16, "&gt;=0") = 16</f>
        <v>1</v>
      </c>
      <c r="BR16" s="11" t="str">
        <f t="shared" si="19"/>
        <v>Contingency</v>
      </c>
      <c r="BS16" s="15">
        <f t="shared" si="20"/>
        <v>25</v>
      </c>
      <c r="BT16" s="11">
        <f>IF(BQ16, IF(COUNTIF(Raw!AV16:BK16, "&gt;=0") = 16, IFERROR((BS16*Raw!AV16 - SUM(Raw!AV16, Raw!AW16, Raw!AX16, Raw!AY16)*SUM(Raw!AV16, Raw!AZ16, Raw!BD16, Raw!BH16)) / SQRT((BS16*SUM(Raw!AV16, Raw!AW16, Raw!AX16, Raw!AY16) - SUM(Raw!AV16, Raw!AW16, Raw!AX16, Raw!AY16)^2) * (BS16*SUM(Raw!AV16, Raw!AZ16, Raw!BD16, Raw!BH16) - SUM(Raw!AV16, Raw!AZ16, Raw!BD16, Raw!BH16)^2)), 0), "No Contingency Table"), "Not Included")</f>
        <v>0.33612278224367748</v>
      </c>
      <c r="BU16" s="11">
        <f>IF(BQ16, IF(COUNTIF(Raw!AV16:BK16, "&gt;=0") = 16, SUM(Raw!BK16,Raw!BJ16,Raw!BI16,Raw!BG16,Raw!BF16,Raw!BE16,Raw!BC16,Raw!BB16,Raw!BA16,Raw!AV16)/SUM(Raw!AV16:BK16), "No Contingency Table"), "Not Included")</f>
        <v>0.72</v>
      </c>
      <c r="BV16" s="11">
        <f>IF(BQ16, IF(COUNTIF(Raw!AV16:BK16, "&gt;=0") = 16,SUM(SUM(Raw!AV16,Raw!AW16,Raw!AX16,Raw!AY16)*SUM(Raw!AV16,Raw!AZ16,Raw!BD16,Raw!BH16),SUM(Raw!AZ16:BK16)*SUM(Raw!AW16,Raw!AX16,Raw!AY16,Raw!BA16,Raw!BB16,Raw!BC16,Raw!BE16,Raw!BF16,Raw!BG16,Raw!BI16,Raw!BJ16,Raw!BK16))/BS16^2,"No Contingency Table"), "Not Included")</f>
        <v>0.57920000000000005</v>
      </c>
      <c r="BW16" s="11">
        <f>IF(BQ16, IF(COUNTIF(Raw!AV16:BK16, "&gt;=0") = 16,(BU16-BV16) / (1 - BV16),"No Contingency Table"), "Not Included")</f>
        <v>0.33460076045627363</v>
      </c>
      <c r="BX16" s="11" t="b">
        <f t="shared" ref="BX16:BZ16" si="77">BQ16</f>
        <v>1</v>
      </c>
      <c r="BY16" s="11" t="str">
        <f t="shared" si="77"/>
        <v>Contingency</v>
      </c>
      <c r="BZ16" s="15">
        <f t="shared" si="77"/>
        <v>25</v>
      </c>
      <c r="CA16" s="11">
        <f>IF(BX16, IF(COUNTIF(Raw!AV16:BK16, "&gt;=0") = 16, IFERROR((BZ16*Raw!BF16 - SUM(Raw!BD16, Raw!BE16, Raw!BF16, Raw!BG16)*SUM(Raw!BF16, Raw!AX16, Raw!BB16, Raw!BJ16)) / SQRT((BZ16*SUM(Raw!BD16, Raw!BE16, Raw!BF16, Raw!BG16) - SUM(Raw!BD16, Raw!BE16, Raw!BF16, Raw!BG16)^2) * (BZ16*SUM(Raw!BF16, Raw!AX16, Raw!BB16, Raw!BJ16) - SUM(Raw!BF16, Raw!AX16, Raw!BB16, Raw!BJ16)^2)), 0), "No Contingency Table"), "Not Included")</f>
        <v>0.84611411222664934</v>
      </c>
      <c r="CB16" s="11">
        <f>IF(BX16, IF(COUNTIF(Raw!AV16:BK16, "&gt;=0") = 16, SUM(Raw!AV16,Raw!AW16,Raw!AY16,Raw!AZ16,Raw!BA16,Raw!BC16,Raw!BF16,Raw!BH16,Raw!BI16,Raw!BK16) / SUM(Raw!AV16:BK16), "No Contingency Table"), "Not Included")</f>
        <v>0.96</v>
      </c>
      <c r="CC16" s="11">
        <f>IF(BX16, IF(COUNTIF(Raw!AV16:BK16, "&gt;=0") = 16,SUM(SUM(Raw!BD16,Raw!BE16,Raw!BF16,Raw!BG16)*SUM(Raw!BF16,Raw!AX16,Raw!BB16,Raw!BJ16),SUM(Raw!AV16:BC16,Raw!BH16:BK16)*SUM(Raw!AV16,Raw!AW16,Raw!AY16,Raw!AZ16,Raw!BA16,Raw!BC16,Raw!BD16,Raw!BE16,Raw!BG16,Raw!BH16,Raw!BI16,Raw!BK16))/BZ16^2,"No Contingency Table"), "Not Included")</f>
        <v>0.75839999999999996</v>
      </c>
      <c r="CD16" s="11">
        <f>IF(BX16, IF(COUNTIF(Raw!AV16:BK16, "&gt;=0") = 16,(CB16 - CC16) / (1 - CC16+0.000001),"No Contingency Table"), "Not Included")</f>
        <v>0.83443363231112444</v>
      </c>
      <c r="CE16" s="11" t="b">
        <f t="shared" ref="CE16:CG16" si="78">BQ16</f>
        <v>1</v>
      </c>
      <c r="CF16" s="11" t="str">
        <f t="shared" si="78"/>
        <v>Contingency</v>
      </c>
      <c r="CG16" s="15">
        <f t="shared" si="78"/>
        <v>25</v>
      </c>
      <c r="CH16" s="11">
        <f>IF(CE16, IF(COUNTIF(Raw!AV16:BK16, "&gt;=0") = 16, IFERROR((CG16*Raw!BA16 - SUM(Raw!BA16, Raw!AZ16, Raw!BB16, Raw!BC16)*SUM(Raw!BA16, Raw!AW16, Raw!BE16, Raw!BI16)) / SQRT((CG16*SUM(Raw!BA16, Raw!AZ16, Raw!BB16, Raw!BC16) - SUM(Raw!BA16, Raw!AZ16, Raw!BB16, Raw!BC16)^2) * (CG16*SUM(Raw!BA16, Raw!AW16, Raw!BE16, Raw!BI16) - SUM(Raw!BA16, Raw!AW16, Raw!BE16, Raw!BI16)^2)), 0), "No Contingency Table"), "Not Included")</f>
        <v>0.12280701754385964</v>
      </c>
      <c r="CI16" s="11">
        <f>IF(CE16, IF(COUNTIF(Raw!AV16:BK16, "&gt;=0") = 16, SUM(Raw!AV16,Raw!AX16,Raw!AY16,Raw!BA16,Raw!BD16,Raw!BF16,Raw!BG16,Raw!BH16,Raw!BJ16,Raw!BK16) / SUM(Raw!AV16:BK16), "No Contingency Table"), "Not Included")</f>
        <v>0.68</v>
      </c>
      <c r="CJ16" s="61">
        <f>IF(BX16, IF(COUNTIF(Raw!AV16:BK16, "&gt;=0") = 16,SUM(SUM(Raw!AZ16,Raw!BA16,Raw!BB16,Raw!BC16)*SUM(Raw!BA16,Raw!AW16,Raw!BE16,Raw!BI16),SUM(Raw!AV16:AY16,Raw!BD16:BK16)*SUM(Raw!AV16,Raw!AX16,Raw!AY16,Raw!AZ16,Raw!BB16,Raw!BC16,Raw!BD16,Raw!BF16,Raw!BG16,Raw!BH16,Raw!BJ16,Raw!BK16))/CG16^2,"No Contingency Table"), "Not Included")</f>
        <v>0.63519999999999999</v>
      </c>
      <c r="CK16" s="11">
        <f>IF(BX16, IF(COUNTIF(Raw!AV16:BK16, "&gt;=0") = 16,(CI16 - CJ16) / (1 - CJ16),"No Contingency Table"), "Not Included")</f>
        <v>0.12280701754385981</v>
      </c>
      <c r="CL16" s="11">
        <f>IF(BQ16, IFERROR(Raw!AV16/SUM(Raw!AV16:AY16), 0), "Not Included")</f>
        <v>0.5714285714285714</v>
      </c>
      <c r="CM16" s="11">
        <f>IF(BQ16, IFERROR(Raw!BA16/SUM(Raw!AZ16:BC16), 0), "Not Included")</f>
        <v>0.33333333333333331</v>
      </c>
      <c r="CN16" s="11">
        <f>IF(BQ16, IFERROR(Raw!BF16/SUM(Raw!BD16:BG16), 0), "Not Included")</f>
        <v>1</v>
      </c>
      <c r="CO16" s="11">
        <f>IF(BQ16, IFERROR(Raw!BK16/SUM(Raw!BH16:BK16), 0), "Not Included")</f>
        <v>0.33333333333333331</v>
      </c>
      <c r="CP16" s="11">
        <f>IF(BQ16, IFERROR(SUM(Raw!AV16,Raw!AX16,Raw!AY16,Raw!BD16,Raw!BF16,Raw!BG16,Raw!BH16,Raw!BJ16,Raw!BK16)/SUM(Raw!AV16,Raw!AW16,Raw!AX16,Raw!AY16,Raw!BD16,Raw!BE16,Raw!BF16,Raw!BG16,Raw!BH16,Raw!BI16,Raw!BJ16,Raw!BK16), 0), "Not Included")</f>
        <v>0.78947368421052633</v>
      </c>
      <c r="CQ16" s="11">
        <f>IF(BQ16, IFERROR(SUM(Raw!AV16:AX16,Raw!AZ16:BB16,Raw!BD16:BF16)/SUM(Raw!AV16:BF16), 0), "Not Included")</f>
        <v>0.75</v>
      </c>
      <c r="CR16" s="11">
        <f>IF(BQ16, IFERROR(SUM(Raw!AV16:AY16), 0), "Not Included")</f>
        <v>7</v>
      </c>
      <c r="CS16" s="11">
        <f>IF(BQ16, IFERROR(SUM(Raw!AZ16:BC16), 0), "Not Included")</f>
        <v>6</v>
      </c>
      <c r="CT16" s="11">
        <f>IF(BQ16, IFERROR(SUM(Raw!BD16:BG16), 0), "Not Included")</f>
        <v>3</v>
      </c>
      <c r="CU16" s="11">
        <f>IF(BQ16, IFERROR(SUM(Raw!BH16:BK16), 0), "Not Included")</f>
        <v>9</v>
      </c>
      <c r="CV16" s="11">
        <f>IF(BQ16, IFERROR(SUM(Raw!AV16,Raw!AW16,Raw!AX16,Raw!AY16,Raw!BD16,Raw!BE16,Raw!BF16,Raw!BG16,Raw!BH16,Raw!BI16,Raw!BJ16,Raw!BK16), 0), "Not Included")</f>
        <v>19</v>
      </c>
      <c r="CW16" s="11">
        <f>IF(BQ16, IFERROR(SUM(Raw!AV16:BF16), 0), "Not Included")</f>
        <v>16</v>
      </c>
      <c r="CX16" s="11">
        <f>IF(BQ16, IFERROR((CR16*SUM(Raw!AV16,Raw!AZ16,Raw!BD16,Raw!BH16))/BS16/CR16, 0), "Not Included")</f>
        <v>0.32</v>
      </c>
      <c r="CY16" s="11">
        <f>IF(BX16, IFERROR((CS16*SUM(Raw!BA16,Raw!AW16,Raw!BE16,Raw!BI16))/CG16/CS16, 0), "Not Included")</f>
        <v>0.24</v>
      </c>
      <c r="CZ16" s="11">
        <f>IF(BX16, IFERROR((CT16*SUM(Raw!BF16,Raw!AX16,Raw!BB16,Raw!BJ16))/BZ16/CT16, 0), "Not Included")</f>
        <v>0.16</v>
      </c>
      <c r="DA16" s="11">
        <f>IF(AY16, IFERROR((CU16*SUM(Raw!AY16,Raw!BC16,Raw!BG16,Raw!BK16))/AT16/CU16, 0), "Not Included")</f>
        <v>0.28000000000000003</v>
      </c>
      <c r="DB16" s="11">
        <f>IF(BX16, IFERROR((CV16*SUM(Raw!AV16,Raw!AX16,Raw!AY16,Raw!AZ16,Raw!BB16,Raw!BC16,Raw!BD16,Raw!BF16,Raw!BG16,Raw!BH16,Raw!BJ16,Raw!BK16))/CG16/CV16,0), "Not Included")</f>
        <v>0.76</v>
      </c>
      <c r="DC16" s="11">
        <f>IF(AY16, IFERROR((CW16*SUM(Raw!AV16,Raw!AW16,Raw!AX16,Raw!AZ16,Raw!BA16,Raw!BB16,Raw!BD16,Raw!BE16,Raw!BF16,Raw!BH16,Raw!BI16,Raw!BJ16))/AT16/CW16,0), "Not Included")</f>
        <v>0.72</v>
      </c>
    </row>
    <row r="17" spans="1:107" ht="12.75" customHeight="1">
      <c r="A17" s="11">
        <f>Raw!D17</f>
        <v>9</v>
      </c>
      <c r="B17" s="11" t="str">
        <f>Raw!A17</f>
        <v>Cicchetti &amp; Barnett (1991)</v>
      </c>
      <c r="C17" s="11">
        <f>Raw!G17</f>
        <v>1</v>
      </c>
      <c r="D17" s="11" t="str">
        <f>Raw!E17</f>
        <v>Comparison, 18 month interval</v>
      </c>
      <c r="E17" s="11" t="str">
        <f>CONCATENATE(IF(Raw!I17&lt;='Interval Definitions'!$B$2, 'Interval Definitions'!$A$2, IF(Raw!I17&lt;='Interval Definitions'!$B$3, 'Interval Definitions'!$A$3, IF(Raw!I17&lt;='Interval Definitions'!$B$4, 'Interval Definitions'!$A$4, IF(Raw!I17&lt;='Interval Definitions'!$B$5, 'Interval Definitions'!$A$5, "None")))), " - ", IF(Raw!J17&lt;='Interval Definitions'!$B$2, 'Interval Definitions'!$A$2, IF(Raw!J17&lt;='Interval Definitions'!$B$3, 'Interval Definitions'!$A$3, IF(Raw!J17&lt;='Interval Definitions'!$B$4, 'Interval Definitions'!$A$4, IF(Raw!J17&lt;='Interval Definitions'!$B$5, 'Interval Definitions'!$A$5, "None")))))</f>
        <v>Toddlerhood - Preschool</v>
      </c>
      <c r="F17" s="11" t="b">
        <f>OR(NOT(ISBLANK(Raw!AF17)),NOT(ISBLANK(Raw!AG17)),NOT(ISBLANK(Raw!AH17)),NOT(ISBLANK(Raw!AI17)),COUNTIF(Raw!AA17:AD17, "&gt;=0") = 4)</f>
        <v>1</v>
      </c>
      <c r="G17" s="11" t="str">
        <f>IF(F17, IF(COUNTIF(Raw!AA17:AD17,"&gt;=0") = 4, "Contingency", IF(NOT(ISBLANK(Raw!AF17)), "Paper r", IF(NOT(ISBLANK(Raw!AG17)), "Pinquart", IF(NOT(ISBLANK(Raw!AH17)), "Fraley", "Paper chiSq")))), "Not Included")</f>
        <v>Contingency</v>
      </c>
      <c r="H17" s="15">
        <f>IF(F17,Raw!AE17,"Not Included")</f>
        <v>20</v>
      </c>
      <c r="I17" s="15">
        <f>IF(COUNTIF(Raw!AA17:AD17,"&gt;=0") = 4, SUM(Raw!AA17:AD17), "No Contingency Table")</f>
        <v>20</v>
      </c>
      <c r="J17" s="15">
        <f t="shared" si="0"/>
        <v>20</v>
      </c>
      <c r="K17" s="38">
        <f>IF(F17, IF(COUNTIF(Raw!AA17:AD17,"&gt;=0") = 4, IFERROR((I17*Raw!AA17 - SUM(Raw!AA17,Raw!AB17)*SUM(Raw!AA17,Raw!AD17)) / SQRT((I17*SUM(Raw!AA17,Raw!AB17) - SUM(Raw!AA17,Raw!AB17)^2) * (I17*SUM(Raw!AA17,Raw!AD17) - SUM(Raw!AA17,Raw!AD17)^2)), 0), "No Contingency Table"), "Not Included")</f>
        <v>0.49099025303098287</v>
      </c>
      <c r="L17" s="41">
        <f>IF(F17,IF(NOT(ISBLANK(Raw!AF17)), Raw!AF17, IF(NOT(ISBLANK(Raw!AG17)), Raw!AG17, IF(NOT(ISBLANK(Raw!AH17)), Raw!AH17, IF(NOT(ISBLANK(Raw!AI17)), SQRT(Raw!AI17/H17)*Raw!AJ17, "Not Reported")))),"Not Included")</f>
        <v>0.49</v>
      </c>
      <c r="M17" s="43">
        <f t="shared" si="1"/>
        <v>0.49099025303098287</v>
      </c>
      <c r="N17" s="11">
        <f t="shared" si="2"/>
        <v>1</v>
      </c>
      <c r="O17" s="48" t="b">
        <f>OR(NOT(ISBLANK(Raw!AK17)), COUNTIF(Raw!AA17:AD17, "&gt;=0") = 4)</f>
        <v>1</v>
      </c>
      <c r="P17" s="24" t="str">
        <f>IF(O17,IF(COUNTIF(Raw!AA17:AD17,"&gt;=0") = 4,"Contingency", "Paper k"), "Not Included")</f>
        <v>Contingency</v>
      </c>
      <c r="Q17" s="48">
        <f>IF(O17, IF(COUNTIF(Raw!AA17:AD17,"&gt;=0") = 4,SUM(Raw!AA17,Raw!AC17)/H17,"No Contingency Table"), "Not Included")</f>
        <v>0.8</v>
      </c>
      <c r="R17" s="38">
        <f>IF(O17, IF(COUNTIF(Raw!AA17:AD17, "&gt;=0") = 4,SUM(SUM(Raw!AA17,Raw!AB17)*SUM(Raw!AA17,Raw!AD17),SUM(Raw!AC17,Raw!AD17)*SUM(Raw!AC17,Raw!AB17))/H17^2,"No Contingency Table"), "Not Included")</f>
        <v>0.62</v>
      </c>
      <c r="S17" s="38">
        <f>IF(O17, IF(COUNTIF(Raw!AA17:AD17,"&gt;=0") = 4, IFERROR((Q17 - R17) / (1 - R17), "Could not calculate"), "No Contingency Table"), "Not Included")</f>
        <v>0.47368421052631593</v>
      </c>
      <c r="T17" s="52" t="str">
        <f>IF(O17,IF(NOT(ISBLANK(Raw!AK17)), Raw!AK17, "Not Reported"), "Not Included")</f>
        <v>Not Reported</v>
      </c>
      <c r="U17" s="38">
        <f t="shared" si="3"/>
        <v>0.47368421052631593</v>
      </c>
      <c r="V17" s="11" t="str">
        <f t="shared" si="4"/>
        <v>NA</v>
      </c>
      <c r="W17" s="11" t="b">
        <f>OR(NOT(ISBLANK(Raw!AU17)),COUNTIF(Raw!AL17:AT17,"&gt;=0") = 9)</f>
        <v>0</v>
      </c>
      <c r="X17" s="11" t="str">
        <f>IF(W17, IF(COUNTIF(Raw!AL17:AT17,"&gt;=0") = 9, "Contingency", "Paper k"), "Not Included")</f>
        <v>Not Included</v>
      </c>
      <c r="Y17" s="11" t="str">
        <f>IF(W17,IF(COUNTIF(Raw!AL17:AT17,"&gt;=0") = 9,SUM(Raw!AL17:AT17),"No Contingency Table"),"Not Included")</f>
        <v>Not Included</v>
      </c>
      <c r="Z17" s="11" t="str">
        <f t="shared" si="5"/>
        <v>Not Included</v>
      </c>
      <c r="AA17" s="11" t="str">
        <f>IF(W17,IF(COUNTIF(Raw!AL17:AT17,"&gt;=0") = 9,SUM(Raw!AL17,Raw!AP17,Raw!AT17)/Y17,"No Contingency Table"), "Not Included")</f>
        <v>Not Included</v>
      </c>
      <c r="AB17" s="11" t="str">
        <f>IF(W17,IF(COUNTIF(Raw!AL17:AT17,"&gt;=0") = 9,SUM(SUM(Raw!AL17,Raw!AM17,Raw!AN17)*SUM(Raw!AL17,Raw!AO17,Raw!AR17),SUM(Raw!AO17,Raw!AP17,Raw!AQ17)*SUM(Raw!AM17,Raw!AP17,Raw!AS17),SUM(Raw!AR17,Raw!AS17,Raw!AT17)*SUM(Raw!AN17,Raw!AQ17,Raw!AT17))/Y17^2,"No Contingency Table"), "Not Included")</f>
        <v>Not Included</v>
      </c>
      <c r="AC17" s="11" t="str">
        <f>IF(W17,IF(COUNTIF(Raw!AL17:AT17,"&gt;=0") = 9,(AA17 - AB17) / (1 - AB17),"No Contingency Table"), "Not Included")</f>
        <v>Not Included</v>
      </c>
      <c r="AD17" s="11" t="str">
        <f>IF(W17, IF(NOT(ISBLANK(Raw!AU17)),Raw!AU17,"Not Reported"), "Not Included")</f>
        <v>Not Included</v>
      </c>
      <c r="AE17" s="11" t="str">
        <f t="shared" si="6"/>
        <v>Not Included</v>
      </c>
      <c r="AF17" s="11" t="str">
        <f t="shared" si="7"/>
        <v>Not Included</v>
      </c>
      <c r="AG17" s="11" t="b">
        <f>COUNTIF(Raw!AV17:BK17, "&gt;=0") = 16</f>
        <v>1</v>
      </c>
      <c r="AH17" s="11" t="str">
        <f>IF(AG17, IF(COUNTIF(Raw!AV17:BK17,"&gt;=0") = 16, "Contingency", "Paper k"), "Not Included")</f>
        <v>Contingency</v>
      </c>
      <c r="AI17" s="15">
        <f>IF(AG17,IF(COUNTIF(Raw!AV17:BK17,"&gt;=0") = 16,SUM(Raw!AV17:BK17),"No Contingency Table"),"Not Included")</f>
        <v>15</v>
      </c>
      <c r="AJ17" s="15">
        <f t="shared" si="8"/>
        <v>15</v>
      </c>
      <c r="AK17" s="11">
        <f>IF(AG17,IF(COUNTIF(Raw!AV17:BK17,"&gt;=0") = 16,SUM(Raw!AV17,Raw!BA17,Raw!BF17,Raw!BK17)/AI17,"No Contingency Table"), "Not Included")</f>
        <v>0.6</v>
      </c>
      <c r="AL17" s="11">
        <f>IF(AG17,IF(COUNTIF(Raw!AV17:BK17,"&gt;=0") = 16,SUM(SUM(Raw!AV17,Raw!AW17,Raw!AX17,Raw!AY17)*SUM(Raw!AV17,Raw!AZ17,Raw!BD17,Raw!BH17),SUM(Raw!AZ17,Raw!BA17,Raw!BB17,Raw!BC17)*SUM(Raw!AW17,Raw!BA17,Raw!BE17,Raw!BI17),SUM(Raw!BD17,Raw!BE17,Raw!BF17,Raw!BG17)*SUM(Raw!AX17,Raw!BB17,Raw!BF17,Raw!BJ17),SUM(Raw!BH17,Raw!BI17,Raw!BJ17,Raw!BK17)*SUM(Raw!AY17,Raw!BC17,Raw!BG17,Raw!BK17))/AI17^2,"No Contingency Table"), "Not Included")</f>
        <v>0.56000000000000005</v>
      </c>
      <c r="AM17" s="11">
        <f>IF(AG17,IF(COUNTIF(Raw!AV17:BK17,"&gt;=0") = 16,(AK17 - AL17) / (1 - AL17),"No Contingency Table"), "Not Included")</f>
        <v>9.0909090909090745E-2</v>
      </c>
      <c r="AN17" s="11" t="str">
        <f>IF(NOT(ISBLANK(Raw!BL17)),Raw!BL17,"Not Reported")</f>
        <v>Not Reported</v>
      </c>
      <c r="AO17" s="11">
        <f t="shared" si="9"/>
        <v>9.0909090909090745E-2</v>
      </c>
      <c r="AP17" s="11" t="str">
        <f t="shared" si="10"/>
        <v>NA</v>
      </c>
      <c r="AQ17" s="11" t="b">
        <f t="shared" ref="AQ17:AR17" si="79">BQ17</f>
        <v>1</v>
      </c>
      <c r="AR17" s="11" t="str">
        <f t="shared" si="79"/>
        <v>Contingency</v>
      </c>
      <c r="AS17" s="15">
        <f t="shared" si="12"/>
        <v>15</v>
      </c>
      <c r="AT17" s="15">
        <f t="shared" si="13"/>
        <v>15</v>
      </c>
      <c r="AU17" s="11">
        <f>IF(AQ17, IF(COUNTIF(Raw!AV17:BK17, "&gt;=0") = 16, IFERROR((AT17*Raw!BK17 - SUM(Raw!BH17, Raw!BI17, Raw!BJ17, Raw!BK17)*SUM(Raw!AY17, Raw!BC17, Raw!BG17, Raw!BK17)) / SQRT((AT17*SUM(Raw!BH17, Raw!BI17, Raw!BJ17, Raw!BK17) - SUM(Raw!BH17, Raw!BI17, Raw!BJ17, Raw!BK17)^2) * (AT17*SUM(Raw!AY17, Raw!BC17, Raw!BG17, Raw!BK17) - SUM(Raw!AY17, Raw!BC17, Raw!BG17, Raw!BK17)^2)), 0), "No Contingency Table"), "Not Included")</f>
        <v>-0.15384615384615385</v>
      </c>
      <c r="AV17" s="11" t="str">
        <f>IF(AQ17,IF(NOT(ISBLANK(Raw!BQ17)), Raw!BQ17, IF(NOT(ISBLANK(Raw!BR17)), Raw!BR17, "Not Reported")), "Not Included")</f>
        <v>Not Reported</v>
      </c>
      <c r="AW17" s="57">
        <f t="shared" si="14"/>
        <v>-0.15384615384615385</v>
      </c>
      <c r="AX17" s="11" t="str">
        <f t="shared" si="15"/>
        <v>NA</v>
      </c>
      <c r="AY17" s="11" t="b">
        <f t="shared" ref="AY17:AZ17" si="80">AQ17</f>
        <v>1</v>
      </c>
      <c r="AZ17" s="11" t="str">
        <f t="shared" si="80"/>
        <v>Contingency</v>
      </c>
      <c r="BA17" s="11">
        <f>IF(AY17, IF(COUNTIF(Raw!AV17:BK17, "&gt;=0") = 16, SUM(Raw!AV17,Raw!AW17,Raw!AX17,Raw!AZ17,Raw!BA17,Raw!BB17,Raw!BD17,Raw!BE17,Raw!BF17,Raw!BK17)/SUM(Raw!AV17:BK17), "No Contingency Table"), "Not Included")</f>
        <v>0.73333333333333328</v>
      </c>
      <c r="BB17" s="11">
        <f>IF(AY17, IF(COUNTIF(Raw!AV17:BK17, "&gt;=0") = 16,SUM(SUM(Raw!BH17,Raw!BI17,Raw!BJ17,Raw!BK17)*SUM(Raw!AY17,Raw!BC17,Raw!BG17,Raw!BK17),SUM(Raw!AV17:BG17)*SUM(Raw!AV17,Raw!AW17,Raw!AX17,Raw!AZ17,Raw!BA17,Raw!BB17,Raw!BD17,Raw!BE17,Raw!BF17,Raw!BH17,Raw!BI17,Raw!BJ17))/AT17^2,"No Contingency Table"), "Not Included")</f>
        <v>0.76888888888888884</v>
      </c>
      <c r="BC17" s="11">
        <f>IF(AY17, IF(COUNTIF(Raw!AV17:BK17, "&gt;=0") = 16,(BA17-BB17) / (1 - BB17),"No Contingency Table"), "Not Included")</f>
        <v>-0.15384615384615385</v>
      </c>
      <c r="BD17" s="11" t="str">
        <f>IF(AY17,IF(NOT(ISBLANK(Raw!BT38)),Raw!BT38,"Not Reported"),"Not Included")</f>
        <v>Not Reported</v>
      </c>
      <c r="BE17" s="11">
        <f t="shared" si="17"/>
        <v>-0.15384615384615385</v>
      </c>
      <c r="BF17" s="11" t="str">
        <f t="shared" si="18"/>
        <v>NA</v>
      </c>
      <c r="BG17" s="11">
        <f>Raw!K17</f>
        <v>1991</v>
      </c>
      <c r="BH17" s="11" t="str">
        <f>IF(Raw!L17 = "USA","USA","Non-USA")</f>
        <v>USA</v>
      </c>
      <c r="BI17" s="11" t="str">
        <f>Raw!M17</f>
        <v>Cassidy-Marvin/Cassidy-Marvin</v>
      </c>
      <c r="BJ17" s="11">
        <f>Raw!N17</f>
        <v>1</v>
      </c>
      <c r="BK17" s="11">
        <f>Raw!P17</f>
        <v>1</v>
      </c>
      <c r="BL17" s="11">
        <f>Raw!Q17</f>
        <v>0</v>
      </c>
      <c r="BM17" s="11">
        <f>Raw!T17</f>
        <v>1</v>
      </c>
      <c r="BN17" s="11">
        <f>IFERROR(IF(AND(ISBLANK(Raw!U17), ISBLANK(Raw!V17), ISBLANK(Raw!W17), ISBLANK(Raw!X17)), "NA", IF(OR(NOT(ISBLANK(Raw!U17)), NOT(ISBLANK(Raw!W17))), AVERAGE(Raw!U17,Raw!W17), AVERAGE(Raw!V17,Raw!X17) + IF(Raw!Y17 = "2-way", R17, IF(Raw!Y17 = "3-way", AB17, IF(Raw!Y17 = "4-way", AL17, "NA")))*(1 - AVERAGE(Raw!V17,Raw!X17)))), "NA")</f>
        <v>0.75</v>
      </c>
      <c r="BO17" s="11">
        <f>Raw!O17</f>
        <v>0</v>
      </c>
      <c r="BP17" s="11" t="str">
        <f>Raw!F17</f>
        <v>Mixed</v>
      </c>
      <c r="BQ17" s="11" t="b">
        <f>COUNTIF(Raw!AV17:BK17, "&gt;=0") = 16</f>
        <v>1</v>
      </c>
      <c r="BR17" s="11" t="str">
        <f t="shared" si="19"/>
        <v>Contingency</v>
      </c>
      <c r="BS17" s="15">
        <f t="shared" si="20"/>
        <v>15</v>
      </c>
      <c r="BT17" s="11">
        <f>IF(BQ17, IF(COUNTIF(Raw!AV17:BK17, "&gt;=0") = 16, IFERROR((BS17*Raw!AV17 - SUM(Raw!AV17, Raw!AW17, Raw!AX17, Raw!AY17)*SUM(Raw!AV17, Raw!AZ17, Raw!BD17, Raw!BH17)) / SQRT((BS17*SUM(Raw!AV17, Raw!AW17, Raw!AX17, Raw!AY17) - SUM(Raw!AV17, Raw!AW17, Raw!AX17, Raw!AY17)^2) * (BS17*SUM(Raw!AV17, Raw!AZ17, Raw!BD17, Raw!BH17) - SUM(Raw!AV17, Raw!AZ17, Raw!BD17, Raw!BH17)^2)), 0), "No Contingency Table"), "Not Included")</f>
        <v>-0.10482848367219183</v>
      </c>
      <c r="BU17" s="11">
        <f>IF(BQ17, IF(COUNTIF(Raw!AV17:BK17, "&gt;=0") = 16, SUM(Raw!BK17,Raw!BJ17,Raw!BI17,Raw!BG17,Raw!BF17,Raw!BE17,Raw!BC17,Raw!BB17,Raw!BA17,Raw!AV17)/SUM(Raw!AV17:BK17), "No Contingency Table"), "Not Included")</f>
        <v>0.8</v>
      </c>
      <c r="BV17" s="11">
        <f>IF(BQ17, IF(COUNTIF(Raw!AV17:BK17, "&gt;=0") = 16,SUM(SUM(Raw!AV17,Raw!AW17,Raw!AX17,Raw!AY17)*SUM(Raw!AV17,Raw!AZ17,Raw!BD17,Raw!BH17),SUM(Raw!AZ17:BK17)*SUM(Raw!AW17,Raw!AX17,Raw!AY17,Raw!BA17,Raw!BB17,Raw!BC17,Raw!BE17,Raw!BF17,Raw!BG17,Raw!BI17,Raw!BJ17,Raw!BK17))/BS17^2,"No Contingency Table"), "Not Included")</f>
        <v>0.81777777777777783</v>
      </c>
      <c r="BW17" s="11">
        <f>IF(BQ17, IF(COUNTIF(Raw!AV17:BK17, "&gt;=0") = 16,(BU17-BV17) / (1 - BV17),"No Contingency Table"), "Not Included")</f>
        <v>-9.7560975609756143E-2</v>
      </c>
      <c r="BX17" s="11" t="b">
        <f t="shared" ref="BX17:BZ17" si="81">BQ17</f>
        <v>1</v>
      </c>
      <c r="BY17" s="11" t="str">
        <f t="shared" si="81"/>
        <v>Contingency</v>
      </c>
      <c r="BZ17" s="15">
        <f t="shared" si="81"/>
        <v>15</v>
      </c>
      <c r="CA17" s="11">
        <f>IF(BX17, IF(COUNTIF(Raw!AV17:BK17, "&gt;=0") = 16, IFERROR((BZ17*Raw!BF17 - SUM(Raw!BD17, Raw!BE17, Raw!BF17, Raw!BG17)*SUM(Raw!BF17, Raw!AX17, Raw!BB17, Raw!BJ17)) / SQRT((BZ17*SUM(Raw!BD17, Raw!BE17, Raw!BF17, Raw!BG17) - SUM(Raw!BD17, Raw!BE17, Raw!BF17, Raw!BG17)^2) * (BZ17*SUM(Raw!BF17, Raw!AX17, Raw!BB17, Raw!BJ17) - SUM(Raw!BF17, Raw!AX17, Raw!BB17, Raw!BJ17)^2)), 0), "No Contingency Table"), "Not Included")</f>
        <v>0</v>
      </c>
      <c r="CB17" s="11">
        <f>IF(BX17, IF(COUNTIF(Raw!AV17:BK17, "&gt;=0") = 16, SUM(Raw!AV17,Raw!AW17,Raw!AY17,Raw!AZ17,Raw!BA17,Raw!BC17,Raw!BF17,Raw!BH17,Raw!BI17,Raw!BK17) / SUM(Raw!AV17:BK17), "No Contingency Table"), "Not Included")</f>
        <v>0.93333333333333335</v>
      </c>
      <c r="CC17" s="11">
        <f>IF(BX17, IF(COUNTIF(Raw!AV17:BK17, "&gt;=0") = 16,SUM(SUM(Raw!BD17,Raw!BE17,Raw!BF17,Raw!BG17)*SUM(Raw!BF17,Raw!AX17,Raw!BB17,Raw!BJ17),SUM(Raw!AV17:BC17,Raw!BH17:BK17)*SUM(Raw!AV17,Raw!AW17,Raw!AY17,Raw!AZ17,Raw!BA17,Raw!BC17,Raw!BD17,Raw!BE17,Raw!BG17,Raw!BH17,Raw!BI17,Raw!BK17))/BZ17^2,"No Contingency Table"), "Not Included")</f>
        <v>0.93333333333333335</v>
      </c>
      <c r="CD17" s="11">
        <f>IF(BX17, IF(COUNTIF(Raw!AV17:BK17, "&gt;=0") = 16,(CB17 - CC17) / (1 - CC17+0.000001),"No Contingency Table"), "Not Included")</f>
        <v>0</v>
      </c>
      <c r="CE17" s="11" t="b">
        <f t="shared" ref="CE17:CG17" si="82">BQ17</f>
        <v>1</v>
      </c>
      <c r="CF17" s="11" t="str">
        <f t="shared" si="82"/>
        <v>Contingency</v>
      </c>
      <c r="CG17" s="15">
        <f t="shared" si="82"/>
        <v>15</v>
      </c>
      <c r="CH17" s="11">
        <f>IF(CE17, IF(COUNTIF(Raw!AV17:BK17, "&gt;=0") = 16, IFERROR((CG17*Raw!BA17 - SUM(Raw!BA17, Raw!AZ17, Raw!BB17, Raw!BC17)*SUM(Raw!BA17, Raw!AW17, Raw!BE17, Raw!BI17)) / SQRT((CG17*SUM(Raw!BA17, Raw!AZ17, Raw!BB17, Raw!BC17) - SUM(Raw!BA17, Raw!AZ17, Raw!BB17, Raw!BC17)^2) * (CG17*SUM(Raw!BA17, Raw!AW17, Raw!BE17, Raw!BI17) - SUM(Raw!BA17, Raw!AW17, Raw!BE17, Raw!BI17)^2)), 0), "No Contingency Table"), "Not Included")</f>
        <v>0.35355339059327373</v>
      </c>
      <c r="CI17" s="11">
        <f>IF(CE17, IF(COUNTIF(Raw!AV17:BK17, "&gt;=0") = 16, SUM(Raw!AV17,Raw!AX17,Raw!AY17,Raw!BA17,Raw!BD17,Raw!BF17,Raw!BG17,Raw!BH17,Raw!BJ17,Raw!BK17) / SUM(Raw!AV17:BK17), "No Contingency Table"), "Not Included")</f>
        <v>0.73333333333333328</v>
      </c>
      <c r="CJ17" s="61">
        <f>IF(BX17, IF(COUNTIF(Raw!AV17:BK17, "&gt;=0") = 16,SUM(SUM(Raw!AZ17,Raw!BA17,Raw!BB17,Raw!BC17)*SUM(Raw!BA17,Raw!AW17,Raw!BE17,Raw!BI17),SUM(Raw!AV17:AY17,Raw!BD17:BK17)*SUM(Raw!AV17,Raw!AX17,Raw!AY17,Raw!AZ17,Raw!BB17,Raw!BC17,Raw!BD17,Raw!BF17,Raw!BG17,Raw!BH17,Raw!BJ17,Raw!BK17))/CG17^2,"No Contingency Table"), "Not Included")</f>
        <v>0.6</v>
      </c>
      <c r="CK17" s="11">
        <f>IF(BX17, IF(COUNTIF(Raw!AV17:BK17, "&gt;=0") = 16,(CI17 - CJ17) / (1 - CJ17),"No Contingency Table"), "Not Included")</f>
        <v>0.33333333333333326</v>
      </c>
      <c r="CL17" s="11">
        <f>IF(BQ17, IFERROR(Raw!AV17/SUM(Raw!AV17:AY17), 0), "Not Included")</f>
        <v>0</v>
      </c>
      <c r="CM17" s="11">
        <f>IF(BQ17, IFERROR(Raw!BA17/SUM(Raw!AZ17:BC17), 0), "Not Included")</f>
        <v>0.9</v>
      </c>
      <c r="CN17" s="11">
        <f>IF(BQ17, IFERROR(Raw!BF17/SUM(Raw!BD17:BG17), 0), "Not Included")</f>
        <v>0</v>
      </c>
      <c r="CO17" s="11">
        <f>IF(BQ17, IFERROR(Raw!BK17/SUM(Raw!BH17:BK17), 0), "Not Included")</f>
        <v>0</v>
      </c>
      <c r="CP17" s="11">
        <f>IF(BQ17, IFERROR(SUM(Raw!AV17,Raw!AX17,Raw!AY17,Raw!BD17,Raw!BF17,Raw!BG17,Raw!BH17,Raw!BJ17,Raw!BK17)/SUM(Raw!AV17,Raw!AW17,Raw!AX17,Raw!AY17,Raw!BD17,Raw!BE17,Raw!BF17,Raw!BG17,Raw!BH17,Raw!BI17,Raw!BJ17,Raw!BK17), 0), "Not Included")</f>
        <v>0.4</v>
      </c>
      <c r="CQ17" s="11">
        <f>IF(BQ17, IFERROR(SUM(Raw!AV17:AX17,Raw!AZ17:BB17,Raw!BD17:BF17)/SUM(Raw!AV17:BF17), 0), "Not Included")</f>
        <v>0.91666666666666663</v>
      </c>
      <c r="CR17" s="11">
        <f>IF(BQ17, IFERROR(SUM(Raw!AV17:AY17), 0), "Not Included")</f>
        <v>2</v>
      </c>
      <c r="CS17" s="11">
        <f>IF(BQ17, IFERROR(SUM(Raw!AZ17:BC17), 0), "Not Included")</f>
        <v>10</v>
      </c>
      <c r="CT17" s="11">
        <f>IF(BQ17, IFERROR(SUM(Raw!BD17:BG17), 0), "Not Included")</f>
        <v>1</v>
      </c>
      <c r="CU17" s="11">
        <f>IF(BQ17, IFERROR(SUM(Raw!BH17:BK17), 0), "Not Included")</f>
        <v>2</v>
      </c>
      <c r="CV17" s="11">
        <f>IF(BQ17, IFERROR(SUM(Raw!AV17,Raw!AW17,Raw!AX17,Raw!AY17,Raw!BD17,Raw!BE17,Raw!BF17,Raw!BG17,Raw!BH17,Raw!BI17,Raw!BJ17,Raw!BK17), 0), "Not Included")</f>
        <v>5</v>
      </c>
      <c r="CW17" s="11">
        <f>IF(BQ17, IFERROR(SUM(Raw!AV17:BF17), 0), "Not Included")</f>
        <v>12</v>
      </c>
      <c r="CX17" s="11">
        <f>IF(BQ17, IFERROR((CR17*SUM(Raw!AV17,Raw!AZ17,Raw!BD17,Raw!BH17))/BS17/CR17, 0), "Not Included")</f>
        <v>6.6666666666666666E-2</v>
      </c>
      <c r="CY17" s="11">
        <f>IF(BX17, IFERROR((CS17*SUM(Raw!BA17,Raw!AW17,Raw!BE17,Raw!BI17))/CG17/CS17, 0), "Not Included")</f>
        <v>0.8</v>
      </c>
      <c r="CZ17" s="11">
        <f>IF(BX17, IFERROR((CT17*SUM(Raw!BF17,Raw!AX17,Raw!BB17,Raw!BJ17))/BZ17/CT17, 0), "Not Included")</f>
        <v>0</v>
      </c>
      <c r="DA17" s="11">
        <f>IF(AY17, IFERROR((CU17*SUM(Raw!AY17,Raw!BC17,Raw!BG17,Raw!BK17))/AT17/CU17, 0), "Not Included")</f>
        <v>0.13333333333333333</v>
      </c>
      <c r="DB17" s="11">
        <f>IF(BX17, IFERROR((CV17*SUM(Raw!AV17,Raw!AX17,Raw!AY17,Raw!AZ17,Raw!BB17,Raw!BC17,Raw!BD17,Raw!BF17,Raw!BG17,Raw!BH17,Raw!BJ17,Raw!BK17))/CG17/CV17,0), "Not Included")</f>
        <v>0.2</v>
      </c>
      <c r="DC17" s="11">
        <f>IF(AY17, IFERROR((CW17*SUM(Raw!AV17,Raw!AW17,Raw!AX17,Raw!AZ17,Raw!BA17,Raw!BB17,Raw!BD17,Raw!BE17,Raw!BF17,Raw!BH17,Raw!BI17,Raw!BJ17))/AT17/CW17,0), "Not Included")</f>
        <v>0.8666666666666667</v>
      </c>
    </row>
    <row r="18" spans="1:107" ht="12.75" customHeight="1">
      <c r="A18" s="11">
        <f>Raw!D18</f>
        <v>9</v>
      </c>
      <c r="B18" s="11" t="str">
        <f>Raw!A18</f>
        <v>Cicchetti &amp; Barnett (1991)</v>
      </c>
      <c r="C18" s="11">
        <f>Raw!G18</f>
        <v>2</v>
      </c>
      <c r="D18" s="11" t="str">
        <f>Raw!E18</f>
        <v>Comparison, 12 month interval</v>
      </c>
      <c r="E18" s="11" t="str">
        <f>CONCATENATE(IF(Raw!I18&lt;='Interval Definitions'!$B$2, 'Interval Definitions'!$A$2, IF(Raw!I18&lt;='Interval Definitions'!$B$3, 'Interval Definitions'!$A$3, IF(Raw!I18&lt;='Interval Definitions'!$B$4, 'Interval Definitions'!$A$4, IF(Raw!I18&lt;='Interval Definitions'!$B$5, 'Interval Definitions'!$A$5, "None")))), " - ", IF(Raw!J18&lt;='Interval Definitions'!$B$2, 'Interval Definitions'!$A$2, IF(Raw!J18&lt;='Interval Definitions'!$B$3, 'Interval Definitions'!$A$3, IF(Raw!J18&lt;='Interval Definitions'!$B$4, 'Interval Definitions'!$A$4, IF(Raw!J18&lt;='Interval Definitions'!$B$5, 'Interval Definitions'!$A$5, "None")))))</f>
        <v>Toddlerhood - Preschool</v>
      </c>
      <c r="F18" s="11" t="b">
        <f>OR(NOT(ISBLANK(Raw!AF18)),NOT(ISBLANK(Raw!AG18)),NOT(ISBLANK(Raw!AH18)),NOT(ISBLANK(Raw!AI18)),COUNTIF(Raw!AA18:AD18, "&gt;=0") = 4)</f>
        <v>1</v>
      </c>
      <c r="G18" s="11" t="str">
        <f>IF(F18, IF(COUNTIF(Raw!AA18:AD18,"&gt;=0") = 4, "Contingency", IF(NOT(ISBLANK(Raw!AF18)), "Paper r", IF(NOT(ISBLANK(Raw!AG18)), "Pinquart", IF(NOT(ISBLANK(Raw!AH18)), "Fraley", "Paper chiSq")))), "Not Included")</f>
        <v>Contingency</v>
      </c>
      <c r="H18" s="15">
        <f>IF(F18,Raw!AE18,"Not Included")</f>
        <v>15</v>
      </c>
      <c r="I18" s="15">
        <f>IF(COUNTIF(Raw!AA18:AD18,"&gt;=0") = 4, SUM(Raw!AA18:AD18), "No Contingency Table")</f>
        <v>15</v>
      </c>
      <c r="J18" s="15">
        <f t="shared" si="0"/>
        <v>15</v>
      </c>
      <c r="K18" s="38">
        <f>IF(F18, IF(COUNTIF(Raw!AA18:AD18,"&gt;=0") = 4, IFERROR((I18*Raw!AA18 - SUM(Raw!AA18,Raw!AB18)*SUM(Raw!AA18,Raw!AD18)) / SQRT((I18*SUM(Raw!AA18,Raw!AB18) - SUM(Raw!AA18,Raw!AB18)^2) * (I18*SUM(Raw!AA18,Raw!AD18) - SUM(Raw!AA18,Raw!AD18)^2)), 0), "No Contingency Table"), "Not Included")</f>
        <v>0.35355339059327373</v>
      </c>
      <c r="L18" s="41">
        <f>IF(F18,IF(NOT(ISBLANK(Raw!AF18)), Raw!AF18, IF(NOT(ISBLANK(Raw!AG18)), Raw!AG18, IF(NOT(ISBLANK(Raw!AH18)), Raw!AH18, IF(NOT(ISBLANK(Raw!AI18)), SQRT(Raw!AI18/H18)*Raw!AJ18, "Not Reported")))),"Not Included")</f>
        <v>0.35</v>
      </c>
      <c r="M18" s="43">
        <f t="shared" si="1"/>
        <v>0.35355339059327373</v>
      </c>
      <c r="N18" s="11">
        <f t="shared" si="2"/>
        <v>1</v>
      </c>
      <c r="O18" s="48" t="b">
        <f>OR(NOT(ISBLANK(Raw!AK18)), COUNTIF(Raw!AA18:AD18, "&gt;=0") = 4)</f>
        <v>1</v>
      </c>
      <c r="P18" s="24" t="str">
        <f>IF(O18,IF(COUNTIF(Raw!AA18:AD18,"&gt;=0") = 4,"Contingency", "Paper k"), "Not Included")</f>
        <v>Contingency</v>
      </c>
      <c r="Q18" s="48">
        <f>IF(O18, IF(COUNTIF(Raw!AA18:AD18,"&gt;=0") = 4,SUM(Raw!AA18,Raw!AC18)/H18,"No Contingency Table"), "Not Included")</f>
        <v>0.73333333333333328</v>
      </c>
      <c r="R18" s="38">
        <f>IF(O18, IF(COUNTIF(Raw!AA18:AD18, "&gt;=0") = 4,SUM(SUM(Raw!AA18,Raw!AB18)*SUM(Raw!AA18,Raw!AD18),SUM(Raw!AC18,Raw!AD18)*SUM(Raw!AC18,Raw!AB18))/H18^2,"No Contingency Table"), "Not Included")</f>
        <v>0.6</v>
      </c>
      <c r="S18" s="38">
        <f>IF(O18, IF(COUNTIF(Raw!AA18:AD18,"&gt;=0") = 4, IFERROR((Q18 - R18) / (1 - R18), "Could not calculate"), "No Contingency Table"), "Not Included")</f>
        <v>0.33333333333333326</v>
      </c>
      <c r="T18" s="52" t="str">
        <f>IF(O18,IF(NOT(ISBLANK(Raw!AK18)), Raw!AK18, "Not Reported"), "Not Included")</f>
        <v>Not Reported</v>
      </c>
      <c r="U18" s="38">
        <f t="shared" si="3"/>
        <v>0.33333333333333326</v>
      </c>
      <c r="V18" s="11" t="str">
        <f t="shared" si="4"/>
        <v>NA</v>
      </c>
      <c r="W18" s="11" t="b">
        <f>OR(NOT(ISBLANK(Raw!AU18)),COUNTIF(Raw!AL18:AT18,"&gt;=0") = 9)</f>
        <v>0</v>
      </c>
      <c r="X18" s="11" t="str">
        <f>IF(W18, IF(COUNTIF(Raw!AL18:AT18,"&gt;=0") = 9, "Contingency", "Paper k"), "Not Included")</f>
        <v>Not Included</v>
      </c>
      <c r="Y18" s="11" t="str">
        <f>IF(W18,IF(COUNTIF(Raw!AL18:AT18,"&gt;=0") = 9,SUM(Raw!AL18:AT18),"No Contingency Table"),"Not Included")</f>
        <v>Not Included</v>
      </c>
      <c r="Z18" s="11" t="str">
        <f t="shared" si="5"/>
        <v>Not Included</v>
      </c>
      <c r="AA18" s="11" t="str">
        <f>IF(W18,IF(COUNTIF(Raw!AL18:AT18,"&gt;=0") = 9,SUM(Raw!AL18,Raw!AP18,Raw!AT18)/Y18,"No Contingency Table"), "Not Included")</f>
        <v>Not Included</v>
      </c>
      <c r="AB18" s="11" t="str">
        <f>IF(W18,IF(COUNTIF(Raw!AL18:AT18,"&gt;=0") = 9,SUM(SUM(Raw!AL18,Raw!AM18,Raw!AN18)*SUM(Raw!AL18,Raw!AO18,Raw!AR18),SUM(Raw!AO18,Raw!AP18,Raw!AQ18)*SUM(Raw!AM18,Raw!AP18,Raw!AS18),SUM(Raw!AR18,Raw!AS18,Raw!AT18)*SUM(Raw!AN18,Raw!AQ18,Raw!AT18))/Y18^2,"No Contingency Table"), "Not Included")</f>
        <v>Not Included</v>
      </c>
      <c r="AC18" s="11" t="str">
        <f>IF(W18,IF(COUNTIF(Raw!AL18:AT18,"&gt;=0") = 9,(AA18 - AB18) / (1 - AB18),"No Contingency Table"), "Not Included")</f>
        <v>Not Included</v>
      </c>
      <c r="AD18" s="11" t="str">
        <f>IF(W18, IF(NOT(ISBLANK(Raw!AU18)),Raw!AU18,"Not Reported"), "Not Included")</f>
        <v>Not Included</v>
      </c>
      <c r="AE18" s="11" t="str">
        <f t="shared" si="6"/>
        <v>Not Included</v>
      </c>
      <c r="AF18" s="11" t="str">
        <f t="shared" si="7"/>
        <v>Not Included</v>
      </c>
      <c r="AG18" s="11" t="b">
        <f>COUNTIF(Raw!AV18:BK18, "&gt;=0") = 16</f>
        <v>1</v>
      </c>
      <c r="AH18" s="11" t="str">
        <f>IF(AG18, IF(COUNTIF(Raw!AV18:BK18,"&gt;=0") = 16, "Contingency", "Paper k"), "Not Included")</f>
        <v>Contingency</v>
      </c>
      <c r="AI18" s="15">
        <f>IF(AG18,IF(COUNTIF(Raw!AV18:BK18,"&gt;=0") = 16,SUM(Raw!AV18:BK18),"No Contingency Table"),"Not Included")</f>
        <v>20</v>
      </c>
      <c r="AJ18" s="15">
        <f t="shared" si="8"/>
        <v>20</v>
      </c>
      <c r="AK18" s="11">
        <f>IF(AG18,IF(COUNTIF(Raw!AV18:BK18,"&gt;=0") = 16,SUM(Raw!AV18,Raw!BA18,Raw!BF18,Raw!BK18)/AI18,"No Contingency Table"), "Not Included")</f>
        <v>0.75</v>
      </c>
      <c r="AL18" s="11">
        <f>IF(AG18,IF(COUNTIF(Raw!AV18:BK18,"&gt;=0") = 16,SUM(SUM(Raw!AV18,Raw!AW18,Raw!AX18,Raw!AY18)*SUM(Raw!AV18,Raw!AZ18,Raw!BD18,Raw!BH18),SUM(Raw!AZ18,Raw!BA18,Raw!BB18,Raw!BC18)*SUM(Raw!AW18,Raw!BA18,Raw!BE18,Raw!BI18),SUM(Raw!BD18,Raw!BE18,Raw!BF18,Raw!BG18)*SUM(Raw!AX18,Raw!BB18,Raw!BF18,Raw!BJ18),SUM(Raw!BH18,Raw!BI18,Raw!BJ18,Raw!BK18)*SUM(Raw!AY18,Raw!BC18,Raw!BG18,Raw!BK18))/AI18^2,"No Contingency Table"), "Not Included")</f>
        <v>0.59</v>
      </c>
      <c r="AM18" s="11">
        <f>IF(AG18,IF(COUNTIF(Raw!AV18:BK18,"&gt;=0") = 16,(AK18 - AL18) / (1 - AL18),"No Contingency Table"), "Not Included")</f>
        <v>0.39024390243902446</v>
      </c>
      <c r="AN18" s="11" t="str">
        <f>IF(NOT(ISBLANK(Raw!BL18)),Raw!BL18,"Not Reported")</f>
        <v>Not Reported</v>
      </c>
      <c r="AO18" s="11">
        <f t="shared" si="9"/>
        <v>0.39024390243902446</v>
      </c>
      <c r="AP18" s="11" t="str">
        <f t="shared" si="10"/>
        <v>NA</v>
      </c>
      <c r="AQ18" s="11" t="b">
        <f t="shared" ref="AQ18:AR18" si="83">BQ18</f>
        <v>1</v>
      </c>
      <c r="AR18" s="11" t="str">
        <f t="shared" si="83"/>
        <v>Contingency</v>
      </c>
      <c r="AS18" s="15">
        <f t="shared" si="12"/>
        <v>20</v>
      </c>
      <c r="AT18" s="15">
        <f t="shared" si="13"/>
        <v>20</v>
      </c>
      <c r="AU18" s="11">
        <f>IF(AQ18, IF(COUNTIF(Raw!AV18:BK18, "&gt;=0") = 16, IFERROR((AT18*Raw!BK18 - SUM(Raw!BH18, Raw!BI18, Raw!BJ18, Raw!BK18)*SUM(Raw!AY18, Raw!BC18, Raw!BG18, Raw!BK18)) / SQRT((AT18*SUM(Raw!BH18, Raw!BI18, Raw!BJ18, Raw!BK18) - SUM(Raw!BH18, Raw!BI18, Raw!BJ18, Raw!BK18)^2) * (AT18*SUM(Raw!AY18, Raw!BC18, Raw!BG18, Raw!BK18) - SUM(Raw!AY18, Raw!BC18, Raw!BG18, Raw!BK18)^2)), 0), "No Contingency Table"), "Not Included")</f>
        <v>0.50917507721731559</v>
      </c>
      <c r="AV18" s="11" t="str">
        <f>IF(AQ18,IF(NOT(ISBLANK(Raw!BQ18)), Raw!BQ18, IF(NOT(ISBLANK(Raw!BR18)), Raw!BR18, "Not Reported")), "Not Included")</f>
        <v>Not Reported</v>
      </c>
      <c r="AW18" s="57">
        <f t="shared" si="14"/>
        <v>0.50917507721731559</v>
      </c>
      <c r="AX18" s="11" t="str">
        <f t="shared" si="15"/>
        <v>NA</v>
      </c>
      <c r="AY18" s="11" t="b">
        <f t="shared" ref="AY18:AZ18" si="84">AQ18</f>
        <v>1</v>
      </c>
      <c r="AZ18" s="11" t="str">
        <f t="shared" si="84"/>
        <v>Contingency</v>
      </c>
      <c r="BA18" s="11">
        <f>IF(AY18, IF(COUNTIF(Raw!AV18:BK18, "&gt;=0") = 16, SUM(Raw!AV18,Raw!AW18,Raw!AX18,Raw!AZ18,Raw!BA18,Raw!BB18,Raw!BD18,Raw!BE18,Raw!BF18,Raw!BK18)/SUM(Raw!AV18:BK18), "No Contingency Table"), "Not Included")</f>
        <v>0.8</v>
      </c>
      <c r="BB18" s="11">
        <f>IF(AY18, IF(COUNTIF(Raw!AV18:BK18, "&gt;=0") = 16,SUM(SUM(Raw!BH18,Raw!BI18,Raw!BJ18,Raw!BK18)*SUM(Raw!AY18,Raw!BC18,Raw!BG18,Raw!BK18),SUM(Raw!AV18:BG18)*SUM(Raw!AV18,Raw!AW18,Raw!AX18,Raw!AZ18,Raw!BA18,Raw!BB18,Raw!BD18,Raw!BE18,Raw!BF18,Raw!BH18,Raw!BI18,Raw!BJ18))/AT18^2,"No Contingency Table"), "Not Included")</f>
        <v>0.66</v>
      </c>
      <c r="BC18" s="11">
        <f>IF(AY18, IF(COUNTIF(Raw!AV18:BK18, "&gt;=0") = 16,(BA18-BB18) / (1 - BB18),"No Contingency Table"), "Not Included")</f>
        <v>0.41176470588235303</v>
      </c>
      <c r="BD18" s="11" t="str">
        <f>IF(AY18,IF(NOT(ISBLANK(Raw!BT39)),Raw!BT39,"Not Reported"),"Not Included")</f>
        <v>Not Reported</v>
      </c>
      <c r="BE18" s="11">
        <f t="shared" si="17"/>
        <v>0.41176470588235303</v>
      </c>
      <c r="BF18" s="11" t="str">
        <f t="shared" si="18"/>
        <v>NA</v>
      </c>
      <c r="BG18" s="11">
        <f>Raw!K18</f>
        <v>1991</v>
      </c>
      <c r="BH18" s="11" t="str">
        <f>IF(Raw!L18 = "USA","USA","Non-USA")</f>
        <v>USA</v>
      </c>
      <c r="BI18" s="11" t="str">
        <f>Raw!M18</f>
        <v>Cassidy-Marvin/Cassidy-Marvin</v>
      </c>
      <c r="BJ18" s="11">
        <f>Raw!N18</f>
        <v>1</v>
      </c>
      <c r="BK18" s="11">
        <f>Raw!P18</f>
        <v>1</v>
      </c>
      <c r="BL18" s="11">
        <f>Raw!Q18</f>
        <v>0</v>
      </c>
      <c r="BM18" s="11">
        <f>Raw!T18</f>
        <v>1</v>
      </c>
      <c r="BN18" s="11">
        <f>IFERROR(IF(AND(ISBLANK(Raw!U18), ISBLANK(Raw!V18), ISBLANK(Raw!W18), ISBLANK(Raw!X18)), "NA", IF(OR(NOT(ISBLANK(Raw!U18)), NOT(ISBLANK(Raw!W18))), AVERAGE(Raw!U18,Raw!W18), AVERAGE(Raw!V18,Raw!X18) + IF(Raw!Y18 = "2-way", R18, IF(Raw!Y18 = "3-way", AB18, IF(Raw!Y18 = "4-way", AL18, "NA")))*(1 - AVERAGE(Raw!V18,Raw!X18)))), "NA")</f>
        <v>0.75</v>
      </c>
      <c r="BO18" s="11">
        <f>Raw!O18</f>
        <v>0</v>
      </c>
      <c r="BP18" s="11" t="str">
        <f>Raw!F18</f>
        <v>Mixed</v>
      </c>
      <c r="BQ18" s="11" t="b">
        <f>COUNTIF(Raw!AV18:BK18, "&gt;=0") = 16</f>
        <v>1</v>
      </c>
      <c r="BR18" s="11" t="str">
        <f t="shared" si="19"/>
        <v>Contingency</v>
      </c>
      <c r="BS18" s="15">
        <f t="shared" si="20"/>
        <v>20</v>
      </c>
      <c r="BT18" s="11">
        <f>IF(BQ18, IF(COUNTIF(Raw!AV18:BK18, "&gt;=0") = 16, IFERROR((BS18*Raw!AV18 - SUM(Raw!AV18, Raw!AW18, Raw!AX18, Raw!AY18)*SUM(Raw!AV18, Raw!AZ18, Raw!BD18, Raw!BH18)) / SQRT((BS18*SUM(Raw!AV18, Raw!AW18, Raw!AX18, Raw!AY18) - SUM(Raw!AV18, Raw!AW18, Raw!AX18, Raw!AY18)^2) * (BS18*SUM(Raw!AV18, Raw!AZ18, Raw!BD18, Raw!BH18) - SUM(Raw!AV18, Raw!AZ18, Raw!BD18, Raw!BH18)^2)), 0), "No Contingency Table"), "Not Included")</f>
        <v>0</v>
      </c>
      <c r="BU18" s="11">
        <f>IF(BQ18, IF(COUNTIF(Raw!AV18:BK18, "&gt;=0") = 16, SUM(Raw!BK18,Raw!BJ18,Raw!BI18,Raw!BG18,Raw!BF18,Raw!BE18,Raw!BC18,Raw!BB18,Raw!BA18,Raw!AV18)/SUM(Raw!AV18:BK18), "No Contingency Table"), "Not Included")</f>
        <v>0.9</v>
      </c>
      <c r="BV18" s="11">
        <f>IF(BQ18, IF(COUNTIF(Raw!AV18:BK18, "&gt;=0") = 16,SUM(SUM(Raw!AV18,Raw!AW18,Raw!AX18,Raw!AY18)*SUM(Raw!AV18,Raw!AZ18,Raw!BD18,Raw!BH18),SUM(Raw!AZ18:BK18)*SUM(Raw!AW18,Raw!AX18,Raw!AY18,Raw!BA18,Raw!BB18,Raw!BC18,Raw!BE18,Raw!BF18,Raw!BG18,Raw!BI18,Raw!BJ18,Raw!BK18))/BS18^2,"No Contingency Table"), "Not Included")</f>
        <v>0.9</v>
      </c>
      <c r="BW18" s="11">
        <f>IF(BQ18, IF(COUNTIF(Raw!AV18:BK18, "&gt;=0") = 16,(BU18-BV18) / (1 - BV18),"No Contingency Table"), "Not Included")</f>
        <v>0</v>
      </c>
      <c r="BX18" s="11" t="b">
        <f t="shared" ref="BX18:BZ18" si="85">BQ18</f>
        <v>1</v>
      </c>
      <c r="BY18" s="11" t="str">
        <f t="shared" si="85"/>
        <v>Contingency</v>
      </c>
      <c r="BZ18" s="15">
        <f t="shared" si="85"/>
        <v>20</v>
      </c>
      <c r="CA18" s="11">
        <f>IF(BX18, IF(COUNTIF(Raw!AV18:BK18, "&gt;=0") = 16, IFERROR((BZ18*Raw!BF18 - SUM(Raw!BD18, Raw!BE18, Raw!BF18, Raw!BG18)*SUM(Raw!BF18, Raw!AX18, Raw!BB18, Raw!BJ18)) / SQRT((BZ18*SUM(Raw!BD18, Raw!BE18, Raw!BF18, Raw!BG18) - SUM(Raw!BD18, Raw!BE18, Raw!BF18, Raw!BG18)^2) * (BZ18*SUM(Raw!BF18, Raw!AX18, Raw!BB18, Raw!BJ18) - SUM(Raw!BF18, Raw!AX18, Raw!BB18, Raw!BJ18)^2)), 0), "No Contingency Table"), "Not Included")</f>
        <v>0</v>
      </c>
      <c r="CB18" s="11">
        <f>IF(BX18, IF(COUNTIF(Raw!AV18:BK18, "&gt;=0") = 16, SUM(Raw!AV18,Raw!AW18,Raw!AY18,Raw!AZ18,Raw!BA18,Raw!BC18,Raw!BF18,Raw!BH18,Raw!BI18,Raw!BK18) / SUM(Raw!AV18:BK18), "No Contingency Table"), "Not Included")</f>
        <v>1</v>
      </c>
      <c r="CC18" s="11">
        <f>IF(BX18, IF(COUNTIF(Raw!AV18:BK18, "&gt;=0") = 16,SUM(SUM(Raw!BD18,Raw!BE18,Raw!BF18,Raw!BG18)*SUM(Raw!BF18,Raw!AX18,Raw!BB18,Raw!BJ18),SUM(Raw!AV18:BC18,Raw!BH18:BK18)*SUM(Raw!AV18,Raw!AW18,Raw!AY18,Raw!AZ18,Raw!BA18,Raw!BC18,Raw!BD18,Raw!BE18,Raw!BG18,Raw!BH18,Raw!BI18,Raw!BK18))/BZ18^2,"No Contingency Table"), "Not Included")</f>
        <v>1</v>
      </c>
      <c r="CD18" s="11">
        <f>IF(BX18, IF(COUNTIF(Raw!AV18:BK18, "&gt;=0") = 16,(CB18 - CC18) / (1 - CC18+0.000001),"No Contingency Table"), "Not Included")</f>
        <v>0</v>
      </c>
      <c r="CE18" s="11" t="b">
        <f t="shared" ref="CE18:CG18" si="86">BQ18</f>
        <v>1</v>
      </c>
      <c r="CF18" s="11" t="str">
        <f t="shared" si="86"/>
        <v>Contingency</v>
      </c>
      <c r="CG18" s="15">
        <f t="shared" si="86"/>
        <v>20</v>
      </c>
      <c r="CH18" s="11">
        <f>IF(CE18, IF(COUNTIF(Raw!AV18:BK18, "&gt;=0") = 16, IFERROR((CG18*Raw!BA18 - SUM(Raw!BA18, Raw!AZ18, Raw!BB18, Raw!BC18)*SUM(Raw!BA18, Raw!AW18, Raw!BE18, Raw!BI18)) / SQRT((CG18*SUM(Raw!BA18, Raw!AZ18, Raw!BB18, Raw!BC18) - SUM(Raw!BA18, Raw!AZ18, Raw!BB18, Raw!BC18)^2) * (CG18*SUM(Raw!BA18, Raw!AW18, Raw!BE18, Raw!BI18) - SUM(Raw!BA18, Raw!AW18, Raw!BE18, Raw!BI18)^2)), 0), "No Contingency Table"), "Not Included")</f>
        <v>0.49099025303098287</v>
      </c>
      <c r="CI18" s="11">
        <f>IF(CE18, IF(COUNTIF(Raw!AV18:BK18, "&gt;=0") = 16, SUM(Raw!AV18,Raw!AX18,Raw!AY18,Raw!BA18,Raw!BD18,Raw!BF18,Raw!BG18,Raw!BH18,Raw!BJ18,Raw!BK18) / SUM(Raw!AV18:BK18), "No Contingency Table"), "Not Included")</f>
        <v>0.8</v>
      </c>
      <c r="CJ18" s="61">
        <f>IF(BX18, IF(COUNTIF(Raw!AV18:BK18, "&gt;=0") = 16,SUM(SUM(Raw!AZ18,Raw!BA18,Raw!BB18,Raw!BC18)*SUM(Raw!BA18,Raw!AW18,Raw!BE18,Raw!BI18),SUM(Raw!AV18:AY18,Raw!BD18:BK18)*SUM(Raw!AV18,Raw!AX18,Raw!AY18,Raw!AZ18,Raw!BB18,Raw!BC18,Raw!BD18,Raw!BF18,Raw!BG18,Raw!BH18,Raw!BJ18,Raw!BK18))/CG18^2,"No Contingency Table"), "Not Included")</f>
        <v>0.62</v>
      </c>
      <c r="CK18" s="11">
        <f>IF(BX18, IF(COUNTIF(Raw!AV18:BK18, "&gt;=0") = 16,(CI18 - CJ18) / (1 - CJ18),"No Contingency Table"), "Not Included")</f>
        <v>0.47368421052631593</v>
      </c>
      <c r="CL18" s="11">
        <f>IF(BQ18, IFERROR(Raw!AV18/SUM(Raw!AV18:AY18), 0), "Not Included")</f>
        <v>0</v>
      </c>
      <c r="CM18" s="11">
        <f>IF(BQ18, IFERROR(Raw!BA18/SUM(Raw!AZ18:BC18), 0), "Not Included")</f>
        <v>0.9285714285714286</v>
      </c>
      <c r="CN18" s="11">
        <f>IF(BQ18, IFERROR(Raw!BF18/SUM(Raw!BD18:BG18), 0), "Not Included")</f>
        <v>0</v>
      </c>
      <c r="CO18" s="11">
        <f>IF(BQ18, IFERROR(Raw!BK18/SUM(Raw!BH18:BK18), 0), "Not Included")</f>
        <v>0.33333333333333331</v>
      </c>
      <c r="CP18" s="11">
        <f>IF(BQ18, IFERROR(SUM(Raw!AV18,Raw!AX18,Raw!AY18,Raw!BD18,Raw!BF18,Raw!BG18,Raw!BH18,Raw!BJ18,Raw!BK18)/SUM(Raw!AV18,Raw!AW18,Raw!AX18,Raw!AY18,Raw!BD18,Raw!BE18,Raw!BF18,Raw!BG18,Raw!BH18,Raw!BI18,Raw!BJ18,Raw!BK18), 0), "Not Included")</f>
        <v>0.5</v>
      </c>
      <c r="CQ18" s="11">
        <f>IF(BQ18, IFERROR(SUM(Raw!AV18:AX18,Raw!AZ18:BB18,Raw!BD18:BF18)/SUM(Raw!AV18:BF18), 0), "Not Included")</f>
        <v>1</v>
      </c>
      <c r="CR18" s="11">
        <f>IF(BQ18, IFERROR(SUM(Raw!AV18:AY18), 0), "Not Included")</f>
        <v>0</v>
      </c>
      <c r="CS18" s="11">
        <f>IF(BQ18, IFERROR(SUM(Raw!AZ18:BC18), 0), "Not Included")</f>
        <v>14</v>
      </c>
      <c r="CT18" s="11">
        <f>IF(BQ18, IFERROR(SUM(Raw!BD18:BG18), 0), "Not Included")</f>
        <v>0</v>
      </c>
      <c r="CU18" s="11">
        <f>IF(BQ18, IFERROR(SUM(Raw!BH18:BK18), 0), "Not Included")</f>
        <v>6</v>
      </c>
      <c r="CV18" s="11">
        <f>IF(BQ18, IFERROR(SUM(Raw!AV18,Raw!AW18,Raw!AX18,Raw!AY18,Raw!BD18,Raw!BE18,Raw!BF18,Raw!BG18,Raw!BH18,Raw!BI18,Raw!BJ18,Raw!BK18), 0), "Not Included")</f>
        <v>6</v>
      </c>
      <c r="CW18" s="11">
        <f>IF(BQ18, IFERROR(SUM(Raw!AV18:BF18), 0), "Not Included")</f>
        <v>14</v>
      </c>
      <c r="CX18" s="11">
        <f>IF(BQ18, IFERROR((CR18*SUM(Raw!AV18,Raw!AZ18,Raw!BD18,Raw!BH18))/BS18/CR18, 0), "Not Included")</f>
        <v>0</v>
      </c>
      <c r="CY18" s="11">
        <f>IF(BX18, IFERROR((CS18*SUM(Raw!BA18,Raw!AW18,Raw!BE18,Raw!BI18))/CG18/CS18, 0), "Not Included")</f>
        <v>0.79999999999999993</v>
      </c>
      <c r="CZ18" s="11">
        <f>IF(BX18, IFERROR((CT18*SUM(Raw!BF18,Raw!AX18,Raw!BB18,Raw!BJ18))/BZ18/CT18, 0), "Not Included")</f>
        <v>0</v>
      </c>
      <c r="DA18" s="11">
        <f>IF(AY18, IFERROR((CU18*SUM(Raw!AY18,Raw!BC18,Raw!BG18,Raw!BK18))/AT18/CU18, 0), "Not Included")</f>
        <v>9.9999999999999992E-2</v>
      </c>
      <c r="DB18" s="11">
        <f>IF(BX18, IFERROR((CV18*SUM(Raw!AV18,Raw!AX18,Raw!AY18,Raw!AZ18,Raw!BB18,Raw!BC18,Raw!BD18,Raw!BF18,Raw!BG18,Raw!BH18,Raw!BJ18,Raw!BK18))/CG18/CV18,0), "Not Included")</f>
        <v>0.19999999999999998</v>
      </c>
      <c r="DC18" s="11">
        <f>IF(AY18, IFERROR((CW18*SUM(Raw!AV18,Raw!AW18,Raw!AX18,Raw!AZ18,Raw!BA18,Raw!BB18,Raw!BD18,Raw!BE18,Raw!BF18,Raw!BH18,Raw!BI18,Raw!BJ18))/AT18/CW18,0), "Not Included")</f>
        <v>0.9</v>
      </c>
    </row>
    <row r="19" spans="1:107" ht="12.75" customHeight="1">
      <c r="A19" s="11">
        <f>Raw!D19</f>
        <v>10</v>
      </c>
      <c r="B19" s="11" t="str">
        <f>Raw!A19</f>
        <v>Cicchetti, Rogosch &amp; Toth (2006)</v>
      </c>
      <c r="C19" s="11">
        <f>Raw!G19</f>
        <v>1</v>
      </c>
      <c r="D19" s="11" t="str">
        <f>Raw!E19</f>
        <v>Maltreated</v>
      </c>
      <c r="E19" s="11" t="str">
        <f>CONCATENATE(IF(Raw!I19&lt;='Interval Definitions'!$B$2, 'Interval Definitions'!$A$2, IF(Raw!I19&lt;='Interval Definitions'!$B$3, 'Interval Definitions'!$A$3, IF(Raw!I19&lt;='Interval Definitions'!$B$4, 'Interval Definitions'!$A$4, IF(Raw!I19&lt;='Interval Definitions'!$B$5, 'Interval Definitions'!$A$5, "None")))), " - ", IF(Raw!J19&lt;='Interval Definitions'!$B$2, 'Interval Definitions'!$A$2, IF(Raw!J19&lt;='Interval Definitions'!$B$3, 'Interval Definitions'!$A$3, IF(Raw!J19&lt;='Interval Definitions'!$B$4, 'Interval Definitions'!$A$4, IF(Raw!J19&lt;='Interval Definitions'!$B$5, 'Interval Definitions'!$A$5, "None")))))</f>
        <v>Infancy - Toddlerhood</v>
      </c>
      <c r="F19" s="11" t="b">
        <f>OR(NOT(ISBLANK(Raw!AF19)),NOT(ISBLANK(Raw!AG19)),NOT(ISBLANK(Raw!AH19)),NOT(ISBLANK(Raw!AI19)),COUNTIF(Raw!AA19:AD19, "&gt;=0") = 4)</f>
        <v>1</v>
      </c>
      <c r="G19" s="11" t="str">
        <f>IF(F19, IF(COUNTIF(Raw!AA19:AD19,"&gt;=0") = 4, "Contingency", IF(NOT(ISBLANK(Raw!AF19)), "Paper r", IF(NOT(ISBLANK(Raw!AG19)), "Pinquart", IF(NOT(ISBLANK(Raw!AH19)), "Fraley", "Paper chiSq")))), "Not Included")</f>
        <v>Contingency</v>
      </c>
      <c r="H19" s="15">
        <f>IF(F19,Raw!AE19,"Not Included")</f>
        <v>54</v>
      </c>
      <c r="I19" s="15">
        <f>IF(COUNTIF(Raw!AA19:AD19,"&gt;=0") = 4, SUM(Raw!AA19:AD19), "No Contingency Table")</f>
        <v>54</v>
      </c>
      <c r="J19" s="15">
        <f t="shared" si="0"/>
        <v>54</v>
      </c>
      <c r="K19" s="38">
        <f>IF(F19, IF(COUNTIF(Raw!AA19:AD19,"&gt;=0") = 4, IFERROR((I19*Raw!AA19 - SUM(Raw!AA19,Raw!AB19)*SUM(Raw!AA19,Raw!AD19)) / SQRT((I19*SUM(Raw!AA19,Raw!AB19) - SUM(Raw!AA19,Raw!AB19)^2) * (I19*SUM(Raw!AA19,Raw!AD19) - SUM(Raw!AA19,Raw!AD19)^2)), 0), "No Contingency Table"), "Not Included")</f>
        <v>0</v>
      </c>
      <c r="L19" s="41">
        <f>IF(F19,IF(NOT(ISBLANK(Raw!AF19)), Raw!AF19, IF(NOT(ISBLANK(Raw!AG19)), Raw!AG19, IF(NOT(ISBLANK(Raw!AH19)), Raw!AH19, IF(NOT(ISBLANK(Raw!AI19)), SQRT(Raw!AI19/H19)*Raw!AJ19, "Not Reported")))),"Not Included")</f>
        <v>0</v>
      </c>
      <c r="M19" s="43">
        <f t="shared" si="1"/>
        <v>0</v>
      </c>
      <c r="N19" s="11" t="str">
        <f t="shared" si="2"/>
        <v>NA</v>
      </c>
      <c r="O19" s="48" t="b">
        <f>OR(NOT(ISBLANK(Raw!AK19)), COUNTIF(Raw!AA19:AD19, "&gt;=0") = 4)</f>
        <v>1</v>
      </c>
      <c r="P19" s="24" t="str">
        <f>IF(O19,IF(COUNTIF(Raw!AA19:AD19,"&gt;=0") = 4,"Contingency", "Paper k"), "Not Included")</f>
        <v>Contingency</v>
      </c>
      <c r="Q19" s="48">
        <f>IF(O19, IF(COUNTIF(Raw!AA19:AD19,"&gt;=0") = 4,SUM(Raw!AA19,Raw!AC19)/H19,"No Contingency Table"), "Not Included")</f>
        <v>0.98148148148148151</v>
      </c>
      <c r="R19" s="38">
        <f>IF(O19, IF(COUNTIF(Raw!AA19:AD19, "&gt;=0") = 4,SUM(SUM(Raw!AA19,Raw!AB19)*SUM(Raw!AA19,Raw!AD19),SUM(Raw!AC19,Raw!AD19)*SUM(Raw!AC19,Raw!AB19))/H19^2,"No Contingency Table"), "Not Included")</f>
        <v>0.98148148148148151</v>
      </c>
      <c r="S19" s="38">
        <f>IF(O19, IF(COUNTIF(Raw!AA19:AD19,"&gt;=0") = 4, IFERROR((Q19 - R19) / (1 - R19), "Could not calculate"), "No Contingency Table"), "Not Included")</f>
        <v>0</v>
      </c>
      <c r="T19" s="52" t="str">
        <f>IF(O19,IF(NOT(ISBLANK(Raw!AK19)), Raw!AK19, "Not Reported"), "Not Included")</f>
        <v>Not Reported</v>
      </c>
      <c r="U19" s="38">
        <f t="shared" si="3"/>
        <v>0</v>
      </c>
      <c r="V19" s="11" t="str">
        <f t="shared" si="4"/>
        <v>NA</v>
      </c>
      <c r="W19" s="11" t="b">
        <f>OR(NOT(ISBLANK(Raw!AU19)),COUNTIF(Raw!AL19:AT19,"&gt;=0") = 9)</f>
        <v>0</v>
      </c>
      <c r="X19" s="11" t="str">
        <f>IF(W19, IF(COUNTIF(Raw!AL19:AT19,"&gt;=0") = 9, "Contingency", "Paper k"), "Not Included")</f>
        <v>Not Included</v>
      </c>
      <c r="Y19" s="11" t="str">
        <f>IF(W19,IF(COUNTIF(Raw!AL19:AT19,"&gt;=0") = 9,SUM(Raw!AL19:AT19),"No Contingency Table"),"Not Included")</f>
        <v>Not Included</v>
      </c>
      <c r="Z19" s="11" t="str">
        <f t="shared" si="5"/>
        <v>Not Included</v>
      </c>
      <c r="AA19" s="11" t="str">
        <f>IF(W19,IF(COUNTIF(Raw!AL19:AT19,"&gt;=0") = 9,SUM(Raw!AL19,Raw!AP19,Raw!AT19)/Y19,"No Contingency Table"), "Not Included")</f>
        <v>Not Included</v>
      </c>
      <c r="AB19" s="11" t="str">
        <f>IF(W19,IF(COUNTIF(Raw!AL19:AT19,"&gt;=0") = 9,SUM(SUM(Raw!AL19,Raw!AM19,Raw!AN19)*SUM(Raw!AL19,Raw!AO19,Raw!AR19),SUM(Raw!AO19,Raw!AP19,Raw!AQ19)*SUM(Raw!AM19,Raw!AP19,Raw!AS19),SUM(Raw!AR19,Raw!AS19,Raw!AT19)*SUM(Raw!AN19,Raw!AQ19,Raw!AT19))/Y19^2,"No Contingency Table"), "Not Included")</f>
        <v>Not Included</v>
      </c>
      <c r="AC19" s="11" t="str">
        <f>IF(W19,IF(COUNTIF(Raw!AL19:AT19,"&gt;=0") = 9,(AA19 - AB19) / (1 - AB19),"No Contingency Table"), "Not Included")</f>
        <v>Not Included</v>
      </c>
      <c r="AD19" s="11" t="str">
        <f>IF(W19, IF(NOT(ISBLANK(Raw!AU19)),Raw!AU19,"Not Reported"), "Not Included")</f>
        <v>Not Included</v>
      </c>
      <c r="AE19" s="11" t="str">
        <f t="shared" si="6"/>
        <v>Not Included</v>
      </c>
      <c r="AF19" s="11" t="str">
        <f t="shared" si="7"/>
        <v>Not Included</v>
      </c>
      <c r="AG19" s="11" t="b">
        <f>COUNTIF(Raw!AV19:BK19, "&gt;=0") = 16</f>
        <v>1</v>
      </c>
      <c r="AH19" s="11" t="str">
        <f>IF(AG19, IF(COUNTIF(Raw!AV19:BK19,"&gt;=0") = 16, "Contingency", "Paper k"), "Not Included")</f>
        <v>Contingency</v>
      </c>
      <c r="AI19" s="15">
        <f>IF(AG19,IF(COUNTIF(Raw!AV19:BK19,"&gt;=0") = 16,SUM(Raw!AV19:BK19),"No Contingency Table"),"Not Included")</f>
        <v>54</v>
      </c>
      <c r="AJ19" s="15">
        <f t="shared" si="8"/>
        <v>54</v>
      </c>
      <c r="AK19" s="11">
        <f>IF(AG19,IF(COUNTIF(Raw!AV19:BK19,"&gt;=0") = 16,SUM(Raw!AV19,Raw!BA19,Raw!BF19,Raw!BK19)/AI19,"No Contingency Table"), "Not Included")</f>
        <v>0.77777777777777779</v>
      </c>
      <c r="AL19" s="11">
        <f>IF(AG19,IF(COUNTIF(Raw!AV19:BK19,"&gt;=0") = 16,SUM(SUM(Raw!AV19,Raw!AW19,Raw!AX19,Raw!AY19)*SUM(Raw!AV19,Raw!AZ19,Raw!BD19,Raw!BH19),SUM(Raw!AZ19,Raw!BA19,Raw!BB19,Raw!BC19)*SUM(Raw!AW19,Raw!BA19,Raw!BE19,Raw!BI19),SUM(Raw!BD19,Raw!BE19,Raw!BF19,Raw!BG19)*SUM(Raw!AX19,Raw!BB19,Raw!BF19,Raw!BJ19),SUM(Raw!BH19,Raw!BI19,Raw!BJ19,Raw!BK19)*SUM(Raw!AY19,Raw!BC19,Raw!BG19,Raw!BK19))/AI19^2,"No Contingency Table"), "Not Included")</f>
        <v>0.71673525377229086</v>
      </c>
      <c r="AM19" s="11">
        <f>IF(AG19,IF(COUNTIF(Raw!AV19:BK19,"&gt;=0") = 16,(AK19 - AL19) / (1 - AL19),"No Contingency Table"), "Not Included")</f>
        <v>0.21549636803874084</v>
      </c>
      <c r="AN19" s="11" t="str">
        <f>IF(NOT(ISBLANK(Raw!BL19)),Raw!BL19,"Not Reported")</f>
        <v>Not Reported</v>
      </c>
      <c r="AO19" s="11">
        <f t="shared" si="9"/>
        <v>0.21549636803874084</v>
      </c>
      <c r="AP19" s="11" t="str">
        <f t="shared" si="10"/>
        <v>NA</v>
      </c>
      <c r="AQ19" s="11" t="b">
        <f t="shared" ref="AQ19:AR19" si="87">BQ19</f>
        <v>1</v>
      </c>
      <c r="AR19" s="11" t="str">
        <f t="shared" si="87"/>
        <v>Contingency</v>
      </c>
      <c r="AS19" s="15">
        <f t="shared" si="12"/>
        <v>54</v>
      </c>
      <c r="AT19" s="15">
        <f t="shared" si="13"/>
        <v>54</v>
      </c>
      <c r="AU19" s="11">
        <f>IF(AQ19, IF(COUNTIF(Raw!AV19:BK19, "&gt;=0") = 16, IFERROR((AT19*Raw!BK19 - SUM(Raw!BH19, Raw!BI19, Raw!BJ19, Raw!BK19)*SUM(Raw!AY19, Raw!BC19, Raw!BG19, Raw!BK19)) / SQRT((AT19*SUM(Raw!BH19, Raw!BI19, Raw!BJ19, Raw!BK19) - SUM(Raw!BH19, Raw!BI19, Raw!BJ19, Raw!BK19)^2) * (AT19*SUM(Raw!AY19, Raw!BC19, Raw!BG19, Raw!BK19) - SUM(Raw!AY19, Raw!BC19, Raw!BG19, Raw!BK19)^2)), 0), "No Contingency Table"), "Not Included")</f>
        <v>0.29026980512406703</v>
      </c>
      <c r="AV19" s="11" t="str">
        <f>IF(AQ19,IF(NOT(ISBLANK(Raw!BQ19)), Raw!BQ19, IF(NOT(ISBLANK(Raw!BR19)), Raw!BR19, "Not Reported")), "Not Included")</f>
        <v>Not Reported</v>
      </c>
      <c r="AW19" s="57">
        <f t="shared" si="14"/>
        <v>0.29026980512406703</v>
      </c>
      <c r="AX19" s="11" t="str">
        <f t="shared" si="15"/>
        <v>NA</v>
      </c>
      <c r="AY19" s="11" t="b">
        <f t="shared" ref="AY19:AZ19" si="88">AQ19</f>
        <v>1</v>
      </c>
      <c r="AZ19" s="11" t="str">
        <f t="shared" si="88"/>
        <v>Contingency</v>
      </c>
      <c r="BA19" s="11">
        <f>IF(AY19, IF(COUNTIF(Raw!AV19:BK19, "&gt;=0") = 16, SUM(Raw!AV19,Raw!AW19,Raw!AX19,Raw!AZ19,Raw!BA19,Raw!BB19,Raw!BD19,Raw!BE19,Raw!BF19,Raw!BK19)/SUM(Raw!AV19:BK19), "No Contingency Table"), "Not Included")</f>
        <v>0.79629629629629628</v>
      </c>
      <c r="BB19" s="11">
        <f>IF(AY19, IF(COUNTIF(Raw!AV19:BK19, "&gt;=0") = 16,SUM(SUM(Raw!BH19,Raw!BI19,Raw!BJ19,Raw!BK19)*SUM(Raw!AY19,Raw!BC19,Raw!BG19,Raw!BK19),SUM(Raw!AV19:BG19)*SUM(Raw!AV19,Raw!AW19,Raw!AX19,Raw!AZ19,Raw!BA19,Raw!BB19,Raw!BD19,Raw!BE19,Raw!BF19,Raw!BH19,Raw!BI19,Raw!BJ19))/AT19^2,"No Contingency Table"), "Not Included")</f>
        <v>0.72633744855967075</v>
      </c>
      <c r="BC19" s="11">
        <f>IF(AY19, IF(COUNTIF(Raw!AV19:BK19, "&gt;=0") = 16,(BA19-BB19) / (1 - BB19),"No Contingency Table"), "Not Included")</f>
        <v>0.25563909774436094</v>
      </c>
      <c r="BD19" s="11" t="str">
        <f>IF(AY19,IF(NOT(ISBLANK(Raw!BT40)),Raw!BT40,"Not Reported"),"Not Included")</f>
        <v>Not Reported</v>
      </c>
      <c r="BE19" s="11">
        <f t="shared" si="17"/>
        <v>0.25563909774436094</v>
      </c>
      <c r="BF19" s="11" t="str">
        <f t="shared" si="18"/>
        <v>NA</v>
      </c>
      <c r="BG19" s="11">
        <f>Raw!K19</f>
        <v>2006</v>
      </c>
      <c r="BH19" s="11" t="str">
        <f>IF(Raw!L19 = "USA","USA","Non-USA")</f>
        <v>USA</v>
      </c>
      <c r="BI19" s="11" t="str">
        <f>Raw!M19</f>
        <v>Ainsworth/Schneider-Rosen</v>
      </c>
      <c r="BJ19" s="11">
        <f>Raw!N19</f>
        <v>1</v>
      </c>
      <c r="BK19" s="11">
        <f>Raw!P19</f>
        <v>1</v>
      </c>
      <c r="BL19" s="11">
        <f>Raw!Q19</f>
        <v>0</v>
      </c>
      <c r="BM19" s="11">
        <f>Raw!T19</f>
        <v>1</v>
      </c>
      <c r="BN19" s="11">
        <f>IFERROR(IF(AND(ISBLANK(Raw!U19), ISBLANK(Raw!V19), ISBLANK(Raw!W19), ISBLANK(Raw!X19)), "NA", IF(OR(NOT(ISBLANK(Raw!U19)), NOT(ISBLANK(Raw!W19))), AVERAGE(Raw!U19,Raw!W19), AVERAGE(Raw!V19,Raw!X19) + IF(Raw!Y19 = "2-way", R19, IF(Raw!Y19 = "3-way", AB19, IF(Raw!Y19 = "4-way", AL19, "NA")))*(1 - AVERAGE(Raw!V19,Raw!X19)))), "NA")</f>
        <v>0.88</v>
      </c>
      <c r="BO19" s="11">
        <f>Raw!O19</f>
        <v>0</v>
      </c>
      <c r="BP19" s="11" t="str">
        <f>Raw!F19</f>
        <v>Female</v>
      </c>
      <c r="BQ19" s="11" t="b">
        <f>COUNTIF(Raw!AV19:BK19, "&gt;=0") = 16</f>
        <v>1</v>
      </c>
      <c r="BR19" s="11" t="str">
        <f t="shared" si="19"/>
        <v>Contingency</v>
      </c>
      <c r="BS19" s="15">
        <f t="shared" si="20"/>
        <v>54</v>
      </c>
      <c r="BT19" s="11">
        <f>IF(BQ19, IF(COUNTIF(Raw!AV19:BK19, "&gt;=0") = 16, IFERROR((BS19*Raw!AV19 - SUM(Raw!AV19, Raw!AW19, Raw!AX19, Raw!AY19)*SUM(Raw!AV19, Raw!AZ19, Raw!BD19, Raw!BH19)) / SQRT((BS19*SUM(Raw!AV19, Raw!AW19, Raw!AX19, Raw!AY19) - SUM(Raw!AV19, Raw!AW19, Raw!AX19, Raw!AY19)^2) * (BS19*SUM(Raw!AV19, Raw!AZ19, Raw!BD19, Raw!BH19) - SUM(Raw!AV19, Raw!AZ19, Raw!BD19, Raw!BH19)^2)), 0), "No Contingency Table"), "Not Included")</f>
        <v>0.3006232385408722</v>
      </c>
      <c r="BU19" s="11">
        <f>IF(BQ19, IF(COUNTIF(Raw!AV19:BK19, "&gt;=0") = 16, SUM(Raw!BK19,Raw!BJ19,Raw!BI19,Raw!BG19,Raw!BF19,Raw!BE19,Raw!BC19,Raw!BB19,Raw!BA19,Raw!AV19)/SUM(Raw!AV19:BK19), "No Contingency Table"), "Not Included")</f>
        <v>0.83333333333333337</v>
      </c>
      <c r="BV19" s="11">
        <f>IF(BQ19, IF(COUNTIF(Raw!AV19:BK19, "&gt;=0") = 16,SUM(SUM(Raw!AV19,Raw!AW19,Raw!AX19,Raw!AY19)*SUM(Raw!AV19,Raw!AZ19,Raw!BD19,Raw!BH19),SUM(Raw!AZ19:BK19)*SUM(Raw!AW19,Raw!AX19,Raw!AY19,Raw!BA19,Raw!BB19,Raw!BC19,Raw!BE19,Raw!BF19,Raw!BG19,Raw!BI19,Raw!BJ19,Raw!BK19))/BS19^2,"No Contingency Table"), "Not Included")</f>
        <v>0.77983539094650201</v>
      </c>
      <c r="BW19" s="11">
        <f>IF(BQ19, IF(COUNTIF(Raw!AV19:BK19, "&gt;=0") = 16,(BU19-BV19) / (1 - BV19),"No Contingency Table"), "Not Included")</f>
        <v>0.24299065420560784</v>
      </c>
      <c r="BX19" s="11" t="b">
        <f t="shared" ref="BX19:BZ19" si="89">BQ19</f>
        <v>1</v>
      </c>
      <c r="BY19" s="11" t="str">
        <f t="shared" si="89"/>
        <v>Contingency</v>
      </c>
      <c r="BZ19" s="15">
        <f t="shared" si="89"/>
        <v>54</v>
      </c>
      <c r="CA19" s="11">
        <f>IF(BX19, IF(COUNTIF(Raw!AV19:BK19, "&gt;=0") = 16, IFERROR((BZ19*Raw!BF19 - SUM(Raw!BD19, Raw!BE19, Raw!BF19, Raw!BG19)*SUM(Raw!BF19, Raw!AX19, Raw!BB19, Raw!BJ19)) / SQRT((BZ19*SUM(Raw!BD19, Raw!BE19, Raw!BF19, Raw!BG19) - SUM(Raw!BD19, Raw!BE19, Raw!BF19, Raw!BG19)^2) * (BZ19*SUM(Raw!BF19, Raw!AX19, Raw!BB19, Raw!BJ19) - SUM(Raw!BF19, Raw!AX19, Raw!BB19, Raw!BJ19)^2)), 0), "No Contingency Table"), "Not Included")</f>
        <v>-2.6938622922018266E-2</v>
      </c>
      <c r="CB19" s="11">
        <f>IF(BX19, IF(COUNTIF(Raw!AV19:BK19, "&gt;=0") = 16, SUM(Raw!AV19,Raw!AW19,Raw!AY19,Raw!AZ19,Raw!BA19,Raw!BC19,Raw!BF19,Raw!BH19,Raw!BI19,Raw!BK19) / SUM(Raw!AV19:BK19), "No Contingency Table"), "Not Included")</f>
        <v>0.94444444444444442</v>
      </c>
      <c r="CC19" s="11">
        <f>IF(BX19, IF(COUNTIF(Raw!AV19:BK19, "&gt;=0") = 16,SUM(SUM(Raw!BD19,Raw!BE19,Raw!BF19,Raw!BG19)*SUM(Raw!BF19,Raw!AX19,Raw!BB19,Raw!BJ19),SUM(Raw!AV19:BC19,Raw!BH19:BK19)*SUM(Raw!AV19,Raw!AW19,Raw!AY19,Raw!AZ19,Raw!BA19,Raw!BC19,Raw!BD19,Raw!BE19,Raw!BG19,Raw!BH19,Raw!BI19,Raw!BK19))/BZ19^2,"No Contingency Table"), "Not Included")</f>
        <v>0.94581618655692734</v>
      </c>
      <c r="CD19" s="11">
        <f>IF(BX19, IF(COUNTIF(Raw!AV19:BK19, "&gt;=0") = 16,(CB19 - CC19) / (1 - CC19+0.000001),"No Contingency Table"), "Not Included")</f>
        <v>-2.5315988472011497E-2</v>
      </c>
      <c r="CE19" s="11" t="b">
        <f t="shared" ref="CE19:CG19" si="90">BQ19</f>
        <v>1</v>
      </c>
      <c r="CF19" s="11" t="str">
        <f t="shared" si="90"/>
        <v>Contingency</v>
      </c>
      <c r="CG19" s="15">
        <f t="shared" si="90"/>
        <v>54</v>
      </c>
      <c r="CH19" s="11">
        <f>IF(CE19, IF(COUNTIF(Raw!AV19:BK19, "&gt;=0") = 16, IFERROR((CG19*Raw!BA19 - SUM(Raw!BA19, Raw!AZ19, Raw!BB19, Raw!BC19)*SUM(Raw!BA19, Raw!AW19, Raw!BE19, Raw!BI19)) / SQRT((CG19*SUM(Raw!BA19, Raw!AZ19, Raw!BB19, Raw!BC19) - SUM(Raw!BA19, Raw!AZ19, Raw!BB19, Raw!BC19)^2) * (CG19*SUM(Raw!BA19, Raw!AW19, Raw!BE19, Raw!BI19) - SUM(Raw!BA19, Raw!AW19, Raw!BE19, Raw!BI19)^2)), 0), "No Contingency Table"), "Not Included")</f>
        <v>0</v>
      </c>
      <c r="CI19" s="11">
        <f>IF(CE19, IF(COUNTIF(Raw!AV19:BK19, "&gt;=0") = 16, SUM(Raw!AV19,Raw!AX19,Raw!AY19,Raw!BA19,Raw!BD19,Raw!BF19,Raw!BG19,Raw!BH19,Raw!BJ19,Raw!BK19) / SUM(Raw!AV19:BK19), "No Contingency Table"), "Not Included")</f>
        <v>0.98148148148148151</v>
      </c>
      <c r="CJ19" s="61">
        <f>IF(BX19, IF(COUNTIF(Raw!AV19:BK19, "&gt;=0") = 16,SUM(SUM(Raw!AZ19,Raw!BA19,Raw!BB19,Raw!BC19)*SUM(Raw!BA19,Raw!AW19,Raw!BE19,Raw!BI19),SUM(Raw!AV19:AY19,Raw!BD19:BK19)*SUM(Raw!AV19,Raw!AX19,Raw!AY19,Raw!AZ19,Raw!BB19,Raw!BC19,Raw!BD19,Raw!BF19,Raw!BG19,Raw!BH19,Raw!BJ19,Raw!BK19))/CG19^2,"No Contingency Table"), "Not Included")</f>
        <v>0.98148148148148151</v>
      </c>
      <c r="CK19" s="11">
        <f>IF(BX19, IF(COUNTIF(Raw!AV19:BK19, "&gt;=0") = 16,(CI19 - CJ19) / (1 - CJ19),"No Contingency Table"), "Not Included")</f>
        <v>0</v>
      </c>
      <c r="CL19" s="11">
        <f>IF(BQ19, IFERROR(Raw!AV19/SUM(Raw!AV19:AY19), 0), "Not Included")</f>
        <v>0.66666666666666663</v>
      </c>
      <c r="CM19" s="11">
        <f>IF(BQ19, IFERROR(Raw!BA19/SUM(Raw!AZ19:BC19), 0), "Not Included")</f>
        <v>0</v>
      </c>
      <c r="CN19" s="11">
        <f>IF(BQ19, IFERROR(Raw!BF19/SUM(Raw!BD19:BG19), 0), "Not Included")</f>
        <v>0</v>
      </c>
      <c r="CO19" s="11">
        <f>IF(BQ19, IFERROR(Raw!BK19/SUM(Raw!BH19:BK19), 0), "Not Included")</f>
        <v>0.81632653061224492</v>
      </c>
      <c r="CP19" s="11">
        <f>IF(BQ19, IFERROR(SUM(Raw!AV19,Raw!AX19,Raw!AY19,Raw!BD19,Raw!BF19,Raw!BG19,Raw!BH19,Raw!BJ19,Raw!BK19)/SUM(Raw!AV19,Raw!AW19,Raw!AX19,Raw!AY19,Raw!BD19,Raw!BE19,Raw!BF19,Raw!BG19,Raw!BH19,Raw!BI19,Raw!BJ19,Raw!BK19), 0), "Not Included")</f>
        <v>0.98148148148148151</v>
      </c>
      <c r="CQ19" s="11">
        <f>IF(BQ19, IFERROR(SUM(Raw!AV19:AX19,Raw!AZ19:BB19,Raw!BD19:BF19)/SUM(Raw!AV19:BF19), 0), "Not Included")</f>
        <v>0.75</v>
      </c>
      <c r="CR19" s="11">
        <f>IF(BQ19, IFERROR(SUM(Raw!AV19:AY19), 0), "Not Included")</f>
        <v>3</v>
      </c>
      <c r="CS19" s="11">
        <f>IF(BQ19, IFERROR(SUM(Raw!AZ19:BC19), 0), "Not Included")</f>
        <v>0</v>
      </c>
      <c r="CT19" s="11">
        <f>IF(BQ19, IFERROR(SUM(Raw!BD19:BG19), 0), "Not Included")</f>
        <v>2</v>
      </c>
      <c r="CU19" s="11">
        <f>IF(BQ19, IFERROR(SUM(Raw!BH19:BK19), 0), "Not Included")</f>
        <v>49</v>
      </c>
      <c r="CV19" s="11">
        <f>IF(BQ19, IFERROR(SUM(Raw!AV19,Raw!AW19,Raw!AX19,Raw!AY19,Raw!BD19,Raw!BE19,Raw!BF19,Raw!BG19,Raw!BH19,Raw!BI19,Raw!BJ19,Raw!BK19), 0), "Not Included")</f>
        <v>54</v>
      </c>
      <c r="CW19" s="11">
        <f>IF(BQ19, IFERROR(SUM(Raw!AV19:BF19), 0), "Not Included")</f>
        <v>4</v>
      </c>
      <c r="CX19" s="11">
        <f>IF(BQ19, IFERROR((CR19*SUM(Raw!AV19,Raw!AZ19,Raw!BD19,Raw!BH19))/BS19/CR19, 0), "Not Included")</f>
        <v>0.1851851851851852</v>
      </c>
      <c r="CY19" s="11">
        <f>IF(BX19, IFERROR((CS19*SUM(Raw!BA19,Raw!AW19,Raw!BE19,Raw!BI19))/CG19/CS19, 0), "Not Included")</f>
        <v>0</v>
      </c>
      <c r="CZ19" s="11">
        <f>IF(BX19, IFERROR((CT19*SUM(Raw!BF19,Raw!AX19,Raw!BB19,Raw!BJ19))/BZ19/CT19, 0), "Not Included")</f>
        <v>1.8518518518518517E-2</v>
      </c>
      <c r="DA19" s="11">
        <f>IF(AY19, IFERROR((CU19*SUM(Raw!AY19,Raw!BC19,Raw!BG19,Raw!BK19))/AT19/CU19, 0), "Not Included")</f>
        <v>0.77777777777777779</v>
      </c>
      <c r="DB19" s="11">
        <f>IF(BX19, IFERROR((CV19*SUM(Raw!AV19,Raw!AX19,Raw!AY19,Raw!AZ19,Raw!BB19,Raw!BC19,Raw!BD19,Raw!BF19,Raw!BG19,Raw!BH19,Raw!BJ19,Raw!BK19))/CG19/CV19,0), "Not Included")</f>
        <v>0.98148148148148151</v>
      </c>
      <c r="DC19" s="11">
        <f>IF(AY19, IFERROR((CW19*SUM(Raw!AV19,Raw!AW19,Raw!AX19,Raw!AZ19,Raw!BA19,Raw!BB19,Raw!BD19,Raw!BE19,Raw!BF19,Raw!BH19,Raw!BI19,Raw!BJ19))/AT19/CW19,0), "Not Included")</f>
        <v>0.22222222222222221</v>
      </c>
    </row>
    <row r="20" spans="1:107" ht="12.75" customHeight="1">
      <c r="A20" s="11">
        <f>Raw!D20</f>
        <v>11</v>
      </c>
      <c r="B20" s="11" t="str">
        <f>Raw!A20</f>
        <v>Cicchetti, Rogosch &amp; Toth (2006)</v>
      </c>
      <c r="C20" s="11">
        <f>Raw!G20</f>
        <v>1</v>
      </c>
      <c r="D20" s="11" t="str">
        <f>Raw!E20</f>
        <v>Comparison</v>
      </c>
      <c r="E20" s="11" t="str">
        <f>CONCATENATE(IF(Raw!I20&lt;='Interval Definitions'!$B$2, 'Interval Definitions'!$A$2, IF(Raw!I20&lt;='Interval Definitions'!$B$3, 'Interval Definitions'!$A$3, IF(Raw!I20&lt;='Interval Definitions'!$B$4, 'Interval Definitions'!$A$4, IF(Raw!I20&lt;='Interval Definitions'!$B$5, 'Interval Definitions'!$A$5, "None")))), " - ", IF(Raw!J20&lt;='Interval Definitions'!$B$2, 'Interval Definitions'!$A$2, IF(Raw!J20&lt;='Interval Definitions'!$B$3, 'Interval Definitions'!$A$3, IF(Raw!J20&lt;='Interval Definitions'!$B$4, 'Interval Definitions'!$A$4, IF(Raw!J20&lt;='Interval Definitions'!$B$5, 'Interval Definitions'!$A$5, "None")))))</f>
        <v>Infancy - Toddlerhood</v>
      </c>
      <c r="F20" s="11" t="b">
        <f>OR(NOT(ISBLANK(Raw!AF20)),NOT(ISBLANK(Raw!AG20)),NOT(ISBLANK(Raw!AH20)),NOT(ISBLANK(Raw!AI20)),COUNTIF(Raw!AA20:AD20, "&gt;=0") = 4)</f>
        <v>1</v>
      </c>
      <c r="G20" s="11" t="str">
        <f>IF(F20, IF(COUNTIF(Raw!AA20:AD20,"&gt;=0") = 4, "Contingency", IF(NOT(ISBLANK(Raw!AF20)), "Paper r", IF(NOT(ISBLANK(Raw!AG20)), "Pinquart", IF(NOT(ISBLANK(Raw!AH20)), "Fraley", "Paper chiSq")))), "Not Included")</f>
        <v>Contingency</v>
      </c>
      <c r="H20" s="15">
        <f>IF(F20,Raw!AE20,"Not Included")</f>
        <v>44</v>
      </c>
      <c r="I20" s="15">
        <f>IF(COUNTIF(Raw!AA20:AD20,"&gt;=0") = 4, SUM(Raw!AA20:AD20), "No Contingency Table")</f>
        <v>44</v>
      </c>
      <c r="J20" s="15">
        <f t="shared" si="0"/>
        <v>44</v>
      </c>
      <c r="K20" s="38">
        <f>IF(F20, IF(COUNTIF(Raw!AA20:AD20,"&gt;=0") = 4, IFERROR((I20*Raw!AA20 - SUM(Raw!AA20,Raw!AB20)*SUM(Raw!AA20,Raw!AD20)) / SQRT((I20*SUM(Raw!AA20,Raw!AB20) - SUM(Raw!AA20,Raw!AB20)^2) * (I20*SUM(Raw!AA20,Raw!AD20) - SUM(Raw!AA20,Raw!AD20)^2)), 0), "No Contingency Table"), "Not Included")</f>
        <v>0.23311546840958605</v>
      </c>
      <c r="L20" s="41">
        <f>IF(F20,IF(NOT(ISBLANK(Raw!AF20)), Raw!AF20, IF(NOT(ISBLANK(Raw!AG20)), Raw!AG20, IF(NOT(ISBLANK(Raw!AH20)), Raw!AH20, IF(NOT(ISBLANK(Raw!AI20)), SQRT(Raw!AI20/H20)*Raw!AJ20, "Not Reported")))),"Not Included")</f>
        <v>0.23</v>
      </c>
      <c r="M20" s="43">
        <f t="shared" si="1"/>
        <v>0.23311546840958605</v>
      </c>
      <c r="N20" s="11">
        <f t="shared" si="2"/>
        <v>1</v>
      </c>
      <c r="O20" s="48" t="b">
        <f>OR(NOT(ISBLANK(Raw!AK20)), COUNTIF(Raw!AA20:AD20, "&gt;=0") = 4)</f>
        <v>1</v>
      </c>
      <c r="P20" s="24" t="str">
        <f>IF(O20,IF(COUNTIF(Raw!AA20:AD20,"&gt;=0") = 4,"Contingency", "Paper k"), "Not Included")</f>
        <v>Contingency</v>
      </c>
      <c r="Q20" s="48">
        <f>IF(O20, IF(COUNTIF(Raw!AA20:AD20,"&gt;=0") = 4,SUM(Raw!AA20,Raw!AC20)/H20,"No Contingency Table"), "Not Included")</f>
        <v>0.63636363636363635</v>
      </c>
      <c r="R20" s="38">
        <f>IF(O20, IF(COUNTIF(Raw!AA20:AD20, "&gt;=0") = 4,SUM(SUM(Raw!AA20,Raw!AB20)*SUM(Raw!AA20,Raw!AD20),SUM(Raw!AC20,Raw!AD20)*SUM(Raw!AC20,Raw!AB20))/H20^2,"No Contingency Table"), "Not Included")</f>
        <v>0.52582644628099173</v>
      </c>
      <c r="S20" s="38">
        <f>IF(O20, IF(COUNTIF(Raw!AA20:AD20,"&gt;=0") = 4, IFERROR((Q20 - R20) / (1 - R20), "Could not calculate"), "No Contingency Table"), "Not Included")</f>
        <v>0.23311546840958605</v>
      </c>
      <c r="T20" s="52" t="str">
        <f>IF(O20,IF(NOT(ISBLANK(Raw!AK20)), Raw!AK20, "Not Reported"), "Not Included")</f>
        <v>Not Reported</v>
      </c>
      <c r="U20" s="38">
        <f t="shared" si="3"/>
        <v>0.23311546840958605</v>
      </c>
      <c r="V20" s="11" t="str">
        <f t="shared" si="4"/>
        <v>NA</v>
      </c>
      <c r="W20" s="11" t="b">
        <f>OR(NOT(ISBLANK(Raw!AU20)),COUNTIF(Raw!AL20:AT20,"&gt;=0") = 9)</f>
        <v>0</v>
      </c>
      <c r="X20" s="11" t="str">
        <f>IF(W20, IF(COUNTIF(Raw!AL20:AT20,"&gt;=0") = 9, "Contingency", "Paper k"), "Not Included")</f>
        <v>Not Included</v>
      </c>
      <c r="Y20" s="11" t="str">
        <f>IF(W20,IF(COUNTIF(Raw!AL20:AT20,"&gt;=0") = 9,SUM(Raw!AL20:AT20),"No Contingency Table"),"Not Included")</f>
        <v>Not Included</v>
      </c>
      <c r="Z20" s="11" t="str">
        <f t="shared" si="5"/>
        <v>Not Included</v>
      </c>
      <c r="AA20" s="11" t="str">
        <f>IF(W20,IF(COUNTIF(Raw!AL20:AT20,"&gt;=0") = 9,SUM(Raw!AL20,Raw!AP20,Raw!AT20)/Y20,"No Contingency Table"), "Not Included")</f>
        <v>Not Included</v>
      </c>
      <c r="AB20" s="11" t="str">
        <f>IF(W20,IF(COUNTIF(Raw!AL20:AT20,"&gt;=0") = 9,SUM(SUM(Raw!AL20,Raw!AM20,Raw!AN20)*SUM(Raw!AL20,Raw!AO20,Raw!AR20),SUM(Raw!AO20,Raw!AP20,Raw!AQ20)*SUM(Raw!AM20,Raw!AP20,Raw!AS20),SUM(Raw!AR20,Raw!AS20,Raw!AT20)*SUM(Raw!AN20,Raw!AQ20,Raw!AT20))/Y20^2,"No Contingency Table"), "Not Included")</f>
        <v>Not Included</v>
      </c>
      <c r="AC20" s="11" t="str">
        <f>IF(W20,IF(COUNTIF(Raw!AL20:AT20,"&gt;=0") = 9,(AA20 - AB20) / (1 - AB20),"No Contingency Table"), "Not Included")</f>
        <v>Not Included</v>
      </c>
      <c r="AD20" s="11" t="str">
        <f>IF(W20, IF(NOT(ISBLANK(Raw!AU20)),Raw!AU20,"Not Reported"), "Not Included")</f>
        <v>Not Included</v>
      </c>
      <c r="AE20" s="11" t="str">
        <f t="shared" si="6"/>
        <v>Not Included</v>
      </c>
      <c r="AF20" s="11" t="str">
        <f t="shared" si="7"/>
        <v>Not Included</v>
      </c>
      <c r="AG20" s="11" t="b">
        <f>COUNTIF(Raw!AV20:BK20, "&gt;=0") = 16</f>
        <v>1</v>
      </c>
      <c r="AH20" s="11" t="str">
        <f>IF(AG20, IF(COUNTIF(Raw!AV20:BK20,"&gt;=0") = 16, "Contingency", "Paper k"), "Not Included")</f>
        <v>Contingency</v>
      </c>
      <c r="AI20" s="15">
        <f>IF(AG20,IF(COUNTIF(Raw!AV20:BK20,"&gt;=0") = 16,SUM(Raw!AV20:BK20),"No Contingency Table"),"Not Included")</f>
        <v>44</v>
      </c>
      <c r="AJ20" s="15">
        <f t="shared" si="8"/>
        <v>44</v>
      </c>
      <c r="AK20" s="11">
        <f>IF(AG20,IF(COUNTIF(Raw!AV20:BK20,"&gt;=0") = 16,SUM(Raw!AV20,Raw!BA20,Raw!BF20,Raw!BK20)/AI20,"No Contingency Table"), "Not Included")</f>
        <v>0.52272727272727271</v>
      </c>
      <c r="AL20" s="11">
        <f>IF(AG20,IF(COUNTIF(Raw!AV20:BK20,"&gt;=0") = 16,SUM(SUM(Raw!AV20,Raw!AW20,Raw!AX20,Raw!AY20)*SUM(Raw!AV20,Raw!AZ20,Raw!BD20,Raw!BH20),SUM(Raw!AZ20,Raw!BA20,Raw!BB20,Raw!BC20)*SUM(Raw!AW20,Raw!BA20,Raw!BE20,Raw!BI20),SUM(Raw!BD20,Raw!BE20,Raw!BF20,Raw!BG20)*SUM(Raw!AX20,Raw!BB20,Raw!BF20,Raw!BJ20),SUM(Raw!BH20,Raw!BI20,Raw!BJ20,Raw!BK20)*SUM(Raw!AY20,Raw!BC20,Raw!BG20,Raw!BK20))/AI20^2,"No Contingency Table"), "Not Included")</f>
        <v>0.35485537190082644</v>
      </c>
      <c r="AM20" s="11">
        <f>IF(AG20,IF(COUNTIF(Raw!AV20:BK20,"&gt;=0") = 16,(AK20 - AL20) / (1 - AL20),"No Contingency Table"), "Not Included")</f>
        <v>0.26020816653322659</v>
      </c>
      <c r="AN20" s="11" t="str">
        <f>IF(NOT(ISBLANK(Raw!BL20)),Raw!BL20,"Not Reported")</f>
        <v>Not Reported</v>
      </c>
      <c r="AO20" s="11">
        <f t="shared" si="9"/>
        <v>0.26020816653322659</v>
      </c>
      <c r="AP20" s="11" t="str">
        <f t="shared" si="10"/>
        <v>NA</v>
      </c>
      <c r="AQ20" s="11" t="b">
        <f t="shared" ref="AQ20:AR20" si="91">BQ20</f>
        <v>1</v>
      </c>
      <c r="AR20" s="11" t="str">
        <f t="shared" si="91"/>
        <v>Contingency</v>
      </c>
      <c r="AS20" s="15">
        <f t="shared" si="12"/>
        <v>44</v>
      </c>
      <c r="AT20" s="15">
        <f t="shared" si="13"/>
        <v>44</v>
      </c>
      <c r="AU20" s="11">
        <f>IF(AQ20, IF(COUNTIF(Raw!AV20:BK20, "&gt;=0") = 16, IFERROR((AT20*Raw!BK20 - SUM(Raw!BH20, Raw!BI20, Raw!BJ20, Raw!BK20)*SUM(Raw!AY20, Raw!BC20, Raw!BG20, Raw!BK20)) / SQRT((AT20*SUM(Raw!BH20, Raw!BI20, Raw!BJ20, Raw!BK20) - SUM(Raw!BH20, Raw!BI20, Raw!BJ20, Raw!BK20)^2) * (AT20*SUM(Raw!AY20, Raw!BC20, Raw!BG20, Raw!BK20) - SUM(Raw!AY20, Raw!BC20, Raw!BG20, Raw!BK20)^2)), 0), "No Contingency Table"), "Not Included")</f>
        <v>0.30995189213585467</v>
      </c>
      <c r="AV20" s="11" t="str">
        <f>IF(AQ20,IF(NOT(ISBLANK(Raw!BQ20)), Raw!BQ20, IF(NOT(ISBLANK(Raw!BR20)), Raw!BR20, "Not Reported")), "Not Included")</f>
        <v>Not Reported</v>
      </c>
      <c r="AW20" s="57">
        <f t="shared" si="14"/>
        <v>0.30995189213585467</v>
      </c>
      <c r="AX20" s="11" t="str">
        <f t="shared" si="15"/>
        <v>NA</v>
      </c>
      <c r="AY20" s="11" t="b">
        <f t="shared" ref="AY20:AZ20" si="92">AQ20</f>
        <v>1</v>
      </c>
      <c r="AZ20" s="11" t="str">
        <f t="shared" si="92"/>
        <v>Contingency</v>
      </c>
      <c r="BA20" s="11">
        <f>IF(AY20, IF(COUNTIF(Raw!AV20:BK20, "&gt;=0") = 16, SUM(Raw!AV20,Raw!AW20,Raw!AX20,Raw!AZ20,Raw!BA20,Raw!BB20,Raw!BD20,Raw!BE20,Raw!BF20,Raw!BK20)/SUM(Raw!AV20:BK20), "No Contingency Table"), "Not Included")</f>
        <v>0.65909090909090906</v>
      </c>
      <c r="BB20" s="11">
        <f>IF(AY20, IF(COUNTIF(Raw!AV20:BK20, "&gt;=0") = 16,SUM(SUM(Raw!BH20,Raw!BI20,Raw!BJ20,Raw!BK20)*SUM(Raw!AY20,Raw!BC20,Raw!BG20,Raw!BK20),SUM(Raw!AV20:BG20)*SUM(Raw!AV20,Raw!AW20,Raw!AX20,Raw!AZ20,Raw!BA20,Raw!BB20,Raw!BD20,Raw!BE20,Raw!BF20,Raw!BH20,Raw!BI20,Raw!BJ20))/AT20^2,"No Contingency Table"), "Not Included")</f>
        <v>0.50619834710743805</v>
      </c>
      <c r="BC20" s="11">
        <f>IF(AY20, IF(COUNTIF(Raw!AV20:BK20, "&gt;=0") = 16,(BA20-BB20) / (1 - BB20),"No Contingency Table"), "Not Included")</f>
        <v>0.30962343096234296</v>
      </c>
      <c r="BD20" s="11" t="str">
        <f>IF(AY20,IF(NOT(ISBLANK(Raw!BT41)),Raw!BT41,"Not Reported"),"Not Included")</f>
        <v>Not Reported</v>
      </c>
      <c r="BE20" s="11">
        <f t="shared" si="17"/>
        <v>0.30962343096234296</v>
      </c>
      <c r="BF20" s="11" t="str">
        <f t="shared" si="18"/>
        <v>NA</v>
      </c>
      <c r="BG20" s="11">
        <f>Raw!K20</f>
        <v>2006</v>
      </c>
      <c r="BH20" s="11" t="str">
        <f>IF(Raw!L20 = "USA","USA","Non-USA")</f>
        <v>USA</v>
      </c>
      <c r="BI20" s="11" t="str">
        <f>Raw!M20</f>
        <v>Ainsworth/Schneider-Rosen</v>
      </c>
      <c r="BJ20" s="11">
        <f>Raw!N20</f>
        <v>1</v>
      </c>
      <c r="BK20" s="11">
        <f>Raw!P20</f>
        <v>0</v>
      </c>
      <c r="BL20" s="11">
        <f>Raw!Q20</f>
        <v>0</v>
      </c>
      <c r="BM20" s="11">
        <f>Raw!T20</f>
        <v>1</v>
      </c>
      <c r="BN20" s="11">
        <f>IFERROR(IF(AND(ISBLANK(Raw!U20), ISBLANK(Raw!V20), ISBLANK(Raw!W20), ISBLANK(Raw!X20)), "NA", IF(OR(NOT(ISBLANK(Raw!U20)), NOT(ISBLANK(Raw!W20))), AVERAGE(Raw!U20,Raw!W20), AVERAGE(Raw!V20,Raw!X20) + IF(Raw!Y20 = "2-way", R20, IF(Raw!Y20 = "3-way", AB20, IF(Raw!Y20 = "4-way", AL20, "NA")))*(1 - AVERAGE(Raw!V20,Raw!X20)))), "NA")</f>
        <v>0.88</v>
      </c>
      <c r="BO20" s="11">
        <f>Raw!O20</f>
        <v>0</v>
      </c>
      <c r="BP20" s="11" t="str">
        <f>Raw!F20</f>
        <v>Female</v>
      </c>
      <c r="BQ20" s="11" t="b">
        <f>COUNTIF(Raw!AV20:BK20, "&gt;=0") = 16</f>
        <v>1</v>
      </c>
      <c r="BR20" s="11" t="str">
        <f t="shared" si="19"/>
        <v>Contingency</v>
      </c>
      <c r="BS20" s="15">
        <f t="shared" si="20"/>
        <v>44</v>
      </c>
      <c r="BT20" s="11">
        <f>IF(BQ20, IF(COUNTIF(Raw!AV20:BK20, "&gt;=0") = 16, IFERROR((BS20*Raw!AV20 - SUM(Raw!AV20, Raw!AW20, Raw!AX20, Raw!AY20)*SUM(Raw!AV20, Raw!AZ20, Raw!BD20, Raw!BH20)) / SQRT((BS20*SUM(Raw!AV20, Raw!AW20, Raw!AX20, Raw!AY20) - SUM(Raw!AV20, Raw!AW20, Raw!AX20, Raw!AY20)^2) * (BS20*SUM(Raw!AV20, Raw!AZ20, Raw!BD20, Raw!BH20) - SUM(Raw!AV20, Raw!AZ20, Raw!BD20, Raw!BH20)^2)), 0), "No Contingency Table"), "Not Included")</f>
        <v>0.38377965254221902</v>
      </c>
      <c r="BU20" s="11">
        <f>IF(BQ20, IF(COUNTIF(Raw!AV20:BK20, "&gt;=0") = 16, SUM(Raw!BK20,Raw!BJ20,Raw!BI20,Raw!BG20,Raw!BF20,Raw!BE20,Raw!BC20,Raw!BB20,Raw!BA20,Raw!AV20)/SUM(Raw!AV20:BK20), "No Contingency Table"), "Not Included")</f>
        <v>0.88636363636363635</v>
      </c>
      <c r="BV20" s="11">
        <f>IF(BQ20, IF(COUNTIF(Raw!AV20:BK20, "&gt;=0") = 16,SUM(SUM(Raw!AV20,Raw!AW20,Raw!AX20,Raw!AY20)*SUM(Raw!AV20,Raw!AZ20,Raw!BD20,Raw!BH20),SUM(Raw!AZ20:BK20)*SUM(Raw!AW20,Raw!AX20,Raw!AY20,Raw!BA20,Raw!BB20,Raw!BC20,Raw!BE20,Raw!BF20,Raw!BG20,Raw!BI20,Raw!BJ20,Raw!BK20))/BS20^2,"No Contingency Table"), "Not Included")</f>
        <v>0.84710743801652888</v>
      </c>
      <c r="BW20" s="11">
        <f>IF(BQ20, IF(COUNTIF(Raw!AV20:BK20, "&gt;=0") = 16,(BU20-BV20) / (1 - BV20),"No Contingency Table"), "Not Included")</f>
        <v>0.25675675675675691</v>
      </c>
      <c r="BX20" s="11" t="b">
        <f t="shared" ref="BX20:BZ20" si="93">BQ20</f>
        <v>1</v>
      </c>
      <c r="BY20" s="11" t="str">
        <f t="shared" si="93"/>
        <v>Contingency</v>
      </c>
      <c r="BZ20" s="15">
        <f t="shared" si="93"/>
        <v>44</v>
      </c>
      <c r="CA20" s="11">
        <f>IF(BX20, IF(COUNTIF(Raw!AV20:BK20, "&gt;=0") = 16, IFERROR((BZ20*Raw!BF20 - SUM(Raw!BD20, Raw!BE20, Raw!BF20, Raw!BG20)*SUM(Raw!BF20, Raw!AX20, Raw!BB20, Raw!BJ20)) / SQRT((BZ20*SUM(Raw!BD20, Raw!BE20, Raw!BF20, Raw!BG20) - SUM(Raw!BD20, Raw!BE20, Raw!BF20, Raw!BG20)^2) * (BZ20*SUM(Raw!BF20, Raw!AX20, Raw!BB20, Raw!BJ20) - SUM(Raw!BF20, Raw!AX20, Raw!BB20, Raw!BJ20)^2)), 0), "No Contingency Table"), "Not Included")</f>
        <v>0.231229325206432</v>
      </c>
      <c r="CB20" s="11">
        <f>IF(BX20, IF(COUNTIF(Raw!AV20:BK20, "&gt;=0") = 16, SUM(Raw!AV20,Raw!AW20,Raw!AY20,Raw!AZ20,Raw!BA20,Raw!BC20,Raw!BF20,Raw!BH20,Raw!BI20,Raw!BK20) / SUM(Raw!AV20:BK20), "No Contingency Table"), "Not Included")</f>
        <v>0.86363636363636365</v>
      </c>
      <c r="CC20" s="11">
        <f>IF(BX20, IF(COUNTIF(Raw!AV20:BK20, "&gt;=0") = 16,SUM(SUM(Raw!BD20,Raw!BE20,Raw!BF20,Raw!BG20)*SUM(Raw!BF20,Raw!AX20,Raw!BB20,Raw!BJ20),SUM(Raw!AV20:BC20,Raw!BH20:BK20)*SUM(Raw!AV20,Raw!AW20,Raw!AY20,Raw!AZ20,Raw!BA20,Raw!BC20,Raw!BD20,Raw!BE20,Raw!BG20,Raw!BH20,Raw!BI20,Raw!BK20))/BZ20^2,"No Contingency Table"), "Not Included")</f>
        <v>0.83057851239669422</v>
      </c>
      <c r="CD20" s="11">
        <f>IF(BX20, IF(COUNTIF(Raw!AV20:BK20, "&gt;=0") = 16,(CB20 - CC20) / (1 - CC20+0.000001),"No Contingency Table"), "Not Included")</f>
        <v>0.19512079953089059</v>
      </c>
      <c r="CE20" s="11" t="b">
        <f t="shared" ref="CE20:CG20" si="94">BQ20</f>
        <v>1</v>
      </c>
      <c r="CF20" s="11" t="str">
        <f t="shared" si="94"/>
        <v>Contingency</v>
      </c>
      <c r="CG20" s="15">
        <f t="shared" si="94"/>
        <v>44</v>
      </c>
      <c r="CH20" s="11">
        <f>IF(CE20, IF(COUNTIF(Raw!AV20:BK20, "&gt;=0") = 16, IFERROR((CG20*Raw!BA20 - SUM(Raw!BA20, Raw!AZ20, Raw!BB20, Raw!BC20)*SUM(Raw!BA20, Raw!AW20, Raw!BE20, Raw!BI20)) / SQRT((CG20*SUM(Raw!BA20, Raw!AZ20, Raw!BB20, Raw!BC20) - SUM(Raw!BA20, Raw!AZ20, Raw!BB20, Raw!BC20)^2) * (CG20*SUM(Raw!BA20, Raw!AW20, Raw!BE20, Raw!BI20) - SUM(Raw!BA20, Raw!AW20, Raw!BE20, Raw!BI20)^2)), 0), "No Contingency Table"), "Not Included")</f>
        <v>0.23311546840958605</v>
      </c>
      <c r="CI20" s="11">
        <f>IF(CE20, IF(COUNTIF(Raw!AV20:BK20, "&gt;=0") = 16, SUM(Raw!AV20,Raw!AX20,Raw!AY20,Raw!BA20,Raw!BD20,Raw!BF20,Raw!BG20,Raw!BH20,Raw!BJ20,Raw!BK20) / SUM(Raw!AV20:BK20), "No Contingency Table"), "Not Included")</f>
        <v>0.63636363636363635</v>
      </c>
      <c r="CJ20" s="61">
        <f>IF(BX20, IF(COUNTIF(Raw!AV20:BK20, "&gt;=0") = 16,SUM(SUM(Raw!AZ20,Raw!BA20,Raw!BB20,Raw!BC20)*SUM(Raw!BA20,Raw!AW20,Raw!BE20,Raw!BI20),SUM(Raw!AV20:AY20,Raw!BD20:BK20)*SUM(Raw!AV20,Raw!AX20,Raw!AY20,Raw!AZ20,Raw!BB20,Raw!BC20,Raw!BD20,Raw!BF20,Raw!BG20,Raw!BH20,Raw!BJ20,Raw!BK20))/CG20^2,"No Contingency Table"), "Not Included")</f>
        <v>0.52582644628099173</v>
      </c>
      <c r="CK20" s="11">
        <f>IF(BX20, IF(COUNTIF(Raw!AV20:BK20, "&gt;=0") = 16,(CI20 - CJ20) / (1 - CJ20),"No Contingency Table"), "Not Included")</f>
        <v>0.23311546840958605</v>
      </c>
      <c r="CL20" s="11">
        <f>IF(BQ20, IFERROR(Raw!AV20/SUM(Raw!AV20:AY20), 0), "Not Included")</f>
        <v>1</v>
      </c>
      <c r="CM20" s="11">
        <f>IF(BQ20, IFERROR(Raw!BA20/SUM(Raw!AZ20:BC20), 0), "Not Included")</f>
        <v>0.52941176470588236</v>
      </c>
      <c r="CN20" s="11">
        <f>IF(BQ20, IFERROR(Raw!BF20/SUM(Raw!BD20:BG20), 0), "Not Included")</f>
        <v>0.16666666666666666</v>
      </c>
      <c r="CO20" s="11">
        <f>IF(BQ20, IFERROR(Raw!BK20/SUM(Raw!BH20:BK20), 0), "Not Included")</f>
        <v>0.6</v>
      </c>
      <c r="CP20" s="11">
        <f>IF(BQ20, IFERROR(SUM(Raw!AV20,Raw!AX20,Raw!AY20,Raw!BD20,Raw!BF20,Raw!BG20,Raw!BH20,Raw!BJ20,Raw!BK20)/SUM(Raw!AV20,Raw!AW20,Raw!AX20,Raw!AY20,Raw!BD20,Raw!BE20,Raw!BF20,Raw!BG20,Raw!BH20,Raw!BI20,Raw!BJ20,Raw!BK20), 0), "Not Included")</f>
        <v>0.70370370370370372</v>
      </c>
      <c r="CQ20" s="11">
        <f>IF(BQ20, IFERROR(SUM(Raw!AV20:AX20,Raw!AZ20:BB20,Raw!BD20:BF20)/SUM(Raw!AV20:BF20), 0), "Not Included")</f>
        <v>0.77272727272727271</v>
      </c>
      <c r="CR20" s="11">
        <f>IF(BQ20, IFERROR(SUM(Raw!AV20:AY20), 0), "Not Included")</f>
        <v>1</v>
      </c>
      <c r="CS20" s="11">
        <f>IF(BQ20, IFERROR(SUM(Raw!AZ20:BC20), 0), "Not Included")</f>
        <v>17</v>
      </c>
      <c r="CT20" s="11">
        <f>IF(BQ20, IFERROR(SUM(Raw!BD20:BG20), 0), "Not Included")</f>
        <v>6</v>
      </c>
      <c r="CU20" s="11">
        <f>IF(BQ20, IFERROR(SUM(Raw!BH20:BK20), 0), "Not Included")</f>
        <v>20</v>
      </c>
      <c r="CV20" s="11">
        <f>IF(BQ20, IFERROR(SUM(Raw!AV20,Raw!AW20,Raw!AX20,Raw!AY20,Raw!BD20,Raw!BE20,Raw!BF20,Raw!BG20,Raw!BH20,Raw!BI20,Raw!BJ20,Raw!BK20), 0), "Not Included")</f>
        <v>27</v>
      </c>
      <c r="CW20" s="11">
        <f>IF(BQ20, IFERROR(SUM(Raw!AV20:BF20), 0), "Not Included")</f>
        <v>22</v>
      </c>
      <c r="CX20" s="11">
        <f>IF(BQ20, IFERROR((CR20*SUM(Raw!AV20,Raw!AZ20,Raw!BD20,Raw!BH20))/BS20/CR20, 0), "Not Included")</f>
        <v>0.13636363636363635</v>
      </c>
      <c r="CY20" s="11">
        <f>IF(BX20, IFERROR((CS20*SUM(Raw!BA20,Raw!AW20,Raw!BE20,Raw!BI20))/CG20/CS20, 0), "Not Included")</f>
        <v>0.38636363636363635</v>
      </c>
      <c r="CZ20" s="11">
        <f>IF(BX20, IFERROR((CT20*SUM(Raw!BF20,Raw!AX20,Raw!BB20,Raw!BJ20))/BZ20/CT20, 0), "Not Included")</f>
        <v>4.5454545454545449E-2</v>
      </c>
      <c r="DA20" s="11">
        <f>IF(AY20, IFERROR((CU20*SUM(Raw!AY20,Raw!BC20,Raw!BG20,Raw!BK20))/AT20/CU20, 0), "Not Included")</f>
        <v>0.43181818181818182</v>
      </c>
      <c r="DB20" s="11">
        <f>IF(BX20, IFERROR((CV20*SUM(Raw!AV20,Raw!AX20,Raw!AY20,Raw!AZ20,Raw!BB20,Raw!BC20,Raw!BD20,Raw!BF20,Raw!BG20,Raw!BH20,Raw!BJ20,Raw!BK20))/CG20/CV20,0), "Not Included")</f>
        <v>0.61363636363636354</v>
      </c>
      <c r="DC20" s="11">
        <f>IF(AY20, IFERROR((CW20*SUM(Raw!AV20,Raw!AW20,Raw!AX20,Raw!AZ20,Raw!BA20,Raw!BB20,Raw!BD20,Raw!BE20,Raw!BF20,Raw!BH20,Raw!BI20,Raw!BJ20))/AT20/CW20,0), "Not Included")</f>
        <v>0.56818181818181823</v>
      </c>
    </row>
    <row r="21" spans="1:107" ht="12.75" customHeight="1">
      <c r="A21" s="11">
        <f>Raw!D21</f>
        <v>12</v>
      </c>
      <c r="B21" s="11" t="str">
        <f>Raw!A21</f>
        <v>Easterbrooks (1989)</v>
      </c>
      <c r="C21" s="11">
        <f>Raw!G21</f>
        <v>1</v>
      </c>
      <c r="D21" s="11" t="str">
        <f>Raw!E21</f>
        <v>Father-child</v>
      </c>
      <c r="E21" s="11" t="str">
        <f>CONCATENATE(IF(Raw!I21&lt;='Interval Definitions'!$B$2, 'Interval Definitions'!$A$2, IF(Raw!I21&lt;='Interval Definitions'!$B$3, 'Interval Definitions'!$A$3, IF(Raw!I21&lt;='Interval Definitions'!$B$4, 'Interval Definitions'!$A$4, IF(Raw!I21&lt;='Interval Definitions'!$B$5, 'Interval Definitions'!$A$5, "None")))), " - ", IF(Raw!J21&lt;='Interval Definitions'!$B$2, 'Interval Definitions'!$A$2, IF(Raw!J21&lt;='Interval Definitions'!$B$3, 'Interval Definitions'!$A$3, IF(Raw!J21&lt;='Interval Definitions'!$B$4, 'Interval Definitions'!$A$4, IF(Raw!J21&lt;='Interval Definitions'!$B$5, 'Interval Definitions'!$A$5, "None")))))</f>
        <v>Infancy - Toddlerhood</v>
      </c>
      <c r="F21" s="11" t="b">
        <f>OR(NOT(ISBLANK(Raw!AF21)),NOT(ISBLANK(Raw!AG21)),NOT(ISBLANK(Raw!AH21)),NOT(ISBLANK(Raw!AI21)),COUNTIF(Raw!AA21:AD21, "&gt;=0") = 4)</f>
        <v>1</v>
      </c>
      <c r="G21" s="11" t="str">
        <f>IF(F21, IF(COUNTIF(Raw!AA21:AD21,"&gt;=0") = 4, "Contingency", IF(NOT(ISBLANK(Raw!AF21)), "Paper r", IF(NOT(ISBLANK(Raw!AG21)), "Pinquart", IF(NOT(ISBLANK(Raw!AH21)), "Fraley", "Paper chiSq")))), "Not Included")</f>
        <v>Pinquart</v>
      </c>
      <c r="H21" s="15">
        <f>IF(F21,Raw!AE21,"Not Included")</f>
        <v>59</v>
      </c>
      <c r="I21" s="15" t="str">
        <f>IF(COUNTIF(Raw!AA21:AD21,"&gt;=0") = 4, SUM(Raw!AA21:AD21), "No Contingency Table")</f>
        <v>No Contingency Table</v>
      </c>
      <c r="J21" s="15">
        <f t="shared" si="0"/>
        <v>59</v>
      </c>
      <c r="K21" s="38" t="str">
        <f>IF(F21, IF(COUNTIF(Raw!AA21:AD21,"&gt;=0") = 4, IFERROR((I21*Raw!AA21 - SUM(Raw!AA21,Raw!AB21)*SUM(Raw!AA21,Raw!AD21)) / SQRT((I21*SUM(Raw!AA21,Raw!AB21) - SUM(Raw!AA21,Raw!AB21)^2) * (I21*SUM(Raw!AA21,Raw!AD21) - SUM(Raw!AA21,Raw!AD21)^2)), 0), "No Contingency Table"), "Not Included")</f>
        <v>No Contingency Table</v>
      </c>
      <c r="L21" s="41">
        <f>IF(F21,IF(NOT(ISBLANK(Raw!AF21)), Raw!AF21, IF(NOT(ISBLANK(Raw!AG21)), Raw!AG21, IF(NOT(ISBLANK(Raw!AH21)), Raw!AH21, IF(NOT(ISBLANK(Raw!AI21)), SQRT(Raw!AI21/H21)*Raw!AJ21, "Not Reported")))),"Not Included")</f>
        <v>0</v>
      </c>
      <c r="M21" s="43">
        <f t="shared" si="1"/>
        <v>0</v>
      </c>
      <c r="N21" s="11" t="str">
        <f t="shared" si="2"/>
        <v>NA</v>
      </c>
      <c r="O21" s="48" t="b">
        <f>OR(NOT(ISBLANK(Raw!AK21)), COUNTIF(Raw!AA21:AD21, "&gt;=0") = 4)</f>
        <v>0</v>
      </c>
      <c r="P21" s="24" t="str">
        <f>IF(O21,IF(COUNTIF(Raw!AA21:AD21,"&gt;=0") = 4,"Contingency", "Paper k"), "Not Included")</f>
        <v>Not Included</v>
      </c>
      <c r="Q21" s="48" t="str">
        <f>IF(O21, IF(COUNTIF(Raw!AA21:AD21,"&gt;=0") = 4,SUM(Raw!AA21,Raw!AC21)/H21,"No Contingency Table"), "Not Included")</f>
        <v>Not Included</v>
      </c>
      <c r="R21" s="38" t="str">
        <f>IF(O21, IF(COUNTIF(Raw!AA21:AD21, "&gt;=0") = 4,SUM(SUM(Raw!AA21,Raw!AB21)*SUM(Raw!AA21,Raw!AD21),SUM(Raw!AC21,Raw!AD21)*SUM(Raw!AC21,Raw!AB21))/H21^2,"No Contingency Table"), "Not Included")</f>
        <v>Not Included</v>
      </c>
      <c r="S21" s="38" t="str">
        <f>IF(O21, IF(COUNTIF(Raw!AA21:AD21,"&gt;=0") = 4, IFERROR((Q21 - R21) / (1 - R21), "Could not calculate"), "No Contingency Table"), "Not Included")</f>
        <v>Not Included</v>
      </c>
      <c r="T21" s="52" t="str">
        <f>IF(O21,IF(NOT(ISBLANK(Raw!AK21)), Raw!AK21, "Not Reported"), "Not Included")</f>
        <v>Not Included</v>
      </c>
      <c r="U21" s="11" t="str">
        <f t="shared" si="3"/>
        <v>Not Included</v>
      </c>
      <c r="V21" s="11" t="str">
        <f t="shared" si="4"/>
        <v>Not Included</v>
      </c>
      <c r="W21" s="11" t="b">
        <f>OR(NOT(ISBLANK(Raw!AU21)),COUNTIF(Raw!AL21:AT21,"&gt;=0") = 9)</f>
        <v>0</v>
      </c>
      <c r="X21" s="11" t="str">
        <f>IF(W21, IF(COUNTIF(Raw!AL21:AT21,"&gt;=0") = 9, "Contingency", "Paper k"), "Not Included")</f>
        <v>Not Included</v>
      </c>
      <c r="Y21" s="11" t="str">
        <f>IF(W21,IF(COUNTIF(Raw!AL21:AT21,"&gt;=0") = 9,SUM(Raw!AL21:AT21),"No Contingency Table"),"Not Included")</f>
        <v>Not Included</v>
      </c>
      <c r="Z21" s="11" t="str">
        <f t="shared" si="5"/>
        <v>Not Included</v>
      </c>
      <c r="AA21" s="11" t="str">
        <f>IF(W21,IF(COUNTIF(Raw!AL21:AT21,"&gt;=0") = 9,SUM(Raw!AL21,Raw!AP21,Raw!AT21)/Y21,"No Contingency Table"), "Not Included")</f>
        <v>Not Included</v>
      </c>
      <c r="AB21" s="11" t="str">
        <f>IF(W21,IF(COUNTIF(Raw!AL21:AT21,"&gt;=0") = 9,SUM(SUM(Raw!AL21,Raw!AM21,Raw!AN21)*SUM(Raw!AL21,Raw!AO21,Raw!AR21),SUM(Raw!AO21,Raw!AP21,Raw!AQ21)*SUM(Raw!AM21,Raw!AP21,Raw!AS21),SUM(Raw!AR21,Raw!AS21,Raw!AT21)*SUM(Raw!AN21,Raw!AQ21,Raw!AT21))/Y21^2,"No Contingency Table"), "Not Included")</f>
        <v>Not Included</v>
      </c>
      <c r="AC21" s="11" t="str">
        <f>IF(W21,IF(COUNTIF(Raw!AL21:AT21,"&gt;=0") = 9,(AA21 - AB21) / (1 - AB21),"No Contingency Table"), "Not Included")</f>
        <v>Not Included</v>
      </c>
      <c r="AD21" s="11" t="str">
        <f>IF(W21, IF(NOT(ISBLANK(Raw!AU21)),Raw!AU21,"Not Reported"), "Not Included")</f>
        <v>Not Included</v>
      </c>
      <c r="AE21" s="11" t="str">
        <f t="shared" si="6"/>
        <v>Not Included</v>
      </c>
      <c r="AF21" s="11" t="str">
        <f t="shared" si="7"/>
        <v>Not Included</v>
      </c>
      <c r="AG21" s="11" t="b">
        <f>COUNTIF(Raw!AV21:BK21, "&gt;=0") = 16</f>
        <v>0</v>
      </c>
      <c r="AH21" s="11" t="str">
        <f>IF(AG21, IF(COUNTIF(Raw!AV21:BK21,"&gt;=0") = 16, "Contingency", "Paper k"), "Not Included")</f>
        <v>Not Included</v>
      </c>
      <c r="AI21" s="11" t="str">
        <f>IF(AG21,IF(COUNTIF(Raw!AV21:BK21,"&gt;=0") = 16,SUM(Raw!AV21:BK21),"No Contingency Table"),"Not Included")</f>
        <v>Not Included</v>
      </c>
      <c r="AJ21" s="15">
        <f t="shared" si="8"/>
        <v>59</v>
      </c>
      <c r="AK21" s="11" t="str">
        <f>IF(AG21,IF(COUNTIF(Raw!AV21:BK21,"&gt;=0") = 16,SUM(Raw!AV21,Raw!BA21,Raw!BF21,Raw!BK21)/AI21,"No Contingency Table"), "Not Included")</f>
        <v>Not Included</v>
      </c>
      <c r="AL21" s="11" t="str">
        <f>IF(AG21,IF(COUNTIF(Raw!AV21:BK21,"&gt;=0") = 16,SUM(SUM(Raw!AV21,Raw!AW21,Raw!AX21,Raw!AY21)*SUM(Raw!AV21,Raw!AZ21,Raw!BD21,Raw!BH21),SUM(Raw!AZ21,Raw!BA21,Raw!BB21,Raw!BC21)*SUM(Raw!AW21,Raw!BA21,Raw!BE21,Raw!BI21),SUM(Raw!BD21,Raw!BE21,Raw!BF21,Raw!BG21)*SUM(Raw!AX21,Raw!BB21,Raw!BF21,Raw!BJ21),SUM(Raw!BH21,Raw!BI21,Raw!BJ21,Raw!BK21)*SUM(Raw!AY21,Raw!BC21,Raw!BG21,Raw!BK21))/AI21^2,"No Contingency Table"), "Not Included")</f>
        <v>Not Included</v>
      </c>
      <c r="AM21" s="11" t="str">
        <f>IF(AG21,IF(COUNTIF(Raw!AV21:BK21,"&gt;=0") = 16,(AK21 - AL21) / (1 - AL21),"No Contingency Table"), "Not Included")</f>
        <v>Not Included</v>
      </c>
      <c r="AN21" s="11" t="str">
        <f>IF(NOT(ISBLANK(Raw!BL21)),Raw!BL21,"Not Reported")</f>
        <v>Not Reported</v>
      </c>
      <c r="AO21" s="11" t="str">
        <f t="shared" si="9"/>
        <v>Not Reported</v>
      </c>
      <c r="AP21" s="11" t="str">
        <f t="shared" si="10"/>
        <v>Not Included</v>
      </c>
      <c r="AQ21" s="11" t="b">
        <f t="shared" ref="AQ21:AR21" si="95">BQ21</f>
        <v>0</v>
      </c>
      <c r="AR21" s="11" t="str">
        <f t="shared" si="95"/>
        <v>Not Included</v>
      </c>
      <c r="AS21" s="11" t="str">
        <f t="shared" si="12"/>
        <v>Not Included</v>
      </c>
      <c r="AT21" s="11" t="str">
        <f t="shared" si="13"/>
        <v>Not Included</v>
      </c>
      <c r="AU21" s="11" t="str">
        <f>IF(AQ21, IF(COUNTIF(Raw!AV21:BK21, "&gt;=0") = 16, IFERROR((AT21*Raw!BK21 - SUM(Raw!BH21, Raw!BI21, Raw!BJ21, Raw!BK21)*SUM(Raw!AY21, Raw!BC21, Raw!BG21, Raw!BK21)) / SQRT((AT21*SUM(Raw!BH21, Raw!BI21, Raw!BJ21, Raw!BK21) - SUM(Raw!BH21, Raw!BI21, Raw!BJ21, Raw!BK21)^2) * (AT21*SUM(Raw!AY21, Raw!BC21, Raw!BG21, Raw!BK21) - SUM(Raw!AY21, Raw!BC21, Raw!BG21, Raw!BK21)^2)), 0), "No Contingency Table"), "Not Included")</f>
        <v>Not Included</v>
      </c>
      <c r="AV21" s="11" t="str">
        <f>IF(AQ21,IF(NOT(ISBLANK(Raw!BQ21)), Raw!BQ21, IF(NOT(ISBLANK(Raw!BR21)), Raw!BR21, "Not Reported")), "Not Included")</f>
        <v>Not Included</v>
      </c>
      <c r="AW21" s="57" t="str">
        <f t="shared" si="14"/>
        <v>Not Included</v>
      </c>
      <c r="AX21" s="11" t="str">
        <f t="shared" si="15"/>
        <v>Not Included</v>
      </c>
      <c r="AY21" s="11" t="b">
        <f t="shared" ref="AY21:AZ21" si="96">AQ21</f>
        <v>0</v>
      </c>
      <c r="AZ21" s="11" t="str">
        <f t="shared" si="96"/>
        <v>Not Included</v>
      </c>
      <c r="BA21" s="11" t="str">
        <f>IF(AY21, IF(COUNTIF(Raw!AV21:BK21, "&gt;=0") = 16, SUM(Raw!AV21,Raw!AW21,Raw!AX21,Raw!AZ21,Raw!BA21,Raw!BB21,Raw!BD21,Raw!BE21,Raw!BF21,Raw!BK21)/SUM(Raw!AV21:BK21), "No Contingency Table"), "Not Included")</f>
        <v>Not Included</v>
      </c>
      <c r="BB21" s="11" t="str">
        <f>IF(AY21, IF(COUNTIF(Raw!AV21:BK21, "&gt;=0") = 16,SUM(SUM(Raw!BH21,Raw!BI21,Raw!BJ21,Raw!BK21)*SUM(Raw!AY21,Raw!BC21,Raw!BG21,Raw!BK21),SUM(Raw!AV21:BG21)*SUM(Raw!AV21,Raw!AW21,Raw!AX21,Raw!AZ21,Raw!BA21,Raw!BB21,Raw!BD21,Raw!BE21,Raw!BF21,Raw!BH21,Raw!BI21,Raw!BJ21))/AT21^2,"No Contingency Table"), "Not Included")</f>
        <v>Not Included</v>
      </c>
      <c r="BC21" s="11" t="str">
        <f>IF(AY21, IF(COUNTIF(Raw!AV21:BK21, "&gt;=0") = 16,(BA21-BB21) / (1 - BB21),"No Contingency Table"), "Not Included")</f>
        <v>Not Included</v>
      </c>
      <c r="BD21" s="11" t="str">
        <f>IF(AY21,IF(NOT(ISBLANK(Raw!BT42)),Raw!BT42,"Not Reported"),"Not Included")</f>
        <v>Not Included</v>
      </c>
      <c r="BE21" s="11" t="str">
        <f t="shared" si="17"/>
        <v>Not Included</v>
      </c>
      <c r="BF21" s="11" t="str">
        <f t="shared" si="18"/>
        <v>Not Included</v>
      </c>
      <c r="BG21" s="11">
        <f>Raw!K21</f>
        <v>1989</v>
      </c>
      <c r="BH21" s="11" t="str">
        <f>IF(Raw!L21 = "USA","USA","Non-USA")</f>
        <v>USA</v>
      </c>
      <c r="BI21" s="11" t="str">
        <f>Raw!M21</f>
        <v>Ainsworth/Ainsworth</v>
      </c>
      <c r="BJ21" s="11">
        <f>Raw!N21</f>
        <v>1</v>
      </c>
      <c r="BK21" s="11">
        <f>Raw!P21</f>
        <v>0</v>
      </c>
      <c r="BL21" s="11">
        <f>Raw!Q21</f>
        <v>0</v>
      </c>
      <c r="BM21" s="11">
        <f>Raw!T21</f>
        <v>1</v>
      </c>
      <c r="BN21" s="11" t="str">
        <f>IFERROR(IF(AND(ISBLANK(Raw!U21), ISBLANK(Raw!V21), ISBLANK(Raw!W21), ISBLANK(Raw!X21)), "NA", IF(OR(NOT(ISBLANK(Raw!U21)), NOT(ISBLANK(Raw!W21))), AVERAGE(Raw!U21,Raw!W21), AVERAGE(Raw!V21,Raw!X21) + IF(Raw!Y21 = "2-way", R21, IF(Raw!Y21 = "3-way", AB21, IF(Raw!Y21 = "4-way", AL21, "NA")))*(1 - AVERAGE(Raw!V21,Raw!X21)))), "NA")</f>
        <v>NA</v>
      </c>
      <c r="BO21" s="11">
        <f>Raw!O21</f>
        <v>0</v>
      </c>
      <c r="BP21" s="11" t="str">
        <f>Raw!F21</f>
        <v>Male</v>
      </c>
      <c r="BQ21" s="11" t="b">
        <f>COUNTIF(Raw!AV21:BK21, "&gt;=0") = 16</f>
        <v>0</v>
      </c>
      <c r="BR21" s="11" t="str">
        <f t="shared" si="19"/>
        <v>Not Included</v>
      </c>
      <c r="BS21" s="11" t="str">
        <f t="shared" si="20"/>
        <v>Not Included</v>
      </c>
      <c r="BT21" s="11" t="str">
        <f>IF(BQ21, IF(COUNTIF(Raw!AV21:BK21, "&gt;=0") = 16, IFERROR((BS21*Raw!AV21 - SUM(Raw!AV21, Raw!AW21, Raw!AX21, Raw!AY21)*SUM(Raw!AV21, Raw!AZ21, Raw!BD21, Raw!BH21)) / SQRT((BS21*SUM(Raw!AV21, Raw!AW21, Raw!AX21, Raw!AY21) - SUM(Raw!AV21, Raw!AW21, Raw!AX21, Raw!AY21)^2) * (BS21*SUM(Raw!AV21, Raw!AZ21, Raw!BD21, Raw!BH21) - SUM(Raw!AV21, Raw!AZ21, Raw!BD21, Raw!BH21)^2)), 0), "No Contingency Table"), "Not Included")</f>
        <v>Not Included</v>
      </c>
      <c r="BU21" s="11" t="str">
        <f>IF(BQ21, IF(COUNTIF(Raw!AV21:BK21, "&gt;=0") = 16, SUM(Raw!BK21,Raw!BJ21,Raw!BI21,Raw!BG21,Raw!BF21,Raw!BE21,Raw!BC21,Raw!BB21,Raw!BA21,Raw!AV21)/SUM(Raw!AV21:BK21), "No Contingency Table"), "Not Included")</f>
        <v>Not Included</v>
      </c>
      <c r="BV21" s="11" t="str">
        <f>IF(BQ21, IF(COUNTIF(Raw!AV21:BK21, "&gt;=0") = 16,SUM(SUM(Raw!AV21,Raw!AW21,Raw!AX21,Raw!AY21)*SUM(Raw!AV21,Raw!AZ21,Raw!BD21,Raw!BH21),SUM(Raw!AZ21:BK21)*SUM(Raw!AW21,Raw!AX21,Raw!AY21,Raw!BA21,Raw!BB21,Raw!BC21,Raw!BE21,Raw!BF21,Raw!BG21,Raw!BI21,Raw!BJ21,Raw!BK21))/BS21^2,"No Contingency Table"), "Not Included")</f>
        <v>Not Included</v>
      </c>
      <c r="BW21" s="11" t="str">
        <f>IF(BQ21, IF(COUNTIF(Raw!AV21:BK21, "&gt;=0") = 16,(BU21-BV21) / (1 - BV21),"No Contingency Table"), "Not Included")</f>
        <v>Not Included</v>
      </c>
      <c r="BX21" s="11" t="b">
        <f t="shared" ref="BX21:BZ21" si="97">BQ21</f>
        <v>0</v>
      </c>
      <c r="BY21" s="11" t="str">
        <f t="shared" si="97"/>
        <v>Not Included</v>
      </c>
      <c r="BZ21" s="11" t="str">
        <f t="shared" si="97"/>
        <v>Not Included</v>
      </c>
      <c r="CA21" s="11" t="str">
        <f>IF(BX21, IF(COUNTIF(Raw!AV21:BK21, "&gt;=0") = 16, IFERROR((BZ21*Raw!BF21 - SUM(Raw!BD21, Raw!BE21, Raw!BF21, Raw!BG21)*SUM(Raw!BF21, Raw!AX21, Raw!BB21, Raw!BJ21)) / SQRT((BZ21*SUM(Raw!BD21, Raw!BE21, Raw!BF21, Raw!BG21) - SUM(Raw!BD21, Raw!BE21, Raw!BF21, Raw!BG21)^2) * (BZ21*SUM(Raw!BF21, Raw!AX21, Raw!BB21, Raw!BJ21) - SUM(Raw!BF21, Raw!AX21, Raw!BB21, Raw!BJ21)^2)), 0), "No Contingency Table"), "Not Included")</f>
        <v>Not Included</v>
      </c>
      <c r="CB21" s="11" t="str">
        <f>IF(BX21, IF(COUNTIF(Raw!AV21:BK21, "&gt;=0") = 16, SUM(Raw!AV21,Raw!AW21,Raw!AY21,Raw!AZ21,Raw!BA21,Raw!BC21,Raw!BF21,Raw!BH21,Raw!BI21,Raw!BK21) / SUM(Raw!AV21:BK21), "No Contingency Table"), "Not Included")</f>
        <v>Not Included</v>
      </c>
      <c r="CC21" s="11" t="str">
        <f>IF(BX21, IF(COUNTIF(Raw!AV21:BK21, "&gt;=0") = 16,SUM(SUM(Raw!BD21,Raw!BE21,Raw!BF21,Raw!BG21)*SUM(Raw!BF21,Raw!AX21,Raw!BB21,Raw!BJ21),SUM(Raw!AV21:BC21,Raw!BH21:BK21)*SUM(Raw!AV21,Raw!AW21,Raw!AY21,Raw!AZ21,Raw!BA21,Raw!BC21,Raw!BD21,Raw!BE21,Raw!BG21,Raw!BH21,Raw!BI21,Raw!BK21))/BZ21^2,"No Contingency Table"), "Not Included")</f>
        <v>Not Included</v>
      </c>
      <c r="CD21" s="11" t="str">
        <f>IF(BX21, IF(COUNTIF(Raw!AV21:BK21, "&gt;=0") = 16,(CB21 - CC21) / (1 - CC21+0.000001),"No Contingency Table"), "Not Included")</f>
        <v>Not Included</v>
      </c>
      <c r="CE21" s="11" t="b">
        <f t="shared" ref="CE21:CG21" si="98">BQ21</f>
        <v>0</v>
      </c>
      <c r="CF21" s="11" t="str">
        <f t="shared" si="98"/>
        <v>Not Included</v>
      </c>
      <c r="CG21" s="11" t="str">
        <f t="shared" si="98"/>
        <v>Not Included</v>
      </c>
      <c r="CH21" s="11" t="str">
        <f>IF(CE21, IF(COUNTIF(Raw!AV21:BK21, "&gt;=0") = 16, IFERROR((CG21*Raw!BA21 - SUM(Raw!BA21, Raw!AZ21, Raw!BB21, Raw!BC21)*SUM(Raw!BA21, Raw!AW21, Raw!BE21, Raw!BI21)) / SQRT((CG21*SUM(Raw!BA21, Raw!AZ21, Raw!BB21, Raw!BC21) - SUM(Raw!BA21, Raw!AZ21, Raw!BB21, Raw!BC21)^2) * (CG21*SUM(Raw!BA21, Raw!AW21, Raw!BE21, Raw!BI21) - SUM(Raw!BA21, Raw!AW21, Raw!BE21, Raw!BI21)^2)), 0), "No Contingency Table"), "Not Included")</f>
        <v>Not Included</v>
      </c>
      <c r="CI21" s="11" t="str">
        <f>IF(CE21, IF(COUNTIF(Raw!AV21:BK21, "&gt;=0") = 16, SUM(Raw!AV21,Raw!AX21,Raw!AY21,Raw!BA21,Raw!BD21,Raw!BF21,Raw!BG21,Raw!BH21,Raw!BJ21,Raw!BK21) / SUM(Raw!AV21:BK21), "No Contingency Table"), "Not Included")</f>
        <v>Not Included</v>
      </c>
      <c r="CJ21" s="61" t="str">
        <f>IF(BX21, IF(COUNTIF(Raw!AV21:BK21, "&gt;=0") = 16,SUM(SUM(Raw!AZ21,Raw!BA21,Raw!BB21,Raw!BC21)*SUM(Raw!BA21,Raw!AW21,Raw!BE21,Raw!BI21),SUM(Raw!AV21:AY21,Raw!BD21:BK21)*SUM(Raw!AV21,Raw!AX21,Raw!AY21,Raw!AZ21,Raw!BB21,Raw!BC21,Raw!BD21,Raw!BF21,Raw!BG21,Raw!BH21,Raw!BJ21,Raw!BK21))/CG21^2,"No Contingency Table"), "Not Included")</f>
        <v>Not Included</v>
      </c>
      <c r="CK21" s="11" t="str">
        <f>IF(BX21, IF(COUNTIF(Raw!AV21:BK21, "&gt;=0") = 16,(CI21 - CJ21) / (1 - CJ21),"No Contingency Table"), "Not Included")</f>
        <v>Not Included</v>
      </c>
      <c r="CL21" s="11" t="str">
        <f>IF(BQ21, IFERROR(Raw!AV21/SUM(Raw!AV21:AY21), 0), "Not Included")</f>
        <v>Not Included</v>
      </c>
      <c r="CM21" s="11" t="str">
        <f>IF(BQ21, IFERROR(Raw!BA21/SUM(Raw!AZ21:BC21), 0), "Not Included")</f>
        <v>Not Included</v>
      </c>
      <c r="CN21" s="11" t="str">
        <f>IF(BQ21, IFERROR(Raw!BF21/SUM(Raw!BD21:BG21), 0), "Not Included")</f>
        <v>Not Included</v>
      </c>
      <c r="CO21" s="11" t="str">
        <f>IF(BQ21, IFERROR(Raw!BK21/SUM(Raw!BH21:BK21), 0), "Not Included")</f>
        <v>Not Included</v>
      </c>
      <c r="CP21" s="11" t="str">
        <f>IF(BQ21, IFERROR(SUM(Raw!AV21,Raw!AX21,Raw!AY21,Raw!BD21,Raw!BF21,Raw!BG21,Raw!BH21,Raw!BJ21,Raw!BK21)/SUM(Raw!AV21,Raw!AW21,Raw!AX21,Raw!AY21,Raw!BD21,Raw!BE21,Raw!BF21,Raw!BG21,Raw!BH21,Raw!BI21,Raw!BJ21,Raw!BK21), 0), "Not Included")</f>
        <v>Not Included</v>
      </c>
      <c r="CQ21" s="11" t="str">
        <f>IF(BQ21, IFERROR(SUM(Raw!AV21:AX21,Raw!AZ21:BB21,Raw!BD21:BF21)/SUM(Raw!AV21:BF21), 0), "Not Included")</f>
        <v>Not Included</v>
      </c>
      <c r="CR21" s="11" t="str">
        <f>IF(BQ21, IFERROR(SUM(Raw!AV21:AY21), 0), "Not Included")</f>
        <v>Not Included</v>
      </c>
      <c r="CS21" s="11" t="str">
        <f>IF(BQ21, IFERROR(SUM(Raw!AZ21:BC21), 0), "Not Included")</f>
        <v>Not Included</v>
      </c>
      <c r="CT21" s="11" t="str">
        <f>IF(BQ21, IFERROR(SUM(Raw!BD21:BG21), 0), "Not Included")</f>
        <v>Not Included</v>
      </c>
      <c r="CU21" s="11" t="str">
        <f>IF(BQ21, IFERROR(SUM(Raw!BH21:BK21), 0), "Not Included")</f>
        <v>Not Included</v>
      </c>
      <c r="CV21" s="11" t="str">
        <f>IF(BQ21, IFERROR(SUM(Raw!AV21,Raw!AW21,Raw!AX21,Raw!AY21,Raw!BD21,Raw!BE21,Raw!BF21,Raw!BG21,Raw!BH21,Raw!BI21,Raw!BJ21,Raw!BK21), 0), "Not Included")</f>
        <v>Not Included</v>
      </c>
      <c r="CW21" s="11" t="str">
        <f>IF(BQ21, IFERROR(SUM(Raw!AV21:BF21), 0), "Not Included")</f>
        <v>Not Included</v>
      </c>
      <c r="CX21" s="11" t="str">
        <f>IF(BQ21, IFERROR((CR21*SUM(Raw!AV21,Raw!AZ21,Raw!BD21,Raw!BH21))/BS21/CR21, 0), "Not Included")</f>
        <v>Not Included</v>
      </c>
      <c r="CY21" s="11" t="str">
        <f>IF(BX21, IFERROR((CS21*SUM(Raw!BA21,Raw!AW21,Raw!BE21,Raw!BI21))/CG21/CS21, 0), "Not Included")</f>
        <v>Not Included</v>
      </c>
      <c r="CZ21" s="11" t="str">
        <f>IF(BX21, IFERROR((CT21*SUM(Raw!BF21,Raw!AX21,Raw!BB21,Raw!BJ21))/BZ21/CT21, 0), "Not Included")</f>
        <v>Not Included</v>
      </c>
      <c r="DA21" s="11" t="str">
        <f>IF(AY21, IFERROR((CU21*SUM(Raw!AY21,Raw!BC21,Raw!BG21,Raw!BK21))/AT21/CU21, 0), "Not Included")</f>
        <v>Not Included</v>
      </c>
      <c r="DB21" s="11" t="str">
        <f>IF(BX21, IFERROR((CV21*SUM(Raw!AV21,Raw!AX21,Raw!AY21,Raw!AZ21,Raw!BB21,Raw!BC21,Raw!BD21,Raw!BF21,Raw!BG21,Raw!BH21,Raw!BJ21,Raw!BK21))/CG21/CV21,0), "Not Included")</f>
        <v>Not Included</v>
      </c>
      <c r="DC21" s="11" t="str">
        <f>IF(AY21, IFERROR((CW21*SUM(Raw!AV21,Raw!AW21,Raw!AX21,Raw!AZ21,Raw!BA21,Raw!BB21,Raw!BD21,Raw!BE21,Raw!BF21,Raw!BH21,Raw!BI21,Raw!BJ21))/AT21/CW21,0), "Not Included")</f>
        <v>Not Included</v>
      </c>
    </row>
    <row r="22" spans="1:107" ht="12.75" customHeight="1">
      <c r="A22" s="11">
        <f>Raw!D22</f>
        <v>12</v>
      </c>
      <c r="B22" s="11" t="str">
        <f>Raw!A22</f>
        <v>Easterbrooks (1989)</v>
      </c>
      <c r="C22" s="11">
        <f>Raw!G22</f>
        <v>2</v>
      </c>
      <c r="D22" s="11" t="str">
        <f>Raw!E22</f>
        <v>Mother-child</v>
      </c>
      <c r="E22" s="11" t="str">
        <f>CONCATENATE(IF(Raw!I22&lt;='Interval Definitions'!$B$2, 'Interval Definitions'!$A$2, IF(Raw!I22&lt;='Interval Definitions'!$B$3, 'Interval Definitions'!$A$3, IF(Raw!I22&lt;='Interval Definitions'!$B$4, 'Interval Definitions'!$A$4, IF(Raw!I22&lt;='Interval Definitions'!$B$5, 'Interval Definitions'!$A$5, "None")))), " - ", IF(Raw!J22&lt;='Interval Definitions'!$B$2, 'Interval Definitions'!$A$2, IF(Raw!J22&lt;='Interval Definitions'!$B$3, 'Interval Definitions'!$A$3, IF(Raw!J22&lt;='Interval Definitions'!$B$4, 'Interval Definitions'!$A$4, IF(Raw!J22&lt;='Interval Definitions'!$B$5, 'Interval Definitions'!$A$5, "None")))))</f>
        <v>Infancy - Toddlerhood</v>
      </c>
      <c r="F22" s="11" t="b">
        <f>OR(NOT(ISBLANK(Raw!AF22)),NOT(ISBLANK(Raw!AG22)),NOT(ISBLANK(Raw!AH22)),NOT(ISBLANK(Raw!AI22)),COUNTIF(Raw!AA22:AD22, "&gt;=0") = 4)</f>
        <v>1</v>
      </c>
      <c r="G22" s="11" t="str">
        <f>IF(F22, IF(COUNTIF(Raw!AA22:AD22,"&gt;=0") = 4, "Contingency", IF(NOT(ISBLANK(Raw!AF22)), "Paper r", IF(NOT(ISBLANK(Raw!AG22)), "Pinquart", IF(NOT(ISBLANK(Raw!AH22)), "Fraley", "Paper chiSq")))), "Not Included")</f>
        <v>Pinquart</v>
      </c>
      <c r="H22" s="15">
        <f>IF(F22,Raw!AE22,"Not Included")</f>
        <v>57</v>
      </c>
      <c r="I22" s="15" t="str">
        <f>IF(COUNTIF(Raw!AA22:AD22,"&gt;=0") = 4, SUM(Raw!AA22:AD22), "No Contingency Table")</f>
        <v>No Contingency Table</v>
      </c>
      <c r="J22" s="15">
        <f t="shared" si="0"/>
        <v>57</v>
      </c>
      <c r="K22" s="38" t="str">
        <f>IF(F22, IF(COUNTIF(Raw!AA22:AD22,"&gt;=0") = 4, IFERROR((I22*Raw!AA22 - SUM(Raw!AA22,Raw!AB22)*SUM(Raw!AA22,Raw!AD22)) / SQRT((I22*SUM(Raw!AA22,Raw!AB22) - SUM(Raw!AA22,Raw!AB22)^2) * (I22*SUM(Raw!AA22,Raw!AD22) - SUM(Raw!AA22,Raw!AD22)^2)), 0), "No Contingency Table"), "Not Included")</f>
        <v>No Contingency Table</v>
      </c>
      <c r="L22" s="41">
        <f>IF(F22,IF(NOT(ISBLANK(Raw!AF22)), Raw!AF22, IF(NOT(ISBLANK(Raw!AG22)), Raw!AG22, IF(NOT(ISBLANK(Raw!AH22)), Raw!AH22, IF(NOT(ISBLANK(Raw!AI22)), SQRT(Raw!AI22/H22)*Raw!AJ22, "Not Reported")))),"Not Included")</f>
        <v>0.11</v>
      </c>
      <c r="M22" s="43">
        <f t="shared" si="1"/>
        <v>0.11</v>
      </c>
      <c r="N22" s="11" t="str">
        <f t="shared" si="2"/>
        <v>NA</v>
      </c>
      <c r="O22" s="48" t="b">
        <f>OR(NOT(ISBLANK(Raw!AK22)), COUNTIF(Raw!AA22:AD22, "&gt;=0") = 4)</f>
        <v>0</v>
      </c>
      <c r="P22" s="24" t="str">
        <f>IF(O22,IF(COUNTIF(Raw!AA22:AD22,"&gt;=0") = 4,"Contingency", "Paper k"), "Not Included")</f>
        <v>Not Included</v>
      </c>
      <c r="Q22" s="48" t="str">
        <f>IF(O22, IF(COUNTIF(Raw!AA22:AD22,"&gt;=0") = 4,SUM(Raw!AA22,Raw!AC22)/H22,"No Contingency Table"), "Not Included")</f>
        <v>Not Included</v>
      </c>
      <c r="R22" s="38" t="str">
        <f>IF(O22, IF(COUNTIF(Raw!AA22:AD22, "&gt;=0") = 4,SUM(SUM(Raw!AA22,Raw!AB22)*SUM(Raw!AA22,Raw!AD22),SUM(Raw!AC22,Raw!AD22)*SUM(Raw!AC22,Raw!AB22))/H22^2,"No Contingency Table"), "Not Included")</f>
        <v>Not Included</v>
      </c>
      <c r="S22" s="38" t="str">
        <f>IF(O22, IF(COUNTIF(Raw!AA22:AD22,"&gt;=0") = 4, IFERROR((Q22 - R22) / (1 - R22), "Could not calculate"), "No Contingency Table"), "Not Included")</f>
        <v>Not Included</v>
      </c>
      <c r="T22" s="52" t="str">
        <f>IF(O22,IF(NOT(ISBLANK(Raw!AK22)), Raw!AK22, "Not Reported"), "Not Included")</f>
        <v>Not Included</v>
      </c>
      <c r="U22" s="11" t="str">
        <f t="shared" si="3"/>
        <v>Not Included</v>
      </c>
      <c r="V22" s="11" t="str">
        <f t="shared" si="4"/>
        <v>Not Included</v>
      </c>
      <c r="W22" s="11" t="b">
        <f>OR(NOT(ISBLANK(Raw!AU22)),COUNTIF(Raw!AL22:AT22,"&gt;=0") = 9)</f>
        <v>0</v>
      </c>
      <c r="X22" s="11" t="str">
        <f>IF(W22, IF(COUNTIF(Raw!AL22:AT22,"&gt;=0") = 9, "Contingency", "Paper k"), "Not Included")</f>
        <v>Not Included</v>
      </c>
      <c r="Y22" s="11" t="str">
        <f>IF(W22,IF(COUNTIF(Raw!AL22:AT22,"&gt;=0") = 9,SUM(Raw!AL22:AT22),"No Contingency Table"),"Not Included")</f>
        <v>Not Included</v>
      </c>
      <c r="Z22" s="11" t="str">
        <f t="shared" si="5"/>
        <v>Not Included</v>
      </c>
      <c r="AA22" s="11" t="str">
        <f>IF(W22,IF(COUNTIF(Raw!AL22:AT22,"&gt;=0") = 9,SUM(Raw!AL22,Raw!AP22,Raw!AT22)/Y22,"No Contingency Table"), "Not Included")</f>
        <v>Not Included</v>
      </c>
      <c r="AB22" s="11" t="str">
        <f>IF(W22,IF(COUNTIF(Raw!AL22:AT22,"&gt;=0") = 9,SUM(SUM(Raw!AL22,Raw!AM22,Raw!AN22)*SUM(Raw!AL22,Raw!AO22,Raw!AR22),SUM(Raw!AO22,Raw!AP22,Raw!AQ22)*SUM(Raw!AM22,Raw!AP22,Raw!AS22),SUM(Raw!AR22,Raw!AS22,Raw!AT22)*SUM(Raw!AN22,Raw!AQ22,Raw!AT22))/Y22^2,"No Contingency Table"), "Not Included")</f>
        <v>Not Included</v>
      </c>
      <c r="AC22" s="11" t="str">
        <f>IF(W22,IF(COUNTIF(Raw!AL22:AT22,"&gt;=0") = 9,(AA22 - AB22) / (1 - AB22),"No Contingency Table"), "Not Included")</f>
        <v>Not Included</v>
      </c>
      <c r="AD22" s="11" t="str">
        <f>IF(W22, IF(NOT(ISBLANK(Raw!AU22)),Raw!AU22,"Not Reported"), "Not Included")</f>
        <v>Not Included</v>
      </c>
      <c r="AE22" s="11" t="str">
        <f t="shared" si="6"/>
        <v>Not Included</v>
      </c>
      <c r="AF22" s="11" t="str">
        <f t="shared" si="7"/>
        <v>Not Included</v>
      </c>
      <c r="AG22" s="11" t="b">
        <f>COUNTIF(Raw!AV22:BK22, "&gt;=0") = 16</f>
        <v>0</v>
      </c>
      <c r="AH22" s="11" t="str">
        <f>IF(AG22, IF(COUNTIF(Raw!AV22:BK22,"&gt;=0") = 16, "Contingency", "Paper k"), "Not Included")</f>
        <v>Not Included</v>
      </c>
      <c r="AI22" s="11" t="str">
        <f>IF(AG22,IF(COUNTIF(Raw!AV22:BK22,"&gt;=0") = 16,SUM(Raw!AV22:BK22),"No Contingency Table"),"Not Included")</f>
        <v>Not Included</v>
      </c>
      <c r="AJ22" s="15">
        <f t="shared" si="8"/>
        <v>57</v>
      </c>
      <c r="AK22" s="11" t="str">
        <f>IF(AG22,IF(COUNTIF(Raw!AV22:BK22,"&gt;=0") = 16,SUM(Raw!AV22,Raw!BA22,Raw!BF22,Raw!BK22)/AI22,"No Contingency Table"), "Not Included")</f>
        <v>Not Included</v>
      </c>
      <c r="AL22" s="11" t="str">
        <f>IF(AG22,IF(COUNTIF(Raw!AV22:BK22,"&gt;=0") = 16,SUM(SUM(Raw!AV22,Raw!AW22,Raw!AX22,Raw!AY22)*SUM(Raw!AV22,Raw!AZ22,Raw!BD22,Raw!BH22),SUM(Raw!AZ22,Raw!BA22,Raw!BB22,Raw!BC22)*SUM(Raw!AW22,Raw!BA22,Raw!BE22,Raw!BI22),SUM(Raw!BD22,Raw!BE22,Raw!BF22,Raw!BG22)*SUM(Raw!AX22,Raw!BB22,Raw!BF22,Raw!BJ22),SUM(Raw!BH22,Raw!BI22,Raw!BJ22,Raw!BK22)*SUM(Raw!AY22,Raw!BC22,Raw!BG22,Raw!BK22))/AI22^2,"No Contingency Table"), "Not Included")</f>
        <v>Not Included</v>
      </c>
      <c r="AM22" s="11" t="str">
        <f>IF(AG22,IF(COUNTIF(Raw!AV22:BK22,"&gt;=0") = 16,(AK22 - AL22) / (1 - AL22),"No Contingency Table"), "Not Included")</f>
        <v>Not Included</v>
      </c>
      <c r="AN22" s="11" t="str">
        <f>IF(NOT(ISBLANK(Raw!BL22)),Raw!BL22,"Not Reported")</f>
        <v>Not Reported</v>
      </c>
      <c r="AO22" s="11" t="str">
        <f t="shared" si="9"/>
        <v>Not Reported</v>
      </c>
      <c r="AP22" s="11" t="str">
        <f t="shared" si="10"/>
        <v>Not Included</v>
      </c>
      <c r="AQ22" s="11" t="b">
        <f t="shared" ref="AQ22:AR22" si="99">BQ22</f>
        <v>0</v>
      </c>
      <c r="AR22" s="11" t="str">
        <f t="shared" si="99"/>
        <v>Not Included</v>
      </c>
      <c r="AS22" s="11" t="str">
        <f t="shared" si="12"/>
        <v>Not Included</v>
      </c>
      <c r="AT22" s="11" t="str">
        <f t="shared" si="13"/>
        <v>Not Included</v>
      </c>
      <c r="AU22" s="11" t="str">
        <f>IF(AQ22, IF(COUNTIF(Raw!AV22:BK22, "&gt;=0") = 16, IFERROR((AT22*Raw!BK22 - SUM(Raw!BH22, Raw!BI22, Raw!BJ22, Raw!BK22)*SUM(Raw!AY22, Raw!BC22, Raw!BG22, Raw!BK22)) / SQRT((AT22*SUM(Raw!BH22, Raw!BI22, Raw!BJ22, Raw!BK22) - SUM(Raw!BH22, Raw!BI22, Raw!BJ22, Raw!BK22)^2) * (AT22*SUM(Raw!AY22, Raw!BC22, Raw!BG22, Raw!BK22) - SUM(Raw!AY22, Raw!BC22, Raw!BG22, Raw!BK22)^2)), 0), "No Contingency Table"), "Not Included")</f>
        <v>Not Included</v>
      </c>
      <c r="AV22" s="11" t="str">
        <f>IF(AQ22,IF(NOT(ISBLANK(Raw!BQ22)), Raw!BQ22, IF(NOT(ISBLANK(Raw!BR22)), Raw!BR22, "Not Reported")), "Not Included")</f>
        <v>Not Included</v>
      </c>
      <c r="AW22" s="57" t="str">
        <f t="shared" si="14"/>
        <v>Not Included</v>
      </c>
      <c r="AX22" s="11" t="str">
        <f t="shared" si="15"/>
        <v>Not Included</v>
      </c>
      <c r="AY22" s="11" t="b">
        <f t="shared" ref="AY22:AZ22" si="100">AQ22</f>
        <v>0</v>
      </c>
      <c r="AZ22" s="11" t="str">
        <f t="shared" si="100"/>
        <v>Not Included</v>
      </c>
      <c r="BA22" s="11" t="str">
        <f>IF(AY22, IF(COUNTIF(Raw!AV22:BK22, "&gt;=0") = 16, SUM(Raw!AV22,Raw!AW22,Raw!AX22,Raw!AZ22,Raw!BA22,Raw!BB22,Raw!BD22,Raw!BE22,Raw!BF22,Raw!BK22)/SUM(Raw!AV22:BK22), "No Contingency Table"), "Not Included")</f>
        <v>Not Included</v>
      </c>
      <c r="BB22" s="11" t="str">
        <f>IF(AY22, IF(COUNTIF(Raw!AV22:BK22, "&gt;=0") = 16,SUM(SUM(Raw!BH22,Raw!BI22,Raw!BJ22,Raw!BK22)*SUM(Raw!AY22,Raw!BC22,Raw!BG22,Raw!BK22),SUM(Raw!AV22:BG22)*SUM(Raw!AV22,Raw!AW22,Raw!AX22,Raw!AZ22,Raw!BA22,Raw!BB22,Raw!BD22,Raw!BE22,Raw!BF22,Raw!BH22,Raw!BI22,Raw!BJ22))/AT22^2,"No Contingency Table"), "Not Included")</f>
        <v>Not Included</v>
      </c>
      <c r="BC22" s="11" t="str">
        <f>IF(AY22, IF(COUNTIF(Raw!AV22:BK22, "&gt;=0") = 16,(BA22-BB22) / (1 - BB22),"No Contingency Table"), "Not Included")</f>
        <v>Not Included</v>
      </c>
      <c r="BD22" s="11" t="str">
        <f>IF(AY22,IF(NOT(ISBLANK(Raw!BT43)),Raw!BT43,"Not Reported"),"Not Included")</f>
        <v>Not Included</v>
      </c>
      <c r="BE22" s="11" t="str">
        <f t="shared" si="17"/>
        <v>Not Included</v>
      </c>
      <c r="BF22" s="11" t="str">
        <f t="shared" si="18"/>
        <v>Not Included</v>
      </c>
      <c r="BG22" s="11">
        <f>Raw!K22</f>
        <v>1989</v>
      </c>
      <c r="BH22" s="11" t="str">
        <f>IF(Raw!L22 = "USA","USA","Non-USA")</f>
        <v>USA</v>
      </c>
      <c r="BI22" s="11" t="str">
        <f>Raw!M22</f>
        <v>Ainsworth/Ainsworth</v>
      </c>
      <c r="BJ22" s="11">
        <f>Raw!N22</f>
        <v>1</v>
      </c>
      <c r="BK22" s="11">
        <f>Raw!P22</f>
        <v>0</v>
      </c>
      <c r="BL22" s="11">
        <f>Raw!Q22</f>
        <v>0</v>
      </c>
      <c r="BM22" s="11">
        <f>Raw!T22</f>
        <v>1</v>
      </c>
      <c r="BN22" s="11" t="str">
        <f>IFERROR(IF(AND(ISBLANK(Raw!U22), ISBLANK(Raw!V22), ISBLANK(Raw!W22), ISBLANK(Raw!X22)), "NA", IF(OR(NOT(ISBLANK(Raw!U22)), NOT(ISBLANK(Raw!W22))), AVERAGE(Raw!U22,Raw!W22), AVERAGE(Raw!V22,Raw!X22) + IF(Raw!Y22 = "2-way", R22, IF(Raw!Y22 = "3-way", AB22, IF(Raw!Y22 = "4-way", AL22, "NA")))*(1 - AVERAGE(Raw!V22,Raw!X22)))), "NA")</f>
        <v>NA</v>
      </c>
      <c r="BO22" s="11">
        <f>Raw!O22</f>
        <v>0</v>
      </c>
      <c r="BP22" s="11" t="str">
        <f>Raw!F22</f>
        <v>Female</v>
      </c>
      <c r="BQ22" s="11" t="b">
        <f>COUNTIF(Raw!AV22:BK22, "&gt;=0") = 16</f>
        <v>0</v>
      </c>
      <c r="BR22" s="11" t="str">
        <f t="shared" si="19"/>
        <v>Not Included</v>
      </c>
      <c r="BS22" s="11" t="str">
        <f t="shared" si="20"/>
        <v>Not Included</v>
      </c>
      <c r="BT22" s="11" t="str">
        <f>IF(BQ22, IF(COUNTIF(Raw!AV22:BK22, "&gt;=0") = 16, IFERROR((BS22*Raw!AV22 - SUM(Raw!AV22, Raw!AW22, Raw!AX22, Raw!AY22)*SUM(Raw!AV22, Raw!AZ22, Raw!BD22, Raw!BH22)) / SQRT((BS22*SUM(Raw!AV22, Raw!AW22, Raw!AX22, Raw!AY22) - SUM(Raw!AV22, Raw!AW22, Raw!AX22, Raw!AY22)^2) * (BS22*SUM(Raw!AV22, Raw!AZ22, Raw!BD22, Raw!BH22) - SUM(Raw!AV22, Raw!AZ22, Raw!BD22, Raw!BH22)^2)), 0), "No Contingency Table"), "Not Included")</f>
        <v>Not Included</v>
      </c>
      <c r="BU22" s="11" t="str">
        <f>IF(BQ22, IF(COUNTIF(Raw!AV22:BK22, "&gt;=0") = 16, SUM(Raw!BK22,Raw!BJ22,Raw!BI22,Raw!BG22,Raw!BF22,Raw!BE22,Raw!BC22,Raw!BB22,Raw!BA22,Raw!AV22)/SUM(Raw!AV22:BK22), "No Contingency Table"), "Not Included")</f>
        <v>Not Included</v>
      </c>
      <c r="BV22" s="11" t="str">
        <f>IF(BQ22, IF(COUNTIF(Raw!AV22:BK22, "&gt;=0") = 16,SUM(SUM(Raw!AV22,Raw!AW22,Raw!AX22,Raw!AY22)*SUM(Raw!AV22,Raw!AZ22,Raw!BD22,Raw!BH22),SUM(Raw!AZ22:BK22)*SUM(Raw!AW22,Raw!AX22,Raw!AY22,Raw!BA22,Raw!BB22,Raw!BC22,Raw!BE22,Raw!BF22,Raw!BG22,Raw!BI22,Raw!BJ22,Raw!BK22))/BS22^2,"No Contingency Table"), "Not Included")</f>
        <v>Not Included</v>
      </c>
      <c r="BW22" s="11" t="str">
        <f>IF(BQ22, IF(COUNTIF(Raw!AV22:BK22, "&gt;=0") = 16,(BU22-BV22) / (1 - BV22),"No Contingency Table"), "Not Included")</f>
        <v>Not Included</v>
      </c>
      <c r="BX22" s="11" t="b">
        <f t="shared" ref="BX22:BZ22" si="101">BQ22</f>
        <v>0</v>
      </c>
      <c r="BY22" s="11" t="str">
        <f t="shared" si="101"/>
        <v>Not Included</v>
      </c>
      <c r="BZ22" s="11" t="str">
        <f t="shared" si="101"/>
        <v>Not Included</v>
      </c>
      <c r="CA22" s="11" t="str">
        <f>IF(BX22, IF(COUNTIF(Raw!AV22:BK22, "&gt;=0") = 16, IFERROR((BZ22*Raw!BF22 - SUM(Raw!BD22, Raw!BE22, Raw!BF22, Raw!BG22)*SUM(Raw!BF22, Raw!AX22, Raw!BB22, Raw!BJ22)) / SQRT((BZ22*SUM(Raw!BD22, Raw!BE22, Raw!BF22, Raw!BG22) - SUM(Raw!BD22, Raw!BE22, Raw!BF22, Raw!BG22)^2) * (BZ22*SUM(Raw!BF22, Raw!AX22, Raw!BB22, Raw!BJ22) - SUM(Raw!BF22, Raw!AX22, Raw!BB22, Raw!BJ22)^2)), 0), "No Contingency Table"), "Not Included")</f>
        <v>Not Included</v>
      </c>
      <c r="CB22" s="11" t="str">
        <f>IF(BX22, IF(COUNTIF(Raw!AV22:BK22, "&gt;=0") = 16, SUM(Raw!AV22,Raw!AW22,Raw!AY22,Raw!AZ22,Raw!BA22,Raw!BC22,Raw!BF22,Raw!BH22,Raw!BI22,Raw!BK22) / SUM(Raw!AV22:BK22), "No Contingency Table"), "Not Included")</f>
        <v>Not Included</v>
      </c>
      <c r="CC22" s="11" t="str">
        <f>IF(BX22, IF(COUNTIF(Raw!AV22:BK22, "&gt;=0") = 16,SUM(SUM(Raw!BD22,Raw!BE22,Raw!BF22,Raw!BG22)*SUM(Raw!BF22,Raw!AX22,Raw!BB22,Raw!BJ22),SUM(Raw!AV22:BC22,Raw!BH22:BK22)*SUM(Raw!AV22,Raw!AW22,Raw!AY22,Raw!AZ22,Raw!BA22,Raw!BC22,Raw!BD22,Raw!BE22,Raw!BG22,Raw!BH22,Raw!BI22,Raw!BK22))/BZ22^2,"No Contingency Table"), "Not Included")</f>
        <v>Not Included</v>
      </c>
      <c r="CD22" s="11" t="str">
        <f>IF(BX22, IF(COUNTIF(Raw!AV22:BK22, "&gt;=0") = 16,(CB22 - CC22) / (1 - CC22+0.000001),"No Contingency Table"), "Not Included")</f>
        <v>Not Included</v>
      </c>
      <c r="CE22" s="11" t="b">
        <f t="shared" ref="CE22:CG22" si="102">BQ22</f>
        <v>0</v>
      </c>
      <c r="CF22" s="11" t="str">
        <f t="shared" si="102"/>
        <v>Not Included</v>
      </c>
      <c r="CG22" s="11" t="str">
        <f t="shared" si="102"/>
        <v>Not Included</v>
      </c>
      <c r="CH22" s="11" t="str">
        <f>IF(CE22, IF(COUNTIF(Raw!AV22:BK22, "&gt;=0") = 16, IFERROR((CG22*Raw!BA22 - SUM(Raw!BA22, Raw!AZ22, Raw!BB22, Raw!BC22)*SUM(Raw!BA22, Raw!AW22, Raw!BE22, Raw!BI22)) / SQRT((CG22*SUM(Raw!BA22, Raw!AZ22, Raw!BB22, Raw!BC22) - SUM(Raw!BA22, Raw!AZ22, Raw!BB22, Raw!BC22)^2) * (CG22*SUM(Raw!BA22, Raw!AW22, Raw!BE22, Raw!BI22) - SUM(Raw!BA22, Raw!AW22, Raw!BE22, Raw!BI22)^2)), 0), "No Contingency Table"), "Not Included")</f>
        <v>Not Included</v>
      </c>
      <c r="CI22" s="11" t="str">
        <f>IF(CE22, IF(COUNTIF(Raw!AV22:BK22, "&gt;=0") = 16, SUM(Raw!AV22,Raw!AX22,Raw!AY22,Raw!BA22,Raw!BD22,Raw!BF22,Raw!BG22,Raw!BH22,Raw!BJ22,Raw!BK22) / SUM(Raw!AV22:BK22), "No Contingency Table"), "Not Included")</f>
        <v>Not Included</v>
      </c>
      <c r="CJ22" s="61" t="str">
        <f>IF(BX22, IF(COUNTIF(Raw!AV22:BK22, "&gt;=0") = 16,SUM(SUM(Raw!AZ22,Raw!BA22,Raw!BB22,Raw!BC22)*SUM(Raw!BA22,Raw!AW22,Raw!BE22,Raw!BI22),SUM(Raw!AV22:AY22,Raw!BD22:BK22)*SUM(Raw!AV22,Raw!AX22,Raw!AY22,Raw!AZ22,Raw!BB22,Raw!BC22,Raw!BD22,Raw!BF22,Raw!BG22,Raw!BH22,Raw!BJ22,Raw!BK22))/CG22^2,"No Contingency Table"), "Not Included")</f>
        <v>Not Included</v>
      </c>
      <c r="CK22" s="11" t="str">
        <f>IF(BX22, IF(COUNTIF(Raw!AV22:BK22, "&gt;=0") = 16,(CI22 - CJ22) / (1 - CJ22),"No Contingency Table"), "Not Included")</f>
        <v>Not Included</v>
      </c>
      <c r="CL22" s="11" t="str">
        <f>IF(BQ22, IFERROR(Raw!AV22/SUM(Raw!AV22:AY22), 0), "Not Included")</f>
        <v>Not Included</v>
      </c>
      <c r="CM22" s="11" t="str">
        <f>IF(BQ22, IFERROR(Raw!BA22/SUM(Raw!AZ22:BC22), 0), "Not Included")</f>
        <v>Not Included</v>
      </c>
      <c r="CN22" s="11" t="str">
        <f>IF(BQ22, IFERROR(Raw!BF22/SUM(Raw!BD22:BG22), 0), "Not Included")</f>
        <v>Not Included</v>
      </c>
      <c r="CO22" s="11" t="str">
        <f>IF(BQ22, IFERROR(Raw!BK22/SUM(Raw!BH22:BK22), 0), "Not Included")</f>
        <v>Not Included</v>
      </c>
      <c r="CP22" s="11" t="str">
        <f>IF(BQ22, IFERROR(SUM(Raw!AV22,Raw!AX22,Raw!AY22,Raw!BD22,Raw!BF22,Raw!BG22,Raw!BH22,Raw!BJ22,Raw!BK22)/SUM(Raw!AV22,Raw!AW22,Raw!AX22,Raw!AY22,Raw!BD22,Raw!BE22,Raw!BF22,Raw!BG22,Raw!BH22,Raw!BI22,Raw!BJ22,Raw!BK22), 0), "Not Included")</f>
        <v>Not Included</v>
      </c>
      <c r="CQ22" s="11" t="str">
        <f>IF(BQ22, IFERROR(SUM(Raw!AV22:AX22,Raw!AZ22:BB22,Raw!BD22:BF22)/SUM(Raw!AV22:BF22), 0), "Not Included")</f>
        <v>Not Included</v>
      </c>
      <c r="CR22" s="11" t="str">
        <f>IF(BQ22, IFERROR(SUM(Raw!AV22:AY22), 0), "Not Included")</f>
        <v>Not Included</v>
      </c>
      <c r="CS22" s="11" t="str">
        <f>IF(BQ22, IFERROR(SUM(Raw!AZ22:BC22), 0), "Not Included")</f>
        <v>Not Included</v>
      </c>
      <c r="CT22" s="11" t="str">
        <f>IF(BQ22, IFERROR(SUM(Raw!BD22:BG22), 0), "Not Included")</f>
        <v>Not Included</v>
      </c>
      <c r="CU22" s="11" t="str">
        <f>IF(BQ22, IFERROR(SUM(Raw!BH22:BK22), 0), "Not Included")</f>
        <v>Not Included</v>
      </c>
      <c r="CV22" s="11" t="str">
        <f>IF(BQ22, IFERROR(SUM(Raw!AV22,Raw!AW22,Raw!AX22,Raw!AY22,Raw!BD22,Raw!BE22,Raw!BF22,Raw!BG22,Raw!BH22,Raw!BI22,Raw!BJ22,Raw!BK22), 0), "Not Included")</f>
        <v>Not Included</v>
      </c>
      <c r="CW22" s="11" t="str">
        <f>IF(BQ22, IFERROR(SUM(Raw!AV22:BF22), 0), "Not Included")</f>
        <v>Not Included</v>
      </c>
      <c r="CX22" s="11" t="str">
        <f>IF(BQ22, IFERROR((CR22*SUM(Raw!AV22,Raw!AZ22,Raw!BD22,Raw!BH22))/BS22/CR22, 0), "Not Included")</f>
        <v>Not Included</v>
      </c>
      <c r="CY22" s="11" t="str">
        <f>IF(BX22, IFERROR((CS22*SUM(Raw!BA22,Raw!AW22,Raw!BE22,Raw!BI22))/CG22/CS22, 0), "Not Included")</f>
        <v>Not Included</v>
      </c>
      <c r="CZ22" s="11" t="str">
        <f>IF(BX22, IFERROR((CT22*SUM(Raw!BF22,Raw!AX22,Raw!BB22,Raw!BJ22))/BZ22/CT22, 0), "Not Included")</f>
        <v>Not Included</v>
      </c>
      <c r="DA22" s="11" t="str">
        <f>IF(AY22, IFERROR((CU22*SUM(Raw!AY22,Raw!BC22,Raw!BG22,Raw!BK22))/AT22/CU22, 0), "Not Included")</f>
        <v>Not Included</v>
      </c>
      <c r="DB22" s="11" t="str">
        <f>IF(BX22, IFERROR((CV22*SUM(Raw!AV22,Raw!AX22,Raw!AY22,Raw!AZ22,Raw!BB22,Raw!BC22,Raw!BD22,Raw!BF22,Raw!BG22,Raw!BH22,Raw!BJ22,Raw!BK22))/CG22/CV22,0), "Not Included")</f>
        <v>Not Included</v>
      </c>
      <c r="DC22" s="11" t="str">
        <f>IF(AY22, IFERROR((CW22*SUM(Raw!AV22,Raw!AW22,Raw!AX22,Raw!AZ22,Raw!BA22,Raw!BB22,Raw!BD22,Raw!BE22,Raw!BF22,Raw!BH22,Raw!BI22,Raw!BJ22))/AT22/CW22,0), "Not Included")</f>
        <v>Not Included</v>
      </c>
    </row>
    <row r="23" spans="1:107" ht="12.75" customHeight="1">
      <c r="A23" s="11">
        <f>Raw!D23</f>
        <v>13</v>
      </c>
      <c r="B23" s="11" t="str">
        <f>Raw!A23</f>
        <v>Fish (2004)</v>
      </c>
      <c r="C23" s="11">
        <f>Raw!G23</f>
        <v>1</v>
      </c>
      <c r="D23" s="11" t="str">
        <f>Raw!E23</f>
        <v>Single sample</v>
      </c>
      <c r="E23" s="11" t="str">
        <f>CONCATENATE(IF(Raw!I23&lt;='Interval Definitions'!$B$2, 'Interval Definitions'!$A$2, IF(Raw!I23&lt;='Interval Definitions'!$B$3, 'Interval Definitions'!$A$3, IF(Raw!I23&lt;='Interval Definitions'!$B$4, 'Interval Definitions'!$A$4, IF(Raw!I23&lt;='Interval Definitions'!$B$5, 'Interval Definitions'!$A$5, "None")))), " - ", IF(Raw!J23&lt;='Interval Definitions'!$B$2, 'Interval Definitions'!$A$2, IF(Raw!J23&lt;='Interval Definitions'!$B$3, 'Interval Definitions'!$A$3, IF(Raw!J23&lt;='Interval Definitions'!$B$4, 'Interval Definitions'!$A$4, IF(Raw!J23&lt;='Interval Definitions'!$B$5, 'Interval Definitions'!$A$5, "None")))))</f>
        <v>Infancy - Preschool</v>
      </c>
      <c r="F23" s="11" t="b">
        <f>OR(NOT(ISBLANK(Raw!AF23)),NOT(ISBLANK(Raw!AG23)),NOT(ISBLANK(Raw!AH23)),NOT(ISBLANK(Raw!AI23)),COUNTIF(Raw!AA23:AD23, "&gt;=0") = 4)</f>
        <v>1</v>
      </c>
      <c r="G23" s="11" t="str">
        <f>IF(F23, IF(COUNTIF(Raw!AA23:AD23,"&gt;=0") = 4, "Contingency", IF(NOT(ISBLANK(Raw!AF23)), "Paper r", IF(NOT(ISBLANK(Raw!AG23)), "Pinquart", IF(NOT(ISBLANK(Raw!AH23)), "Fraley", "Paper chiSq")))), "Not Included")</f>
        <v>Contingency</v>
      </c>
      <c r="H23" s="15">
        <f>IF(F23,Raw!AE23,"Not Included")</f>
        <v>82</v>
      </c>
      <c r="I23" s="15">
        <f>IF(COUNTIF(Raw!AA23:AD23,"&gt;=0") = 4, SUM(Raw!AA23:AD23), "No Contingency Table")</f>
        <v>82</v>
      </c>
      <c r="J23" s="15">
        <f t="shared" si="0"/>
        <v>82</v>
      </c>
      <c r="K23" s="38">
        <f>IF(F23, IF(COUNTIF(Raw!AA23:AD23,"&gt;=0") = 4, IFERROR((I23*Raw!AA23 - SUM(Raw!AA23,Raw!AB23)*SUM(Raw!AA23,Raw!AD23)) / SQRT((I23*SUM(Raw!AA23,Raw!AB23) - SUM(Raw!AA23,Raw!AB23)^2) * (I23*SUM(Raw!AA23,Raw!AD23) - SUM(Raw!AA23,Raw!AD23)^2)), 0), "No Contingency Table"), "Not Included")</f>
        <v>0.23930928234769716</v>
      </c>
      <c r="L23" s="41">
        <f>IF(F23,IF(NOT(ISBLANK(Raw!AF23)), Raw!AF23, IF(NOT(ISBLANK(Raw!AG23)), Raw!AG23, IF(NOT(ISBLANK(Raw!AH23)), Raw!AH23, IF(NOT(ISBLANK(Raw!AI23)), SQRT(Raw!AI23/H23)*Raw!AJ23, "Not Reported")))),"Not Included")</f>
        <v>0.23940984351260855</v>
      </c>
      <c r="M23" s="43">
        <f t="shared" si="1"/>
        <v>0.23930928234769716</v>
      </c>
      <c r="N23" s="11">
        <f t="shared" si="2"/>
        <v>1</v>
      </c>
      <c r="O23" s="48" t="b">
        <f>OR(NOT(ISBLANK(Raw!AK23)), COUNTIF(Raw!AA23:AD23, "&gt;=0") = 4)</f>
        <v>1</v>
      </c>
      <c r="P23" s="24" t="str">
        <f>IF(O23,IF(COUNTIF(Raw!AA23:AD23,"&gt;=0") = 4,"Contingency", "Paper k"), "Not Included")</f>
        <v>Contingency</v>
      </c>
      <c r="Q23" s="48">
        <f>IF(O23, IF(COUNTIF(Raw!AA23:AD23,"&gt;=0") = 4,SUM(Raw!AA23,Raw!AC23)/H23,"No Contingency Table"), "Not Included")</f>
        <v>0.62195121951219512</v>
      </c>
      <c r="R23" s="38">
        <f>IF(O23, IF(COUNTIF(Raw!AA23:AD23, "&gt;=0") = 4,SUM(SUM(Raw!AA23,Raw!AB23)*SUM(Raw!AA23,Raw!AD23),SUM(Raw!AC23,Raw!AD23)*SUM(Raw!AC23,Raw!AB23))/H23^2,"No Contingency Table"), "Not Included")</f>
        <v>0.50535395597858412</v>
      </c>
      <c r="S23" s="38">
        <f>IF(O23, IF(COUNTIF(Raw!AA23:AD23,"&gt;=0") = 4, IFERROR((Q23 - R23) / (1 - R23), "Could not calculate"), "No Contingency Table"), "Not Included")</f>
        <v>0.23571858087793152</v>
      </c>
      <c r="T23" s="52">
        <f>IF(O23,IF(NOT(ISBLANK(Raw!AK23)), Raw!AK23, "Not Reported"), "Not Included")</f>
        <v>0.24</v>
      </c>
      <c r="U23" s="38">
        <f t="shared" si="3"/>
        <v>0.23571858087793152</v>
      </c>
      <c r="V23" s="11">
        <f t="shared" si="4"/>
        <v>1</v>
      </c>
      <c r="W23" s="11" t="b">
        <f>OR(NOT(ISBLANK(Raw!AU23)),COUNTIF(Raw!AL23:AT23,"&gt;=0") = 9)</f>
        <v>0</v>
      </c>
      <c r="X23" s="11" t="str">
        <f>IF(W23, IF(COUNTIF(Raw!AL23:AT23,"&gt;=0") = 9, "Contingency", "Paper k"), "Not Included")</f>
        <v>Not Included</v>
      </c>
      <c r="Y23" s="11" t="str">
        <f>IF(W23,IF(COUNTIF(Raw!AL23:AT23,"&gt;=0") = 9,SUM(Raw!AL23:AT23),"No Contingency Table"),"Not Included")</f>
        <v>Not Included</v>
      </c>
      <c r="Z23" s="11" t="str">
        <f t="shared" si="5"/>
        <v>Not Included</v>
      </c>
      <c r="AA23" s="11" t="str">
        <f>IF(W23,IF(COUNTIF(Raw!AL23:AT23,"&gt;=0") = 9,SUM(Raw!AL23,Raw!AP23,Raw!AT23)/Y23,"No Contingency Table"), "Not Included")</f>
        <v>Not Included</v>
      </c>
      <c r="AB23" s="11" t="str">
        <f>IF(W23,IF(COUNTIF(Raw!AL23:AT23,"&gt;=0") = 9,SUM(SUM(Raw!AL23,Raw!AM23,Raw!AN23)*SUM(Raw!AL23,Raw!AO23,Raw!AR23),SUM(Raw!AO23,Raw!AP23,Raw!AQ23)*SUM(Raw!AM23,Raw!AP23,Raw!AS23),SUM(Raw!AR23,Raw!AS23,Raw!AT23)*SUM(Raw!AN23,Raw!AQ23,Raw!AT23))/Y23^2,"No Contingency Table"), "Not Included")</f>
        <v>Not Included</v>
      </c>
      <c r="AC23" s="11" t="str">
        <f>IF(W23,IF(COUNTIF(Raw!AL23:AT23,"&gt;=0") = 9,(AA23 - AB23) / (1 - AB23),"No Contingency Table"), "Not Included")</f>
        <v>Not Included</v>
      </c>
      <c r="AD23" s="11" t="str">
        <f>IF(W23, IF(NOT(ISBLANK(Raw!AU23)),Raw!AU23,"Not Reported"), "Not Included")</f>
        <v>Not Included</v>
      </c>
      <c r="AE23" s="11" t="str">
        <f t="shared" si="6"/>
        <v>Not Included</v>
      </c>
      <c r="AF23" s="11" t="str">
        <f t="shared" si="7"/>
        <v>Not Included</v>
      </c>
      <c r="AG23" s="11" t="b">
        <f>COUNTIF(Raw!AV23:BK23, "&gt;=0") = 16</f>
        <v>1</v>
      </c>
      <c r="AH23" s="11" t="str">
        <f>IF(AG23, IF(COUNTIF(Raw!AV23:BK23,"&gt;=0") = 16, "Contingency", "Paper k"), "Not Included")</f>
        <v>Contingency</v>
      </c>
      <c r="AI23" s="15">
        <f>IF(AG23,IF(COUNTIF(Raw!AV23:BK23,"&gt;=0") = 16,SUM(Raw!AV23:BK23),"No Contingency Table"),"Not Included")</f>
        <v>82</v>
      </c>
      <c r="AJ23" s="15">
        <f t="shared" si="8"/>
        <v>82</v>
      </c>
      <c r="AK23" s="11">
        <f>IF(AG23,IF(COUNTIF(Raw!AV23:BK23,"&gt;=0") = 16,SUM(Raw!AV23,Raw!BA23,Raw!BF23,Raw!BK23)/AI23,"No Contingency Table"), "Not Included")</f>
        <v>0.45121951219512196</v>
      </c>
      <c r="AL23" s="11">
        <f>IF(AG23,IF(COUNTIF(Raw!AV23:BK23,"&gt;=0") = 16,SUM(SUM(Raw!AV23,Raw!AW23,Raw!AX23,Raw!AY23)*SUM(Raw!AV23,Raw!AZ23,Raw!BD23,Raw!BH23),SUM(Raw!AZ23,Raw!BA23,Raw!BB23,Raw!BC23)*SUM(Raw!AW23,Raw!BA23,Raw!BE23,Raw!BI23),SUM(Raw!BD23,Raw!BE23,Raw!BF23,Raw!BG23)*SUM(Raw!AX23,Raw!BB23,Raw!BF23,Raw!BJ23),SUM(Raw!BH23,Raw!BI23,Raw!BJ23,Raw!BK23)*SUM(Raw!AY23,Raw!BC23,Raw!BG23,Raw!BK23))/AI23^2,"No Contingency Table"), "Not Included")</f>
        <v>0.39217727543129088</v>
      </c>
      <c r="AM23" s="11">
        <f>IF(AG23,IF(COUNTIF(Raw!AV23:BK23,"&gt;=0") = 16,(AK23 - AL23) / (1 - AL23),"No Contingency Table"), "Not Included")</f>
        <v>9.7137264497186238E-2</v>
      </c>
      <c r="AN23" s="11" t="str">
        <f>IF(NOT(ISBLANK(Raw!BL23)),Raw!BL23,"Not Reported")</f>
        <v>Not Reported</v>
      </c>
      <c r="AO23" s="11">
        <f t="shared" si="9"/>
        <v>9.7137264497186238E-2</v>
      </c>
      <c r="AP23" s="11" t="str">
        <f t="shared" si="10"/>
        <v>NA</v>
      </c>
      <c r="AQ23" s="11" t="b">
        <f t="shared" ref="AQ23:AR23" si="103">BQ23</f>
        <v>1</v>
      </c>
      <c r="AR23" s="11" t="str">
        <f t="shared" si="103"/>
        <v>Contingency</v>
      </c>
      <c r="AS23" s="15">
        <f t="shared" si="12"/>
        <v>82</v>
      </c>
      <c r="AT23" s="15">
        <f t="shared" si="13"/>
        <v>82</v>
      </c>
      <c r="AU23" s="11">
        <f>IF(AQ23, IF(COUNTIF(Raw!AV23:BK23, "&gt;=0") = 16, IFERROR((AT23*Raw!BK23 - SUM(Raw!BH23, Raw!BI23, Raw!BJ23, Raw!BK23)*SUM(Raw!AY23, Raw!BC23, Raw!BG23, Raw!BK23)) / SQRT((AT23*SUM(Raw!BH23, Raw!BI23, Raw!BJ23, Raw!BK23) - SUM(Raw!BH23, Raw!BI23, Raw!BJ23, Raw!BK23)^2) * (AT23*SUM(Raw!AY23, Raw!BC23, Raw!BG23, Raw!BK23) - SUM(Raw!AY23, Raw!BC23, Raw!BG23, Raw!BK23)^2)), 0), "No Contingency Table"), "Not Included")</f>
        <v>-2.4374869208010814E-2</v>
      </c>
      <c r="AV23" s="11" t="str">
        <f>IF(AQ23,IF(NOT(ISBLANK(Raw!BQ23)), Raw!BQ23, IF(NOT(ISBLANK(Raw!BR23)), Raw!BR23, "Not Reported")), "Not Included")</f>
        <v>Not Reported</v>
      </c>
      <c r="AW23" s="57">
        <f t="shared" si="14"/>
        <v>-2.4374869208010814E-2</v>
      </c>
      <c r="AX23" s="11" t="str">
        <f t="shared" si="15"/>
        <v>NA</v>
      </c>
      <c r="AY23" s="11" t="b">
        <f t="shared" ref="AY23:AZ23" si="104">AQ23</f>
        <v>1</v>
      </c>
      <c r="AZ23" s="11" t="str">
        <f t="shared" si="104"/>
        <v>Contingency</v>
      </c>
      <c r="BA23" s="11">
        <f>IF(AY23, IF(COUNTIF(Raw!AV23:BK23, "&gt;=0") = 16, SUM(Raw!AV23,Raw!AW23,Raw!AX23,Raw!AZ23,Raw!BA23,Raw!BB23,Raw!BD23,Raw!BE23,Raw!BF23,Raw!BK23)/SUM(Raw!AV23:BK23), "No Contingency Table"), "Not Included")</f>
        <v>0.63414634146341464</v>
      </c>
      <c r="BB23" s="11">
        <f>IF(AY23, IF(COUNTIF(Raw!AV23:BK23, "&gt;=0") = 16,SUM(SUM(Raw!BH23,Raw!BI23,Raw!BJ23,Raw!BK23)*SUM(Raw!AY23,Raw!BC23,Raw!BG23,Raw!BK23),SUM(Raw!AV23:BG23)*SUM(Raw!AV23,Raw!AW23,Raw!AX23,Raw!AZ23,Raw!BA23,Raw!BB23,Raw!BD23,Raw!BE23,Raw!BF23,Raw!BH23,Raw!BI23,Raw!BJ23))/AT23^2,"No Contingency Table"), "Not Included")</f>
        <v>0.64277215942891142</v>
      </c>
      <c r="BC23" s="11">
        <f>IF(AY23, IF(COUNTIF(Raw!AV23:BK23, "&gt;=0") = 16,(BA23-BB23) / (1 - BB23),"No Contingency Table"), "Not Included")</f>
        <v>-2.414654454621162E-2</v>
      </c>
      <c r="BD23" s="11" t="str">
        <f>IF(AY23,IF(NOT(ISBLANK(Raw!BT44)),Raw!BT44,"Not Reported"),"Not Included")</f>
        <v>Not Reported</v>
      </c>
      <c r="BE23" s="11">
        <f t="shared" si="17"/>
        <v>-2.414654454621162E-2</v>
      </c>
      <c r="BF23" s="11" t="str">
        <f t="shared" si="18"/>
        <v>NA</v>
      </c>
      <c r="BG23" s="11">
        <f>Raw!K23</f>
        <v>2004</v>
      </c>
      <c r="BH23" s="11" t="str">
        <f>IF(Raw!L23 = "USA","USA","Non-USA")</f>
        <v>USA</v>
      </c>
      <c r="BI23" s="11" t="str">
        <f>Raw!M23</f>
        <v>Ainsworth/Cassidy-Marvin</v>
      </c>
      <c r="BJ23" s="11">
        <f>Raw!N23</f>
        <v>1</v>
      </c>
      <c r="BK23" s="11">
        <f>Raw!P23</f>
        <v>1</v>
      </c>
      <c r="BL23" s="11">
        <f>Raw!Q23</f>
        <v>0</v>
      </c>
      <c r="BM23" s="11">
        <f>Raw!T23</f>
        <v>1</v>
      </c>
      <c r="BN23" s="11">
        <f>IFERROR(IF(AND(ISBLANK(Raw!U23), ISBLANK(Raw!V23), ISBLANK(Raw!W23), ISBLANK(Raw!X23)), "NA", IF(OR(NOT(ISBLANK(Raw!U23)), NOT(ISBLANK(Raw!W23))), AVERAGE(Raw!U23,Raw!W23), AVERAGE(Raw!V23,Raw!X23) + IF(Raw!Y23 = "2-way", R23, IF(Raw!Y23 = "3-way", AB23, IF(Raw!Y23 = "4-way", AL23, "NA")))*(1 - AVERAGE(Raw!V23,Raw!X23)))), "NA")</f>
        <v>0.76900000000000002</v>
      </c>
      <c r="BO23" s="11">
        <f>Raw!O23</f>
        <v>0</v>
      </c>
      <c r="BP23" s="11" t="str">
        <f>Raw!F23</f>
        <v>Female</v>
      </c>
      <c r="BQ23" s="11" t="b">
        <f>COUNTIF(Raw!AV23:BK23, "&gt;=0") = 16</f>
        <v>1</v>
      </c>
      <c r="BR23" s="11" t="str">
        <f t="shared" si="19"/>
        <v>Contingency</v>
      </c>
      <c r="BS23" s="15">
        <f t="shared" si="20"/>
        <v>82</v>
      </c>
      <c r="BT23" s="11">
        <f>IF(BQ23, IF(COUNTIF(Raw!AV23:BK23, "&gt;=0") = 16, IFERROR((BS23*Raw!AV23 - SUM(Raw!AV23, Raw!AW23, Raw!AX23, Raw!AY23)*SUM(Raw!AV23, Raw!AZ23, Raw!BD23, Raw!BH23)) / SQRT((BS23*SUM(Raw!AV23, Raw!AW23, Raw!AX23, Raw!AY23) - SUM(Raw!AV23, Raw!AW23, Raw!AX23, Raw!AY23)^2) * (BS23*SUM(Raw!AV23, Raw!AZ23, Raw!BD23, Raw!BH23) - SUM(Raw!AV23, Raw!AZ23, Raw!BD23, Raw!BH23)^2)), 0), "No Contingency Table"), "Not Included")</f>
        <v>-2.2631943839466841E-2</v>
      </c>
      <c r="BU23" s="11">
        <f>IF(BQ23, IF(COUNTIF(Raw!AV23:BK23, "&gt;=0") = 16, SUM(Raw!BK23,Raw!BJ23,Raw!BI23,Raw!BG23,Raw!BF23,Raw!BE23,Raw!BC23,Raw!BB23,Raw!BA23,Raw!AV23)/SUM(Raw!AV23:BK23), "No Contingency Table"), "Not Included")</f>
        <v>0.76829268292682928</v>
      </c>
      <c r="BV23" s="11">
        <f>IF(BQ23, IF(COUNTIF(Raw!AV23:BK23, "&gt;=0") = 16,SUM(SUM(Raw!AV23,Raw!AW23,Raw!AX23,Raw!AY23)*SUM(Raw!AV23,Raw!AZ23,Raw!BD23,Raw!BH23),SUM(Raw!AZ23:BK23)*SUM(Raw!AW23,Raw!AX23,Raw!AY23,Raw!BA23,Raw!BB23,Raw!BC23,Raw!BE23,Raw!BF23,Raw!BG23,Raw!BI23,Raw!BJ23,Raw!BK23))/BS23^2,"No Contingency Table"), "Not Included")</f>
        <v>0.77305175490779299</v>
      </c>
      <c r="BW23" s="11">
        <f>IF(BQ23, IF(COUNTIF(Raw!AV23:BK23, "&gt;=0") = 16,(BU23-BV23) / (1 - BV23),"No Contingency Table"), "Not Included")</f>
        <v>-2.0969855832241112E-2</v>
      </c>
      <c r="BX23" s="11" t="b">
        <f t="shared" ref="BX23:BZ23" si="105">BQ23</f>
        <v>1</v>
      </c>
      <c r="BY23" s="11" t="str">
        <f t="shared" si="105"/>
        <v>Contingency</v>
      </c>
      <c r="BZ23" s="15">
        <f t="shared" si="105"/>
        <v>82</v>
      </c>
      <c r="CA23" s="11">
        <f>IF(BX23, IF(COUNTIF(Raw!AV23:BK23, "&gt;=0") = 16, IFERROR((BZ23*Raw!BF23 - SUM(Raw!BD23, Raw!BE23, Raw!BF23, Raw!BG23)*SUM(Raw!BF23, Raw!AX23, Raw!BB23, Raw!BJ23)) / SQRT((BZ23*SUM(Raw!BD23, Raw!BE23, Raw!BF23, Raw!BG23) - SUM(Raw!BD23, Raw!BE23, Raw!BF23, Raw!BG23)^2) * (BZ23*SUM(Raw!BF23, Raw!AX23, Raw!BB23, Raw!BJ23) - SUM(Raw!BF23, Raw!AX23, Raw!BB23, Raw!BJ23)^2)), 0), "No Contingency Table"), "Not Included")</f>
        <v>0.11634074860155313</v>
      </c>
      <c r="CB23" s="11">
        <f>IF(BX23, IF(COUNTIF(Raw!AV23:BK23, "&gt;=0") = 16, SUM(Raw!AV23,Raw!AW23,Raw!AY23,Raw!AZ23,Raw!BA23,Raw!BC23,Raw!BF23,Raw!BH23,Raw!BI23,Raw!BK23) / SUM(Raw!AV23:BK23), "No Contingency Table"), "Not Included")</f>
        <v>0.87804878048780488</v>
      </c>
      <c r="CC23" s="11">
        <f>IF(BX23, IF(COUNTIF(Raw!AV23:BK23, "&gt;=0") = 16,SUM(SUM(Raw!BD23,Raw!BE23,Raw!BF23,Raw!BG23)*SUM(Raw!BF23,Raw!AX23,Raw!BB23,Raw!BJ23),SUM(Raw!AV23:BC23,Raw!BH23:BK23)*SUM(Raw!AV23,Raw!AW23,Raw!AY23,Raw!AZ23,Raw!BA23,Raw!BC23,Raw!BD23,Raw!BE23,Raw!BG23,Raw!BH23,Raw!BI23,Raw!BK23))/BZ23^2,"No Contingency Table"), "Not Included")</f>
        <v>0.86317668054729324</v>
      </c>
      <c r="CD23" s="11">
        <f>IF(BX23, IF(COUNTIF(Raw!AV23:BK23, "&gt;=0") = 16,(CB23 - CC23) / (1 - CC23+0.000001),"No Contingency Table"), "Not Included")</f>
        <v>0.108694857756279</v>
      </c>
      <c r="CE23" s="11" t="b">
        <f t="shared" ref="CE23:CG23" si="106">BQ23</f>
        <v>1</v>
      </c>
      <c r="CF23" s="11" t="str">
        <f t="shared" si="106"/>
        <v>Contingency</v>
      </c>
      <c r="CG23" s="15">
        <f t="shared" si="106"/>
        <v>82</v>
      </c>
      <c r="CH23" s="11">
        <f>IF(CE23, IF(COUNTIF(Raw!AV23:BK23, "&gt;=0") = 16, IFERROR((CG23*Raw!BA23 - SUM(Raw!BA23, Raw!AZ23, Raw!BB23, Raw!BC23)*SUM(Raw!BA23, Raw!AW23, Raw!BE23, Raw!BI23)) / SQRT((CG23*SUM(Raw!BA23, Raw!AZ23, Raw!BB23, Raw!BC23) - SUM(Raw!BA23, Raw!AZ23, Raw!BB23, Raw!BC23)^2) * (CG23*SUM(Raw!BA23, Raw!AW23, Raw!BE23, Raw!BI23) - SUM(Raw!BA23, Raw!AW23, Raw!BE23, Raw!BI23)^2)), 0), "No Contingency Table"), "Not Included")</f>
        <v>0.23930928234769716</v>
      </c>
      <c r="CI23" s="11">
        <f>IF(CE23, IF(COUNTIF(Raw!AV23:BK23, "&gt;=0") = 16, SUM(Raw!AV23,Raw!AX23,Raw!AY23,Raw!BA23,Raw!BD23,Raw!BF23,Raw!BG23,Raw!BH23,Raw!BJ23,Raw!BK23) / SUM(Raw!AV23:BK23), "No Contingency Table"), "Not Included")</f>
        <v>0.62195121951219512</v>
      </c>
      <c r="CJ23" s="61">
        <f>IF(BX23, IF(COUNTIF(Raw!AV23:BK23, "&gt;=0") = 16,SUM(SUM(Raw!AZ23,Raw!BA23,Raw!BB23,Raw!BC23)*SUM(Raw!BA23,Raw!AW23,Raw!BE23,Raw!BI23),SUM(Raw!AV23:AY23,Raw!BD23:BK23)*SUM(Raw!AV23,Raw!AX23,Raw!AY23,Raw!AZ23,Raw!BB23,Raw!BC23,Raw!BD23,Raw!BF23,Raw!BG23,Raw!BH23,Raw!BJ23,Raw!BK23))/CG23^2,"No Contingency Table"), "Not Included")</f>
        <v>0.50535395597858412</v>
      </c>
      <c r="CK23" s="11">
        <f>IF(BX23, IF(COUNTIF(Raw!AV23:BK23, "&gt;=0") = 16,(CI23 - CJ23) / (1 - CJ23),"No Contingency Table"), "Not Included")</f>
        <v>0.23571858087793152</v>
      </c>
      <c r="CL23" s="11">
        <f>IF(BQ23, IFERROR(Raw!AV23/SUM(Raw!AV23:AY23), 0), "Not Included")</f>
        <v>7.1428571428571425E-2</v>
      </c>
      <c r="CM23" s="11">
        <f>IF(BQ23, IFERROR(Raw!BA23/SUM(Raw!AZ23:BC23), 0), "Not Included")</f>
        <v>0.72093023255813948</v>
      </c>
      <c r="CN23" s="11">
        <f>IF(BQ23, IFERROR(Raw!BF23/SUM(Raw!BD23:BG23), 0), "Not Included")</f>
        <v>0.25</v>
      </c>
      <c r="CO23" s="11">
        <f>IF(BQ23, IFERROR(Raw!BK23/SUM(Raw!BH23:BK23), 0), "Not Included")</f>
        <v>0.19047619047619047</v>
      </c>
      <c r="CP23" s="11">
        <f>IF(BQ23, IFERROR(SUM(Raw!AV23,Raw!AX23,Raw!AY23,Raw!BD23,Raw!BF23,Raw!BG23,Raw!BH23,Raw!BJ23,Raw!BK23)/SUM(Raw!AV23,Raw!AW23,Raw!AX23,Raw!AY23,Raw!BD23,Raw!BE23,Raw!BF23,Raw!BG23,Raw!BH23,Raw!BI23,Raw!BJ23,Raw!BK23), 0), "Not Included")</f>
        <v>0.51282051282051277</v>
      </c>
      <c r="CQ23" s="11">
        <f>IF(BQ23, IFERROR(SUM(Raw!AV23:AX23,Raw!AZ23:BB23,Raw!BD23:BF23)/SUM(Raw!AV23:BF23), 0), "Not Included")</f>
        <v>0.81355932203389836</v>
      </c>
      <c r="CR23" s="11">
        <f>IF(BQ23, IFERROR(SUM(Raw!AV23:AY23), 0), "Not Included")</f>
        <v>14</v>
      </c>
      <c r="CS23" s="11">
        <f>IF(BQ23, IFERROR(SUM(Raw!AZ23:BC23), 0), "Not Included")</f>
        <v>43</v>
      </c>
      <c r="CT23" s="11">
        <f>IF(BQ23, IFERROR(SUM(Raw!BD23:BG23), 0), "Not Included")</f>
        <v>4</v>
      </c>
      <c r="CU23" s="11">
        <f>IF(BQ23, IFERROR(SUM(Raw!BH23:BK23), 0), "Not Included")</f>
        <v>21</v>
      </c>
      <c r="CV23" s="11">
        <f>IF(BQ23, IFERROR(SUM(Raw!AV23,Raw!AW23,Raw!AX23,Raw!AY23,Raw!BD23,Raw!BE23,Raw!BF23,Raw!BG23,Raw!BH23,Raw!BI23,Raw!BJ23,Raw!BK23), 0), "Not Included")</f>
        <v>39</v>
      </c>
      <c r="CW23" s="11">
        <f>IF(BQ23, IFERROR(SUM(Raw!AV23:BF23), 0), "Not Included")</f>
        <v>59</v>
      </c>
      <c r="CX23" s="11">
        <f>IF(BQ23, IFERROR((CR23*SUM(Raw!AV23,Raw!AZ23,Raw!BD23,Raw!BH23))/BS23/CR23, 0), "Not Included")</f>
        <v>8.5365853658536578E-2</v>
      </c>
      <c r="CY23" s="11">
        <f>IF(BX23, IFERROR((CS23*SUM(Raw!BA23,Raw!AW23,Raw!BE23,Raw!BI23))/CG23/CS23, 0), "Not Included")</f>
        <v>0.6097560975609756</v>
      </c>
      <c r="CZ23" s="11">
        <f>IF(BX23, IFERROR((CT23*SUM(Raw!BF23,Raw!AX23,Raw!BB23,Raw!BJ23))/BZ23/CT23, 0), "Not Included")</f>
        <v>9.7560975609756101E-2</v>
      </c>
      <c r="DA23" s="11">
        <f>IF(AY23, IFERROR((CU23*SUM(Raw!AY23,Raw!BC23,Raw!BG23,Raw!BK23))/AT23/CU23, 0), "Not Included")</f>
        <v>0.2073170731707317</v>
      </c>
      <c r="DB23" s="11">
        <f>IF(BX23, IFERROR((CV23*SUM(Raw!AV23,Raw!AX23,Raw!AY23,Raw!AZ23,Raw!BB23,Raw!BC23,Raw!BD23,Raw!BF23,Raw!BG23,Raw!BH23,Raw!BJ23,Raw!BK23))/CG23/CV23,0), "Not Included")</f>
        <v>0.39024390243902435</v>
      </c>
      <c r="DC23" s="11">
        <f>IF(AY23, IFERROR((CW23*SUM(Raw!AV23,Raw!AW23,Raw!AX23,Raw!AZ23,Raw!BA23,Raw!BB23,Raw!BD23,Raw!BE23,Raw!BF23,Raw!BH23,Raw!BI23,Raw!BJ23))/AT23/CW23,0), "Not Included")</f>
        <v>0.79268292682926822</v>
      </c>
    </row>
    <row r="24" spans="1:107" ht="12.75" customHeight="1">
      <c r="A24" s="11">
        <f>Raw!D24</f>
        <v>14</v>
      </c>
      <c r="B24" s="11" t="str">
        <f>Raw!A24</f>
        <v>Ganiban, Barnett &amp; Cicchetti (2000)</v>
      </c>
      <c r="C24" s="11">
        <f>Raw!G24</f>
        <v>1</v>
      </c>
      <c r="D24" s="11" t="str">
        <f>Raw!E24</f>
        <v>Single sample</v>
      </c>
      <c r="E24" s="11" t="str">
        <f>CONCATENATE(IF(Raw!I24&lt;='Interval Definitions'!$B$2, 'Interval Definitions'!$A$2, IF(Raw!I24&lt;='Interval Definitions'!$B$3, 'Interval Definitions'!$A$3, IF(Raw!I24&lt;='Interval Definitions'!$B$4, 'Interval Definitions'!$A$4, IF(Raw!I24&lt;='Interval Definitions'!$B$5, 'Interval Definitions'!$A$5, "None")))), " - ", IF(Raw!J24&lt;='Interval Definitions'!$B$2, 'Interval Definitions'!$A$2, IF(Raw!J24&lt;='Interval Definitions'!$B$3, 'Interval Definitions'!$A$3, IF(Raw!J24&lt;='Interval Definitions'!$B$4, 'Interval Definitions'!$A$4, IF(Raw!J24&lt;='Interval Definitions'!$B$5, 'Interval Definitions'!$A$5, "None")))))</f>
        <v>Infancy - Toddlerhood</v>
      </c>
      <c r="F24" s="11" t="b">
        <f>OR(NOT(ISBLANK(Raw!AF24)),NOT(ISBLANK(Raw!AG24)),NOT(ISBLANK(Raw!AH24)),NOT(ISBLANK(Raw!AI24)),COUNTIF(Raw!AA24:AD24, "&gt;=0") = 4)</f>
        <v>1</v>
      </c>
      <c r="G24" s="11" t="str">
        <f>IF(F24, IF(COUNTIF(Raw!AA24:AD24,"&gt;=0") = 4, "Contingency", IF(NOT(ISBLANK(Raw!AF24)), "Paper r", IF(NOT(ISBLANK(Raw!AG24)), "Pinquart", IF(NOT(ISBLANK(Raw!AH24)), "Fraley", "Paper chiSq")))), "Not Included")</f>
        <v>Contingency</v>
      </c>
      <c r="H24" s="15">
        <f>IF(F24,Raw!AE24,"Not Included")</f>
        <v>30</v>
      </c>
      <c r="I24" s="15">
        <f>IF(COUNTIF(Raw!AA24:AD24,"&gt;=0") = 4, SUM(Raw!AA24:AD24), "No Contingency Table")</f>
        <v>30</v>
      </c>
      <c r="J24" s="15">
        <f t="shared" si="0"/>
        <v>30</v>
      </c>
      <c r="K24" s="38">
        <f>IF(F24, IF(COUNTIF(Raw!AA24:AD24,"&gt;=0") = 4, IFERROR((I24*Raw!AA24 - SUM(Raw!AA24,Raw!AB24)*SUM(Raw!AA24,Raw!AD24)) / SQRT((I24*SUM(Raw!AA24,Raw!AB24) - SUM(Raw!AA24,Raw!AB24)^2) * (I24*SUM(Raw!AA24,Raw!AD24) - SUM(Raw!AA24,Raw!AD24)^2)), 0), "No Contingency Table"), "Not Included")</f>
        <v>0.41349254254555623</v>
      </c>
      <c r="L24" s="41">
        <f>IF(F24,IF(NOT(ISBLANK(Raw!AF24)), Raw!AF24, IF(NOT(ISBLANK(Raw!AG24)), Raw!AG24, IF(NOT(ISBLANK(Raw!AH24)), Raw!AH24, IF(NOT(ISBLANK(Raw!AI24)), SQRT(Raw!AI24/H24)*Raw!AJ24, "Not Reported")))),"Not Included")</f>
        <v>0.41</v>
      </c>
      <c r="M24" s="43">
        <f t="shared" si="1"/>
        <v>0.41349254254555623</v>
      </c>
      <c r="N24" s="11">
        <f t="shared" si="2"/>
        <v>1</v>
      </c>
      <c r="O24" s="48" t="b">
        <f>OR(NOT(ISBLANK(Raw!AK24)), COUNTIF(Raw!AA24:AD24, "&gt;=0") = 4)</f>
        <v>1</v>
      </c>
      <c r="P24" s="24" t="str">
        <f>IF(O24,IF(COUNTIF(Raw!AA24:AD24,"&gt;=0") = 4,"Contingency", "Paper k"), "Not Included")</f>
        <v>Contingency</v>
      </c>
      <c r="Q24" s="48">
        <f>IF(O24, IF(COUNTIF(Raw!AA24:AD24,"&gt;=0") = 4,SUM(Raw!AA24,Raw!AC24)/H24,"No Contingency Table"), "Not Included")</f>
        <v>0.7</v>
      </c>
      <c r="R24" s="38">
        <f>IF(O24, IF(COUNTIF(Raw!AA24:AD24, "&gt;=0") = 4,SUM(SUM(Raw!AA24,Raw!AB24)*SUM(Raw!AA24,Raw!AD24),SUM(Raw!AC24,Raw!AD24)*SUM(Raw!AC24,Raw!AB24))/H24^2,"No Contingency Table"), "Not Included")</f>
        <v>0.49555555555555558</v>
      </c>
      <c r="S24" s="38">
        <f>IF(O24, IF(COUNTIF(Raw!AA24:AD24,"&gt;=0") = 4, IFERROR((Q24 - R24) / (1 - R24), "Could not calculate"), "No Contingency Table"), "Not Included")</f>
        <v>0.40528634361233462</v>
      </c>
      <c r="T24" s="52" t="str">
        <f>IF(O24,IF(NOT(ISBLANK(Raw!AK24)), Raw!AK24, "Not Reported"), "Not Included")</f>
        <v>Not Reported</v>
      </c>
      <c r="U24" s="38">
        <f t="shared" si="3"/>
        <v>0.40528634361233462</v>
      </c>
      <c r="V24" s="11" t="str">
        <f t="shared" si="4"/>
        <v>NA</v>
      </c>
      <c r="W24" s="11" t="b">
        <f>OR(NOT(ISBLANK(Raw!AU24)),COUNTIF(Raw!AL24:AT24,"&gt;=0") = 9)</f>
        <v>0</v>
      </c>
      <c r="X24" s="11" t="str">
        <f>IF(W24, IF(COUNTIF(Raw!AL24:AT24,"&gt;=0") = 9, "Contingency", "Paper k"), "Not Included")</f>
        <v>Not Included</v>
      </c>
      <c r="Y24" s="11" t="str">
        <f>IF(W24,IF(COUNTIF(Raw!AL24:AT24,"&gt;=0") = 9,SUM(Raw!AL24:AT24),"No Contingency Table"),"Not Included")</f>
        <v>Not Included</v>
      </c>
      <c r="Z24" s="11" t="str">
        <f t="shared" si="5"/>
        <v>Not Included</v>
      </c>
      <c r="AA24" s="11" t="str">
        <f>IF(W24,IF(COUNTIF(Raw!AL24:AT24,"&gt;=0") = 9,SUM(Raw!AL24,Raw!AP24,Raw!AT24)/Y24,"No Contingency Table"), "Not Included")</f>
        <v>Not Included</v>
      </c>
      <c r="AB24" s="11" t="str">
        <f>IF(W24,IF(COUNTIF(Raw!AL24:AT24,"&gt;=0") = 9,SUM(SUM(Raw!AL24,Raw!AM24,Raw!AN24)*SUM(Raw!AL24,Raw!AO24,Raw!AR24),SUM(Raw!AO24,Raw!AP24,Raw!AQ24)*SUM(Raw!AM24,Raw!AP24,Raw!AS24),SUM(Raw!AR24,Raw!AS24,Raw!AT24)*SUM(Raw!AN24,Raw!AQ24,Raw!AT24))/Y24^2,"No Contingency Table"), "Not Included")</f>
        <v>Not Included</v>
      </c>
      <c r="AC24" s="11" t="str">
        <f>IF(W24,IF(COUNTIF(Raw!AL24:AT24,"&gt;=0") = 9,(AA24 - AB24) / (1 - AB24),"No Contingency Table"), "Not Included")</f>
        <v>Not Included</v>
      </c>
      <c r="AD24" s="11" t="str">
        <f>IF(W24, IF(NOT(ISBLANK(Raw!AU24)),Raw!AU24,"Not Reported"), "Not Included")</f>
        <v>Not Included</v>
      </c>
      <c r="AE24" s="11" t="str">
        <f t="shared" si="6"/>
        <v>Not Included</v>
      </c>
      <c r="AF24" s="11" t="str">
        <f t="shared" si="7"/>
        <v>Not Included</v>
      </c>
      <c r="AG24" s="11" t="b">
        <f>COUNTIF(Raw!AV24:BK24, "&gt;=0") = 16</f>
        <v>1</v>
      </c>
      <c r="AH24" s="11" t="str">
        <f>IF(AG24, IF(COUNTIF(Raw!AV24:BK24,"&gt;=0") = 16, "Contingency", "Paper k"), "Not Included")</f>
        <v>Contingency</v>
      </c>
      <c r="AI24" s="15">
        <f>IF(AG24,IF(COUNTIF(Raw!AV24:BK24,"&gt;=0") = 16,SUM(Raw!AV24:BK24),"No Contingency Table"),"Not Included")</f>
        <v>30</v>
      </c>
      <c r="AJ24" s="15">
        <f t="shared" si="8"/>
        <v>30</v>
      </c>
      <c r="AK24" s="11">
        <f>IF(AG24,IF(COUNTIF(Raw!AV24:BK24,"&gt;=0") = 16,SUM(Raw!AV24,Raw!BA24,Raw!BF24,Raw!BK24)/AI24,"No Contingency Table"), "Not Included")</f>
        <v>0.5</v>
      </c>
      <c r="AL24" s="11">
        <f>IF(AG24,IF(COUNTIF(Raw!AV24:BK24,"&gt;=0") = 16,SUM(SUM(Raw!AV24,Raw!AW24,Raw!AX24,Raw!AY24)*SUM(Raw!AV24,Raw!AZ24,Raw!BD24,Raw!BH24),SUM(Raw!AZ24,Raw!BA24,Raw!BB24,Raw!BC24)*SUM(Raw!AW24,Raw!BA24,Raw!BE24,Raw!BI24),SUM(Raw!BD24,Raw!BE24,Raw!BF24,Raw!BG24)*SUM(Raw!AX24,Raw!BB24,Raw!BF24,Raw!BJ24),SUM(Raw!BH24,Raw!BI24,Raw!BJ24,Raw!BK24)*SUM(Raw!AY24,Raw!BC24,Raw!BG24,Raw!BK24))/AI24^2,"No Contingency Table"), "Not Included")</f>
        <v>0.3288888888888889</v>
      </c>
      <c r="AM24" s="11">
        <f>IF(AG24,IF(COUNTIF(Raw!AV24:BK24,"&gt;=0") = 16,(AK24 - AL24) / (1 - AL24),"No Contingency Table"), "Not Included")</f>
        <v>0.25496688741721851</v>
      </c>
      <c r="AN24" s="32">
        <f>IF(NOT(ISBLANK(Raw!BL24)),Raw!BL24,"Not Reported")</f>
        <v>0.26</v>
      </c>
      <c r="AO24" s="11">
        <f t="shared" si="9"/>
        <v>0.25496688741721851</v>
      </c>
      <c r="AP24" s="11">
        <f t="shared" si="10"/>
        <v>1</v>
      </c>
      <c r="AQ24" s="11" t="b">
        <f t="shared" ref="AQ24:AR24" si="107">BQ24</f>
        <v>1</v>
      </c>
      <c r="AR24" s="11" t="str">
        <f t="shared" si="107"/>
        <v>Contingency</v>
      </c>
      <c r="AS24" s="15">
        <f t="shared" si="12"/>
        <v>30</v>
      </c>
      <c r="AT24" s="15">
        <f t="shared" si="13"/>
        <v>30</v>
      </c>
      <c r="AU24" s="11">
        <f>IF(AQ24, IF(COUNTIF(Raw!AV24:BK24, "&gt;=0") = 16, IFERROR((AT24*Raw!BK24 - SUM(Raw!BH24, Raw!BI24, Raw!BJ24, Raw!BK24)*SUM(Raw!AY24, Raw!BC24, Raw!BG24, Raw!BK24)) / SQRT((AT24*SUM(Raw!BH24, Raw!BI24, Raw!BJ24, Raw!BK24) - SUM(Raw!BH24, Raw!BI24, Raw!BJ24, Raw!BK24)^2) * (AT24*SUM(Raw!AY24, Raw!BC24, Raw!BG24, Raw!BK24) - SUM(Raw!AY24, Raw!BC24, Raw!BG24, Raw!BK24)^2)), 0), "No Contingency Table"), "Not Included")</f>
        <v>-1.7197979012252743E-2</v>
      </c>
      <c r="AV24" s="11" t="str">
        <f>IF(AQ24,IF(NOT(ISBLANK(Raw!BQ24)), Raw!BQ24, IF(NOT(ISBLANK(Raw!BR24)), Raw!BR24, "Not Reported")), "Not Included")</f>
        <v>Not Reported</v>
      </c>
      <c r="AW24" s="57">
        <f t="shared" si="14"/>
        <v>-1.7197979012252743E-2</v>
      </c>
      <c r="AX24" s="11" t="str">
        <f t="shared" si="15"/>
        <v>NA</v>
      </c>
      <c r="AY24" s="11" t="b">
        <f t="shared" ref="AY24:AZ24" si="108">AQ24</f>
        <v>1</v>
      </c>
      <c r="AZ24" s="11" t="str">
        <f t="shared" si="108"/>
        <v>Contingency</v>
      </c>
      <c r="BA24" s="11">
        <f>IF(AY24, IF(COUNTIF(Raw!AV24:BK24, "&gt;=0") = 16, SUM(Raw!AV24,Raw!AW24,Raw!AX24,Raw!AZ24,Raw!BA24,Raw!BB24,Raw!BD24,Raw!BE24,Raw!BF24,Raw!BK24)/SUM(Raw!AV24:BK24), "No Contingency Table"), "Not Included")</f>
        <v>0.6</v>
      </c>
      <c r="BB24" s="11">
        <f>IF(AY24, IF(COUNTIF(Raw!AV24:BK24, "&gt;=0") = 16,SUM(SUM(Raw!BH24,Raw!BI24,Raw!BJ24,Raw!BK24)*SUM(Raw!AY24,Raw!BC24,Raw!BG24,Raw!BK24),SUM(Raw!AV24:BG24)*SUM(Raw!AV24,Raw!AW24,Raw!AX24,Raw!AZ24,Raw!BA24,Raw!BB24,Raw!BD24,Raw!BE24,Raw!BF24,Raw!BH24,Raw!BI24,Raw!BJ24))/AT24^2,"No Contingency Table"), "Not Included")</f>
        <v>0.60666666666666669</v>
      </c>
      <c r="BC24" s="11">
        <f>IF(AY24, IF(COUNTIF(Raw!AV24:BK24, "&gt;=0") = 16,(BA24-BB24) / (1 - BB24),"No Contingency Table"), "Not Included")</f>
        <v>-1.6949152542372992E-2</v>
      </c>
      <c r="BD24" s="11" t="str">
        <f>IF(AY24,IF(NOT(ISBLANK(Raw!BT45)),Raw!BT45,"Not Reported"),"Not Included")</f>
        <v>Not Reported</v>
      </c>
      <c r="BE24" s="11">
        <f t="shared" si="17"/>
        <v>-1.6949152542372992E-2</v>
      </c>
      <c r="BF24" s="11" t="str">
        <f t="shared" si="18"/>
        <v>NA</v>
      </c>
      <c r="BG24" s="11">
        <f>Raw!K24</f>
        <v>2000</v>
      </c>
      <c r="BH24" s="11" t="str">
        <f>IF(Raw!L24 = "USA","USA","Non-USA")</f>
        <v>USA</v>
      </c>
      <c r="BI24" s="11" t="str">
        <f>Raw!M24</f>
        <v>Ainsworth/Ainsworth</v>
      </c>
      <c r="BJ24" s="11">
        <f>Raw!N24</f>
        <v>1</v>
      </c>
      <c r="BK24" s="11">
        <f>Raw!P24</f>
        <v>0</v>
      </c>
      <c r="BL24" s="11">
        <f>Raw!Q24</f>
        <v>1</v>
      </c>
      <c r="BM24" s="11">
        <f>Raw!T24</f>
        <v>1</v>
      </c>
      <c r="BN24" s="11">
        <f>IFERROR(IF(AND(ISBLANK(Raw!U24), ISBLANK(Raw!V24), ISBLANK(Raw!W24), ISBLANK(Raw!X24)), "NA", IF(OR(NOT(ISBLANK(Raw!U24)), NOT(ISBLANK(Raw!W24))), AVERAGE(Raw!U24,Raw!W24), AVERAGE(Raw!V24,Raw!X24) + IF(Raw!Y24 = "2-way", R24, IF(Raw!Y24 = "3-way", AB24, IF(Raw!Y24 = "4-way", AL24, "NA")))*(1 - AVERAGE(Raw!V24,Raw!X24)))), "NA")</f>
        <v>1</v>
      </c>
      <c r="BO24" s="11">
        <f>Raw!O24</f>
        <v>0</v>
      </c>
      <c r="BP24" s="11" t="str">
        <f>Raw!F24</f>
        <v>Female</v>
      </c>
      <c r="BQ24" s="11" t="b">
        <f>COUNTIF(Raw!AV24:BK24, "&gt;=0") = 16</f>
        <v>1</v>
      </c>
      <c r="BR24" s="11" t="str">
        <f t="shared" si="19"/>
        <v>Contingency</v>
      </c>
      <c r="BS24" s="15">
        <f t="shared" si="20"/>
        <v>30</v>
      </c>
      <c r="BT24" s="11">
        <f>IF(BQ24, IF(COUNTIF(Raw!AV24:BK24, "&gt;=0") = 16, IFERROR((BS24*Raw!AV24 - SUM(Raw!AV24, Raw!AW24, Raw!AX24, Raw!AY24)*SUM(Raw!AV24, Raw!AZ24, Raw!BD24, Raw!BH24)) / SQRT((BS24*SUM(Raw!AV24, Raw!AW24, Raw!AX24, Raw!AY24) - SUM(Raw!AV24, Raw!AW24, Raw!AX24, Raw!AY24)^2) * (BS24*SUM(Raw!AV24, Raw!AZ24, Raw!BD24, Raw!BH24) - SUM(Raw!AV24, Raw!AZ24, Raw!BD24, Raw!BH24)^2)), 0), "No Contingency Table"), "Not Included")</f>
        <v>0.60421797811664391</v>
      </c>
      <c r="BU24" s="11">
        <f>IF(BQ24, IF(COUNTIF(Raw!AV24:BK24, "&gt;=0") = 16, SUM(Raw!BK24,Raw!BJ24,Raw!BI24,Raw!BG24,Raw!BF24,Raw!BE24,Raw!BC24,Raw!BB24,Raw!BA24,Raw!AV24)/SUM(Raw!AV24:BK24), "No Contingency Table"), "Not Included")</f>
        <v>0.8666666666666667</v>
      </c>
      <c r="BV24" s="11">
        <f>IF(BQ24, IF(COUNTIF(Raw!AV24:BK24, "&gt;=0") = 16,SUM(SUM(Raw!AV24,Raw!AW24,Raw!AX24,Raw!AY24)*SUM(Raw!AV24,Raw!AZ24,Raw!BD24,Raw!BH24),SUM(Raw!AZ24:BK24)*SUM(Raw!AW24,Raw!AX24,Raw!AY24,Raw!BA24,Raw!BB24,Raw!BC24,Raw!BE24,Raw!BF24,Raw!BG24,Raw!BI24,Raw!BJ24,Raw!BK24))/BS24^2,"No Contingency Table"), "Not Included")</f>
        <v>0.71333333333333337</v>
      </c>
      <c r="BW24" s="11">
        <f>IF(BQ24, IF(COUNTIF(Raw!AV24:BK24, "&gt;=0") = 16,(BU24-BV24) / (1 - BV24),"No Contingency Table"), "Not Included")</f>
        <v>0.53488372093023262</v>
      </c>
      <c r="BX24" s="11" t="b">
        <f t="shared" ref="BX24:BZ24" si="109">BQ24</f>
        <v>1</v>
      </c>
      <c r="BY24" s="11" t="str">
        <f t="shared" si="109"/>
        <v>Contingency</v>
      </c>
      <c r="BZ24" s="15">
        <f t="shared" si="109"/>
        <v>30</v>
      </c>
      <c r="CA24" s="11">
        <f>IF(BX24, IF(COUNTIF(Raw!AV24:BK24, "&gt;=0") = 16, IFERROR((BZ24*Raw!BF24 - SUM(Raw!BD24, Raw!BE24, Raw!BF24, Raw!BG24)*SUM(Raw!BF24, Raw!AX24, Raw!BB24, Raw!BJ24)) / SQRT((BZ24*SUM(Raw!BD24, Raw!BE24, Raw!BF24, Raw!BG24) - SUM(Raw!BD24, Raw!BE24, Raw!BF24, Raw!BG24)^2) * (BZ24*SUM(Raw!BF24, Raw!AX24, Raw!BB24, Raw!BJ24) - SUM(Raw!BF24, Raw!AX24, Raw!BB24, Raw!BJ24)^2)), 0), "No Contingency Table"), "Not Included")</f>
        <v>-7.2835704072922974E-2</v>
      </c>
      <c r="CB24" s="11">
        <f>IF(BX24, IF(COUNTIF(Raw!AV24:BK24, "&gt;=0") = 16, SUM(Raw!AV24,Raw!AW24,Raw!AY24,Raw!AZ24,Raw!BA24,Raw!BC24,Raw!BF24,Raw!BH24,Raw!BI24,Raw!BK24) / SUM(Raw!AV24:BK24), "No Contingency Table"), "Not Included")</f>
        <v>0.83333333333333337</v>
      </c>
      <c r="CC24" s="11">
        <f>IF(BX24, IF(COUNTIF(Raw!AV24:BK24, "&gt;=0") = 16,SUM(SUM(Raw!BD24,Raw!BE24,Raw!BF24,Raw!BG24)*SUM(Raw!BF24,Raw!AX24,Raw!BB24,Raw!BJ24),SUM(Raw!AV24:BC24,Raw!BH24:BK24)*SUM(Raw!AV24,Raw!AW24,Raw!AY24,Raw!AZ24,Raw!BA24,Raw!BC24,Raw!BD24,Raw!BE24,Raw!BG24,Raw!BH24,Raw!BI24,Raw!BK24))/BZ24^2,"No Contingency Table"), "Not Included")</f>
        <v>0.84222222222222221</v>
      </c>
      <c r="CD24" s="11">
        <f>IF(BX24, IF(COUNTIF(Raw!AV24:BK24, "&gt;=0") = 16,(CB24 - CC24) / (1 - CC24+0.000001),"No Contingency Table"), "Not Included")</f>
        <v>-5.6337671099267336E-2</v>
      </c>
      <c r="CE24" s="11" t="b">
        <f t="shared" ref="CE24:CG24" si="110">BQ24</f>
        <v>1</v>
      </c>
      <c r="CF24" s="11" t="str">
        <f t="shared" si="110"/>
        <v>Contingency</v>
      </c>
      <c r="CG24" s="15">
        <f t="shared" si="110"/>
        <v>30</v>
      </c>
      <c r="CH24" s="11">
        <f>IF(CE24, IF(COUNTIF(Raw!AV24:BK24, "&gt;=0") = 16, IFERROR((CG24*Raw!BA24 - SUM(Raw!BA24, Raw!AZ24, Raw!BB24, Raw!BC24)*SUM(Raw!BA24, Raw!AW24, Raw!BE24, Raw!BI24)) / SQRT((CG24*SUM(Raw!BA24, Raw!AZ24, Raw!BB24, Raw!BC24) - SUM(Raw!BA24, Raw!AZ24, Raw!BB24, Raw!BC24)^2) * (CG24*SUM(Raw!BA24, Raw!AW24, Raw!BE24, Raw!BI24) - SUM(Raw!BA24, Raw!AW24, Raw!BE24, Raw!BI24)^2)), 0), "No Contingency Table"), "Not Included")</f>
        <v>0.41349254254555623</v>
      </c>
      <c r="CI24" s="11">
        <f>IF(CE24, IF(COUNTIF(Raw!AV24:BK24, "&gt;=0") = 16, SUM(Raw!AV24,Raw!AX24,Raw!AY24,Raw!BA24,Raw!BD24,Raw!BF24,Raw!BG24,Raw!BH24,Raw!BJ24,Raw!BK24) / SUM(Raw!AV24:BK24), "No Contingency Table"), "Not Included")</f>
        <v>0.7</v>
      </c>
      <c r="CJ24" s="61">
        <f>IF(BX24, IF(COUNTIF(Raw!AV24:BK24, "&gt;=0") = 16,SUM(SUM(Raw!AZ24,Raw!BA24,Raw!BB24,Raw!BC24)*SUM(Raw!BA24,Raw!AW24,Raw!BE24,Raw!BI24),SUM(Raw!AV24:AY24,Raw!BD24:BK24)*SUM(Raw!AV24,Raw!AX24,Raw!AY24,Raw!AZ24,Raw!BB24,Raw!BC24,Raw!BD24,Raw!BF24,Raw!BG24,Raw!BH24,Raw!BJ24,Raw!BK24))/CG24^2,"No Contingency Table"), "Not Included")</f>
        <v>0.49555555555555558</v>
      </c>
      <c r="CK24" s="11">
        <f>IF(BX24, IF(COUNTIF(Raw!AV24:BK24, "&gt;=0") = 16,(CI24 - CJ24) / (1 - CJ24),"No Contingency Table"), "Not Included")</f>
        <v>0.40528634361233462</v>
      </c>
      <c r="CL24" s="11">
        <f>IF(BQ24, IFERROR(Raw!AV24/SUM(Raw!AV24:AY24), 0), "Not Included")</f>
        <v>1</v>
      </c>
      <c r="CM24" s="11">
        <f>IF(BQ24, IFERROR(Raw!BA24/SUM(Raw!AZ24:BC24), 0), "Not Included")</f>
        <v>0.625</v>
      </c>
      <c r="CN24" s="11">
        <f>IF(BQ24, IFERROR(Raw!BF24/SUM(Raw!BD24:BG24), 0), "Not Included")</f>
        <v>0</v>
      </c>
      <c r="CO24" s="11">
        <f>IF(BQ24, IFERROR(Raw!BK24/SUM(Raw!BH24:BK24), 0), "Not Included")</f>
        <v>0.2857142857142857</v>
      </c>
      <c r="CP24" s="11">
        <f>IF(BQ24, IFERROR(SUM(Raw!AV24,Raw!AX24,Raw!AY24,Raw!BD24,Raw!BF24,Raw!BG24,Raw!BH24,Raw!BJ24,Raw!BK24)/SUM(Raw!AV24,Raw!AW24,Raw!AX24,Raw!AY24,Raw!BD24,Raw!BE24,Raw!BF24,Raw!BG24,Raw!BH24,Raw!BI24,Raw!BJ24,Raw!BK24), 0), "Not Included")</f>
        <v>0.7857142857142857</v>
      </c>
      <c r="CQ24" s="11">
        <f>IF(BQ24, IFERROR(SUM(Raw!AV24:AX24,Raw!AZ24:BB24,Raw!BD24:BF24)/SUM(Raw!AV24:BF24), 0), "Not Included")</f>
        <v>0.8</v>
      </c>
      <c r="CR24" s="11">
        <f>IF(BQ24, IFERROR(SUM(Raw!AV24:AY24), 0), "Not Included")</f>
        <v>3</v>
      </c>
      <c r="CS24" s="11">
        <f>IF(BQ24, IFERROR(SUM(Raw!AZ24:BC24), 0), "Not Included")</f>
        <v>16</v>
      </c>
      <c r="CT24" s="11">
        <f>IF(BQ24, IFERROR(SUM(Raw!BD24:BG24), 0), "Not Included")</f>
        <v>4</v>
      </c>
      <c r="CU24" s="11">
        <f>IF(BQ24, IFERROR(SUM(Raw!BH24:BK24), 0), "Not Included")</f>
        <v>7</v>
      </c>
      <c r="CV24" s="11">
        <f>IF(BQ24, IFERROR(SUM(Raw!AV24,Raw!AW24,Raw!AX24,Raw!AY24,Raw!BD24,Raw!BE24,Raw!BF24,Raw!BG24,Raw!BH24,Raw!BI24,Raw!BJ24,Raw!BK24), 0), "Not Included")</f>
        <v>14</v>
      </c>
      <c r="CW24" s="11">
        <f>IF(BQ24, IFERROR(SUM(Raw!AV24:BF24), 0), "Not Included")</f>
        <v>20</v>
      </c>
      <c r="CX24" s="11">
        <f>IF(BQ24, IFERROR((CR24*SUM(Raw!AV24,Raw!AZ24,Raw!BD24,Raw!BH24))/BS24/CR24, 0), "Not Included")</f>
        <v>0.23333333333333331</v>
      </c>
      <c r="CY24" s="11">
        <f>IF(BX24, IFERROR((CS24*SUM(Raw!BA24,Raw!AW24,Raw!BE24,Raw!BI24))/CG24/CS24, 0), "Not Included")</f>
        <v>0.43333333333333335</v>
      </c>
      <c r="CZ24" s="11">
        <f>IF(BX24, IFERROR((CT24*SUM(Raw!BF24,Raw!AX24,Raw!BB24,Raw!BJ24))/BZ24/CT24, 0), "Not Included")</f>
        <v>3.3333333333333333E-2</v>
      </c>
      <c r="DA24" s="11">
        <f>IF(AY24, IFERROR((CU24*SUM(Raw!AY24,Raw!BC24,Raw!BG24,Raw!BK24))/AT24/CU24, 0), "Not Included")</f>
        <v>0.3</v>
      </c>
      <c r="DB24" s="11">
        <f>IF(BX24, IFERROR((CV24*SUM(Raw!AV24,Raw!AX24,Raw!AY24,Raw!AZ24,Raw!BB24,Raw!BC24,Raw!BD24,Raw!BF24,Raw!BG24,Raw!BH24,Raw!BJ24,Raw!BK24))/CG24/CV24,0), "Not Included")</f>
        <v>0.56666666666666665</v>
      </c>
      <c r="DC24" s="11">
        <f>IF(AY24, IFERROR((CW24*SUM(Raw!AV24,Raw!AW24,Raw!AX24,Raw!AZ24,Raw!BA24,Raw!BB24,Raw!BD24,Raw!BE24,Raw!BF24,Raw!BH24,Raw!BI24,Raw!BJ24))/AT24/CW24,0), "Not Included")</f>
        <v>0.7</v>
      </c>
    </row>
    <row r="25" spans="1:107" ht="12.75" customHeight="1">
      <c r="A25" s="11">
        <f>Raw!D25</f>
        <v>15</v>
      </c>
      <c r="B25" s="11" t="str">
        <f>Raw!A25</f>
        <v>Hautamaki et al. (2010)</v>
      </c>
      <c r="C25" s="11">
        <f>Raw!G25</f>
        <v>1</v>
      </c>
      <c r="D25" s="11" t="str">
        <f>Raw!E25</f>
        <v>Mother-child</v>
      </c>
      <c r="E25" s="11" t="str">
        <f>CONCATENATE(IF(Raw!I25&lt;='Interval Definitions'!$B$2, 'Interval Definitions'!$A$2, IF(Raw!I25&lt;='Interval Definitions'!$B$3, 'Interval Definitions'!$A$3, IF(Raw!I25&lt;='Interval Definitions'!$B$4, 'Interval Definitions'!$A$4, IF(Raw!I25&lt;='Interval Definitions'!$B$5, 'Interval Definitions'!$A$5, "None")))), " - ", IF(Raw!J25&lt;='Interval Definitions'!$B$2, 'Interval Definitions'!$A$2, IF(Raw!J25&lt;='Interval Definitions'!$B$3, 'Interval Definitions'!$A$3, IF(Raw!J25&lt;='Interval Definitions'!$B$4, 'Interval Definitions'!$A$4, IF(Raw!J25&lt;='Interval Definitions'!$B$5, 'Interval Definitions'!$A$5, "None")))))</f>
        <v>Infancy - Toddlerhood</v>
      </c>
      <c r="F25" s="11" t="b">
        <f>OR(NOT(ISBLANK(Raw!AF25)),NOT(ISBLANK(Raw!AG25)),NOT(ISBLANK(Raw!AH25)),NOT(ISBLANK(Raw!AI25)),COUNTIF(Raw!AA25:AD25, "&gt;=0") = 4)</f>
        <v>1</v>
      </c>
      <c r="G25" s="11" t="str">
        <f>IF(F25, IF(COUNTIF(Raw!AA25:AD25,"&gt;=0") = 4, "Contingency", IF(NOT(ISBLANK(Raw!AF25)), "Paper r", IF(NOT(ISBLANK(Raw!AG25)), "Pinquart", IF(NOT(ISBLANK(Raw!AH25)), "Fraley", "Paper chiSq")))), "Not Included")</f>
        <v>Contingency</v>
      </c>
      <c r="H25" s="15">
        <f>IF(F25,Raw!AE25,"Not Included")</f>
        <v>33</v>
      </c>
      <c r="I25" s="15">
        <f>IF(COUNTIF(Raw!AA25:AD25,"&gt;=0") = 4, SUM(Raw!AA25:AD25), "No Contingency Table")</f>
        <v>33</v>
      </c>
      <c r="J25" s="15">
        <f t="shared" si="0"/>
        <v>33</v>
      </c>
      <c r="K25" s="38">
        <f>IF(F25, IF(COUNTIF(Raw!AA25:AD25,"&gt;=0") = 4, IFERROR((I25*Raw!AA25 - SUM(Raw!AA25,Raw!AB25)*SUM(Raw!AA25,Raw!AD25)) / SQRT((I25*SUM(Raw!AA25,Raw!AB25) - SUM(Raw!AA25,Raw!AB25)^2) * (I25*SUM(Raw!AA25,Raw!AD25) - SUM(Raw!AA25,Raw!AD25)^2)), 0), "No Contingency Table"), "Not Included")</f>
        <v>0.78065375798434</v>
      </c>
      <c r="L25" s="41">
        <f>IF(F25,IF(NOT(ISBLANK(Raw!AF25)), Raw!AF25, IF(NOT(ISBLANK(Raw!AG25)), Raw!AG25, IF(NOT(ISBLANK(Raw!AH25)), Raw!AH25, IF(NOT(ISBLANK(Raw!AI25)), SQRT(Raw!AI25/H25)*Raw!AJ25, "Not Reported")))),"Not Included")</f>
        <v>0.78</v>
      </c>
      <c r="M25" s="43">
        <f t="shared" si="1"/>
        <v>0.78065375798434</v>
      </c>
      <c r="N25" s="11">
        <f t="shared" si="2"/>
        <v>1</v>
      </c>
      <c r="O25" s="48" t="b">
        <f>OR(NOT(ISBLANK(Raw!AK25)), COUNTIF(Raw!AA25:AD25, "&gt;=0") = 4)</f>
        <v>1</v>
      </c>
      <c r="P25" s="24" t="str">
        <f>IF(O25,IF(COUNTIF(Raw!AA25:AD25,"&gt;=0") = 4,"Contingency", "Paper k"), "Not Included")</f>
        <v>Contingency</v>
      </c>
      <c r="Q25" s="48">
        <f>IF(O25, IF(COUNTIF(Raw!AA25:AD25,"&gt;=0") = 4,SUM(Raw!AA25,Raw!AC25)/H25,"No Contingency Table"), "Not Included")</f>
        <v>0.90909090909090906</v>
      </c>
      <c r="R25" s="38">
        <f>IF(O25, IF(COUNTIF(Raw!AA25:AD25, "&gt;=0") = 4,SUM(SUM(Raw!AA25,Raw!AB25)*SUM(Raw!AA25,Raw!AD25),SUM(Raw!AC25,Raw!AD25)*SUM(Raw!AC25,Raw!AB25))/H25^2,"No Contingency Table"), "Not Included")</f>
        <v>0.58953168044077131</v>
      </c>
      <c r="S25" s="38">
        <f>IF(O25, IF(COUNTIF(Raw!AA25:AD25,"&gt;=0") = 4, IFERROR((Q25 - R25) / (1 - R25), "Could not calculate"), "No Contingency Table"), "Not Included")</f>
        <v>0.77852348993288589</v>
      </c>
      <c r="T25" s="52" t="str">
        <f>IF(O25,IF(NOT(ISBLANK(Raw!AK25)), Raw!AK25, "Not Reported"), "Not Included")</f>
        <v>Not Reported</v>
      </c>
      <c r="U25" s="38">
        <f t="shared" si="3"/>
        <v>0.77852348993288589</v>
      </c>
      <c r="V25" s="11" t="str">
        <f t="shared" si="4"/>
        <v>NA</v>
      </c>
      <c r="W25" s="11" t="b">
        <f>OR(NOT(ISBLANK(Raw!AU25)),COUNTIF(Raw!AL25:AT25,"&gt;=0") = 9)</f>
        <v>1</v>
      </c>
      <c r="X25" s="11" t="str">
        <f>IF(W25, IF(COUNTIF(Raw!AL25:AT25,"&gt;=0") = 9, "Contingency", "Paper k"), "Not Included")</f>
        <v>Contingency</v>
      </c>
      <c r="Y25" s="15">
        <f>IF(W25,IF(COUNTIF(Raw!AL25:AT25,"&gt;=0") = 9,SUM(Raw!AL25:AT25),"No Contingency Table"),"Not Included")</f>
        <v>33</v>
      </c>
      <c r="Z25" s="15">
        <f t="shared" si="5"/>
        <v>33</v>
      </c>
      <c r="AA25" s="11">
        <f>IF(W25,IF(COUNTIF(Raw!AL25:AT25,"&gt;=0") = 9,SUM(Raw!AL25,Raw!AP25,Raw!AT25)/Y25,"No Contingency Table"), "Not Included")</f>
        <v>0.60606060606060608</v>
      </c>
      <c r="AB25" s="11">
        <f>IF(W25,IF(COUNTIF(Raw!AL25:AT25,"&gt;=0") = 9,SUM(SUM(Raw!AL25,Raw!AM25,Raw!AN25)*SUM(Raw!AL25,Raw!AO25,Raw!AR25),SUM(Raw!AO25,Raw!AP25,Raw!AQ25)*SUM(Raw!AM25,Raw!AP25,Raw!AS25),SUM(Raw!AR25,Raw!AS25,Raw!AT25)*SUM(Raw!AN25,Raw!AQ25,Raw!AT25))/Y25^2,"No Contingency Table"), "Not Included")</f>
        <v>0.34986225895316803</v>
      </c>
      <c r="AC25" s="11">
        <f>IF(W25,IF(COUNTIF(Raw!AL25:AT25,"&gt;=0") = 9,(AA25 - AB25) / (1 - AB25),"No Contingency Table"), "Not Included")</f>
        <v>0.39406779661016955</v>
      </c>
      <c r="AD25" s="32">
        <f>IF(W25, IF(NOT(ISBLANK(Raw!AU25)),Raw!AU25,"Not Reported"), "Not Included")</f>
        <v>0.39</v>
      </c>
      <c r="AE25" s="11">
        <f t="shared" si="6"/>
        <v>0.39406779661016955</v>
      </c>
      <c r="AF25" s="11">
        <f t="shared" si="7"/>
        <v>1</v>
      </c>
      <c r="AG25" s="11" t="b">
        <f>COUNTIF(Raw!AV25:BK25, "&gt;=0") = 16</f>
        <v>0</v>
      </c>
      <c r="AH25" s="11" t="str">
        <f>IF(AG25, IF(COUNTIF(Raw!AV25:BK25,"&gt;=0") = 16, "Contingency", "Paper k"), "Not Included")</f>
        <v>Not Included</v>
      </c>
      <c r="AI25" s="11" t="str">
        <f>IF(AG25,IF(COUNTIF(Raw!AV25:BK25,"&gt;=0") = 16,SUM(Raw!AV25:BK25),"No Contingency Table"),"Not Included")</f>
        <v>Not Included</v>
      </c>
      <c r="AJ25" s="15">
        <f t="shared" si="8"/>
        <v>33</v>
      </c>
      <c r="AK25" s="11" t="str">
        <f>IF(AG25,IF(COUNTIF(Raw!AV25:BK25,"&gt;=0") = 16,SUM(Raw!AV25,Raw!BA25,Raw!BF25,Raw!BK25)/AI25,"No Contingency Table"), "Not Included")</f>
        <v>Not Included</v>
      </c>
      <c r="AL25" s="11" t="str">
        <f>IF(AG25,IF(COUNTIF(Raw!AV25:BK25,"&gt;=0") = 16,SUM(SUM(Raw!AV25,Raw!AW25,Raw!AX25,Raw!AY25)*SUM(Raw!AV25,Raw!AZ25,Raw!BD25,Raw!BH25),SUM(Raw!AZ25,Raw!BA25,Raw!BB25,Raw!BC25)*SUM(Raw!AW25,Raw!BA25,Raw!BE25,Raw!BI25),SUM(Raw!BD25,Raw!BE25,Raw!BF25,Raw!BG25)*SUM(Raw!AX25,Raw!BB25,Raw!BF25,Raw!BJ25),SUM(Raw!BH25,Raw!BI25,Raw!BJ25,Raw!BK25)*SUM(Raw!AY25,Raw!BC25,Raw!BG25,Raw!BK25))/AI25^2,"No Contingency Table"), "Not Included")</f>
        <v>Not Included</v>
      </c>
      <c r="AM25" s="11" t="str">
        <f>IF(AG25,IF(COUNTIF(Raw!AV25:BK25,"&gt;=0") = 16,(AK25 - AL25) / (1 - AL25),"No Contingency Table"), "Not Included")</f>
        <v>Not Included</v>
      </c>
      <c r="AN25" s="11" t="str">
        <f>IF(NOT(ISBLANK(Raw!BL25)),Raw!BL25,"Not Reported")</f>
        <v>Not Reported</v>
      </c>
      <c r="AO25" s="11" t="str">
        <f t="shared" si="9"/>
        <v>Not Reported</v>
      </c>
      <c r="AP25" s="11" t="str">
        <f t="shared" si="10"/>
        <v>Not Included</v>
      </c>
      <c r="AQ25" s="11" t="b">
        <f t="shared" ref="AQ25:AR25" si="111">BQ25</f>
        <v>0</v>
      </c>
      <c r="AR25" s="11" t="str">
        <f t="shared" si="111"/>
        <v>Not Included</v>
      </c>
      <c r="AS25" s="11" t="str">
        <f t="shared" si="12"/>
        <v>Not Included</v>
      </c>
      <c r="AT25" s="11" t="str">
        <f t="shared" si="13"/>
        <v>Not Included</v>
      </c>
      <c r="AU25" s="11" t="str">
        <f>IF(AQ25, IF(COUNTIF(Raw!AV25:BK25, "&gt;=0") = 16, IFERROR((AT25*Raw!BK25 - SUM(Raw!BH25, Raw!BI25, Raw!BJ25, Raw!BK25)*SUM(Raw!AY25, Raw!BC25, Raw!BG25, Raw!BK25)) / SQRT((AT25*SUM(Raw!BH25, Raw!BI25, Raw!BJ25, Raw!BK25) - SUM(Raw!BH25, Raw!BI25, Raw!BJ25, Raw!BK25)^2) * (AT25*SUM(Raw!AY25, Raw!BC25, Raw!BG25, Raw!BK25) - SUM(Raw!AY25, Raw!BC25, Raw!BG25, Raw!BK25)^2)), 0), "No Contingency Table"), "Not Included")</f>
        <v>Not Included</v>
      </c>
      <c r="AV25" s="11" t="str">
        <f>IF(AQ25,IF(NOT(ISBLANK(Raw!BQ25)), Raw!BQ25, IF(NOT(ISBLANK(Raw!BR25)), Raw!BR25, "Not Reported")), "Not Included")</f>
        <v>Not Included</v>
      </c>
      <c r="AW25" s="57" t="str">
        <f t="shared" si="14"/>
        <v>Not Included</v>
      </c>
      <c r="AX25" s="11" t="str">
        <f t="shared" si="15"/>
        <v>Not Included</v>
      </c>
      <c r="AY25" s="11" t="b">
        <f t="shared" ref="AY25:AZ25" si="112">AQ25</f>
        <v>0</v>
      </c>
      <c r="AZ25" s="11" t="str">
        <f t="shared" si="112"/>
        <v>Not Included</v>
      </c>
      <c r="BA25" s="11" t="str">
        <f>IF(AY25, IF(COUNTIF(Raw!AV25:BK25, "&gt;=0") = 16, SUM(Raw!AV25,Raw!AW25,Raw!AX25,Raw!AZ25,Raw!BA25,Raw!BB25,Raw!BD25,Raw!BE25,Raw!BF25,Raw!BK25)/SUM(Raw!AV25:BK25), "No Contingency Table"), "Not Included")</f>
        <v>Not Included</v>
      </c>
      <c r="BB25" s="11" t="str">
        <f>IF(AY25, IF(COUNTIF(Raw!AV25:BK25, "&gt;=0") = 16,SUM(SUM(Raw!BH25,Raw!BI25,Raw!BJ25,Raw!BK25)*SUM(Raw!AY25,Raw!BC25,Raw!BG25,Raw!BK25),SUM(Raw!AV25:BG25)*SUM(Raw!AV25,Raw!AW25,Raw!AX25,Raw!AZ25,Raw!BA25,Raw!BB25,Raw!BD25,Raw!BE25,Raw!BF25,Raw!BH25,Raw!BI25,Raw!BJ25))/AT25^2,"No Contingency Table"), "Not Included")</f>
        <v>Not Included</v>
      </c>
      <c r="BC25" s="11" t="str">
        <f>IF(AY25, IF(COUNTIF(Raw!AV25:BK25, "&gt;=0") = 16,(BA25-BB25) / (1 - BB25),"No Contingency Table"), "Not Included")</f>
        <v>Not Included</v>
      </c>
      <c r="BD25" s="11" t="str">
        <f>IF(AY25,IF(NOT(ISBLANK(Raw!BT46)),Raw!BT46,"Not Reported"),"Not Included")</f>
        <v>Not Included</v>
      </c>
      <c r="BE25" s="11" t="str">
        <f t="shared" si="17"/>
        <v>Not Included</v>
      </c>
      <c r="BF25" s="11" t="str">
        <f t="shared" si="18"/>
        <v>Not Included</v>
      </c>
      <c r="BG25" s="11">
        <f>Raw!K25</f>
        <v>2010</v>
      </c>
      <c r="BH25" s="11" t="str">
        <f>IF(Raw!L25 = "USA","USA","Non-USA")</f>
        <v>Non-USA</v>
      </c>
      <c r="BI25" s="11" t="str">
        <f>Raw!M25</f>
        <v>Ainsworth/Crittenden</v>
      </c>
      <c r="BJ25" s="11">
        <f>Raw!N25</f>
        <v>1</v>
      </c>
      <c r="BK25" s="11">
        <f>Raw!P25</f>
        <v>0</v>
      </c>
      <c r="BL25" s="11">
        <f>Raw!Q25</f>
        <v>0</v>
      </c>
      <c r="BM25" s="11">
        <f>Raw!T25</f>
        <v>1</v>
      </c>
      <c r="BN25" s="11">
        <f>IFERROR(IF(AND(ISBLANK(Raw!U25), ISBLANK(Raw!V25), ISBLANK(Raw!W25), ISBLANK(Raw!X25)), "NA", IF(OR(NOT(ISBLANK(Raw!U25)), NOT(ISBLANK(Raw!W25))), AVERAGE(Raw!U25,Raw!W25), AVERAGE(Raw!V25,Raw!X25) + IF(Raw!Y25 = "2-way", R25, IF(Raw!Y25 = "3-way", AB25, IF(Raw!Y25 = "4-way", AL25, "NA")))*(1 - AVERAGE(Raw!V25,Raw!X25)))), "NA")</f>
        <v>0.97499999999999998</v>
      </c>
      <c r="BO25" s="11">
        <f>Raw!O25</f>
        <v>0</v>
      </c>
      <c r="BP25" s="11" t="str">
        <f>Raw!F25</f>
        <v>Mixed</v>
      </c>
      <c r="BQ25" s="11" t="b">
        <f>COUNTIF(Raw!AV25:BK25, "&gt;=0") = 16</f>
        <v>0</v>
      </c>
      <c r="BR25" s="11" t="str">
        <f t="shared" si="19"/>
        <v>Not Included</v>
      </c>
      <c r="BS25" s="11" t="str">
        <f t="shared" si="20"/>
        <v>Not Included</v>
      </c>
      <c r="BT25" s="11" t="str">
        <f>IF(BQ25, IF(COUNTIF(Raw!AV25:BK25, "&gt;=0") = 16, IFERROR((BS25*Raw!AV25 - SUM(Raw!AV25, Raw!AW25, Raw!AX25, Raw!AY25)*SUM(Raw!AV25, Raw!AZ25, Raw!BD25, Raw!BH25)) / SQRT((BS25*SUM(Raw!AV25, Raw!AW25, Raw!AX25, Raw!AY25) - SUM(Raw!AV25, Raw!AW25, Raw!AX25, Raw!AY25)^2) * (BS25*SUM(Raw!AV25, Raw!AZ25, Raw!BD25, Raw!BH25) - SUM(Raw!AV25, Raw!AZ25, Raw!BD25, Raw!BH25)^2)), 0), "No Contingency Table"), "Not Included")</f>
        <v>Not Included</v>
      </c>
      <c r="BU25" s="11" t="str">
        <f>IF(BQ25, IF(COUNTIF(Raw!AV25:BK25, "&gt;=0") = 16, SUM(Raw!BK25,Raw!BJ25,Raw!BI25,Raw!BG25,Raw!BF25,Raw!BE25,Raw!BC25,Raw!BB25,Raw!BA25,Raw!AV25)/SUM(Raw!AV25:BK25), "No Contingency Table"), "Not Included")</f>
        <v>Not Included</v>
      </c>
      <c r="BV25" s="11" t="str">
        <f>IF(BQ25, IF(COUNTIF(Raw!AV25:BK25, "&gt;=0") = 16,SUM(SUM(Raw!AV25,Raw!AW25,Raw!AX25,Raw!AY25)*SUM(Raw!AV25,Raw!AZ25,Raw!BD25,Raw!BH25),SUM(Raw!AZ25:BK25)*SUM(Raw!AW25,Raw!AX25,Raw!AY25,Raw!BA25,Raw!BB25,Raw!BC25,Raw!BE25,Raw!BF25,Raw!BG25,Raw!BI25,Raw!BJ25,Raw!BK25))/BS25^2,"No Contingency Table"), "Not Included")</f>
        <v>Not Included</v>
      </c>
      <c r="BW25" s="11" t="str">
        <f>IF(BQ25, IF(COUNTIF(Raw!AV25:BK25, "&gt;=0") = 16,(BU25-BV25) / (1 - BV25),"No Contingency Table"), "Not Included")</f>
        <v>Not Included</v>
      </c>
      <c r="BX25" s="11" t="b">
        <f t="shared" ref="BX25:BZ25" si="113">BQ25</f>
        <v>0</v>
      </c>
      <c r="BY25" s="11" t="str">
        <f t="shared" si="113"/>
        <v>Not Included</v>
      </c>
      <c r="BZ25" s="11" t="str">
        <f t="shared" si="113"/>
        <v>Not Included</v>
      </c>
      <c r="CA25" s="11" t="str">
        <f>IF(BX25, IF(COUNTIF(Raw!AV25:BK25, "&gt;=0") = 16, IFERROR((BZ25*Raw!BF25 - SUM(Raw!BD25, Raw!BE25, Raw!BF25, Raw!BG25)*SUM(Raw!BF25, Raw!AX25, Raw!BB25, Raw!BJ25)) / SQRT((BZ25*SUM(Raw!BD25, Raw!BE25, Raw!BF25, Raw!BG25) - SUM(Raw!BD25, Raw!BE25, Raw!BF25, Raw!BG25)^2) * (BZ25*SUM(Raw!BF25, Raw!AX25, Raw!BB25, Raw!BJ25) - SUM(Raw!BF25, Raw!AX25, Raw!BB25, Raw!BJ25)^2)), 0), "No Contingency Table"), "Not Included")</f>
        <v>Not Included</v>
      </c>
      <c r="CB25" s="11" t="str">
        <f>IF(BX25, IF(COUNTIF(Raw!AV25:BK25, "&gt;=0") = 16, SUM(Raw!AV25,Raw!AW25,Raw!AY25,Raw!AZ25,Raw!BA25,Raw!BC25,Raw!BF25,Raw!BH25,Raw!BI25,Raw!BK25) / SUM(Raw!AV25:BK25), "No Contingency Table"), "Not Included")</f>
        <v>Not Included</v>
      </c>
      <c r="CC25" s="11" t="str">
        <f>IF(BX25, IF(COUNTIF(Raw!AV25:BK25, "&gt;=0") = 16,SUM(SUM(Raw!BD25,Raw!BE25,Raw!BF25,Raw!BG25)*SUM(Raw!BF25,Raw!AX25,Raw!BB25,Raw!BJ25),SUM(Raw!AV25:BC25,Raw!BH25:BK25)*SUM(Raw!AV25,Raw!AW25,Raw!AY25,Raw!AZ25,Raw!BA25,Raw!BC25,Raw!BD25,Raw!BE25,Raw!BG25,Raw!BH25,Raw!BI25,Raw!BK25))/BZ25^2,"No Contingency Table"), "Not Included")</f>
        <v>Not Included</v>
      </c>
      <c r="CD25" s="11" t="str">
        <f>IF(BX25, IF(COUNTIF(Raw!AV25:BK25, "&gt;=0") = 16,(CB25 - CC25) / (1 - CC25+0.000001),"No Contingency Table"), "Not Included")</f>
        <v>Not Included</v>
      </c>
      <c r="CE25" s="11" t="b">
        <f t="shared" ref="CE25:CG25" si="114">BQ25</f>
        <v>0</v>
      </c>
      <c r="CF25" s="11" t="str">
        <f t="shared" si="114"/>
        <v>Not Included</v>
      </c>
      <c r="CG25" s="11" t="str">
        <f t="shared" si="114"/>
        <v>Not Included</v>
      </c>
      <c r="CH25" s="11" t="str">
        <f>IF(CE25, IF(COUNTIF(Raw!AV25:BK25, "&gt;=0") = 16, IFERROR((CG25*Raw!BA25 - SUM(Raw!BA25, Raw!AZ25, Raw!BB25, Raw!BC25)*SUM(Raw!BA25, Raw!AW25, Raw!BE25, Raw!BI25)) / SQRT((CG25*SUM(Raw!BA25, Raw!AZ25, Raw!BB25, Raw!BC25) - SUM(Raw!BA25, Raw!AZ25, Raw!BB25, Raw!BC25)^2) * (CG25*SUM(Raw!BA25, Raw!AW25, Raw!BE25, Raw!BI25) - SUM(Raw!BA25, Raw!AW25, Raw!BE25, Raw!BI25)^2)), 0), "No Contingency Table"), "Not Included")</f>
        <v>Not Included</v>
      </c>
      <c r="CI25" s="11" t="str">
        <f>IF(CE25, IF(COUNTIF(Raw!AV25:BK25, "&gt;=0") = 16, SUM(Raw!AV25,Raw!AX25,Raw!AY25,Raw!BA25,Raw!BD25,Raw!BF25,Raw!BG25,Raw!BH25,Raw!BJ25,Raw!BK25) / SUM(Raw!AV25:BK25), "No Contingency Table"), "Not Included")</f>
        <v>Not Included</v>
      </c>
      <c r="CJ25" s="61" t="str">
        <f>IF(BX25, IF(COUNTIF(Raw!AV25:BK25, "&gt;=0") = 16,SUM(SUM(Raw!AZ25,Raw!BA25,Raw!BB25,Raw!BC25)*SUM(Raw!BA25,Raw!AW25,Raw!BE25,Raw!BI25),SUM(Raw!AV25:AY25,Raw!BD25:BK25)*SUM(Raw!AV25,Raw!AX25,Raw!AY25,Raw!AZ25,Raw!BB25,Raw!BC25,Raw!BD25,Raw!BF25,Raw!BG25,Raw!BH25,Raw!BJ25,Raw!BK25))/CG25^2,"No Contingency Table"), "Not Included")</f>
        <v>Not Included</v>
      </c>
      <c r="CK25" s="11" t="str">
        <f>IF(BX25, IF(COUNTIF(Raw!AV25:BK25, "&gt;=0") = 16,(CI25 - CJ25) / (1 - CJ25),"No Contingency Table"), "Not Included")</f>
        <v>Not Included</v>
      </c>
      <c r="CL25" s="11" t="str">
        <f>IF(BQ25, IFERROR(Raw!AV25/SUM(Raw!AV25:AY25), 0), "Not Included")</f>
        <v>Not Included</v>
      </c>
      <c r="CM25" s="11" t="str">
        <f>IF(BQ25, IFERROR(Raw!BA25/SUM(Raw!AZ25:BC25), 0), "Not Included")</f>
        <v>Not Included</v>
      </c>
      <c r="CN25" s="11" t="str">
        <f>IF(BQ25, IFERROR(Raw!BF25/SUM(Raw!BD25:BG25), 0), "Not Included")</f>
        <v>Not Included</v>
      </c>
      <c r="CO25" s="11" t="str">
        <f>IF(BQ25, IFERROR(Raw!BK25/SUM(Raw!BH25:BK25), 0), "Not Included")</f>
        <v>Not Included</v>
      </c>
      <c r="CP25" s="11" t="str">
        <f>IF(BQ25, IFERROR(SUM(Raw!AV25,Raw!AX25,Raw!AY25,Raw!BD25,Raw!BF25,Raw!BG25,Raw!BH25,Raw!BJ25,Raw!BK25)/SUM(Raw!AV25,Raw!AW25,Raw!AX25,Raw!AY25,Raw!BD25,Raw!BE25,Raw!BF25,Raw!BG25,Raw!BH25,Raw!BI25,Raw!BJ25,Raw!BK25), 0), "Not Included")</f>
        <v>Not Included</v>
      </c>
      <c r="CQ25" s="11" t="str">
        <f>IF(BQ25, IFERROR(SUM(Raw!AV25:AX25,Raw!AZ25:BB25,Raw!BD25:BF25)/SUM(Raw!AV25:BF25), 0), "Not Included")</f>
        <v>Not Included</v>
      </c>
      <c r="CR25" s="11" t="str">
        <f>IF(BQ25, IFERROR(SUM(Raw!AV25:AY25), 0), "Not Included")</f>
        <v>Not Included</v>
      </c>
      <c r="CS25" s="11" t="str">
        <f>IF(BQ25, IFERROR(SUM(Raw!AZ25:BC25), 0), "Not Included")</f>
        <v>Not Included</v>
      </c>
      <c r="CT25" s="11" t="str">
        <f>IF(BQ25, IFERROR(SUM(Raw!BD25:BG25), 0), "Not Included")</f>
        <v>Not Included</v>
      </c>
      <c r="CU25" s="11" t="str">
        <f>IF(BQ25, IFERROR(SUM(Raw!BH25:BK25), 0), "Not Included")</f>
        <v>Not Included</v>
      </c>
      <c r="CV25" s="11" t="str">
        <f>IF(BQ25, IFERROR(SUM(Raw!AV25,Raw!AW25,Raw!AX25,Raw!AY25,Raw!BD25,Raw!BE25,Raw!BF25,Raw!BG25,Raw!BH25,Raw!BI25,Raw!BJ25,Raw!BK25), 0), "Not Included")</f>
        <v>Not Included</v>
      </c>
      <c r="CW25" s="11" t="str">
        <f>IF(BQ25, IFERROR(SUM(Raw!AV25:BF25), 0), "Not Included")</f>
        <v>Not Included</v>
      </c>
      <c r="CX25" s="11" t="str">
        <f>IF(BQ25, IFERROR((CR25*SUM(Raw!AV25,Raw!AZ25,Raw!BD25,Raw!BH25))/BS25/CR25, 0), "Not Included")</f>
        <v>Not Included</v>
      </c>
      <c r="CY25" s="11" t="str">
        <f>IF(BX25, IFERROR((CS25*SUM(Raw!BA25,Raw!AW25,Raw!BE25,Raw!BI25))/CG25/CS25, 0), "Not Included")</f>
        <v>Not Included</v>
      </c>
      <c r="CZ25" s="11" t="str">
        <f>IF(BX25, IFERROR((CT25*SUM(Raw!BF25,Raw!AX25,Raw!BB25,Raw!BJ25))/BZ25/CT25, 0), "Not Included")</f>
        <v>Not Included</v>
      </c>
      <c r="DA25" s="11" t="str">
        <f>IF(AY25, IFERROR((CU25*SUM(Raw!AY25,Raw!BC25,Raw!BG25,Raw!BK25))/AT25/CU25, 0), "Not Included")</f>
        <v>Not Included</v>
      </c>
      <c r="DB25" s="11" t="str">
        <f>IF(BX25, IFERROR((CV25*SUM(Raw!AV25,Raw!AX25,Raw!AY25,Raw!AZ25,Raw!BB25,Raw!BC25,Raw!BD25,Raw!BF25,Raw!BG25,Raw!BH25,Raw!BJ25,Raw!BK25))/CG25/CV25,0), "Not Included")</f>
        <v>Not Included</v>
      </c>
      <c r="DC25" s="11" t="str">
        <f>IF(AY25, IFERROR((CW25*SUM(Raw!AV25,Raw!AW25,Raw!AX25,Raw!AZ25,Raw!BA25,Raw!BB25,Raw!BD25,Raw!BE25,Raw!BF25,Raw!BH25,Raw!BI25,Raw!BJ25))/AT25/CW25,0), "Not Included")</f>
        <v>Not Included</v>
      </c>
    </row>
    <row r="26" spans="1:107" ht="12.75" customHeight="1">
      <c r="A26" s="11">
        <f>Raw!D26</f>
        <v>16</v>
      </c>
      <c r="B26" s="11" t="str">
        <f>Raw!A26</f>
        <v>Howes &amp; Hamilton (1992)</v>
      </c>
      <c r="C26" s="11">
        <f>Raw!G26</f>
        <v>1</v>
      </c>
      <c r="D26" s="11" t="str">
        <f>Raw!E26</f>
        <v>Sample 2</v>
      </c>
      <c r="E26" s="11" t="str">
        <f>CONCATENATE(IF(Raw!I26&lt;='Interval Definitions'!$B$2, 'Interval Definitions'!$A$2, IF(Raw!I26&lt;='Interval Definitions'!$B$3, 'Interval Definitions'!$A$3, IF(Raw!I26&lt;='Interval Definitions'!$B$4, 'Interval Definitions'!$A$4, IF(Raw!I26&lt;='Interval Definitions'!$B$5, 'Interval Definitions'!$A$5, "None")))), " - ", IF(Raw!J26&lt;='Interval Definitions'!$B$2, 'Interval Definitions'!$A$2, IF(Raw!J26&lt;='Interval Definitions'!$B$3, 'Interval Definitions'!$A$3, IF(Raw!J26&lt;='Interval Definitions'!$B$4, 'Interval Definitions'!$A$4, IF(Raw!J26&lt;='Interval Definitions'!$B$5, 'Interval Definitions'!$A$5, "None")))))</f>
        <v>Infancy - Preschool</v>
      </c>
      <c r="F26" s="11" t="b">
        <f>OR(NOT(ISBLANK(Raw!AF26)),NOT(ISBLANK(Raw!AG26)),NOT(ISBLANK(Raw!AH26)),NOT(ISBLANK(Raw!AI26)),COUNTIF(Raw!AA26:AD26, "&gt;=0") = 4)</f>
        <v>1</v>
      </c>
      <c r="G26" s="11" t="str">
        <f>IF(F26, IF(COUNTIF(Raw!AA26:AD26,"&gt;=0") = 4, "Contingency", IF(NOT(ISBLANK(Raw!AF26)), "Paper r", IF(NOT(ISBLANK(Raw!AG26)), "Pinquart", IF(NOT(ISBLANK(Raw!AH26)), "Fraley", "Paper chiSq")))), "Not Included")</f>
        <v>Contingency</v>
      </c>
      <c r="H26" s="15">
        <f>IF(F26,Raw!AE26,"Not Included")</f>
        <v>89</v>
      </c>
      <c r="I26" s="15">
        <f>IF(COUNTIF(Raw!AA26:AD26,"&gt;=0") = 4, SUM(Raw!AA26:AD26), "No Contingency Table")</f>
        <v>89</v>
      </c>
      <c r="J26" s="15">
        <f t="shared" si="0"/>
        <v>89</v>
      </c>
      <c r="K26" s="38">
        <f>IF(F26, IF(COUNTIF(Raw!AA26:AD26,"&gt;=0") = 4, IFERROR((I26*Raw!AA26 - SUM(Raw!AA26,Raw!AB26)*SUM(Raw!AA26,Raw!AD26)) / SQRT((I26*SUM(Raw!AA26,Raw!AB26) - SUM(Raw!AA26,Raw!AB26)^2) * (I26*SUM(Raw!AA26,Raw!AD26) - SUM(Raw!AA26,Raw!AD26)^2)), 0), "No Contingency Table"), "Not Included")</f>
        <v>0.45017821689718329</v>
      </c>
      <c r="L26" s="41">
        <f>IF(F26,IF(NOT(ISBLANK(Raw!AF26)), Raw!AF26, IF(NOT(ISBLANK(Raw!AG26)), Raw!AG26, IF(NOT(ISBLANK(Raw!AH26)), Raw!AH26, IF(NOT(ISBLANK(Raw!AI26)), SQRT(Raw!AI26/H26)*Raw!AJ26, "Not Reported")))),"Not Included")</f>
        <v>0.45</v>
      </c>
      <c r="M26" s="43">
        <f t="shared" si="1"/>
        <v>0.45017821689718329</v>
      </c>
      <c r="N26" s="11">
        <f t="shared" si="2"/>
        <v>1</v>
      </c>
      <c r="O26" s="48" t="b">
        <f>OR(NOT(ISBLANK(Raw!AK26)), COUNTIF(Raw!AA26:AD26, "&gt;=0") = 4)</f>
        <v>1</v>
      </c>
      <c r="P26" s="24" t="str">
        <f>IF(O26,IF(COUNTIF(Raw!AA26:AD26,"&gt;=0") = 4,"Contingency", "Paper k"), "Not Included")</f>
        <v>Contingency</v>
      </c>
      <c r="Q26" s="48">
        <f>IF(O26, IF(COUNTIF(Raw!AA26:AD26,"&gt;=0") = 4,SUM(Raw!AA26,Raw!AC26)/H26,"No Contingency Table"), "Not Included")</f>
        <v>0.7528089887640449</v>
      </c>
      <c r="R26" s="38">
        <f>IF(O26, IF(COUNTIF(Raw!AA26:AD26, "&gt;=0") = 4,SUM(SUM(Raw!AA26,Raw!AB26)*SUM(Raw!AA26,Raw!AD26),SUM(Raw!AC26,Raw!AD26)*SUM(Raw!AC26,Raw!AB26))/H26^2,"No Contingency Table"), "Not Included")</f>
        <v>0.56242898623911119</v>
      </c>
      <c r="S26" s="38">
        <f>IF(O26, IF(COUNTIF(Raw!AA26:AD26,"&gt;=0") = 4, IFERROR((Q26 - R26) / (1 - R26), "Could not calculate"), "No Contingency Table"), "Not Included")</f>
        <v>0.4350836699365262</v>
      </c>
      <c r="T26" s="52" t="str">
        <f>IF(O26,IF(NOT(ISBLANK(Raw!AK26)), Raw!AK26, "Not Reported"), "Not Included")</f>
        <v>Not Reported</v>
      </c>
      <c r="U26" s="38">
        <f t="shared" si="3"/>
        <v>0.4350836699365262</v>
      </c>
      <c r="V26" s="11" t="str">
        <f t="shared" si="4"/>
        <v>NA</v>
      </c>
      <c r="W26" s="11" t="b">
        <f>OR(NOT(ISBLANK(Raw!AU26)),COUNTIF(Raw!AL26:AT26,"&gt;=0") = 9)</f>
        <v>1</v>
      </c>
      <c r="X26" s="11" t="str">
        <f>IF(W26, IF(COUNTIF(Raw!AL26:AT26,"&gt;=0") = 9, "Contingency", "Paper k"), "Not Included")</f>
        <v>Contingency</v>
      </c>
      <c r="Y26" s="15">
        <f>IF(W26,IF(COUNTIF(Raw!AL26:AT26,"&gt;=0") = 9,SUM(Raw!AL26:AT26),"No Contingency Table"),"Not Included")</f>
        <v>89</v>
      </c>
      <c r="Z26" s="15">
        <f t="shared" si="5"/>
        <v>89</v>
      </c>
      <c r="AA26" s="11">
        <f>IF(W26,IF(COUNTIF(Raw!AL26:AT26,"&gt;=0") = 9,SUM(Raw!AL26,Raw!AP26,Raw!AT26)/Y26,"No Contingency Table"), "Not Included")</f>
        <v>0.7078651685393258</v>
      </c>
      <c r="AB26" s="11">
        <f>IF(W26,IF(COUNTIF(Raw!AL26:AT26,"&gt;=0") = 9,SUM(SUM(Raw!AL26,Raw!AM26,Raw!AN26)*SUM(Raw!AL26,Raw!AO26,Raw!AR26),SUM(Raw!AO26,Raw!AP26,Raw!AQ26)*SUM(Raw!AM26,Raw!AP26,Raw!AS26),SUM(Raw!AR26,Raw!AS26,Raw!AT26)*SUM(Raw!AN26,Raw!AQ26,Raw!AT26))/Y26^2,"No Contingency Table"), "Not Included")</f>
        <v>0.51104658502714306</v>
      </c>
      <c r="AC26" s="11">
        <f>IF(W26,IF(COUNTIF(Raw!AL26:AT26,"&gt;=0") = 9,(AA26 - AB26) / (1 - AB26),"No Contingency Table"), "Not Included")</f>
        <v>0.40253033823909101</v>
      </c>
      <c r="AD26" s="32">
        <f>IF(W26, IF(NOT(ISBLANK(Raw!AU26)),Raw!AU26,"Not Reported"), "Not Included")</f>
        <v>0.41</v>
      </c>
      <c r="AE26" s="11">
        <f t="shared" si="6"/>
        <v>0.40253033823909101</v>
      </c>
      <c r="AF26" s="11">
        <f t="shared" si="7"/>
        <v>1</v>
      </c>
      <c r="AG26" s="11" t="b">
        <f>COUNTIF(Raw!AV26:BK26, "&gt;=0") = 16</f>
        <v>0</v>
      </c>
      <c r="AH26" s="11" t="str">
        <f>IF(AG26, IF(COUNTIF(Raw!AV26:BK26,"&gt;=0") = 16, "Contingency", "Paper k"), "Not Included")</f>
        <v>Not Included</v>
      </c>
      <c r="AI26" s="11" t="str">
        <f>IF(AG26,IF(COUNTIF(Raw!AV26:BK26,"&gt;=0") = 16,SUM(Raw!AV26:BK26),"No Contingency Table"),"Not Included")</f>
        <v>Not Included</v>
      </c>
      <c r="AJ26" s="15">
        <f t="shared" si="8"/>
        <v>89</v>
      </c>
      <c r="AK26" s="11" t="str">
        <f>IF(AG26,IF(COUNTIF(Raw!AV26:BK26,"&gt;=0") = 16,SUM(Raw!AV26,Raw!BA26,Raw!BF26,Raw!BK26)/AI26,"No Contingency Table"), "Not Included")</f>
        <v>Not Included</v>
      </c>
      <c r="AL26" s="11" t="str">
        <f>IF(AG26,IF(COUNTIF(Raw!AV26:BK26,"&gt;=0") = 16,SUM(SUM(Raw!AV26,Raw!AW26,Raw!AX26,Raw!AY26)*SUM(Raw!AV26,Raw!AZ26,Raw!BD26,Raw!BH26),SUM(Raw!AZ26,Raw!BA26,Raw!BB26,Raw!BC26)*SUM(Raw!AW26,Raw!BA26,Raw!BE26,Raw!BI26),SUM(Raw!BD26,Raw!BE26,Raw!BF26,Raw!BG26)*SUM(Raw!AX26,Raw!BB26,Raw!BF26,Raw!BJ26),SUM(Raw!BH26,Raw!BI26,Raw!BJ26,Raw!BK26)*SUM(Raw!AY26,Raw!BC26,Raw!BG26,Raw!BK26))/AI26^2,"No Contingency Table"), "Not Included")</f>
        <v>Not Included</v>
      </c>
      <c r="AM26" s="11" t="str">
        <f>IF(AG26,IF(COUNTIF(Raw!AV26:BK26,"&gt;=0") = 16,(AK26 - AL26) / (1 - AL26),"No Contingency Table"), "Not Included")</f>
        <v>Not Included</v>
      </c>
      <c r="AN26" s="11" t="str">
        <f>IF(NOT(ISBLANK(Raw!BL26)),Raw!BL26,"Not Reported")</f>
        <v>Not Reported</v>
      </c>
      <c r="AO26" s="11" t="str">
        <f t="shared" si="9"/>
        <v>Not Reported</v>
      </c>
      <c r="AP26" s="11" t="str">
        <f t="shared" si="10"/>
        <v>Not Included</v>
      </c>
      <c r="AQ26" s="11" t="b">
        <f t="shared" ref="AQ26:AR26" si="115">BQ26</f>
        <v>0</v>
      </c>
      <c r="AR26" s="11" t="str">
        <f t="shared" si="115"/>
        <v>Not Included</v>
      </c>
      <c r="AS26" s="11" t="str">
        <f t="shared" si="12"/>
        <v>Not Included</v>
      </c>
      <c r="AT26" s="11" t="str">
        <f t="shared" si="13"/>
        <v>Not Included</v>
      </c>
      <c r="AU26" s="11" t="str">
        <f>IF(AQ26, IF(COUNTIF(Raw!AV26:BK26, "&gt;=0") = 16, IFERROR((AT26*Raw!BK26 - SUM(Raw!BH26, Raw!BI26, Raw!BJ26, Raw!BK26)*SUM(Raw!AY26, Raw!BC26, Raw!BG26, Raw!BK26)) / SQRT((AT26*SUM(Raw!BH26, Raw!BI26, Raw!BJ26, Raw!BK26) - SUM(Raw!BH26, Raw!BI26, Raw!BJ26, Raw!BK26)^2) * (AT26*SUM(Raw!AY26, Raw!BC26, Raw!BG26, Raw!BK26) - SUM(Raw!AY26, Raw!BC26, Raw!BG26, Raw!BK26)^2)), 0), "No Contingency Table"), "Not Included")</f>
        <v>Not Included</v>
      </c>
      <c r="AV26" s="11" t="str">
        <f>IF(AQ26,IF(NOT(ISBLANK(Raw!BQ26)), Raw!BQ26, IF(NOT(ISBLANK(Raw!BR26)), Raw!BR26, "Not Reported")), "Not Included")</f>
        <v>Not Included</v>
      </c>
      <c r="AW26" s="57" t="str">
        <f t="shared" si="14"/>
        <v>Not Included</v>
      </c>
      <c r="AX26" s="11" t="str">
        <f t="shared" si="15"/>
        <v>Not Included</v>
      </c>
      <c r="AY26" s="11" t="b">
        <f t="shared" ref="AY26:AZ26" si="116">AQ26</f>
        <v>0</v>
      </c>
      <c r="AZ26" s="11" t="str">
        <f t="shared" si="116"/>
        <v>Not Included</v>
      </c>
      <c r="BA26" s="11" t="str">
        <f>IF(AY26, IF(COUNTIF(Raw!AV26:BK26, "&gt;=0") = 16, SUM(Raw!AV26,Raw!AW26,Raw!AX26,Raw!AZ26,Raw!BA26,Raw!BB26,Raw!BD26,Raw!BE26,Raw!BF26,Raw!BK26)/SUM(Raw!AV26:BK26), "No Contingency Table"), "Not Included")</f>
        <v>Not Included</v>
      </c>
      <c r="BB26" s="11" t="str">
        <f>IF(AY26, IF(COUNTIF(Raw!AV26:BK26, "&gt;=0") = 16,SUM(SUM(Raw!BH26,Raw!BI26,Raw!BJ26,Raw!BK26)*SUM(Raw!AY26,Raw!BC26,Raw!BG26,Raw!BK26),SUM(Raw!AV26:BG26)*SUM(Raw!AV26,Raw!AW26,Raw!AX26,Raw!AZ26,Raw!BA26,Raw!BB26,Raw!BD26,Raw!BE26,Raw!BF26,Raw!BH26,Raw!BI26,Raw!BJ26))/AT26^2,"No Contingency Table"), "Not Included")</f>
        <v>Not Included</v>
      </c>
      <c r="BC26" s="11" t="str">
        <f>IF(AY26, IF(COUNTIF(Raw!AV26:BK26, "&gt;=0") = 16,(BA26-BB26) / (1 - BB26),"No Contingency Table"), "Not Included")</f>
        <v>Not Included</v>
      </c>
      <c r="BD26" s="11" t="str">
        <f>IF(AY26,IF(NOT(ISBLANK(Raw!BT47)),Raw!BT47,"Not Reported"),"Not Included")</f>
        <v>Not Included</v>
      </c>
      <c r="BE26" s="11" t="str">
        <f t="shared" si="17"/>
        <v>Not Included</v>
      </c>
      <c r="BF26" s="11" t="str">
        <f t="shared" si="18"/>
        <v>Not Included</v>
      </c>
      <c r="BG26" s="11">
        <f>Raw!K26</f>
        <v>1992</v>
      </c>
      <c r="BH26" s="11" t="str">
        <f>IF(Raw!L26 = "USA","USA","Non-USA")</f>
        <v>USA</v>
      </c>
      <c r="BI26" s="11" t="str">
        <f>Raw!M26</f>
        <v>Ainsworth/Cassidy-Marvin</v>
      </c>
      <c r="BJ26" s="11">
        <f>Raw!N26</f>
        <v>1</v>
      </c>
      <c r="BK26" s="11">
        <f>Raw!P26</f>
        <v>0</v>
      </c>
      <c r="BL26" s="11">
        <f>Raw!Q26</f>
        <v>0</v>
      </c>
      <c r="BM26" s="11">
        <f>Raw!T26</f>
        <v>1</v>
      </c>
      <c r="BN26" s="11" t="str">
        <f>IFERROR(IF(AND(ISBLANK(Raw!U26), ISBLANK(Raw!V26), ISBLANK(Raw!W26), ISBLANK(Raw!X26)), "NA", IF(OR(NOT(ISBLANK(Raw!U26)), NOT(ISBLANK(Raw!W26))), AVERAGE(Raw!U26,Raw!W26), AVERAGE(Raw!V26,Raw!X26) + IF(Raw!Y26 = "2-way", R26, IF(Raw!Y26 = "3-way", AB26, IF(Raw!Y26 = "4-way", AL26, "NA")))*(1 - AVERAGE(Raw!V26,Raw!X26)))), "NA")</f>
        <v>NA</v>
      </c>
      <c r="BO26" s="11">
        <f>Raw!O26</f>
        <v>0</v>
      </c>
      <c r="BP26" s="11" t="str">
        <f>Raw!F26</f>
        <v>Female</v>
      </c>
      <c r="BQ26" s="11" t="b">
        <f>COUNTIF(Raw!AV26:BK26, "&gt;=0") = 16</f>
        <v>0</v>
      </c>
      <c r="BR26" s="11" t="str">
        <f t="shared" si="19"/>
        <v>Not Included</v>
      </c>
      <c r="BS26" s="11" t="str">
        <f t="shared" si="20"/>
        <v>Not Included</v>
      </c>
      <c r="BT26" s="11" t="str">
        <f>IF(BQ26, IF(COUNTIF(Raw!AV26:BK26, "&gt;=0") = 16, IFERROR((BS26*Raw!AV26 - SUM(Raw!AV26, Raw!AW26, Raw!AX26, Raw!AY26)*SUM(Raw!AV26, Raw!AZ26, Raw!BD26, Raw!BH26)) / SQRT((BS26*SUM(Raw!AV26, Raw!AW26, Raw!AX26, Raw!AY26) - SUM(Raw!AV26, Raw!AW26, Raw!AX26, Raw!AY26)^2) * (BS26*SUM(Raw!AV26, Raw!AZ26, Raw!BD26, Raw!BH26) - SUM(Raw!AV26, Raw!AZ26, Raw!BD26, Raw!BH26)^2)), 0), "No Contingency Table"), "Not Included")</f>
        <v>Not Included</v>
      </c>
      <c r="BU26" s="11" t="str">
        <f>IF(BQ26, IF(COUNTIF(Raw!AV26:BK26, "&gt;=0") = 16, SUM(Raw!BK26,Raw!BJ26,Raw!BI26,Raw!BG26,Raw!BF26,Raw!BE26,Raw!BC26,Raw!BB26,Raw!BA26,Raw!AV26)/SUM(Raw!AV26:BK26), "No Contingency Table"), "Not Included")</f>
        <v>Not Included</v>
      </c>
      <c r="BV26" s="11" t="str">
        <f>IF(BQ26, IF(COUNTIF(Raw!AV26:BK26, "&gt;=0") = 16,SUM(SUM(Raw!AV26,Raw!AW26,Raw!AX26,Raw!AY26)*SUM(Raw!AV26,Raw!AZ26,Raw!BD26,Raw!BH26),SUM(Raw!AZ26:BK26)*SUM(Raw!AW26,Raw!AX26,Raw!AY26,Raw!BA26,Raw!BB26,Raw!BC26,Raw!BE26,Raw!BF26,Raw!BG26,Raw!BI26,Raw!BJ26,Raw!BK26))/BS26^2,"No Contingency Table"), "Not Included")</f>
        <v>Not Included</v>
      </c>
      <c r="BW26" s="11" t="str">
        <f>IF(BQ26, IF(COUNTIF(Raw!AV26:BK26, "&gt;=0") = 16,(BU26-BV26) / (1 - BV26),"No Contingency Table"), "Not Included")</f>
        <v>Not Included</v>
      </c>
      <c r="BX26" s="11" t="b">
        <f t="shared" ref="BX26:BZ26" si="117">BQ26</f>
        <v>0</v>
      </c>
      <c r="BY26" s="11" t="str">
        <f t="shared" si="117"/>
        <v>Not Included</v>
      </c>
      <c r="BZ26" s="11" t="str">
        <f t="shared" si="117"/>
        <v>Not Included</v>
      </c>
      <c r="CA26" s="11" t="str">
        <f>IF(BX26, IF(COUNTIF(Raw!AV26:BK26, "&gt;=0") = 16, IFERROR((BZ26*Raw!BF26 - SUM(Raw!BD26, Raw!BE26, Raw!BF26, Raw!BG26)*SUM(Raw!BF26, Raw!AX26, Raw!BB26, Raw!BJ26)) / SQRT((BZ26*SUM(Raw!BD26, Raw!BE26, Raw!BF26, Raw!BG26) - SUM(Raw!BD26, Raw!BE26, Raw!BF26, Raw!BG26)^2) * (BZ26*SUM(Raw!BF26, Raw!AX26, Raw!BB26, Raw!BJ26) - SUM(Raw!BF26, Raw!AX26, Raw!BB26, Raw!BJ26)^2)), 0), "No Contingency Table"), "Not Included")</f>
        <v>Not Included</v>
      </c>
      <c r="CB26" s="11" t="str">
        <f>IF(BX26, IF(COUNTIF(Raw!AV26:BK26, "&gt;=0") = 16, SUM(Raw!AV26,Raw!AW26,Raw!AY26,Raw!AZ26,Raw!BA26,Raw!BC26,Raw!BF26,Raw!BH26,Raw!BI26,Raw!BK26) / SUM(Raw!AV26:BK26), "No Contingency Table"), "Not Included")</f>
        <v>Not Included</v>
      </c>
      <c r="CC26" s="11" t="str">
        <f>IF(BX26, IF(COUNTIF(Raw!AV26:BK26, "&gt;=0") = 16,SUM(SUM(Raw!BD26,Raw!BE26,Raw!BF26,Raw!BG26)*SUM(Raw!BF26,Raw!AX26,Raw!BB26,Raw!BJ26),SUM(Raw!AV26:BC26,Raw!BH26:BK26)*SUM(Raw!AV26,Raw!AW26,Raw!AY26,Raw!AZ26,Raw!BA26,Raw!BC26,Raw!BD26,Raw!BE26,Raw!BG26,Raw!BH26,Raw!BI26,Raw!BK26))/BZ26^2,"No Contingency Table"), "Not Included")</f>
        <v>Not Included</v>
      </c>
      <c r="CD26" s="11" t="str">
        <f>IF(BX26, IF(COUNTIF(Raw!AV26:BK26, "&gt;=0") = 16,(CB26 - CC26) / (1 - CC26+0.000001),"No Contingency Table"), "Not Included")</f>
        <v>Not Included</v>
      </c>
      <c r="CE26" s="11" t="b">
        <f t="shared" ref="CE26:CG26" si="118">BQ26</f>
        <v>0</v>
      </c>
      <c r="CF26" s="11" t="str">
        <f t="shared" si="118"/>
        <v>Not Included</v>
      </c>
      <c r="CG26" s="11" t="str">
        <f t="shared" si="118"/>
        <v>Not Included</v>
      </c>
      <c r="CH26" s="11" t="str">
        <f>IF(CE26, IF(COUNTIF(Raw!AV26:BK26, "&gt;=0") = 16, IFERROR((CG26*Raw!BA26 - SUM(Raw!BA26, Raw!AZ26, Raw!BB26, Raw!BC26)*SUM(Raw!BA26, Raw!AW26, Raw!BE26, Raw!BI26)) / SQRT((CG26*SUM(Raw!BA26, Raw!AZ26, Raw!BB26, Raw!BC26) - SUM(Raw!BA26, Raw!AZ26, Raw!BB26, Raw!BC26)^2) * (CG26*SUM(Raw!BA26, Raw!AW26, Raw!BE26, Raw!BI26) - SUM(Raw!BA26, Raw!AW26, Raw!BE26, Raw!BI26)^2)), 0), "No Contingency Table"), "Not Included")</f>
        <v>Not Included</v>
      </c>
      <c r="CI26" s="11" t="str">
        <f>IF(CE26, IF(COUNTIF(Raw!AV26:BK26, "&gt;=0") = 16, SUM(Raw!AV26,Raw!AX26,Raw!AY26,Raw!BA26,Raw!BD26,Raw!BF26,Raw!BG26,Raw!BH26,Raw!BJ26,Raw!BK26) / SUM(Raw!AV26:BK26), "No Contingency Table"), "Not Included")</f>
        <v>Not Included</v>
      </c>
      <c r="CJ26" s="61" t="str">
        <f>IF(BX26, IF(COUNTIF(Raw!AV26:BK26, "&gt;=0") = 16,SUM(SUM(Raw!AZ26,Raw!BA26,Raw!BB26,Raw!BC26)*SUM(Raw!BA26,Raw!AW26,Raw!BE26,Raw!BI26),SUM(Raw!AV26:AY26,Raw!BD26:BK26)*SUM(Raw!AV26,Raw!AX26,Raw!AY26,Raw!AZ26,Raw!BB26,Raw!BC26,Raw!BD26,Raw!BF26,Raw!BG26,Raw!BH26,Raw!BJ26,Raw!BK26))/CG26^2,"No Contingency Table"), "Not Included")</f>
        <v>Not Included</v>
      </c>
      <c r="CK26" s="11" t="str">
        <f>IF(BX26, IF(COUNTIF(Raw!AV26:BK26, "&gt;=0") = 16,(CI26 - CJ26) / (1 - CJ26),"No Contingency Table"), "Not Included")</f>
        <v>Not Included</v>
      </c>
      <c r="CL26" s="11" t="str">
        <f>IF(BQ26, IFERROR(Raw!AV26/SUM(Raw!AV26:AY26), 0), "Not Included")</f>
        <v>Not Included</v>
      </c>
      <c r="CM26" s="11" t="str">
        <f>IF(BQ26, IFERROR(Raw!BA26/SUM(Raw!AZ26:BC26), 0), "Not Included")</f>
        <v>Not Included</v>
      </c>
      <c r="CN26" s="11" t="str">
        <f>IF(BQ26, IFERROR(Raw!BF26/SUM(Raw!BD26:BG26), 0), "Not Included")</f>
        <v>Not Included</v>
      </c>
      <c r="CO26" s="11" t="str">
        <f>IF(BQ26, IFERROR(Raw!BK26/SUM(Raw!BH26:BK26), 0), "Not Included")</f>
        <v>Not Included</v>
      </c>
      <c r="CP26" s="11" t="str">
        <f>IF(BQ26, IFERROR(SUM(Raw!AV26,Raw!AX26,Raw!AY26,Raw!BD26,Raw!BF26,Raw!BG26,Raw!BH26,Raw!BJ26,Raw!BK26)/SUM(Raw!AV26,Raw!AW26,Raw!AX26,Raw!AY26,Raw!BD26,Raw!BE26,Raw!BF26,Raw!BG26,Raw!BH26,Raw!BI26,Raw!BJ26,Raw!BK26), 0), "Not Included")</f>
        <v>Not Included</v>
      </c>
      <c r="CQ26" s="11" t="str">
        <f>IF(BQ26, IFERROR(SUM(Raw!AV26:AX26,Raw!AZ26:BB26,Raw!BD26:BF26)/SUM(Raw!AV26:BF26), 0), "Not Included")</f>
        <v>Not Included</v>
      </c>
      <c r="CR26" s="11" t="str">
        <f>IF(BQ26, IFERROR(SUM(Raw!AV26:AY26), 0), "Not Included")</f>
        <v>Not Included</v>
      </c>
      <c r="CS26" s="11" t="str">
        <f>IF(BQ26, IFERROR(SUM(Raw!AZ26:BC26), 0), "Not Included")</f>
        <v>Not Included</v>
      </c>
      <c r="CT26" s="11" t="str">
        <f>IF(BQ26, IFERROR(SUM(Raw!BD26:BG26), 0), "Not Included")</f>
        <v>Not Included</v>
      </c>
      <c r="CU26" s="11" t="str">
        <f>IF(BQ26, IFERROR(SUM(Raw!BH26:BK26), 0), "Not Included")</f>
        <v>Not Included</v>
      </c>
      <c r="CV26" s="11" t="str">
        <f>IF(BQ26, IFERROR(SUM(Raw!AV26,Raw!AW26,Raw!AX26,Raw!AY26,Raw!BD26,Raw!BE26,Raw!BF26,Raw!BG26,Raw!BH26,Raw!BI26,Raw!BJ26,Raw!BK26), 0), "Not Included")</f>
        <v>Not Included</v>
      </c>
      <c r="CW26" s="11" t="str">
        <f>IF(BQ26, IFERROR(SUM(Raw!AV26:BF26), 0), "Not Included")</f>
        <v>Not Included</v>
      </c>
      <c r="CX26" s="11" t="str">
        <f>IF(BQ26, IFERROR((CR26*SUM(Raw!AV26,Raw!AZ26,Raw!BD26,Raw!BH26))/BS26/CR26, 0), "Not Included")</f>
        <v>Not Included</v>
      </c>
      <c r="CY26" s="11" t="str">
        <f>IF(BX26, IFERROR((CS26*SUM(Raw!BA26,Raw!AW26,Raw!BE26,Raw!BI26))/CG26/CS26, 0), "Not Included")</f>
        <v>Not Included</v>
      </c>
      <c r="CZ26" s="11" t="str">
        <f>IF(BX26, IFERROR((CT26*SUM(Raw!BF26,Raw!AX26,Raw!BB26,Raw!BJ26))/BZ26/CT26, 0), "Not Included")</f>
        <v>Not Included</v>
      </c>
      <c r="DA26" s="11" t="str">
        <f>IF(AY26, IFERROR((CU26*SUM(Raw!AY26,Raw!BC26,Raw!BG26,Raw!BK26))/AT26/CU26, 0), "Not Included")</f>
        <v>Not Included</v>
      </c>
      <c r="DB26" s="11" t="str">
        <f>IF(BX26, IFERROR((CV26*SUM(Raw!AV26,Raw!AX26,Raw!AY26,Raw!AZ26,Raw!BB26,Raw!BC26,Raw!BD26,Raw!BF26,Raw!BG26,Raw!BH26,Raw!BJ26,Raw!BK26))/CG26/CV26,0), "Not Included")</f>
        <v>Not Included</v>
      </c>
      <c r="DC26" s="11" t="str">
        <f>IF(AY26, IFERROR((CW26*SUM(Raw!AV26,Raw!AW26,Raw!AX26,Raw!AZ26,Raw!BA26,Raw!BB26,Raw!BD26,Raw!BE26,Raw!BF26,Raw!BH26,Raw!BI26,Raw!BJ26))/AT26/CW26,0), "Not Included")</f>
        <v>Not Included</v>
      </c>
    </row>
    <row r="27" spans="1:107" ht="12.75" customHeight="1">
      <c r="A27" s="11">
        <f>Raw!D27</f>
        <v>17</v>
      </c>
      <c r="B27" s="11" t="str">
        <f>Raw!A27</f>
        <v>Jacobsen et al. (1997)</v>
      </c>
      <c r="C27" s="11">
        <f>Raw!G27</f>
        <v>1</v>
      </c>
      <c r="D27" s="11" t="str">
        <f>Raw!E27</f>
        <v>60 month interval</v>
      </c>
      <c r="E27" s="11" t="str">
        <f>CONCATENATE(IF(Raw!I27&lt;='Interval Definitions'!$B$2, 'Interval Definitions'!$A$2, IF(Raw!I27&lt;='Interval Definitions'!$B$3, 'Interval Definitions'!$A$3, IF(Raw!I27&lt;='Interval Definitions'!$B$4, 'Interval Definitions'!$A$4, IF(Raw!I27&lt;='Interval Definitions'!$B$5, 'Interval Definitions'!$A$5, "None")))), " - ", IF(Raw!J27&lt;='Interval Definitions'!$B$2, 'Interval Definitions'!$A$2, IF(Raw!J27&lt;='Interval Definitions'!$B$3, 'Interval Definitions'!$A$3, IF(Raw!J27&lt;='Interval Definitions'!$B$4, 'Interval Definitions'!$A$4, IF(Raw!J27&lt;='Interval Definitions'!$B$5, 'Interval Definitions'!$A$5, "None")))))</f>
        <v>Infancy - Preschool</v>
      </c>
      <c r="F27" s="11" t="b">
        <f>OR(NOT(ISBLANK(Raw!AF27)),NOT(ISBLANK(Raw!AG27)),NOT(ISBLANK(Raw!AH27)),NOT(ISBLANK(Raw!AI27)),COUNTIF(Raw!AA27:AD27, "&gt;=0") = 4)</f>
        <v>1</v>
      </c>
      <c r="G27" s="11" t="str">
        <f>IF(F27, IF(COUNTIF(Raw!AA27:AD27,"&gt;=0") = 4, "Contingency", IF(NOT(ISBLANK(Raw!AF27)), "Paper r", IF(NOT(ISBLANK(Raw!AG27)), "Pinquart", IF(NOT(ISBLANK(Raw!AH27)), "Fraley", "Paper chiSq")))), "Not Included")</f>
        <v>Pinquart</v>
      </c>
      <c r="H27" s="15">
        <f>IF(F27,Raw!AE27,"Not Included")</f>
        <v>32</v>
      </c>
      <c r="I27" s="15" t="str">
        <f>IF(COUNTIF(Raw!AA27:AD27,"&gt;=0") = 4, SUM(Raw!AA27:AD27), "No Contingency Table")</f>
        <v>No Contingency Table</v>
      </c>
      <c r="J27" s="15">
        <f t="shared" si="0"/>
        <v>32</v>
      </c>
      <c r="K27" s="38" t="str">
        <f>IF(F27, IF(COUNTIF(Raw!AA27:AD27,"&gt;=0") = 4, IFERROR((I27*Raw!AA27 - SUM(Raw!AA27,Raw!AB27)*SUM(Raw!AA27,Raw!AD27)) / SQRT((I27*SUM(Raw!AA27,Raw!AB27) - SUM(Raw!AA27,Raw!AB27)^2) * (I27*SUM(Raw!AA27,Raw!AD27) - SUM(Raw!AA27,Raw!AD27)^2)), 0), "No Contingency Table"), "Not Included")</f>
        <v>No Contingency Table</v>
      </c>
      <c r="L27" s="41">
        <f>IF(F27,IF(NOT(ISBLANK(Raw!AF27)), Raw!AF27, IF(NOT(ISBLANK(Raw!AG27)), Raw!AG27, IF(NOT(ISBLANK(Raw!AH27)), Raw!AH27, IF(NOT(ISBLANK(Raw!AI27)), SQRT(Raw!AI27/H27)*Raw!AJ27, "Not Reported")))),"Not Included")</f>
        <v>0.34</v>
      </c>
      <c r="M27" s="43">
        <f t="shared" si="1"/>
        <v>0.34</v>
      </c>
      <c r="N27" s="11" t="str">
        <f t="shared" si="2"/>
        <v>NA</v>
      </c>
      <c r="O27" s="48" t="b">
        <f>OR(NOT(ISBLANK(Raw!AK27)), COUNTIF(Raw!AA27:AD27, "&gt;=0") = 4)</f>
        <v>0</v>
      </c>
      <c r="P27" s="24" t="str">
        <f>IF(O27,IF(COUNTIF(Raw!AA27:AD27,"&gt;=0") = 4,"Contingency", "Paper k"), "Not Included")</f>
        <v>Not Included</v>
      </c>
      <c r="Q27" s="48" t="str">
        <f>IF(O27, IF(COUNTIF(Raw!AA27:AD27,"&gt;=0") = 4,SUM(Raw!AA27,Raw!AC27)/H27,"No Contingency Table"), "Not Included")</f>
        <v>Not Included</v>
      </c>
      <c r="R27" s="38" t="str">
        <f>IF(O27, IF(COUNTIF(Raw!AA27:AD27, "&gt;=0") = 4,SUM(SUM(Raw!AA27,Raw!AB27)*SUM(Raw!AA27,Raw!AD27),SUM(Raw!AC27,Raw!AD27)*SUM(Raw!AC27,Raw!AB27))/H27^2,"No Contingency Table"), "Not Included")</f>
        <v>Not Included</v>
      </c>
      <c r="S27" s="38" t="str">
        <f>IF(O27, IF(COUNTIF(Raw!AA27:AD27,"&gt;=0") = 4, IFERROR((Q27 - R27) / (1 - R27), "Could not calculate"), "No Contingency Table"), "Not Included")</f>
        <v>Not Included</v>
      </c>
      <c r="T27" s="52" t="str">
        <f>IF(O27,IF(NOT(ISBLANK(Raw!AK27)), Raw!AK27, "Not Reported"), "Not Included")</f>
        <v>Not Included</v>
      </c>
      <c r="U27" s="11" t="str">
        <f t="shared" si="3"/>
        <v>Not Included</v>
      </c>
      <c r="V27" s="11" t="str">
        <f t="shared" si="4"/>
        <v>Not Included</v>
      </c>
      <c r="W27" s="11" t="b">
        <f>OR(NOT(ISBLANK(Raw!AU27)),COUNTIF(Raw!AL27:AT27,"&gt;=0") = 9)</f>
        <v>0</v>
      </c>
      <c r="X27" s="11" t="str">
        <f>IF(W27, IF(COUNTIF(Raw!AL27:AT27,"&gt;=0") = 9, "Contingency", "Paper k"), "Not Included")</f>
        <v>Not Included</v>
      </c>
      <c r="Y27" s="11" t="str">
        <f>IF(W27,IF(COUNTIF(Raw!AL27:AT27,"&gt;=0") = 9,SUM(Raw!AL27:AT27),"No Contingency Table"),"Not Included")</f>
        <v>Not Included</v>
      </c>
      <c r="Z27" s="11" t="str">
        <f t="shared" si="5"/>
        <v>Not Included</v>
      </c>
      <c r="AA27" s="11" t="str">
        <f>IF(W27,IF(COUNTIF(Raw!AL27:AT27,"&gt;=0") = 9,SUM(Raw!AL27,Raw!AP27,Raw!AT27)/Y27,"No Contingency Table"), "Not Included")</f>
        <v>Not Included</v>
      </c>
      <c r="AB27" s="11" t="str">
        <f>IF(W27,IF(COUNTIF(Raw!AL27:AT27,"&gt;=0") = 9,SUM(SUM(Raw!AL27,Raw!AM27,Raw!AN27)*SUM(Raw!AL27,Raw!AO27,Raw!AR27),SUM(Raw!AO27,Raw!AP27,Raw!AQ27)*SUM(Raw!AM27,Raw!AP27,Raw!AS27),SUM(Raw!AR27,Raw!AS27,Raw!AT27)*SUM(Raw!AN27,Raw!AQ27,Raw!AT27))/Y27^2,"No Contingency Table"), "Not Included")</f>
        <v>Not Included</v>
      </c>
      <c r="AC27" s="11" t="str">
        <f>IF(W27,IF(COUNTIF(Raw!AL27:AT27,"&gt;=0") = 9,(AA27 - AB27) / (1 - AB27),"No Contingency Table"), "Not Included")</f>
        <v>Not Included</v>
      </c>
      <c r="AD27" s="11" t="str">
        <f>IF(W27, IF(NOT(ISBLANK(Raw!AU27)),Raw!AU27,"Not Reported"), "Not Included")</f>
        <v>Not Included</v>
      </c>
      <c r="AE27" s="11" t="str">
        <f t="shared" si="6"/>
        <v>Not Included</v>
      </c>
      <c r="AF27" s="11" t="str">
        <f t="shared" si="7"/>
        <v>Not Included</v>
      </c>
      <c r="AG27" s="11" t="b">
        <f>COUNTIF(Raw!AV27:BK27, "&gt;=0") = 16</f>
        <v>0</v>
      </c>
      <c r="AH27" s="11" t="str">
        <f>IF(AG27, IF(COUNTIF(Raw!AV27:BK27,"&gt;=0") = 16, "Contingency", "Paper k"), "Not Included")</f>
        <v>Not Included</v>
      </c>
      <c r="AI27" s="11" t="str">
        <f>IF(AG27,IF(COUNTIF(Raw!AV27:BK27,"&gt;=0") = 16,SUM(Raw!AV27:BK27),"No Contingency Table"),"Not Included")</f>
        <v>Not Included</v>
      </c>
      <c r="AJ27" s="15">
        <f t="shared" si="8"/>
        <v>32</v>
      </c>
      <c r="AK27" s="11" t="str">
        <f>IF(AG27,IF(COUNTIF(Raw!AV27:BK27,"&gt;=0") = 16,SUM(Raw!AV27,Raw!BA27,Raw!BF27,Raw!BK27)/AI27,"No Contingency Table"), "Not Included")</f>
        <v>Not Included</v>
      </c>
      <c r="AL27" s="11" t="str">
        <f>IF(AG27,IF(COUNTIF(Raw!AV27:BK27,"&gt;=0") = 16,SUM(SUM(Raw!AV27,Raw!AW27,Raw!AX27,Raw!AY27)*SUM(Raw!AV27,Raw!AZ27,Raw!BD27,Raw!BH27),SUM(Raw!AZ27,Raw!BA27,Raw!BB27,Raw!BC27)*SUM(Raw!AW27,Raw!BA27,Raw!BE27,Raw!BI27),SUM(Raw!BD27,Raw!BE27,Raw!BF27,Raw!BG27)*SUM(Raw!AX27,Raw!BB27,Raw!BF27,Raw!BJ27),SUM(Raw!BH27,Raw!BI27,Raw!BJ27,Raw!BK27)*SUM(Raw!AY27,Raw!BC27,Raw!BG27,Raw!BK27))/AI27^2,"No Contingency Table"), "Not Included")</f>
        <v>Not Included</v>
      </c>
      <c r="AM27" s="11" t="str">
        <f>IF(AG27,IF(COUNTIF(Raw!AV27:BK27,"&gt;=0") = 16,(AK27 - AL27) / (1 - AL27),"No Contingency Table"), "Not Included")</f>
        <v>Not Included</v>
      </c>
      <c r="AN27" s="32">
        <f>IF(NOT(ISBLANK(Raw!BL27)),Raw!BL27,"Not Reported")</f>
        <v>0.37</v>
      </c>
      <c r="AO27" s="32">
        <f t="shared" si="9"/>
        <v>0.37</v>
      </c>
      <c r="AP27" s="11" t="str">
        <f t="shared" si="10"/>
        <v>Not Included</v>
      </c>
      <c r="AQ27" s="11" t="b">
        <f t="shared" ref="AQ27:AR27" si="119">BQ27</f>
        <v>0</v>
      </c>
      <c r="AR27" s="11" t="str">
        <f t="shared" si="119"/>
        <v>Not Included</v>
      </c>
      <c r="AS27" s="11" t="str">
        <f t="shared" si="12"/>
        <v>Not Included</v>
      </c>
      <c r="AT27" s="11" t="str">
        <f t="shared" si="13"/>
        <v>Not Included</v>
      </c>
      <c r="AU27" s="11" t="str">
        <f>IF(AQ27, IF(COUNTIF(Raw!AV27:BK27, "&gt;=0") = 16, IFERROR((AT27*Raw!BK27 - SUM(Raw!BH27, Raw!BI27, Raw!BJ27, Raw!BK27)*SUM(Raw!AY27, Raw!BC27, Raw!BG27, Raw!BK27)) / SQRT((AT27*SUM(Raw!BH27, Raw!BI27, Raw!BJ27, Raw!BK27) - SUM(Raw!BH27, Raw!BI27, Raw!BJ27, Raw!BK27)^2) * (AT27*SUM(Raw!AY27, Raw!BC27, Raw!BG27, Raw!BK27) - SUM(Raw!AY27, Raw!BC27, Raw!BG27, Raw!BK27)^2)), 0), "No Contingency Table"), "Not Included")</f>
        <v>Not Included</v>
      </c>
      <c r="AV27" s="11" t="str">
        <f>IF(AQ27,IF(NOT(ISBLANK(Raw!BQ27)), Raw!BQ27, IF(NOT(ISBLANK(Raw!BR27)), Raw!BR27, "Not Reported")), "Not Included")</f>
        <v>Not Included</v>
      </c>
      <c r="AW27" s="57" t="str">
        <f t="shared" si="14"/>
        <v>Not Included</v>
      </c>
      <c r="AX27" s="11" t="str">
        <f t="shared" si="15"/>
        <v>Not Included</v>
      </c>
      <c r="AY27" s="11" t="b">
        <f t="shared" ref="AY27:AZ27" si="120">AQ27</f>
        <v>0</v>
      </c>
      <c r="AZ27" s="11" t="str">
        <f t="shared" si="120"/>
        <v>Not Included</v>
      </c>
      <c r="BA27" s="11" t="str">
        <f>IF(AY27, IF(COUNTIF(Raw!AV27:BK27, "&gt;=0") = 16, SUM(Raw!AV27,Raw!AW27,Raw!AX27,Raw!AZ27,Raw!BA27,Raw!BB27,Raw!BD27,Raw!BE27,Raw!BF27,Raw!BK27)/SUM(Raw!AV27:BK27), "No Contingency Table"), "Not Included")</f>
        <v>Not Included</v>
      </c>
      <c r="BB27" s="11" t="str">
        <f>IF(AY27, IF(COUNTIF(Raw!AV27:BK27, "&gt;=0") = 16,SUM(SUM(Raw!BH27,Raw!BI27,Raw!BJ27,Raw!BK27)*SUM(Raw!AY27,Raw!BC27,Raw!BG27,Raw!BK27),SUM(Raw!AV27:BG27)*SUM(Raw!AV27,Raw!AW27,Raw!AX27,Raw!AZ27,Raw!BA27,Raw!BB27,Raw!BD27,Raw!BE27,Raw!BF27,Raw!BH27,Raw!BI27,Raw!BJ27))/AT27^2,"No Contingency Table"), "Not Included")</f>
        <v>Not Included</v>
      </c>
      <c r="BC27" s="11" t="str">
        <f>IF(AY27, IF(COUNTIF(Raw!AV27:BK27, "&gt;=0") = 16,(BA27-BB27) / (1 - BB27),"No Contingency Table"), "Not Included")</f>
        <v>Not Included</v>
      </c>
      <c r="BD27" s="11" t="str">
        <f>IF(AY27,IF(NOT(ISBLANK(Raw!BT48)),Raw!BT48,"Not Reported"),"Not Included")</f>
        <v>Not Included</v>
      </c>
      <c r="BE27" s="11" t="str">
        <f t="shared" si="17"/>
        <v>Not Included</v>
      </c>
      <c r="BF27" s="11" t="str">
        <f t="shared" si="18"/>
        <v>Not Included</v>
      </c>
      <c r="BG27" s="11">
        <f>Raw!K27</f>
        <v>1997</v>
      </c>
      <c r="BH27" s="11" t="str">
        <f>IF(Raw!L27 = "USA","USA","Non-USA")</f>
        <v>Non-USA</v>
      </c>
      <c r="BI27" s="11" t="str">
        <f>Raw!M27</f>
        <v>Ainsworth/Main-Cassidy</v>
      </c>
      <c r="BJ27" s="11">
        <f>Raw!N27</f>
        <v>1</v>
      </c>
      <c r="BK27" s="11">
        <f>Raw!P27</f>
        <v>0</v>
      </c>
      <c r="BL27" s="11">
        <f>Raw!Q27</f>
        <v>0</v>
      </c>
      <c r="BM27" s="11">
        <f>Raw!T27</f>
        <v>1</v>
      </c>
      <c r="BN27" s="11" t="str">
        <f>IFERROR(IF(AND(ISBLANK(Raw!U27), ISBLANK(Raw!V27), ISBLANK(Raw!W27), ISBLANK(Raw!X27)), "NA", IF(OR(NOT(ISBLANK(Raw!U27)), NOT(ISBLANK(Raw!W27))), AVERAGE(Raw!U27,Raw!W27), AVERAGE(Raw!V27,Raw!X27) + IF(Raw!Y27 = "2-way", R27, IF(Raw!Y27 = "3-way", AB27, IF(Raw!Y27 = "4-way", AL27, "NA")))*(1 - AVERAGE(Raw!V27,Raw!X27)))), "NA")</f>
        <v>NA</v>
      </c>
      <c r="BO27" s="11">
        <f>Raw!O27</f>
        <v>1</v>
      </c>
      <c r="BP27" s="11" t="str">
        <f>Raw!F27</f>
        <v>Female</v>
      </c>
      <c r="BQ27" s="11" t="b">
        <f>COUNTIF(Raw!AV27:BK27, "&gt;=0") = 16</f>
        <v>0</v>
      </c>
      <c r="BR27" s="11" t="str">
        <f t="shared" si="19"/>
        <v>Not Included</v>
      </c>
      <c r="BS27" s="11" t="str">
        <f t="shared" si="20"/>
        <v>Not Included</v>
      </c>
      <c r="BT27" s="11" t="str">
        <f>IF(BQ27, IF(COUNTIF(Raw!AV27:BK27, "&gt;=0") = 16, IFERROR((BS27*Raw!AV27 - SUM(Raw!AV27, Raw!AW27, Raw!AX27, Raw!AY27)*SUM(Raw!AV27, Raw!AZ27, Raw!BD27, Raw!BH27)) / SQRT((BS27*SUM(Raw!AV27, Raw!AW27, Raw!AX27, Raw!AY27) - SUM(Raw!AV27, Raw!AW27, Raw!AX27, Raw!AY27)^2) * (BS27*SUM(Raw!AV27, Raw!AZ27, Raw!BD27, Raw!BH27) - SUM(Raw!AV27, Raw!AZ27, Raw!BD27, Raw!BH27)^2)), 0), "No Contingency Table"), "Not Included")</f>
        <v>Not Included</v>
      </c>
      <c r="BU27" s="11" t="str">
        <f>IF(BQ27, IF(COUNTIF(Raw!AV27:BK27, "&gt;=0") = 16, SUM(Raw!BK27,Raw!BJ27,Raw!BI27,Raw!BG27,Raw!BF27,Raw!BE27,Raw!BC27,Raw!BB27,Raw!BA27,Raw!AV27)/SUM(Raw!AV27:BK27), "No Contingency Table"), "Not Included")</f>
        <v>Not Included</v>
      </c>
      <c r="BV27" s="11" t="str">
        <f>IF(BQ27, IF(COUNTIF(Raw!AV27:BK27, "&gt;=0") = 16,SUM(SUM(Raw!AV27,Raw!AW27,Raw!AX27,Raw!AY27)*SUM(Raw!AV27,Raw!AZ27,Raw!BD27,Raw!BH27),SUM(Raw!AZ27:BK27)*SUM(Raw!AW27,Raw!AX27,Raw!AY27,Raw!BA27,Raw!BB27,Raw!BC27,Raw!BE27,Raw!BF27,Raw!BG27,Raw!BI27,Raw!BJ27,Raw!BK27))/BS27^2,"No Contingency Table"), "Not Included")</f>
        <v>Not Included</v>
      </c>
      <c r="BW27" s="11" t="str">
        <f>IF(BQ27, IF(COUNTIF(Raw!AV27:BK27, "&gt;=0") = 16,(BU27-BV27) / (1 - BV27),"No Contingency Table"), "Not Included")</f>
        <v>Not Included</v>
      </c>
      <c r="BX27" s="11" t="b">
        <f t="shared" ref="BX27:BZ27" si="121">BQ27</f>
        <v>0</v>
      </c>
      <c r="BY27" s="11" t="str">
        <f t="shared" si="121"/>
        <v>Not Included</v>
      </c>
      <c r="BZ27" s="11" t="str">
        <f t="shared" si="121"/>
        <v>Not Included</v>
      </c>
      <c r="CA27" s="11" t="str">
        <f>IF(BX27, IF(COUNTIF(Raw!AV27:BK27, "&gt;=0") = 16, IFERROR((BZ27*Raw!BF27 - SUM(Raw!BD27, Raw!BE27, Raw!BF27, Raw!BG27)*SUM(Raw!BF27, Raw!AX27, Raw!BB27, Raw!BJ27)) / SQRT((BZ27*SUM(Raw!BD27, Raw!BE27, Raw!BF27, Raw!BG27) - SUM(Raw!BD27, Raw!BE27, Raw!BF27, Raw!BG27)^2) * (BZ27*SUM(Raw!BF27, Raw!AX27, Raw!BB27, Raw!BJ27) - SUM(Raw!BF27, Raw!AX27, Raw!BB27, Raw!BJ27)^2)), 0), "No Contingency Table"), "Not Included")</f>
        <v>Not Included</v>
      </c>
      <c r="CB27" s="11" t="str">
        <f>IF(BX27, IF(COUNTIF(Raw!AV27:BK27, "&gt;=0") = 16, SUM(Raw!AV27,Raw!AW27,Raw!AY27,Raw!AZ27,Raw!BA27,Raw!BC27,Raw!BF27,Raw!BH27,Raw!BI27,Raw!BK27) / SUM(Raw!AV27:BK27), "No Contingency Table"), "Not Included")</f>
        <v>Not Included</v>
      </c>
      <c r="CC27" s="11" t="str">
        <f>IF(BX27, IF(COUNTIF(Raw!AV27:BK27, "&gt;=0") = 16,SUM(SUM(Raw!BD27,Raw!BE27,Raw!BF27,Raw!BG27)*SUM(Raw!BF27,Raw!AX27,Raw!BB27,Raw!BJ27),SUM(Raw!AV27:BC27,Raw!BH27:BK27)*SUM(Raw!AV27,Raw!AW27,Raw!AY27,Raw!AZ27,Raw!BA27,Raw!BC27,Raw!BD27,Raw!BE27,Raw!BG27,Raw!BH27,Raw!BI27,Raw!BK27))/BZ27^2,"No Contingency Table"), "Not Included")</f>
        <v>Not Included</v>
      </c>
      <c r="CD27" s="11" t="str">
        <f>IF(BX27, IF(COUNTIF(Raw!AV27:BK27, "&gt;=0") = 16,(CB27 - CC27) / (1 - CC27+0.000001),"No Contingency Table"), "Not Included")</f>
        <v>Not Included</v>
      </c>
      <c r="CE27" s="11" t="b">
        <f t="shared" ref="CE27:CG27" si="122">BQ27</f>
        <v>0</v>
      </c>
      <c r="CF27" s="11" t="str">
        <f t="shared" si="122"/>
        <v>Not Included</v>
      </c>
      <c r="CG27" s="11" t="str">
        <f t="shared" si="122"/>
        <v>Not Included</v>
      </c>
      <c r="CH27" s="11" t="str">
        <f>IF(CE27, IF(COUNTIF(Raw!AV27:BK27, "&gt;=0") = 16, IFERROR((CG27*Raw!BA27 - SUM(Raw!BA27, Raw!AZ27, Raw!BB27, Raw!BC27)*SUM(Raw!BA27, Raw!AW27, Raw!BE27, Raw!BI27)) / SQRT((CG27*SUM(Raw!BA27, Raw!AZ27, Raw!BB27, Raw!BC27) - SUM(Raw!BA27, Raw!AZ27, Raw!BB27, Raw!BC27)^2) * (CG27*SUM(Raw!BA27, Raw!AW27, Raw!BE27, Raw!BI27) - SUM(Raw!BA27, Raw!AW27, Raw!BE27, Raw!BI27)^2)), 0), "No Contingency Table"), "Not Included")</f>
        <v>Not Included</v>
      </c>
      <c r="CI27" s="11" t="str">
        <f>IF(CE27, IF(COUNTIF(Raw!AV27:BK27, "&gt;=0") = 16, SUM(Raw!AV27,Raw!AX27,Raw!AY27,Raw!BA27,Raw!BD27,Raw!BF27,Raw!BG27,Raw!BH27,Raw!BJ27,Raw!BK27) / SUM(Raw!AV27:BK27), "No Contingency Table"), "Not Included")</f>
        <v>Not Included</v>
      </c>
      <c r="CJ27" s="61" t="str">
        <f>IF(BX27, IF(COUNTIF(Raw!AV27:BK27, "&gt;=0") = 16,SUM(SUM(Raw!AZ27,Raw!BA27,Raw!BB27,Raw!BC27)*SUM(Raw!BA27,Raw!AW27,Raw!BE27,Raw!BI27),SUM(Raw!AV27:AY27,Raw!BD27:BK27)*SUM(Raw!AV27,Raw!AX27,Raw!AY27,Raw!AZ27,Raw!BB27,Raw!BC27,Raw!BD27,Raw!BF27,Raw!BG27,Raw!BH27,Raw!BJ27,Raw!BK27))/CG27^2,"No Contingency Table"), "Not Included")</f>
        <v>Not Included</v>
      </c>
      <c r="CK27" s="11" t="str">
        <f>IF(BX27, IF(COUNTIF(Raw!AV27:BK27, "&gt;=0") = 16,(CI27 - CJ27) / (1 - CJ27),"No Contingency Table"), "Not Included")</f>
        <v>Not Included</v>
      </c>
      <c r="CL27" s="11" t="str">
        <f>IF(BQ27, IFERROR(Raw!AV27/SUM(Raw!AV27:AY27), 0), "Not Included")</f>
        <v>Not Included</v>
      </c>
      <c r="CM27" s="11" t="str">
        <f>IF(BQ27, IFERROR(Raw!BA27/SUM(Raw!AZ27:BC27), 0), "Not Included")</f>
        <v>Not Included</v>
      </c>
      <c r="CN27" s="11" t="str">
        <f>IF(BQ27, IFERROR(Raw!BF27/SUM(Raw!BD27:BG27), 0), "Not Included")</f>
        <v>Not Included</v>
      </c>
      <c r="CO27" s="11" t="str">
        <f>IF(BQ27, IFERROR(Raw!BK27/SUM(Raw!BH27:BK27), 0), "Not Included")</f>
        <v>Not Included</v>
      </c>
      <c r="CP27" s="11" t="str">
        <f>IF(BQ27, IFERROR(SUM(Raw!AV27,Raw!AX27,Raw!AY27,Raw!BD27,Raw!BF27,Raw!BG27,Raw!BH27,Raw!BJ27,Raw!BK27)/SUM(Raw!AV27,Raw!AW27,Raw!AX27,Raw!AY27,Raw!BD27,Raw!BE27,Raw!BF27,Raw!BG27,Raw!BH27,Raw!BI27,Raw!BJ27,Raw!BK27), 0), "Not Included")</f>
        <v>Not Included</v>
      </c>
      <c r="CQ27" s="11" t="str">
        <f>IF(BQ27, IFERROR(SUM(Raw!AV27:AX27,Raw!AZ27:BB27,Raw!BD27:BF27)/SUM(Raw!AV27:BF27), 0), "Not Included")</f>
        <v>Not Included</v>
      </c>
      <c r="CR27" s="11" t="str">
        <f>IF(BQ27, IFERROR(SUM(Raw!AV27:AY27), 0), "Not Included")</f>
        <v>Not Included</v>
      </c>
      <c r="CS27" s="11" t="str">
        <f>IF(BQ27, IFERROR(SUM(Raw!AZ27:BC27), 0), "Not Included")</f>
        <v>Not Included</v>
      </c>
      <c r="CT27" s="11" t="str">
        <f>IF(BQ27, IFERROR(SUM(Raw!BD27:BG27), 0), "Not Included")</f>
        <v>Not Included</v>
      </c>
      <c r="CU27" s="11" t="str">
        <f>IF(BQ27, IFERROR(SUM(Raw!BH27:BK27), 0), "Not Included")</f>
        <v>Not Included</v>
      </c>
      <c r="CV27" s="11" t="str">
        <f>IF(BQ27, IFERROR(SUM(Raw!AV27,Raw!AW27,Raw!AX27,Raw!AY27,Raw!BD27,Raw!BE27,Raw!BF27,Raw!BG27,Raw!BH27,Raw!BI27,Raw!BJ27,Raw!BK27), 0), "Not Included")</f>
        <v>Not Included</v>
      </c>
      <c r="CW27" s="11" t="str">
        <f>IF(BQ27, IFERROR(SUM(Raw!AV27:BF27), 0), "Not Included")</f>
        <v>Not Included</v>
      </c>
      <c r="CX27" s="11" t="str">
        <f>IF(BQ27, IFERROR((CR27*SUM(Raw!AV27,Raw!AZ27,Raw!BD27,Raw!BH27))/BS27/CR27, 0), "Not Included")</f>
        <v>Not Included</v>
      </c>
      <c r="CY27" s="11" t="str">
        <f>IF(BX27, IFERROR((CS27*SUM(Raw!BA27,Raw!AW27,Raw!BE27,Raw!BI27))/CG27/CS27, 0), "Not Included")</f>
        <v>Not Included</v>
      </c>
      <c r="CZ27" s="11" t="str">
        <f>IF(BX27, IFERROR((CT27*SUM(Raw!BF27,Raw!AX27,Raw!BB27,Raw!BJ27))/BZ27/CT27, 0), "Not Included")</f>
        <v>Not Included</v>
      </c>
      <c r="DA27" s="11" t="str">
        <f>IF(AY27, IFERROR((CU27*SUM(Raw!AY27,Raw!BC27,Raw!BG27,Raw!BK27))/AT27/CU27, 0), "Not Included")</f>
        <v>Not Included</v>
      </c>
      <c r="DB27" s="11" t="str">
        <f>IF(BX27, IFERROR((CV27*SUM(Raw!AV27,Raw!AX27,Raw!AY27,Raw!AZ27,Raw!BB27,Raw!BC27,Raw!BD27,Raw!BF27,Raw!BG27,Raw!BH27,Raw!BJ27,Raw!BK27))/CG27/CV27,0), "Not Included")</f>
        <v>Not Included</v>
      </c>
      <c r="DC27" s="11" t="str">
        <f>IF(AY27, IFERROR((CW27*SUM(Raw!AV27,Raw!AW27,Raw!AX27,Raw!AZ27,Raw!BA27,Raw!BB27,Raw!BD27,Raw!BE27,Raw!BF27,Raw!BH27,Raw!BI27,Raw!BJ27))/AT27/CW27,0), "Not Included")</f>
        <v>Not Included</v>
      </c>
    </row>
    <row r="28" spans="1:107" ht="12.75" customHeight="1">
      <c r="A28" s="11">
        <f>Raw!D28</f>
        <v>17</v>
      </c>
      <c r="B28" s="11" t="str">
        <f>Raw!A28</f>
        <v>Jacobsen et al. (1997)</v>
      </c>
      <c r="C28" s="11">
        <f>Raw!G28</f>
        <v>2</v>
      </c>
      <c r="D28" s="11" t="str">
        <f>Raw!E28</f>
        <v>54 month interval</v>
      </c>
      <c r="E28" s="11" t="str">
        <f>CONCATENATE(IF(Raw!I28&lt;='Interval Definitions'!$B$2, 'Interval Definitions'!$A$2, IF(Raw!I28&lt;='Interval Definitions'!$B$3, 'Interval Definitions'!$A$3, IF(Raw!I28&lt;='Interval Definitions'!$B$4, 'Interval Definitions'!$A$4, IF(Raw!I28&lt;='Interval Definitions'!$B$5, 'Interval Definitions'!$A$5, "None")))), " - ", IF(Raw!J28&lt;='Interval Definitions'!$B$2, 'Interval Definitions'!$A$2, IF(Raw!J28&lt;='Interval Definitions'!$B$3, 'Interval Definitions'!$A$3, IF(Raw!J28&lt;='Interval Definitions'!$B$4, 'Interval Definitions'!$A$4, IF(Raw!J28&lt;='Interval Definitions'!$B$5, 'Interval Definitions'!$A$5, "None")))))</f>
        <v>Infancy - Preschool</v>
      </c>
      <c r="F28" s="11" t="b">
        <f>OR(NOT(ISBLANK(Raw!AF28)),NOT(ISBLANK(Raw!AG28)),NOT(ISBLANK(Raw!AH28)),NOT(ISBLANK(Raw!AI28)),COUNTIF(Raw!AA28:AD28, "&gt;=0") = 4)</f>
        <v>1</v>
      </c>
      <c r="G28" s="11" t="str">
        <f>IF(F28, IF(COUNTIF(Raw!AA28:AD28,"&gt;=0") = 4, "Contingency", IF(NOT(ISBLANK(Raw!AF28)), "Paper r", IF(NOT(ISBLANK(Raw!AG28)), "Pinquart", IF(NOT(ISBLANK(Raw!AH28)), "Fraley", "Paper chiSq")))), "Not Included")</f>
        <v>Pinquart</v>
      </c>
      <c r="H28" s="15">
        <f>IF(F28,Raw!AE28,"Not Included")</f>
        <v>32</v>
      </c>
      <c r="I28" s="15" t="str">
        <f>IF(COUNTIF(Raw!AA28:AD28,"&gt;=0") = 4, SUM(Raw!AA28:AD28), "No Contingency Table")</f>
        <v>No Contingency Table</v>
      </c>
      <c r="J28" s="15">
        <f t="shared" si="0"/>
        <v>32</v>
      </c>
      <c r="K28" s="38" t="str">
        <f>IF(F28, IF(COUNTIF(Raw!AA28:AD28,"&gt;=0") = 4, IFERROR((I28*Raw!AA28 - SUM(Raw!AA28,Raw!AB28)*SUM(Raw!AA28,Raw!AD28)) / SQRT((I28*SUM(Raw!AA28,Raw!AB28) - SUM(Raw!AA28,Raw!AB28)^2) * (I28*SUM(Raw!AA28,Raw!AD28) - SUM(Raw!AA28,Raw!AD28)^2)), 0), "No Contingency Table"), "Not Included")</f>
        <v>No Contingency Table</v>
      </c>
      <c r="L28" s="41">
        <f>IF(F28,IF(NOT(ISBLANK(Raw!AF28)), Raw!AF28, IF(NOT(ISBLANK(Raw!AG28)), Raw!AG28, IF(NOT(ISBLANK(Raw!AH28)), Raw!AH28, IF(NOT(ISBLANK(Raw!AI28)), SQRT(Raw!AI28/H28)*Raw!AJ28, "Not Reported")))),"Not Included")</f>
        <v>0.54</v>
      </c>
      <c r="M28" s="43">
        <f t="shared" si="1"/>
        <v>0.54</v>
      </c>
      <c r="N28" s="11" t="str">
        <f t="shared" si="2"/>
        <v>NA</v>
      </c>
      <c r="O28" s="48" t="b">
        <f>OR(NOT(ISBLANK(Raw!AK28)), COUNTIF(Raw!AA28:AD28, "&gt;=0") = 4)</f>
        <v>0</v>
      </c>
      <c r="P28" s="24" t="str">
        <f>IF(O28,IF(COUNTIF(Raw!AA28:AD28,"&gt;=0") = 4,"Contingency", "Paper k"), "Not Included")</f>
        <v>Not Included</v>
      </c>
      <c r="Q28" s="48" t="str">
        <f>IF(O28, IF(COUNTIF(Raw!AA28:AD28,"&gt;=0") = 4,SUM(Raw!AA28,Raw!AC28)/H28,"No Contingency Table"), "Not Included")</f>
        <v>Not Included</v>
      </c>
      <c r="R28" s="38" t="str">
        <f>IF(O28, IF(COUNTIF(Raw!AA28:AD28, "&gt;=0") = 4,SUM(SUM(Raw!AA28,Raw!AB28)*SUM(Raw!AA28,Raw!AD28),SUM(Raw!AC28,Raw!AD28)*SUM(Raw!AC28,Raw!AB28))/H28^2,"No Contingency Table"), "Not Included")</f>
        <v>Not Included</v>
      </c>
      <c r="S28" s="38" t="str">
        <f>IF(O28, IF(COUNTIF(Raw!AA28:AD28,"&gt;=0") = 4, IFERROR((Q28 - R28) / (1 - R28), "Could not calculate"), "No Contingency Table"), "Not Included")</f>
        <v>Not Included</v>
      </c>
      <c r="T28" s="52" t="str">
        <f>IF(O28,IF(NOT(ISBLANK(Raw!AK28)), Raw!AK28, "Not Reported"), "Not Included")</f>
        <v>Not Included</v>
      </c>
      <c r="U28" s="11" t="str">
        <f t="shared" si="3"/>
        <v>Not Included</v>
      </c>
      <c r="V28" s="11" t="str">
        <f t="shared" si="4"/>
        <v>Not Included</v>
      </c>
      <c r="W28" s="11" t="b">
        <f>OR(NOT(ISBLANK(Raw!AU28)),COUNTIF(Raw!AL28:AT28,"&gt;=0") = 9)</f>
        <v>0</v>
      </c>
      <c r="X28" s="11" t="str">
        <f>IF(W28, IF(COUNTIF(Raw!AL28:AT28,"&gt;=0") = 9, "Contingency", "Paper k"), "Not Included")</f>
        <v>Not Included</v>
      </c>
      <c r="Y28" s="11" t="str">
        <f>IF(W28,IF(COUNTIF(Raw!AL28:AT28,"&gt;=0") = 9,SUM(Raw!AL28:AT28),"No Contingency Table"),"Not Included")</f>
        <v>Not Included</v>
      </c>
      <c r="Z28" s="11" t="str">
        <f t="shared" si="5"/>
        <v>Not Included</v>
      </c>
      <c r="AA28" s="11" t="str">
        <f>IF(W28,IF(COUNTIF(Raw!AL28:AT28,"&gt;=0") = 9,SUM(Raw!AL28,Raw!AP28,Raw!AT28)/Y28,"No Contingency Table"), "Not Included")</f>
        <v>Not Included</v>
      </c>
      <c r="AB28" s="11" t="str">
        <f>IF(W28,IF(COUNTIF(Raw!AL28:AT28,"&gt;=0") = 9,SUM(SUM(Raw!AL28,Raw!AM28,Raw!AN28)*SUM(Raw!AL28,Raw!AO28,Raw!AR28),SUM(Raw!AO28,Raw!AP28,Raw!AQ28)*SUM(Raw!AM28,Raw!AP28,Raw!AS28),SUM(Raw!AR28,Raw!AS28,Raw!AT28)*SUM(Raw!AN28,Raw!AQ28,Raw!AT28))/Y28^2,"No Contingency Table"), "Not Included")</f>
        <v>Not Included</v>
      </c>
      <c r="AC28" s="11" t="str">
        <f>IF(W28,IF(COUNTIF(Raw!AL28:AT28,"&gt;=0") = 9,(AA28 - AB28) / (1 - AB28),"No Contingency Table"), "Not Included")</f>
        <v>Not Included</v>
      </c>
      <c r="AD28" s="11" t="str">
        <f>IF(W28, IF(NOT(ISBLANK(Raw!AU28)),Raw!AU28,"Not Reported"), "Not Included")</f>
        <v>Not Included</v>
      </c>
      <c r="AE28" s="11" t="str">
        <f t="shared" si="6"/>
        <v>Not Included</v>
      </c>
      <c r="AF28" s="11" t="str">
        <f t="shared" si="7"/>
        <v>Not Included</v>
      </c>
      <c r="AG28" s="11" t="b">
        <f>COUNTIF(Raw!AV28:BK28, "&gt;=0") = 16</f>
        <v>0</v>
      </c>
      <c r="AH28" s="11" t="str">
        <f>IF(AG28, IF(COUNTIF(Raw!AV28:BK28,"&gt;=0") = 16, "Contingency", "Paper k"), "Not Included")</f>
        <v>Not Included</v>
      </c>
      <c r="AI28" s="11" t="str">
        <f>IF(AG28,IF(COUNTIF(Raw!AV28:BK28,"&gt;=0") = 16,SUM(Raw!AV28:BK28),"No Contingency Table"),"Not Included")</f>
        <v>Not Included</v>
      </c>
      <c r="AJ28" s="15">
        <f t="shared" si="8"/>
        <v>32</v>
      </c>
      <c r="AK28" s="11" t="str">
        <f>IF(AG28,IF(COUNTIF(Raw!AV28:BK28,"&gt;=0") = 16,SUM(Raw!AV28,Raw!BA28,Raw!BF28,Raw!BK28)/AI28,"No Contingency Table"), "Not Included")</f>
        <v>Not Included</v>
      </c>
      <c r="AL28" s="11" t="str">
        <f>IF(AG28,IF(COUNTIF(Raw!AV28:BK28,"&gt;=0") = 16,SUM(SUM(Raw!AV28,Raw!AW28,Raw!AX28,Raw!AY28)*SUM(Raw!AV28,Raw!AZ28,Raw!BD28,Raw!BH28),SUM(Raw!AZ28,Raw!BA28,Raw!BB28,Raw!BC28)*SUM(Raw!AW28,Raw!BA28,Raw!BE28,Raw!BI28),SUM(Raw!BD28,Raw!BE28,Raw!BF28,Raw!BG28)*SUM(Raw!AX28,Raw!BB28,Raw!BF28,Raw!BJ28),SUM(Raw!BH28,Raw!BI28,Raw!BJ28,Raw!BK28)*SUM(Raw!AY28,Raw!BC28,Raw!BG28,Raw!BK28))/AI28^2,"No Contingency Table"), "Not Included")</f>
        <v>Not Included</v>
      </c>
      <c r="AM28" s="11" t="str">
        <f>IF(AG28,IF(COUNTIF(Raw!AV28:BK28,"&gt;=0") = 16,(AK28 - AL28) / (1 - AL28),"No Contingency Table"), "Not Included")</f>
        <v>Not Included</v>
      </c>
      <c r="AN28" s="32">
        <f>IF(NOT(ISBLANK(Raw!BL28)),Raw!BL28,"Not Reported")</f>
        <v>0.48</v>
      </c>
      <c r="AO28" s="32">
        <f t="shared" si="9"/>
        <v>0.48</v>
      </c>
      <c r="AP28" s="11" t="str">
        <f t="shared" si="10"/>
        <v>Not Included</v>
      </c>
      <c r="AQ28" s="11" t="b">
        <f t="shared" ref="AQ28:AR28" si="123">BQ28</f>
        <v>0</v>
      </c>
      <c r="AR28" s="11" t="str">
        <f t="shared" si="123"/>
        <v>Not Included</v>
      </c>
      <c r="AS28" s="11" t="str">
        <f t="shared" si="12"/>
        <v>Not Included</v>
      </c>
      <c r="AT28" s="11" t="str">
        <f t="shared" si="13"/>
        <v>Not Included</v>
      </c>
      <c r="AU28" s="11" t="str">
        <f>IF(AQ28, IF(COUNTIF(Raw!AV28:BK28, "&gt;=0") = 16, IFERROR((AT28*Raw!BK28 - SUM(Raw!BH28, Raw!BI28, Raw!BJ28, Raw!BK28)*SUM(Raw!AY28, Raw!BC28, Raw!BG28, Raw!BK28)) / SQRT((AT28*SUM(Raw!BH28, Raw!BI28, Raw!BJ28, Raw!BK28) - SUM(Raw!BH28, Raw!BI28, Raw!BJ28, Raw!BK28)^2) * (AT28*SUM(Raw!AY28, Raw!BC28, Raw!BG28, Raw!BK28) - SUM(Raw!AY28, Raw!BC28, Raw!BG28, Raw!BK28)^2)), 0), "No Contingency Table"), "Not Included")</f>
        <v>Not Included</v>
      </c>
      <c r="AV28" s="11" t="str">
        <f>IF(AQ28,IF(NOT(ISBLANK(Raw!BQ28)), Raw!BQ28, IF(NOT(ISBLANK(Raw!BR28)), Raw!BR28, "Not Reported")), "Not Included")</f>
        <v>Not Included</v>
      </c>
      <c r="AW28" s="57" t="str">
        <f t="shared" si="14"/>
        <v>Not Included</v>
      </c>
      <c r="AX28" s="11" t="str">
        <f t="shared" si="15"/>
        <v>Not Included</v>
      </c>
      <c r="AY28" s="11" t="b">
        <f t="shared" ref="AY28:AZ28" si="124">AQ28</f>
        <v>0</v>
      </c>
      <c r="AZ28" s="11" t="str">
        <f t="shared" si="124"/>
        <v>Not Included</v>
      </c>
      <c r="BA28" s="11" t="str">
        <f>IF(AY28, IF(COUNTIF(Raw!AV28:BK28, "&gt;=0") = 16, SUM(Raw!AV28,Raw!AW28,Raw!AX28,Raw!AZ28,Raw!BA28,Raw!BB28,Raw!BD28,Raw!BE28,Raw!BF28,Raw!BK28)/SUM(Raw!AV28:BK28), "No Contingency Table"), "Not Included")</f>
        <v>Not Included</v>
      </c>
      <c r="BB28" s="11" t="str">
        <f>IF(AY28, IF(COUNTIF(Raw!AV28:BK28, "&gt;=0") = 16,SUM(SUM(Raw!BH28,Raw!BI28,Raw!BJ28,Raw!BK28)*SUM(Raw!AY28,Raw!BC28,Raw!BG28,Raw!BK28),SUM(Raw!AV28:BG28)*SUM(Raw!AV28,Raw!AW28,Raw!AX28,Raw!AZ28,Raw!BA28,Raw!BB28,Raw!BD28,Raw!BE28,Raw!BF28,Raw!BH28,Raw!BI28,Raw!BJ28))/AT28^2,"No Contingency Table"), "Not Included")</f>
        <v>Not Included</v>
      </c>
      <c r="BC28" s="11" t="str">
        <f>IF(AY28, IF(COUNTIF(Raw!AV28:BK28, "&gt;=0") = 16,(BA28-BB28) / (1 - BB28),"No Contingency Table"), "Not Included")</f>
        <v>Not Included</v>
      </c>
      <c r="BD28" s="11" t="str">
        <f>IF(AY28,IF(NOT(ISBLANK(Raw!BT49)),Raw!BT49,"Not Reported"),"Not Included")</f>
        <v>Not Included</v>
      </c>
      <c r="BE28" s="11" t="str">
        <f t="shared" si="17"/>
        <v>Not Included</v>
      </c>
      <c r="BF28" s="11" t="str">
        <f t="shared" si="18"/>
        <v>Not Included</v>
      </c>
      <c r="BG28" s="11">
        <f>Raw!K28</f>
        <v>1997</v>
      </c>
      <c r="BH28" s="11" t="str">
        <f>IF(Raw!L28 = "USA","USA","Non-USA")</f>
        <v>Non-USA</v>
      </c>
      <c r="BI28" s="11" t="str">
        <f>Raw!M28</f>
        <v>Ainsworth/Main-Cassidy</v>
      </c>
      <c r="BJ28" s="11">
        <f>Raw!N28</f>
        <v>1</v>
      </c>
      <c r="BK28" s="11">
        <f>Raw!P28</f>
        <v>0</v>
      </c>
      <c r="BL28" s="11">
        <f>Raw!Q28</f>
        <v>0</v>
      </c>
      <c r="BM28" s="11">
        <f>Raw!T28</f>
        <v>1</v>
      </c>
      <c r="BN28" s="11" t="str">
        <f>IFERROR(IF(AND(ISBLANK(Raw!U28), ISBLANK(Raw!V28), ISBLANK(Raw!W28), ISBLANK(Raw!X28)), "NA", IF(OR(NOT(ISBLANK(Raw!U28)), NOT(ISBLANK(Raw!W28))), AVERAGE(Raw!U28,Raw!W28), AVERAGE(Raw!V28,Raw!X28) + IF(Raw!Y28 = "2-way", R28, IF(Raw!Y28 = "3-way", AB28, IF(Raw!Y28 = "4-way", AL28, "NA")))*(1 - AVERAGE(Raw!V28,Raw!X28)))), "NA")</f>
        <v>NA</v>
      </c>
      <c r="BO28" s="11">
        <f>Raw!O28</f>
        <v>0</v>
      </c>
      <c r="BP28" s="11" t="str">
        <f>Raw!F28</f>
        <v>Female</v>
      </c>
      <c r="BQ28" s="11" t="b">
        <f>COUNTIF(Raw!AV28:BK28, "&gt;=0") = 16</f>
        <v>0</v>
      </c>
      <c r="BR28" s="11" t="str">
        <f t="shared" si="19"/>
        <v>Not Included</v>
      </c>
      <c r="BS28" s="11" t="str">
        <f t="shared" si="20"/>
        <v>Not Included</v>
      </c>
      <c r="BT28" s="11" t="str">
        <f>IF(BQ28, IF(COUNTIF(Raw!AV28:BK28, "&gt;=0") = 16, IFERROR((BS28*Raw!AV28 - SUM(Raw!AV28, Raw!AW28, Raw!AX28, Raw!AY28)*SUM(Raw!AV28, Raw!AZ28, Raw!BD28, Raw!BH28)) / SQRT((BS28*SUM(Raw!AV28, Raw!AW28, Raw!AX28, Raw!AY28) - SUM(Raw!AV28, Raw!AW28, Raw!AX28, Raw!AY28)^2) * (BS28*SUM(Raw!AV28, Raw!AZ28, Raw!BD28, Raw!BH28) - SUM(Raw!AV28, Raw!AZ28, Raw!BD28, Raw!BH28)^2)), 0), "No Contingency Table"), "Not Included")</f>
        <v>Not Included</v>
      </c>
      <c r="BU28" s="11" t="str">
        <f>IF(BQ28, IF(COUNTIF(Raw!AV28:BK28, "&gt;=0") = 16, SUM(Raw!BK28,Raw!BJ28,Raw!BI28,Raw!BG28,Raw!BF28,Raw!BE28,Raw!BC28,Raw!BB28,Raw!BA28,Raw!AV28)/SUM(Raw!AV28:BK28), "No Contingency Table"), "Not Included")</f>
        <v>Not Included</v>
      </c>
      <c r="BV28" s="11" t="str">
        <f>IF(BQ28, IF(COUNTIF(Raw!AV28:BK28, "&gt;=0") = 16,SUM(SUM(Raw!AV28,Raw!AW28,Raw!AX28,Raw!AY28)*SUM(Raw!AV28,Raw!AZ28,Raw!BD28,Raw!BH28),SUM(Raw!AZ28:BK28)*SUM(Raw!AW28,Raw!AX28,Raw!AY28,Raw!BA28,Raw!BB28,Raw!BC28,Raw!BE28,Raw!BF28,Raw!BG28,Raw!BI28,Raw!BJ28,Raw!BK28))/BS28^2,"No Contingency Table"), "Not Included")</f>
        <v>Not Included</v>
      </c>
      <c r="BW28" s="11" t="str">
        <f>IF(BQ28, IF(COUNTIF(Raw!AV28:BK28, "&gt;=0") = 16,(BU28-BV28) / (1 - BV28),"No Contingency Table"), "Not Included")</f>
        <v>Not Included</v>
      </c>
      <c r="BX28" s="11" t="b">
        <f t="shared" ref="BX28:BZ28" si="125">BQ28</f>
        <v>0</v>
      </c>
      <c r="BY28" s="11" t="str">
        <f t="shared" si="125"/>
        <v>Not Included</v>
      </c>
      <c r="BZ28" s="11" t="str">
        <f t="shared" si="125"/>
        <v>Not Included</v>
      </c>
      <c r="CA28" s="11" t="str">
        <f>IF(BX28, IF(COUNTIF(Raw!AV28:BK28, "&gt;=0") = 16, IFERROR((BZ28*Raw!BF28 - SUM(Raw!BD28, Raw!BE28, Raw!BF28, Raw!BG28)*SUM(Raw!BF28, Raw!AX28, Raw!BB28, Raw!BJ28)) / SQRT((BZ28*SUM(Raw!BD28, Raw!BE28, Raw!BF28, Raw!BG28) - SUM(Raw!BD28, Raw!BE28, Raw!BF28, Raw!BG28)^2) * (BZ28*SUM(Raw!BF28, Raw!AX28, Raw!BB28, Raw!BJ28) - SUM(Raw!BF28, Raw!AX28, Raw!BB28, Raw!BJ28)^2)), 0), "No Contingency Table"), "Not Included")</f>
        <v>Not Included</v>
      </c>
      <c r="CB28" s="11" t="str">
        <f>IF(BX28, IF(COUNTIF(Raw!AV28:BK28, "&gt;=0") = 16, SUM(Raw!AV28,Raw!AW28,Raw!AY28,Raw!AZ28,Raw!BA28,Raw!BC28,Raw!BF28,Raw!BH28,Raw!BI28,Raw!BK28) / SUM(Raw!AV28:BK28), "No Contingency Table"), "Not Included")</f>
        <v>Not Included</v>
      </c>
      <c r="CC28" s="11" t="str">
        <f>IF(BX28, IF(COUNTIF(Raw!AV28:BK28, "&gt;=0") = 16,SUM(SUM(Raw!BD28,Raw!BE28,Raw!BF28,Raw!BG28)*SUM(Raw!BF28,Raw!AX28,Raw!BB28,Raw!BJ28),SUM(Raw!AV28:BC28,Raw!BH28:BK28)*SUM(Raw!AV28,Raw!AW28,Raw!AY28,Raw!AZ28,Raw!BA28,Raw!BC28,Raw!BD28,Raw!BE28,Raw!BG28,Raw!BH28,Raw!BI28,Raw!BK28))/BZ28^2,"No Contingency Table"), "Not Included")</f>
        <v>Not Included</v>
      </c>
      <c r="CD28" s="11" t="str">
        <f>IF(BX28, IF(COUNTIF(Raw!AV28:BK28, "&gt;=0") = 16,(CB28 - CC28) / (1 - CC28+0.000001),"No Contingency Table"), "Not Included")</f>
        <v>Not Included</v>
      </c>
      <c r="CE28" s="11" t="b">
        <f t="shared" ref="CE28:CG28" si="126">BQ28</f>
        <v>0</v>
      </c>
      <c r="CF28" s="11" t="str">
        <f t="shared" si="126"/>
        <v>Not Included</v>
      </c>
      <c r="CG28" s="11" t="str">
        <f t="shared" si="126"/>
        <v>Not Included</v>
      </c>
      <c r="CH28" s="11" t="str">
        <f>IF(CE28, IF(COUNTIF(Raw!AV28:BK28, "&gt;=0") = 16, IFERROR((CG28*Raw!BA28 - SUM(Raw!BA28, Raw!AZ28, Raw!BB28, Raw!BC28)*SUM(Raw!BA28, Raw!AW28, Raw!BE28, Raw!BI28)) / SQRT((CG28*SUM(Raw!BA28, Raw!AZ28, Raw!BB28, Raw!BC28) - SUM(Raw!BA28, Raw!AZ28, Raw!BB28, Raw!BC28)^2) * (CG28*SUM(Raw!BA28, Raw!AW28, Raw!BE28, Raw!BI28) - SUM(Raw!BA28, Raw!AW28, Raw!BE28, Raw!BI28)^2)), 0), "No Contingency Table"), "Not Included")</f>
        <v>Not Included</v>
      </c>
      <c r="CI28" s="11" t="str">
        <f>IF(CE28, IF(COUNTIF(Raw!AV28:BK28, "&gt;=0") = 16, SUM(Raw!AV28,Raw!AX28,Raw!AY28,Raw!BA28,Raw!BD28,Raw!BF28,Raw!BG28,Raw!BH28,Raw!BJ28,Raw!BK28) / SUM(Raw!AV28:BK28), "No Contingency Table"), "Not Included")</f>
        <v>Not Included</v>
      </c>
      <c r="CJ28" s="61" t="str">
        <f>IF(BX28, IF(COUNTIF(Raw!AV28:BK28, "&gt;=0") = 16,SUM(SUM(Raw!AZ28,Raw!BA28,Raw!BB28,Raw!BC28)*SUM(Raw!BA28,Raw!AW28,Raw!BE28,Raw!BI28),SUM(Raw!AV28:AY28,Raw!BD28:BK28)*SUM(Raw!AV28,Raw!AX28,Raw!AY28,Raw!AZ28,Raw!BB28,Raw!BC28,Raw!BD28,Raw!BF28,Raw!BG28,Raw!BH28,Raw!BJ28,Raw!BK28))/CG28^2,"No Contingency Table"), "Not Included")</f>
        <v>Not Included</v>
      </c>
      <c r="CK28" s="11" t="str">
        <f>IF(BX28, IF(COUNTIF(Raw!AV28:BK28, "&gt;=0") = 16,(CI28 - CJ28) / (1 - CJ28),"No Contingency Table"), "Not Included")</f>
        <v>Not Included</v>
      </c>
      <c r="CL28" s="11" t="str">
        <f>IF(BQ28, IFERROR(Raw!AV28/SUM(Raw!AV28:AY28), 0), "Not Included")</f>
        <v>Not Included</v>
      </c>
      <c r="CM28" s="11" t="str">
        <f>IF(BQ28, IFERROR(Raw!BA28/SUM(Raw!AZ28:BC28), 0), "Not Included")</f>
        <v>Not Included</v>
      </c>
      <c r="CN28" s="11" t="str">
        <f>IF(BQ28, IFERROR(Raw!BF28/SUM(Raw!BD28:BG28), 0), "Not Included")</f>
        <v>Not Included</v>
      </c>
      <c r="CO28" s="11" t="str">
        <f>IF(BQ28, IFERROR(Raw!BK28/SUM(Raw!BH28:BK28), 0), "Not Included")</f>
        <v>Not Included</v>
      </c>
      <c r="CP28" s="11" t="str">
        <f>IF(BQ28, IFERROR(SUM(Raw!AV28,Raw!AX28,Raw!AY28,Raw!BD28,Raw!BF28,Raw!BG28,Raw!BH28,Raw!BJ28,Raw!BK28)/SUM(Raw!AV28,Raw!AW28,Raw!AX28,Raw!AY28,Raw!BD28,Raw!BE28,Raw!BF28,Raw!BG28,Raw!BH28,Raw!BI28,Raw!BJ28,Raw!BK28), 0), "Not Included")</f>
        <v>Not Included</v>
      </c>
      <c r="CQ28" s="11" t="str">
        <f>IF(BQ28, IFERROR(SUM(Raw!AV28:AX28,Raw!AZ28:BB28,Raw!BD28:BF28)/SUM(Raw!AV28:BF28), 0), "Not Included")</f>
        <v>Not Included</v>
      </c>
      <c r="CR28" s="11" t="str">
        <f>IF(BQ28, IFERROR(SUM(Raw!AV28:AY28), 0), "Not Included")</f>
        <v>Not Included</v>
      </c>
      <c r="CS28" s="11" t="str">
        <f>IF(BQ28, IFERROR(SUM(Raw!AZ28:BC28), 0), "Not Included")</f>
        <v>Not Included</v>
      </c>
      <c r="CT28" s="11" t="str">
        <f>IF(BQ28, IFERROR(SUM(Raw!BD28:BG28), 0), "Not Included")</f>
        <v>Not Included</v>
      </c>
      <c r="CU28" s="11" t="str">
        <f>IF(BQ28, IFERROR(SUM(Raw!BH28:BK28), 0), "Not Included")</f>
        <v>Not Included</v>
      </c>
      <c r="CV28" s="11" t="str">
        <f>IF(BQ28, IFERROR(SUM(Raw!AV28,Raw!AW28,Raw!AX28,Raw!AY28,Raw!BD28,Raw!BE28,Raw!BF28,Raw!BG28,Raw!BH28,Raw!BI28,Raw!BJ28,Raw!BK28), 0), "Not Included")</f>
        <v>Not Included</v>
      </c>
      <c r="CW28" s="11" t="str">
        <f>IF(BQ28, IFERROR(SUM(Raw!AV28:BF28), 0), "Not Included")</f>
        <v>Not Included</v>
      </c>
      <c r="CX28" s="11" t="str">
        <f>IF(BQ28, IFERROR((CR28*SUM(Raw!AV28,Raw!AZ28,Raw!BD28,Raw!BH28))/BS28/CR28, 0), "Not Included")</f>
        <v>Not Included</v>
      </c>
      <c r="CY28" s="11" t="str">
        <f>IF(BX28, IFERROR((CS28*SUM(Raw!BA28,Raw!AW28,Raw!BE28,Raw!BI28))/CG28/CS28, 0), "Not Included")</f>
        <v>Not Included</v>
      </c>
      <c r="CZ28" s="11" t="str">
        <f>IF(BX28, IFERROR((CT28*SUM(Raw!BF28,Raw!AX28,Raw!BB28,Raw!BJ28))/BZ28/CT28, 0), "Not Included")</f>
        <v>Not Included</v>
      </c>
      <c r="DA28" s="11" t="str">
        <f>IF(AY28, IFERROR((CU28*SUM(Raw!AY28,Raw!BC28,Raw!BG28,Raw!BK28))/AT28/CU28, 0), "Not Included")</f>
        <v>Not Included</v>
      </c>
      <c r="DB28" s="11" t="str">
        <f>IF(BX28, IFERROR((CV28*SUM(Raw!AV28,Raw!AX28,Raw!AY28,Raw!AZ28,Raw!BB28,Raw!BC28,Raw!BD28,Raw!BF28,Raw!BG28,Raw!BH28,Raw!BJ28,Raw!BK28))/CG28/CV28,0), "Not Included")</f>
        <v>Not Included</v>
      </c>
      <c r="DC28" s="11" t="str">
        <f>IF(AY28, IFERROR((CW28*SUM(Raw!AV28,Raw!AW28,Raw!AX28,Raw!AZ28,Raw!BA28,Raw!BB28,Raw!BD28,Raw!BE28,Raw!BF28,Raw!BH28,Raw!BI28,Raw!BJ28))/AT28/CW28,0), "Not Included")</f>
        <v>Not Included</v>
      </c>
    </row>
    <row r="29" spans="1:107" ht="12.75" customHeight="1">
      <c r="A29" s="11">
        <f>Raw!D29</f>
        <v>18</v>
      </c>
      <c r="B29" s="11" t="str">
        <f>Raw!A29</f>
        <v>Jacobsen et al. (2014)</v>
      </c>
      <c r="C29" s="11">
        <f>Raw!G29</f>
        <v>1</v>
      </c>
      <c r="D29" s="11" t="str">
        <f>Raw!E29</f>
        <v>Foster children</v>
      </c>
      <c r="E29" s="11" t="str">
        <f>CONCATENATE(IF(Raw!I29&lt;='Interval Definitions'!$B$2, 'Interval Definitions'!$A$2, IF(Raw!I29&lt;='Interval Definitions'!$B$3, 'Interval Definitions'!$A$3, IF(Raw!I29&lt;='Interval Definitions'!$B$4, 'Interval Definitions'!$A$4, IF(Raw!I29&lt;='Interval Definitions'!$B$5, 'Interval Definitions'!$A$5, "None")))), " - ", IF(Raw!J29&lt;='Interval Definitions'!$B$2, 'Interval Definitions'!$A$2, IF(Raw!J29&lt;='Interval Definitions'!$B$3, 'Interval Definitions'!$A$3, IF(Raw!J29&lt;='Interval Definitions'!$B$4, 'Interval Definitions'!$A$4, IF(Raw!J29&lt;='Interval Definitions'!$B$5, 'Interval Definitions'!$A$5, "None")))))</f>
        <v>Toddlerhood - Preschool</v>
      </c>
      <c r="F29" s="11" t="b">
        <f>OR(NOT(ISBLANK(Raw!AF29)),NOT(ISBLANK(Raw!AG29)),NOT(ISBLANK(Raw!AH29)),NOT(ISBLANK(Raw!AI29)),COUNTIF(Raw!AA29:AD29, "&gt;=0") = 4)</f>
        <v>1</v>
      </c>
      <c r="G29" s="11" t="str">
        <f>IF(F29, IF(COUNTIF(Raw!AA29:AD29,"&gt;=0") = 4, "Contingency", IF(NOT(ISBLANK(Raw!AF29)), "Paper r", IF(NOT(ISBLANK(Raw!AG29)), "Pinquart", IF(NOT(ISBLANK(Raw!AH29)), "Fraley", "Paper chiSq")))), "Not Included")</f>
        <v>Contingency</v>
      </c>
      <c r="H29" s="15">
        <f>IF(F29,Raw!AE29,"Not Included")</f>
        <v>55</v>
      </c>
      <c r="I29" s="15">
        <f>IF(COUNTIF(Raw!AA29:AD29,"&gt;=0") = 4, SUM(Raw!AA29:AD29), "No Contingency Table")</f>
        <v>55</v>
      </c>
      <c r="J29" s="15">
        <f t="shared" si="0"/>
        <v>55</v>
      </c>
      <c r="K29" s="38">
        <f>IF(F29, IF(COUNTIF(Raw!AA29:AD29,"&gt;=0") = 4, IFERROR((I29*Raw!AA29 - SUM(Raw!AA29,Raw!AB29)*SUM(Raw!AA29,Raw!AD29)) / SQRT((I29*SUM(Raw!AA29,Raw!AB29) - SUM(Raw!AA29,Raw!AB29)^2) * (I29*SUM(Raw!AA29,Raw!AD29) - SUM(Raw!AA29,Raw!AD29)^2)), 0), "No Contingency Table"), "Not Included")</f>
        <v>9.1591591591591595E-2</v>
      </c>
      <c r="L29" s="41" t="str">
        <f>IF(F29,IF(NOT(ISBLANK(Raw!AF29)), Raw!AF29, IF(NOT(ISBLANK(Raw!AG29)), Raw!AG29, IF(NOT(ISBLANK(Raw!AH29)), Raw!AH29, IF(NOT(ISBLANK(Raw!AI29)), SQRT(Raw!AI29/H29)*Raw!AJ29, "Not Reported")))),"Not Included")</f>
        <v>Not Reported</v>
      </c>
      <c r="M29" s="43">
        <f t="shared" si="1"/>
        <v>9.1591591591591595E-2</v>
      </c>
      <c r="N29" s="11" t="str">
        <f t="shared" si="2"/>
        <v>NA</v>
      </c>
      <c r="O29" s="48" t="b">
        <f>OR(NOT(ISBLANK(Raw!AK29)), COUNTIF(Raw!AA29:AD29, "&gt;=0") = 4)</f>
        <v>1</v>
      </c>
      <c r="P29" s="24" t="str">
        <f>IF(O29,IF(COUNTIF(Raw!AA29:AD29,"&gt;=0") = 4,"Contingency", "Paper k"), "Not Included")</f>
        <v>Contingency</v>
      </c>
      <c r="Q29" s="48">
        <f>IF(O29, IF(COUNTIF(Raw!AA29:AD29,"&gt;=0") = 4,SUM(Raw!AA29,Raw!AC29)/H29,"No Contingency Table"), "Not Included")</f>
        <v>0.6</v>
      </c>
      <c r="R29" s="38">
        <f>IF(O29, IF(COUNTIF(Raw!AA29:AD29, "&gt;=0") = 4,SUM(SUM(Raw!AA29,Raw!AB29)*SUM(Raw!AA29,Raw!AD29),SUM(Raw!AC29,Raw!AD29)*SUM(Raw!AC29,Raw!AB29))/H29^2,"No Contingency Table"), "Not Included")</f>
        <v>0.55966942148760335</v>
      </c>
      <c r="S29" s="38">
        <f>IF(O29, IF(COUNTIF(Raw!AA29:AD29,"&gt;=0") = 4, IFERROR((Q29 - R29) / (1 - R29), "Could not calculate"), "No Contingency Table"), "Not Included")</f>
        <v>9.1591591591591456E-2</v>
      </c>
      <c r="T29" s="52">
        <f>IF(O29,IF(NOT(ISBLANK(Raw!AK29)), Raw!AK29, "Not Reported"), "Not Included")</f>
        <v>0.09</v>
      </c>
      <c r="U29" s="38">
        <f t="shared" si="3"/>
        <v>9.1591591591591456E-2</v>
      </c>
      <c r="V29" s="11">
        <f t="shared" si="4"/>
        <v>1</v>
      </c>
      <c r="W29" s="11" t="b">
        <f>OR(NOT(ISBLANK(Raw!AU29)),COUNTIF(Raw!AL29:AT29,"&gt;=0") = 9)</f>
        <v>0</v>
      </c>
      <c r="X29" s="11" t="str">
        <f>IF(W29, IF(COUNTIF(Raw!AL29:AT29,"&gt;=0") = 9, "Contingency", "Paper k"), "Not Included")</f>
        <v>Not Included</v>
      </c>
      <c r="Y29" s="11" t="str">
        <f>IF(W29,IF(COUNTIF(Raw!AL29:AT29,"&gt;=0") = 9,SUM(Raw!AL29:AT29),"No Contingency Table"),"Not Included")</f>
        <v>Not Included</v>
      </c>
      <c r="Z29" s="11" t="str">
        <f t="shared" si="5"/>
        <v>Not Included</v>
      </c>
      <c r="AA29" s="11" t="str">
        <f>IF(W29,IF(COUNTIF(Raw!AL29:AT29,"&gt;=0") = 9,SUM(Raw!AL29,Raw!AP29,Raw!AT29)/Y29,"No Contingency Table"), "Not Included")</f>
        <v>Not Included</v>
      </c>
      <c r="AB29" s="11" t="str">
        <f>IF(W29,IF(COUNTIF(Raw!AL29:AT29,"&gt;=0") = 9,SUM(SUM(Raw!AL29,Raw!AM29,Raw!AN29)*SUM(Raw!AL29,Raw!AO29,Raw!AR29),SUM(Raw!AO29,Raw!AP29,Raw!AQ29)*SUM(Raw!AM29,Raw!AP29,Raw!AS29),SUM(Raw!AR29,Raw!AS29,Raw!AT29)*SUM(Raw!AN29,Raw!AQ29,Raw!AT29))/Y29^2,"No Contingency Table"), "Not Included")</f>
        <v>Not Included</v>
      </c>
      <c r="AC29" s="11" t="str">
        <f>IF(W29,IF(COUNTIF(Raw!AL29:AT29,"&gt;=0") = 9,(AA29 - AB29) / (1 - AB29),"No Contingency Table"), "Not Included")</f>
        <v>Not Included</v>
      </c>
      <c r="AD29" s="11" t="str">
        <f>IF(W29, IF(NOT(ISBLANK(Raw!AU29)),Raw!AU29,"Not Reported"), "Not Included")</f>
        <v>Not Included</v>
      </c>
      <c r="AE29" s="11" t="str">
        <f t="shared" si="6"/>
        <v>Not Included</v>
      </c>
      <c r="AF29" s="11" t="str">
        <f t="shared" si="7"/>
        <v>Not Included</v>
      </c>
      <c r="AG29" s="11" t="b">
        <f>COUNTIF(Raw!AV29:BK29, "&gt;=0") = 16</f>
        <v>0</v>
      </c>
      <c r="AH29" s="11" t="str">
        <f>IF(AG29, IF(COUNTIF(Raw!AV29:BK29,"&gt;=0") = 16, "Contingency", "Paper k"), "Not Included")</f>
        <v>Not Included</v>
      </c>
      <c r="AI29" s="11" t="str">
        <f>IF(AG29,IF(COUNTIF(Raw!AV29:BK29,"&gt;=0") = 16,SUM(Raw!AV29:BK29),"No Contingency Table"),"Not Included")</f>
        <v>Not Included</v>
      </c>
      <c r="AJ29" s="15">
        <f t="shared" si="8"/>
        <v>55</v>
      </c>
      <c r="AK29" s="11" t="str">
        <f>IF(AG29,IF(COUNTIF(Raw!AV29:BK29,"&gt;=0") = 16,SUM(Raw!AV29,Raw!BA29,Raw!BF29,Raw!BK29)/AI29,"No Contingency Table"), "Not Included")</f>
        <v>Not Included</v>
      </c>
      <c r="AL29" s="11" t="str">
        <f>IF(AG29,IF(COUNTIF(Raw!AV29:BK29,"&gt;=0") = 16,SUM(SUM(Raw!AV29,Raw!AW29,Raw!AX29,Raw!AY29)*SUM(Raw!AV29,Raw!AZ29,Raw!BD29,Raw!BH29),SUM(Raw!AZ29,Raw!BA29,Raw!BB29,Raw!BC29)*SUM(Raw!AW29,Raw!BA29,Raw!BE29,Raw!BI29),SUM(Raw!BD29,Raw!BE29,Raw!BF29,Raw!BG29)*SUM(Raw!AX29,Raw!BB29,Raw!BF29,Raw!BJ29),SUM(Raw!BH29,Raw!BI29,Raw!BJ29,Raw!BK29)*SUM(Raw!AY29,Raw!BC29,Raw!BG29,Raw!BK29))/AI29^2,"No Contingency Table"), "Not Included")</f>
        <v>Not Included</v>
      </c>
      <c r="AM29" s="11" t="str">
        <f>IF(AG29,IF(COUNTIF(Raw!AV29:BK29,"&gt;=0") = 16,(AK29 - AL29) / (1 - AL29),"No Contingency Table"), "Not Included")</f>
        <v>Not Included</v>
      </c>
      <c r="AN29" s="11" t="str">
        <f>IF(NOT(ISBLANK(Raw!BL29)),Raw!BL29,"Not Reported")</f>
        <v>Not Reported</v>
      </c>
      <c r="AO29" s="11" t="str">
        <f t="shared" si="9"/>
        <v>Not Reported</v>
      </c>
      <c r="AP29" s="11" t="str">
        <f t="shared" si="10"/>
        <v>Not Included</v>
      </c>
      <c r="AQ29" s="11" t="b">
        <f t="shared" ref="AQ29:AR29" si="127">BQ29</f>
        <v>0</v>
      </c>
      <c r="AR29" s="11" t="str">
        <f t="shared" si="127"/>
        <v>Not Included</v>
      </c>
      <c r="AS29" s="11" t="str">
        <f t="shared" si="12"/>
        <v>Not Included</v>
      </c>
      <c r="AT29" s="11" t="str">
        <f t="shared" si="13"/>
        <v>Not Included</v>
      </c>
      <c r="AU29" s="11" t="str">
        <f>IF(AQ29, IF(COUNTIF(Raw!AV29:BK29, "&gt;=0") = 16, IFERROR((AT29*Raw!BK29 - SUM(Raw!BH29, Raw!BI29, Raw!BJ29, Raw!BK29)*SUM(Raw!AY29, Raw!BC29, Raw!BG29, Raw!BK29)) / SQRT((AT29*SUM(Raw!BH29, Raw!BI29, Raw!BJ29, Raw!BK29) - SUM(Raw!BH29, Raw!BI29, Raw!BJ29, Raw!BK29)^2) * (AT29*SUM(Raw!AY29, Raw!BC29, Raw!BG29, Raw!BK29) - SUM(Raw!AY29, Raw!BC29, Raw!BG29, Raw!BK29)^2)), 0), "No Contingency Table"), "Not Included")</f>
        <v>Not Included</v>
      </c>
      <c r="AV29" s="11" t="str">
        <f>IF(AQ29,IF(NOT(ISBLANK(Raw!BQ29)), Raw!BQ29, IF(NOT(ISBLANK(Raw!BR29)), Raw!BR29, "Not Reported")), "Not Included")</f>
        <v>Not Included</v>
      </c>
      <c r="AW29" s="57" t="str">
        <f t="shared" si="14"/>
        <v>Not Included</v>
      </c>
      <c r="AX29" s="11" t="str">
        <f t="shared" si="15"/>
        <v>Not Included</v>
      </c>
      <c r="AY29" s="11" t="b">
        <f t="shared" ref="AY29:AZ29" si="128">AQ29</f>
        <v>0</v>
      </c>
      <c r="AZ29" s="11" t="str">
        <f t="shared" si="128"/>
        <v>Not Included</v>
      </c>
      <c r="BA29" s="11" t="str">
        <f>IF(AY29, IF(COUNTIF(Raw!AV29:BK29, "&gt;=0") = 16, SUM(Raw!AV29,Raw!AW29,Raw!AX29,Raw!AZ29,Raw!BA29,Raw!BB29,Raw!BD29,Raw!BE29,Raw!BF29,Raw!BK29)/SUM(Raw!AV29:BK29), "No Contingency Table"), "Not Included")</f>
        <v>Not Included</v>
      </c>
      <c r="BB29" s="11" t="str">
        <f>IF(AY29, IF(COUNTIF(Raw!AV29:BK29, "&gt;=0") = 16,SUM(SUM(Raw!BH29,Raw!BI29,Raw!BJ29,Raw!BK29)*SUM(Raw!AY29,Raw!BC29,Raw!BG29,Raw!BK29),SUM(Raw!AV29:BG29)*SUM(Raw!AV29,Raw!AW29,Raw!AX29,Raw!AZ29,Raw!BA29,Raw!BB29,Raw!BD29,Raw!BE29,Raw!BF29,Raw!BH29,Raw!BI29,Raw!BJ29))/AT29^2,"No Contingency Table"), "Not Included")</f>
        <v>Not Included</v>
      </c>
      <c r="BC29" s="11" t="str">
        <f>IF(AY29, IF(COUNTIF(Raw!AV29:BK29, "&gt;=0") = 16,(BA29-BB29) / (1 - BB29),"No Contingency Table"), "Not Included")</f>
        <v>Not Included</v>
      </c>
      <c r="BD29" s="11" t="str">
        <f>IF(AY29,IF(NOT(ISBLANK(Raw!BT50)),Raw!BT50,"Not Reported"),"Not Included")</f>
        <v>Not Included</v>
      </c>
      <c r="BE29" s="11" t="str">
        <f t="shared" si="17"/>
        <v>Not Included</v>
      </c>
      <c r="BF29" s="11" t="str">
        <f t="shared" si="18"/>
        <v>Not Included</v>
      </c>
      <c r="BG29" s="11">
        <f>Raw!K29</f>
        <v>2014</v>
      </c>
      <c r="BH29" s="11" t="str">
        <f>IF(Raw!L29 = "USA","USA","Non-USA")</f>
        <v>Non-USA</v>
      </c>
      <c r="BI29" s="11" t="str">
        <f>Raw!M29</f>
        <v>Ainsworth/Cassidy-Marvin</v>
      </c>
      <c r="BJ29" s="11">
        <f>Raw!N29</f>
        <v>0</v>
      </c>
      <c r="BK29" s="11">
        <f>Raw!P29</f>
        <v>1</v>
      </c>
      <c r="BL29" s="11">
        <f>Raw!Q29</f>
        <v>0</v>
      </c>
      <c r="BM29" s="11">
        <f>Raw!T29</f>
        <v>1</v>
      </c>
      <c r="BN29" s="11">
        <f>IFERROR(IF(AND(ISBLANK(Raw!U29), ISBLANK(Raw!V29), ISBLANK(Raw!W29), ISBLANK(Raw!X29)), "NA", IF(OR(NOT(ISBLANK(Raw!U29)), NOT(ISBLANK(Raw!W29))), AVERAGE(Raw!U29,Raw!W29), AVERAGE(Raw!V29,Raw!X29) + IF(Raw!Y29 = "2-way", R29, IF(Raw!Y29 = "3-way", AB29, IF(Raw!Y29 = "4-way", AL29, "NA")))*(1 - AVERAGE(Raw!V29,Raw!X29)))), "NA")</f>
        <v>0.82</v>
      </c>
      <c r="BO29" s="11">
        <f>Raw!O29</f>
        <v>0</v>
      </c>
      <c r="BP29" s="11" t="str">
        <f>Raw!F29</f>
        <v>Female</v>
      </c>
      <c r="BQ29" s="11" t="b">
        <f>COUNTIF(Raw!AV29:BK29, "&gt;=0") = 16</f>
        <v>0</v>
      </c>
      <c r="BR29" s="11" t="str">
        <f t="shared" si="19"/>
        <v>Not Included</v>
      </c>
      <c r="BS29" s="11" t="str">
        <f t="shared" si="20"/>
        <v>Not Included</v>
      </c>
      <c r="BT29" s="11" t="str">
        <f>IF(BQ29, IF(COUNTIF(Raw!AV29:BK29, "&gt;=0") = 16, IFERROR((BS29*Raw!AV29 - SUM(Raw!AV29, Raw!AW29, Raw!AX29, Raw!AY29)*SUM(Raw!AV29, Raw!AZ29, Raw!BD29, Raw!BH29)) / SQRT((BS29*SUM(Raw!AV29, Raw!AW29, Raw!AX29, Raw!AY29) - SUM(Raw!AV29, Raw!AW29, Raw!AX29, Raw!AY29)^2) * (BS29*SUM(Raw!AV29, Raw!AZ29, Raw!BD29, Raw!BH29) - SUM(Raw!AV29, Raw!AZ29, Raw!BD29, Raw!BH29)^2)), 0), "No Contingency Table"), "Not Included")</f>
        <v>Not Included</v>
      </c>
      <c r="BU29" s="11" t="str">
        <f>IF(BQ29, IF(COUNTIF(Raw!AV29:BK29, "&gt;=0") = 16, SUM(Raw!BK29,Raw!BJ29,Raw!BI29,Raw!BG29,Raw!BF29,Raw!BE29,Raw!BC29,Raw!BB29,Raw!BA29,Raw!AV29)/SUM(Raw!AV29:BK29), "No Contingency Table"), "Not Included")</f>
        <v>Not Included</v>
      </c>
      <c r="BV29" s="11" t="str">
        <f>IF(BQ29, IF(COUNTIF(Raw!AV29:BK29, "&gt;=0") = 16,SUM(SUM(Raw!AV29,Raw!AW29,Raw!AX29,Raw!AY29)*SUM(Raw!AV29,Raw!AZ29,Raw!BD29,Raw!BH29),SUM(Raw!AZ29:BK29)*SUM(Raw!AW29,Raw!AX29,Raw!AY29,Raw!BA29,Raw!BB29,Raw!BC29,Raw!BE29,Raw!BF29,Raw!BG29,Raw!BI29,Raw!BJ29,Raw!BK29))/BS29^2,"No Contingency Table"), "Not Included")</f>
        <v>Not Included</v>
      </c>
      <c r="BW29" s="11" t="str">
        <f>IF(BQ29, IF(COUNTIF(Raw!AV29:BK29, "&gt;=0") = 16,(BU29-BV29) / (1 - BV29),"No Contingency Table"), "Not Included")</f>
        <v>Not Included</v>
      </c>
      <c r="BX29" s="11" t="b">
        <f t="shared" ref="BX29:BZ29" si="129">BQ29</f>
        <v>0</v>
      </c>
      <c r="BY29" s="11" t="str">
        <f t="shared" si="129"/>
        <v>Not Included</v>
      </c>
      <c r="BZ29" s="11" t="str">
        <f t="shared" si="129"/>
        <v>Not Included</v>
      </c>
      <c r="CA29" s="11" t="str">
        <f>IF(BX29, IF(COUNTIF(Raw!AV29:BK29, "&gt;=0") = 16, IFERROR((BZ29*Raw!BF29 - SUM(Raw!BD29, Raw!BE29, Raw!BF29, Raw!BG29)*SUM(Raw!BF29, Raw!AX29, Raw!BB29, Raw!BJ29)) / SQRT((BZ29*SUM(Raw!BD29, Raw!BE29, Raw!BF29, Raw!BG29) - SUM(Raw!BD29, Raw!BE29, Raw!BF29, Raw!BG29)^2) * (BZ29*SUM(Raw!BF29, Raw!AX29, Raw!BB29, Raw!BJ29) - SUM(Raw!BF29, Raw!AX29, Raw!BB29, Raw!BJ29)^2)), 0), "No Contingency Table"), "Not Included")</f>
        <v>Not Included</v>
      </c>
      <c r="CB29" s="11" t="str">
        <f>IF(BX29, IF(COUNTIF(Raw!AV29:BK29, "&gt;=0") = 16, SUM(Raw!AV29,Raw!AW29,Raw!AY29,Raw!AZ29,Raw!BA29,Raw!BC29,Raw!BF29,Raw!BH29,Raw!BI29,Raw!BK29) / SUM(Raw!AV29:BK29), "No Contingency Table"), "Not Included")</f>
        <v>Not Included</v>
      </c>
      <c r="CC29" s="11" t="str">
        <f>IF(BX29, IF(COUNTIF(Raw!AV29:BK29, "&gt;=0") = 16,SUM(SUM(Raw!BD29,Raw!BE29,Raw!BF29,Raw!BG29)*SUM(Raw!BF29,Raw!AX29,Raw!BB29,Raw!BJ29),SUM(Raw!AV29:BC29,Raw!BH29:BK29)*SUM(Raw!AV29,Raw!AW29,Raw!AY29,Raw!AZ29,Raw!BA29,Raw!BC29,Raw!BD29,Raw!BE29,Raw!BG29,Raw!BH29,Raw!BI29,Raw!BK29))/BZ29^2,"No Contingency Table"), "Not Included")</f>
        <v>Not Included</v>
      </c>
      <c r="CD29" s="11" t="str">
        <f>IF(BX29, IF(COUNTIF(Raw!AV29:BK29, "&gt;=0") = 16,(CB29 - CC29) / (1 - CC29+0.000001),"No Contingency Table"), "Not Included")</f>
        <v>Not Included</v>
      </c>
      <c r="CE29" s="11" t="b">
        <f t="shared" ref="CE29:CG29" si="130">BQ29</f>
        <v>0</v>
      </c>
      <c r="CF29" s="11" t="str">
        <f t="shared" si="130"/>
        <v>Not Included</v>
      </c>
      <c r="CG29" s="11" t="str">
        <f t="shared" si="130"/>
        <v>Not Included</v>
      </c>
      <c r="CH29" s="11" t="str">
        <f>IF(CE29, IF(COUNTIF(Raw!AV29:BK29, "&gt;=0") = 16, IFERROR((CG29*Raw!BA29 - SUM(Raw!BA29, Raw!AZ29, Raw!BB29, Raw!BC29)*SUM(Raw!BA29, Raw!AW29, Raw!BE29, Raw!BI29)) / SQRT((CG29*SUM(Raw!BA29, Raw!AZ29, Raw!BB29, Raw!BC29) - SUM(Raw!BA29, Raw!AZ29, Raw!BB29, Raw!BC29)^2) * (CG29*SUM(Raw!BA29, Raw!AW29, Raw!BE29, Raw!BI29) - SUM(Raw!BA29, Raw!AW29, Raw!BE29, Raw!BI29)^2)), 0), "No Contingency Table"), "Not Included")</f>
        <v>Not Included</v>
      </c>
      <c r="CI29" s="11" t="str">
        <f>IF(CE29, IF(COUNTIF(Raw!AV29:BK29, "&gt;=0") = 16, SUM(Raw!AV29,Raw!AX29,Raw!AY29,Raw!BA29,Raw!BD29,Raw!BF29,Raw!BG29,Raw!BH29,Raw!BJ29,Raw!BK29) / SUM(Raw!AV29:BK29), "No Contingency Table"), "Not Included")</f>
        <v>Not Included</v>
      </c>
      <c r="CJ29" s="61" t="str">
        <f>IF(BX29, IF(COUNTIF(Raw!AV29:BK29, "&gt;=0") = 16,SUM(SUM(Raw!AZ29,Raw!BA29,Raw!BB29,Raw!BC29)*SUM(Raw!BA29,Raw!AW29,Raw!BE29,Raw!BI29),SUM(Raw!AV29:AY29,Raw!BD29:BK29)*SUM(Raw!AV29,Raw!AX29,Raw!AY29,Raw!AZ29,Raw!BB29,Raw!BC29,Raw!BD29,Raw!BF29,Raw!BG29,Raw!BH29,Raw!BJ29,Raw!BK29))/CG29^2,"No Contingency Table"), "Not Included")</f>
        <v>Not Included</v>
      </c>
      <c r="CK29" s="11" t="str">
        <f>IF(BX29, IF(COUNTIF(Raw!AV29:BK29, "&gt;=0") = 16,(CI29 - CJ29) / (1 - CJ29),"No Contingency Table"), "Not Included")</f>
        <v>Not Included</v>
      </c>
      <c r="CL29" s="11" t="str">
        <f>IF(BQ29, IFERROR(Raw!AV29/SUM(Raw!AV29:AY29), 0), "Not Included")</f>
        <v>Not Included</v>
      </c>
      <c r="CM29" s="11" t="str">
        <f>IF(BQ29, IFERROR(Raw!BA29/SUM(Raw!AZ29:BC29), 0), "Not Included")</f>
        <v>Not Included</v>
      </c>
      <c r="CN29" s="11" t="str">
        <f>IF(BQ29, IFERROR(Raw!BF29/SUM(Raw!BD29:BG29), 0), "Not Included")</f>
        <v>Not Included</v>
      </c>
      <c r="CO29" s="11" t="str">
        <f>IF(BQ29, IFERROR(Raw!BK29/SUM(Raw!BH29:BK29), 0), "Not Included")</f>
        <v>Not Included</v>
      </c>
      <c r="CP29" s="11" t="str">
        <f>IF(BQ29, IFERROR(SUM(Raw!AV29,Raw!AX29,Raw!AY29,Raw!BD29,Raw!BF29,Raw!BG29,Raw!BH29,Raw!BJ29,Raw!BK29)/SUM(Raw!AV29,Raw!AW29,Raw!AX29,Raw!AY29,Raw!BD29,Raw!BE29,Raw!BF29,Raw!BG29,Raw!BH29,Raw!BI29,Raw!BJ29,Raw!BK29), 0), "Not Included")</f>
        <v>Not Included</v>
      </c>
      <c r="CQ29" s="11" t="str">
        <f>IF(BQ29, IFERROR(SUM(Raw!AV29:AX29,Raw!AZ29:BB29,Raw!BD29:BF29)/SUM(Raw!AV29:BF29), 0), "Not Included")</f>
        <v>Not Included</v>
      </c>
      <c r="CR29" s="11" t="str">
        <f>IF(BQ29, IFERROR(SUM(Raw!AV29:AY29), 0), "Not Included")</f>
        <v>Not Included</v>
      </c>
      <c r="CS29" s="11" t="str">
        <f>IF(BQ29, IFERROR(SUM(Raw!AZ29:BC29), 0), "Not Included")</f>
        <v>Not Included</v>
      </c>
      <c r="CT29" s="11" t="str">
        <f>IF(BQ29, IFERROR(SUM(Raw!BD29:BG29), 0), "Not Included")</f>
        <v>Not Included</v>
      </c>
      <c r="CU29" s="11" t="str">
        <f>IF(BQ29, IFERROR(SUM(Raw!BH29:BK29), 0), "Not Included")</f>
        <v>Not Included</v>
      </c>
      <c r="CV29" s="11" t="str">
        <f>IF(BQ29, IFERROR(SUM(Raw!AV29,Raw!AW29,Raw!AX29,Raw!AY29,Raw!BD29,Raw!BE29,Raw!BF29,Raw!BG29,Raw!BH29,Raw!BI29,Raw!BJ29,Raw!BK29), 0), "Not Included")</f>
        <v>Not Included</v>
      </c>
      <c r="CW29" s="11" t="str">
        <f>IF(BQ29, IFERROR(SUM(Raw!AV29:BF29), 0), "Not Included")</f>
        <v>Not Included</v>
      </c>
      <c r="CX29" s="11" t="str">
        <f>IF(BQ29, IFERROR((CR29*SUM(Raw!AV29,Raw!AZ29,Raw!BD29,Raw!BH29))/BS29/CR29, 0), "Not Included")</f>
        <v>Not Included</v>
      </c>
      <c r="CY29" s="11" t="str">
        <f>IF(BX29, IFERROR((CS29*SUM(Raw!BA29,Raw!AW29,Raw!BE29,Raw!BI29))/CG29/CS29, 0), "Not Included")</f>
        <v>Not Included</v>
      </c>
      <c r="CZ29" s="11" t="str">
        <f>IF(BX29, IFERROR((CT29*SUM(Raw!BF29,Raw!AX29,Raw!BB29,Raw!BJ29))/BZ29/CT29, 0), "Not Included")</f>
        <v>Not Included</v>
      </c>
      <c r="DA29" s="11" t="str">
        <f>IF(AY29, IFERROR((CU29*SUM(Raw!AY29,Raw!BC29,Raw!BG29,Raw!BK29))/AT29/CU29, 0), "Not Included")</f>
        <v>Not Included</v>
      </c>
      <c r="DB29" s="11" t="str">
        <f>IF(BX29, IFERROR((CV29*SUM(Raw!AV29,Raw!AX29,Raw!AY29,Raw!AZ29,Raw!BB29,Raw!BC29,Raw!BD29,Raw!BF29,Raw!BG29,Raw!BH29,Raw!BJ29,Raw!BK29))/CG29/CV29,0), "Not Included")</f>
        <v>Not Included</v>
      </c>
      <c r="DC29" s="11" t="str">
        <f>IF(AY29, IFERROR((CW29*SUM(Raw!AV29,Raw!AW29,Raw!AX29,Raw!AZ29,Raw!BA29,Raw!BB29,Raw!BD29,Raw!BE29,Raw!BF29,Raw!BH29,Raw!BI29,Raw!BJ29))/AT29/CW29,0), "Not Included")</f>
        <v>Not Included</v>
      </c>
    </row>
    <row r="30" spans="1:107" ht="12.75" customHeight="1">
      <c r="A30" s="11">
        <f>Raw!D30</f>
        <v>19</v>
      </c>
      <c r="B30" s="11" t="str">
        <f>Raw!A30</f>
        <v>Jacobsen et al. (2014)</v>
      </c>
      <c r="C30" s="11">
        <f>Raw!G30</f>
        <v>1</v>
      </c>
      <c r="D30" s="11" t="str">
        <f>Raw!E30</f>
        <v>Comparison</v>
      </c>
      <c r="E30" s="11" t="str">
        <f>CONCATENATE(IF(Raw!I30&lt;='Interval Definitions'!$B$2, 'Interval Definitions'!$A$2, IF(Raw!I30&lt;='Interval Definitions'!$B$3, 'Interval Definitions'!$A$3, IF(Raw!I30&lt;='Interval Definitions'!$B$4, 'Interval Definitions'!$A$4, IF(Raw!I30&lt;='Interval Definitions'!$B$5, 'Interval Definitions'!$A$5, "None")))), " - ", IF(Raw!J30&lt;='Interval Definitions'!$B$2, 'Interval Definitions'!$A$2, IF(Raw!J30&lt;='Interval Definitions'!$B$3, 'Interval Definitions'!$A$3, IF(Raw!J30&lt;='Interval Definitions'!$B$4, 'Interval Definitions'!$A$4, IF(Raw!J30&lt;='Interval Definitions'!$B$5, 'Interval Definitions'!$A$5, "None")))))</f>
        <v>Toddlerhood - Preschool</v>
      </c>
      <c r="F30" s="11" t="b">
        <f>OR(NOT(ISBLANK(Raw!AF30)),NOT(ISBLANK(Raw!AG30)),NOT(ISBLANK(Raw!AH30)),NOT(ISBLANK(Raw!AI30)),COUNTIF(Raw!AA30:AD30, "&gt;=0") = 4)</f>
        <v>1</v>
      </c>
      <c r="G30" s="11" t="str">
        <f>IF(F30, IF(COUNTIF(Raw!AA30:AD30,"&gt;=0") = 4, "Contingency", IF(NOT(ISBLANK(Raw!AF30)), "Paper r", IF(NOT(ISBLANK(Raw!AG30)), "Pinquart", IF(NOT(ISBLANK(Raw!AH30)), "Fraley", "Paper chiSq")))), "Not Included")</f>
        <v>Contingency</v>
      </c>
      <c r="H30" s="15">
        <f>IF(F30,Raw!AE30,"Not Included")</f>
        <v>40</v>
      </c>
      <c r="I30" s="15">
        <f>IF(COUNTIF(Raw!AA30:AD30,"&gt;=0") = 4, SUM(Raw!AA30:AD30), "No Contingency Table")</f>
        <v>40</v>
      </c>
      <c r="J30" s="15">
        <f t="shared" si="0"/>
        <v>40</v>
      </c>
      <c r="K30" s="38">
        <f>IF(F30, IF(COUNTIF(Raw!AA30:AD30,"&gt;=0") = 4, IFERROR((I30*Raw!AA30 - SUM(Raw!AA30,Raw!AB30)*SUM(Raw!AA30,Raw!AD30)) / SQRT((I30*SUM(Raw!AA30,Raw!AB30) - SUM(Raw!AA30,Raw!AB30)^2) * (I30*SUM(Raw!AA30,Raw!AD30) - SUM(Raw!AA30,Raw!AD30)^2)), 0), "No Contingency Table"), "Not Included")</f>
        <v>0.16162704595880897</v>
      </c>
      <c r="L30" s="41" t="str">
        <f>IF(F30,IF(NOT(ISBLANK(Raw!AF30)), Raw!AF30, IF(NOT(ISBLANK(Raw!AG30)), Raw!AG30, IF(NOT(ISBLANK(Raw!AH30)), Raw!AH30, IF(NOT(ISBLANK(Raw!AI30)), SQRT(Raw!AI30/H30)*Raw!AJ30, "Not Reported")))),"Not Included")</f>
        <v>Not Reported</v>
      </c>
      <c r="M30" s="43">
        <f t="shared" si="1"/>
        <v>0.16162704595880897</v>
      </c>
      <c r="N30" s="11" t="str">
        <f t="shared" si="2"/>
        <v>NA</v>
      </c>
      <c r="O30" s="48" t="b">
        <f>OR(NOT(ISBLANK(Raw!AK30)), COUNTIF(Raw!AA30:AD30, "&gt;=0") = 4)</f>
        <v>1</v>
      </c>
      <c r="P30" s="24" t="str">
        <f>IF(O30,IF(COUNTIF(Raw!AA30:AD30,"&gt;=0") = 4,"Contingency", "Paper k"), "Not Included")</f>
        <v>Contingency</v>
      </c>
      <c r="Q30" s="48">
        <f>IF(O30, IF(COUNTIF(Raw!AA30:AD30,"&gt;=0") = 4,SUM(Raw!AA30,Raw!AC30)/H30,"No Contingency Table"), "Not Included")</f>
        <v>0.67500000000000004</v>
      </c>
      <c r="R30" s="38">
        <f>IF(O30, IF(COUNTIF(Raw!AA30:AD30, "&gt;=0") = 4,SUM(SUM(Raw!AA30,Raw!AB30)*SUM(Raw!AA30,Raw!AD30),SUM(Raw!AC30,Raw!AD30)*SUM(Raw!AC30,Raw!AB30))/H30^2,"No Contingency Table"), "Not Included")</f>
        <v>0.61250000000000004</v>
      </c>
      <c r="S30" s="38">
        <f>IF(O30, IF(COUNTIF(Raw!AA30:AD30,"&gt;=0") = 4, IFERROR((Q30 - R30) / (1 - R30), "Could not calculate"), "No Contingency Table"), "Not Included")</f>
        <v>0.16129032258064518</v>
      </c>
      <c r="T30" s="52">
        <f>IF(O30,IF(NOT(ISBLANK(Raw!AK30)), Raw!AK30, "Not Reported"), "Not Included")</f>
        <v>0.16</v>
      </c>
      <c r="U30" s="38">
        <f t="shared" si="3"/>
        <v>0.16129032258064518</v>
      </c>
      <c r="V30" s="11">
        <f t="shared" si="4"/>
        <v>1</v>
      </c>
      <c r="W30" s="11" t="b">
        <f>OR(NOT(ISBLANK(Raw!AU30)),COUNTIF(Raw!AL30:AT30,"&gt;=0") = 9)</f>
        <v>0</v>
      </c>
      <c r="X30" s="11" t="str">
        <f>IF(W30, IF(COUNTIF(Raw!AL30:AT30,"&gt;=0") = 9, "Contingency", "Paper k"), "Not Included")</f>
        <v>Not Included</v>
      </c>
      <c r="Y30" s="11" t="str">
        <f>IF(W30,IF(COUNTIF(Raw!AL30:AT30,"&gt;=0") = 9,SUM(Raw!AL30:AT30),"No Contingency Table"),"Not Included")</f>
        <v>Not Included</v>
      </c>
      <c r="Z30" s="11" t="str">
        <f t="shared" si="5"/>
        <v>Not Included</v>
      </c>
      <c r="AA30" s="11" t="str">
        <f>IF(W30,IF(COUNTIF(Raw!AL30:AT30,"&gt;=0") = 9,SUM(Raw!AL30,Raw!AP30,Raw!AT30)/Y30,"No Contingency Table"), "Not Included")</f>
        <v>Not Included</v>
      </c>
      <c r="AB30" s="11" t="str">
        <f>IF(W30,IF(COUNTIF(Raw!AL30:AT30,"&gt;=0") = 9,SUM(SUM(Raw!AL30,Raw!AM30,Raw!AN30)*SUM(Raw!AL30,Raw!AO30,Raw!AR30),SUM(Raw!AO30,Raw!AP30,Raw!AQ30)*SUM(Raw!AM30,Raw!AP30,Raw!AS30),SUM(Raw!AR30,Raw!AS30,Raw!AT30)*SUM(Raw!AN30,Raw!AQ30,Raw!AT30))/Y30^2,"No Contingency Table"), "Not Included")</f>
        <v>Not Included</v>
      </c>
      <c r="AC30" s="11" t="str">
        <f>IF(W30,IF(COUNTIF(Raw!AL30:AT30,"&gt;=0") = 9,(AA30 - AB30) / (1 - AB30),"No Contingency Table"), "Not Included")</f>
        <v>Not Included</v>
      </c>
      <c r="AD30" s="11" t="str">
        <f>IF(W30, IF(NOT(ISBLANK(Raw!AU30)),Raw!AU30,"Not Reported"), "Not Included")</f>
        <v>Not Included</v>
      </c>
      <c r="AE30" s="11" t="str">
        <f t="shared" si="6"/>
        <v>Not Included</v>
      </c>
      <c r="AF30" s="11" t="str">
        <f t="shared" si="7"/>
        <v>Not Included</v>
      </c>
      <c r="AG30" s="11" t="b">
        <f>COUNTIF(Raw!AV30:BK30, "&gt;=0") = 16</f>
        <v>0</v>
      </c>
      <c r="AH30" s="11" t="str">
        <f>IF(AG30, IF(COUNTIF(Raw!AV30:BK30,"&gt;=0") = 16, "Contingency", "Paper k"), "Not Included")</f>
        <v>Not Included</v>
      </c>
      <c r="AI30" s="11" t="str">
        <f>IF(AG30,IF(COUNTIF(Raw!AV30:BK30,"&gt;=0") = 16,SUM(Raw!AV30:BK30),"No Contingency Table"),"Not Included")</f>
        <v>Not Included</v>
      </c>
      <c r="AJ30" s="15">
        <f t="shared" si="8"/>
        <v>40</v>
      </c>
      <c r="AK30" s="11" t="str">
        <f>IF(AG30,IF(COUNTIF(Raw!AV30:BK30,"&gt;=0") = 16,SUM(Raw!AV30,Raw!BA30,Raw!BF30,Raw!BK30)/AI30,"No Contingency Table"), "Not Included")</f>
        <v>Not Included</v>
      </c>
      <c r="AL30" s="11" t="str">
        <f>IF(AG30,IF(COUNTIF(Raw!AV30:BK30,"&gt;=0") = 16,SUM(SUM(Raw!AV30,Raw!AW30,Raw!AX30,Raw!AY30)*SUM(Raw!AV30,Raw!AZ30,Raw!BD30,Raw!BH30),SUM(Raw!AZ30,Raw!BA30,Raw!BB30,Raw!BC30)*SUM(Raw!AW30,Raw!BA30,Raw!BE30,Raw!BI30),SUM(Raw!BD30,Raw!BE30,Raw!BF30,Raw!BG30)*SUM(Raw!AX30,Raw!BB30,Raw!BF30,Raw!BJ30),SUM(Raw!BH30,Raw!BI30,Raw!BJ30,Raw!BK30)*SUM(Raw!AY30,Raw!BC30,Raw!BG30,Raw!BK30))/AI30^2,"No Contingency Table"), "Not Included")</f>
        <v>Not Included</v>
      </c>
      <c r="AM30" s="11" t="str">
        <f>IF(AG30,IF(COUNTIF(Raw!AV30:BK30,"&gt;=0") = 16,(AK30 - AL30) / (1 - AL30),"No Contingency Table"), "Not Included")</f>
        <v>Not Included</v>
      </c>
      <c r="AN30" s="11" t="str">
        <f>IF(NOT(ISBLANK(Raw!BL30)),Raw!BL30,"Not Reported")</f>
        <v>Not Reported</v>
      </c>
      <c r="AO30" s="11" t="str">
        <f t="shared" si="9"/>
        <v>Not Reported</v>
      </c>
      <c r="AP30" s="11" t="str">
        <f t="shared" si="10"/>
        <v>Not Included</v>
      </c>
      <c r="AQ30" s="11" t="b">
        <f t="shared" ref="AQ30:AR30" si="131">BQ30</f>
        <v>0</v>
      </c>
      <c r="AR30" s="11" t="str">
        <f t="shared" si="131"/>
        <v>Not Included</v>
      </c>
      <c r="AS30" s="11" t="str">
        <f t="shared" si="12"/>
        <v>Not Included</v>
      </c>
      <c r="AT30" s="11" t="str">
        <f t="shared" si="13"/>
        <v>Not Included</v>
      </c>
      <c r="AU30" s="11" t="str">
        <f>IF(AQ30, IF(COUNTIF(Raw!AV30:BK30, "&gt;=0") = 16, IFERROR((AT30*Raw!BK30 - SUM(Raw!BH30, Raw!BI30, Raw!BJ30, Raw!BK30)*SUM(Raw!AY30, Raw!BC30, Raw!BG30, Raw!BK30)) / SQRT((AT30*SUM(Raw!BH30, Raw!BI30, Raw!BJ30, Raw!BK30) - SUM(Raw!BH30, Raw!BI30, Raw!BJ30, Raw!BK30)^2) * (AT30*SUM(Raw!AY30, Raw!BC30, Raw!BG30, Raw!BK30) - SUM(Raw!AY30, Raw!BC30, Raw!BG30, Raw!BK30)^2)), 0), "No Contingency Table"), "Not Included")</f>
        <v>Not Included</v>
      </c>
      <c r="AV30" s="11" t="str">
        <f>IF(AQ30,IF(NOT(ISBLANK(Raw!BQ30)), Raw!BQ30, IF(NOT(ISBLANK(Raw!BR30)), Raw!BR30, "Not Reported")), "Not Included")</f>
        <v>Not Included</v>
      </c>
      <c r="AW30" s="57" t="str">
        <f t="shared" si="14"/>
        <v>Not Included</v>
      </c>
      <c r="AX30" s="11" t="str">
        <f t="shared" si="15"/>
        <v>Not Included</v>
      </c>
      <c r="AY30" s="11" t="b">
        <f t="shared" ref="AY30:AZ30" si="132">AQ30</f>
        <v>0</v>
      </c>
      <c r="AZ30" s="11" t="str">
        <f t="shared" si="132"/>
        <v>Not Included</v>
      </c>
      <c r="BA30" s="11" t="str">
        <f>IF(AY30, IF(COUNTIF(Raw!AV30:BK30, "&gt;=0") = 16, SUM(Raw!AV30,Raw!AW30,Raw!AX30,Raw!AZ30,Raw!BA30,Raw!BB30,Raw!BD30,Raw!BE30,Raw!BF30,Raw!BK30)/SUM(Raw!AV30:BK30), "No Contingency Table"), "Not Included")</f>
        <v>Not Included</v>
      </c>
      <c r="BB30" s="11" t="str">
        <f>IF(AY30, IF(COUNTIF(Raw!AV30:BK30, "&gt;=0") = 16,SUM(SUM(Raw!BH30,Raw!BI30,Raw!BJ30,Raw!BK30)*SUM(Raw!AY30,Raw!BC30,Raw!BG30,Raw!BK30),SUM(Raw!AV30:BG30)*SUM(Raw!AV30,Raw!AW30,Raw!AX30,Raw!AZ30,Raw!BA30,Raw!BB30,Raw!BD30,Raw!BE30,Raw!BF30,Raw!BH30,Raw!BI30,Raw!BJ30))/AT30^2,"No Contingency Table"), "Not Included")</f>
        <v>Not Included</v>
      </c>
      <c r="BC30" s="11" t="str">
        <f>IF(AY30, IF(COUNTIF(Raw!AV30:BK30, "&gt;=0") = 16,(BA30-BB30) / (1 - BB30),"No Contingency Table"), "Not Included")</f>
        <v>Not Included</v>
      </c>
      <c r="BD30" s="11" t="str">
        <f>IF(AY30,IF(NOT(ISBLANK(Raw!BT51)),Raw!BT51,"Not Reported"),"Not Included")</f>
        <v>Not Included</v>
      </c>
      <c r="BE30" s="11" t="str">
        <f t="shared" si="17"/>
        <v>Not Included</v>
      </c>
      <c r="BF30" s="11" t="str">
        <f t="shared" si="18"/>
        <v>Not Included</v>
      </c>
      <c r="BG30" s="11">
        <f>Raw!K30</f>
        <v>2014</v>
      </c>
      <c r="BH30" s="11" t="str">
        <f>IF(Raw!L30 = "USA","USA","Non-USA")</f>
        <v>Non-USA</v>
      </c>
      <c r="BI30" s="11" t="str">
        <f>Raw!M30</f>
        <v>Cassidy-Marvin/Cassidy-Marvin</v>
      </c>
      <c r="BJ30" s="11">
        <f>Raw!N30</f>
        <v>0</v>
      </c>
      <c r="BK30" s="11">
        <f>Raw!P30</f>
        <v>0</v>
      </c>
      <c r="BL30" s="11">
        <f>Raw!Q30</f>
        <v>0</v>
      </c>
      <c r="BM30" s="11">
        <f>Raw!T30</f>
        <v>1</v>
      </c>
      <c r="BN30" s="11">
        <f>IFERROR(IF(AND(ISBLANK(Raw!U30), ISBLANK(Raw!V30), ISBLANK(Raw!W30), ISBLANK(Raw!X30)), "NA", IF(OR(NOT(ISBLANK(Raw!U30)), NOT(ISBLANK(Raw!W30))), AVERAGE(Raw!U30,Raw!W30), AVERAGE(Raw!V30,Raw!X30) + IF(Raw!Y30 = "2-way", R30, IF(Raw!Y30 = "3-way", AB30, IF(Raw!Y30 = "4-way", AL30, "NA")))*(1 - AVERAGE(Raw!V30,Raw!X30)))), "NA")</f>
        <v>0.82</v>
      </c>
      <c r="BO30" s="11">
        <f>Raw!O30</f>
        <v>0</v>
      </c>
      <c r="BP30" s="11" t="str">
        <f>Raw!F30</f>
        <v>Female</v>
      </c>
      <c r="BQ30" s="11" t="b">
        <f>COUNTIF(Raw!AV30:BK30, "&gt;=0") = 16</f>
        <v>0</v>
      </c>
      <c r="BR30" s="11" t="str">
        <f t="shared" si="19"/>
        <v>Not Included</v>
      </c>
      <c r="BS30" s="11" t="str">
        <f t="shared" si="20"/>
        <v>Not Included</v>
      </c>
      <c r="BT30" s="11" t="str">
        <f>IF(BQ30, IF(COUNTIF(Raw!AV30:BK30, "&gt;=0") = 16, IFERROR((BS30*Raw!AV30 - SUM(Raw!AV30, Raw!AW30, Raw!AX30, Raw!AY30)*SUM(Raw!AV30, Raw!AZ30, Raw!BD30, Raw!BH30)) / SQRT((BS30*SUM(Raw!AV30, Raw!AW30, Raw!AX30, Raw!AY30) - SUM(Raw!AV30, Raw!AW30, Raw!AX30, Raw!AY30)^2) * (BS30*SUM(Raw!AV30, Raw!AZ30, Raw!BD30, Raw!BH30) - SUM(Raw!AV30, Raw!AZ30, Raw!BD30, Raw!BH30)^2)), 0), "No Contingency Table"), "Not Included")</f>
        <v>Not Included</v>
      </c>
      <c r="BU30" s="11" t="str">
        <f>IF(BQ30, IF(COUNTIF(Raw!AV30:BK30, "&gt;=0") = 16, SUM(Raw!BK30,Raw!BJ30,Raw!BI30,Raw!BG30,Raw!BF30,Raw!BE30,Raw!BC30,Raw!BB30,Raw!BA30,Raw!AV30)/SUM(Raw!AV30:BK30), "No Contingency Table"), "Not Included")</f>
        <v>Not Included</v>
      </c>
      <c r="BV30" s="11" t="str">
        <f>IF(BQ30, IF(COUNTIF(Raw!AV30:BK30, "&gt;=0") = 16,SUM(SUM(Raw!AV30,Raw!AW30,Raw!AX30,Raw!AY30)*SUM(Raw!AV30,Raw!AZ30,Raw!BD30,Raw!BH30),SUM(Raw!AZ30:BK30)*SUM(Raw!AW30,Raw!AX30,Raw!AY30,Raw!BA30,Raw!BB30,Raw!BC30,Raw!BE30,Raw!BF30,Raw!BG30,Raw!BI30,Raw!BJ30,Raw!BK30))/BS30^2,"No Contingency Table"), "Not Included")</f>
        <v>Not Included</v>
      </c>
      <c r="BW30" s="11" t="str">
        <f>IF(BQ30, IF(COUNTIF(Raw!AV30:BK30, "&gt;=0") = 16,(BU30-BV30) / (1 - BV30),"No Contingency Table"), "Not Included")</f>
        <v>Not Included</v>
      </c>
      <c r="BX30" s="11" t="b">
        <f t="shared" ref="BX30:BZ30" si="133">BQ30</f>
        <v>0</v>
      </c>
      <c r="BY30" s="11" t="str">
        <f t="shared" si="133"/>
        <v>Not Included</v>
      </c>
      <c r="BZ30" s="11" t="str">
        <f t="shared" si="133"/>
        <v>Not Included</v>
      </c>
      <c r="CA30" s="11" t="str">
        <f>IF(BX30, IF(COUNTIF(Raw!AV30:BK30, "&gt;=0") = 16, IFERROR((BZ30*Raw!BF30 - SUM(Raw!BD30, Raw!BE30, Raw!BF30, Raw!BG30)*SUM(Raw!BF30, Raw!AX30, Raw!BB30, Raw!BJ30)) / SQRT((BZ30*SUM(Raw!BD30, Raw!BE30, Raw!BF30, Raw!BG30) - SUM(Raw!BD30, Raw!BE30, Raw!BF30, Raw!BG30)^2) * (BZ30*SUM(Raw!BF30, Raw!AX30, Raw!BB30, Raw!BJ30) - SUM(Raw!BF30, Raw!AX30, Raw!BB30, Raw!BJ30)^2)), 0), "No Contingency Table"), "Not Included")</f>
        <v>Not Included</v>
      </c>
      <c r="CB30" s="11" t="str">
        <f>IF(BX30, IF(COUNTIF(Raw!AV30:BK30, "&gt;=0") = 16, SUM(Raw!AV30,Raw!AW30,Raw!AY30,Raw!AZ30,Raw!BA30,Raw!BC30,Raw!BF30,Raw!BH30,Raw!BI30,Raw!BK30) / SUM(Raw!AV30:BK30), "No Contingency Table"), "Not Included")</f>
        <v>Not Included</v>
      </c>
      <c r="CC30" s="11" t="str">
        <f>IF(BX30, IF(COUNTIF(Raw!AV30:BK30, "&gt;=0") = 16,SUM(SUM(Raw!BD30,Raw!BE30,Raw!BF30,Raw!BG30)*SUM(Raw!BF30,Raw!AX30,Raw!BB30,Raw!BJ30),SUM(Raw!AV30:BC30,Raw!BH30:BK30)*SUM(Raw!AV30,Raw!AW30,Raw!AY30,Raw!AZ30,Raw!BA30,Raw!BC30,Raw!BD30,Raw!BE30,Raw!BG30,Raw!BH30,Raw!BI30,Raw!BK30))/BZ30^2,"No Contingency Table"), "Not Included")</f>
        <v>Not Included</v>
      </c>
      <c r="CD30" s="11" t="str">
        <f>IF(BX30, IF(COUNTIF(Raw!AV30:BK30, "&gt;=0") = 16,(CB30 - CC30) / (1 - CC30+0.000001),"No Contingency Table"), "Not Included")</f>
        <v>Not Included</v>
      </c>
      <c r="CE30" s="11" t="b">
        <f t="shared" ref="CE30:CG30" si="134">BQ30</f>
        <v>0</v>
      </c>
      <c r="CF30" s="11" t="str">
        <f t="shared" si="134"/>
        <v>Not Included</v>
      </c>
      <c r="CG30" s="11" t="str">
        <f t="shared" si="134"/>
        <v>Not Included</v>
      </c>
      <c r="CH30" s="11" t="str">
        <f>IF(CE30, IF(COUNTIF(Raw!AV30:BK30, "&gt;=0") = 16, IFERROR((CG30*Raw!BA30 - SUM(Raw!BA30, Raw!AZ30, Raw!BB30, Raw!BC30)*SUM(Raw!BA30, Raw!AW30, Raw!BE30, Raw!BI30)) / SQRT((CG30*SUM(Raw!BA30, Raw!AZ30, Raw!BB30, Raw!BC30) - SUM(Raw!BA30, Raw!AZ30, Raw!BB30, Raw!BC30)^2) * (CG30*SUM(Raw!BA30, Raw!AW30, Raw!BE30, Raw!BI30) - SUM(Raw!BA30, Raw!AW30, Raw!BE30, Raw!BI30)^2)), 0), "No Contingency Table"), "Not Included")</f>
        <v>Not Included</v>
      </c>
      <c r="CI30" s="11" t="str">
        <f>IF(CE30, IF(COUNTIF(Raw!AV30:BK30, "&gt;=0") = 16, SUM(Raw!AV30,Raw!AX30,Raw!AY30,Raw!BA30,Raw!BD30,Raw!BF30,Raw!BG30,Raw!BH30,Raw!BJ30,Raw!BK30) / SUM(Raw!AV30:BK30), "No Contingency Table"), "Not Included")</f>
        <v>Not Included</v>
      </c>
      <c r="CJ30" s="61" t="str">
        <f>IF(BX30, IF(COUNTIF(Raw!AV30:BK30, "&gt;=0") = 16,SUM(SUM(Raw!AZ30,Raw!BA30,Raw!BB30,Raw!BC30)*SUM(Raw!BA30,Raw!AW30,Raw!BE30,Raw!BI30),SUM(Raw!AV30:AY30,Raw!BD30:BK30)*SUM(Raw!AV30,Raw!AX30,Raw!AY30,Raw!AZ30,Raw!BB30,Raw!BC30,Raw!BD30,Raw!BF30,Raw!BG30,Raw!BH30,Raw!BJ30,Raw!BK30))/CG30^2,"No Contingency Table"), "Not Included")</f>
        <v>Not Included</v>
      </c>
      <c r="CK30" s="11" t="str">
        <f>IF(BX30, IF(COUNTIF(Raw!AV30:BK30, "&gt;=0") = 16,(CI30 - CJ30) / (1 - CJ30),"No Contingency Table"), "Not Included")</f>
        <v>Not Included</v>
      </c>
      <c r="CL30" s="11" t="str">
        <f>IF(BQ30, IFERROR(Raw!AV30/SUM(Raw!AV30:AY30), 0), "Not Included")</f>
        <v>Not Included</v>
      </c>
      <c r="CM30" s="11" t="str">
        <f>IF(BQ30, IFERROR(Raw!BA30/SUM(Raw!AZ30:BC30), 0), "Not Included")</f>
        <v>Not Included</v>
      </c>
      <c r="CN30" s="11" t="str">
        <f>IF(BQ30, IFERROR(Raw!BF30/SUM(Raw!BD30:BG30), 0), "Not Included")</f>
        <v>Not Included</v>
      </c>
      <c r="CO30" s="11" t="str">
        <f>IF(BQ30, IFERROR(Raw!BK30/SUM(Raw!BH30:BK30), 0), "Not Included")</f>
        <v>Not Included</v>
      </c>
      <c r="CP30" s="11" t="str">
        <f>IF(BQ30, IFERROR(SUM(Raw!AV30,Raw!AX30,Raw!AY30,Raw!BD30,Raw!BF30,Raw!BG30,Raw!BH30,Raw!BJ30,Raw!BK30)/SUM(Raw!AV30,Raw!AW30,Raw!AX30,Raw!AY30,Raw!BD30,Raw!BE30,Raw!BF30,Raw!BG30,Raw!BH30,Raw!BI30,Raw!BJ30,Raw!BK30), 0), "Not Included")</f>
        <v>Not Included</v>
      </c>
      <c r="CQ30" s="11" t="str">
        <f>IF(BQ30, IFERROR(SUM(Raw!AV30:AX30,Raw!AZ30:BB30,Raw!BD30:BF30)/SUM(Raw!AV30:BF30), 0), "Not Included")</f>
        <v>Not Included</v>
      </c>
      <c r="CR30" s="11" t="str">
        <f>IF(BQ30, IFERROR(SUM(Raw!AV30:AY30), 0), "Not Included")</f>
        <v>Not Included</v>
      </c>
      <c r="CS30" s="11" t="str">
        <f>IF(BQ30, IFERROR(SUM(Raw!AZ30:BC30), 0), "Not Included")</f>
        <v>Not Included</v>
      </c>
      <c r="CT30" s="11" t="str">
        <f>IF(BQ30, IFERROR(SUM(Raw!BD30:BG30), 0), "Not Included")</f>
        <v>Not Included</v>
      </c>
      <c r="CU30" s="11" t="str">
        <f>IF(BQ30, IFERROR(SUM(Raw!BH30:BK30), 0), "Not Included")</f>
        <v>Not Included</v>
      </c>
      <c r="CV30" s="11" t="str">
        <f>IF(BQ30, IFERROR(SUM(Raw!AV30,Raw!AW30,Raw!AX30,Raw!AY30,Raw!BD30,Raw!BE30,Raw!BF30,Raw!BG30,Raw!BH30,Raw!BI30,Raw!BJ30,Raw!BK30), 0), "Not Included")</f>
        <v>Not Included</v>
      </c>
      <c r="CW30" s="11" t="str">
        <f>IF(BQ30, IFERROR(SUM(Raw!AV30:BF30), 0), "Not Included")</f>
        <v>Not Included</v>
      </c>
      <c r="CX30" s="11" t="str">
        <f>IF(BQ30, IFERROR((CR30*SUM(Raw!AV30,Raw!AZ30,Raw!BD30,Raw!BH30))/BS30/CR30, 0), "Not Included")</f>
        <v>Not Included</v>
      </c>
      <c r="CY30" s="11" t="str">
        <f>IF(BX30, IFERROR((CS30*SUM(Raw!BA30,Raw!AW30,Raw!BE30,Raw!BI30))/CG30/CS30, 0), "Not Included")</f>
        <v>Not Included</v>
      </c>
      <c r="CZ30" s="11" t="str">
        <f>IF(BX30, IFERROR((CT30*SUM(Raw!BF30,Raw!AX30,Raw!BB30,Raw!BJ30))/BZ30/CT30, 0), "Not Included")</f>
        <v>Not Included</v>
      </c>
      <c r="DA30" s="11" t="str">
        <f>IF(AY30, IFERROR((CU30*SUM(Raw!AY30,Raw!BC30,Raw!BG30,Raw!BK30))/AT30/CU30, 0), "Not Included")</f>
        <v>Not Included</v>
      </c>
      <c r="DB30" s="11" t="str">
        <f>IF(BX30, IFERROR((CV30*SUM(Raw!AV30,Raw!AX30,Raw!AY30,Raw!AZ30,Raw!BB30,Raw!BC30,Raw!BD30,Raw!BF30,Raw!BG30,Raw!BH30,Raw!BJ30,Raw!BK30))/CG30/CV30,0), "Not Included")</f>
        <v>Not Included</v>
      </c>
      <c r="DC30" s="11" t="str">
        <f>IF(AY30, IFERROR((CW30*SUM(Raw!AV30,Raw!AW30,Raw!AX30,Raw!AZ30,Raw!BA30,Raw!BB30,Raw!BD30,Raw!BE30,Raw!BF30,Raw!BH30,Raw!BI30,Raw!BJ30))/AT30/CW30,0), "Not Included")</f>
        <v>Not Included</v>
      </c>
    </row>
    <row r="31" spans="1:107" ht="12.75" customHeight="1">
      <c r="A31" s="11">
        <f>Raw!D31</f>
        <v>20</v>
      </c>
      <c r="B31" s="11" t="str">
        <f>Raw!A31</f>
        <v xml:space="preserve">Korntheuer, Lissmann &amp; Lohaus (2010) </v>
      </c>
      <c r="C31" s="11">
        <f>Raw!G31</f>
        <v>1</v>
      </c>
      <c r="D31" s="11" t="str">
        <f>Raw!E31</f>
        <v>Single sample</v>
      </c>
      <c r="E31" s="11" t="str">
        <f>CONCATENATE(IF(Raw!I31&lt;='Interval Definitions'!$B$2, 'Interval Definitions'!$A$2, IF(Raw!I31&lt;='Interval Definitions'!$B$3, 'Interval Definitions'!$A$3, IF(Raw!I31&lt;='Interval Definitions'!$B$4, 'Interval Definitions'!$A$4, IF(Raw!I31&lt;='Interval Definitions'!$B$5, 'Interval Definitions'!$A$5, "None")))), " - ", IF(Raw!J31&lt;='Interval Definitions'!$B$2, 'Interval Definitions'!$A$2, IF(Raw!J31&lt;='Interval Definitions'!$B$3, 'Interval Definitions'!$A$3, IF(Raw!J31&lt;='Interval Definitions'!$B$4, 'Interval Definitions'!$A$4, IF(Raw!J31&lt;='Interval Definitions'!$B$5, 'Interval Definitions'!$A$5, "None")))))</f>
        <v>Infancy - Toddlerhood</v>
      </c>
      <c r="F31" s="11" t="b">
        <f>OR(NOT(ISBLANK(Raw!AF31)),NOT(ISBLANK(Raw!AG31)),NOT(ISBLANK(Raw!AH31)),NOT(ISBLANK(Raw!AI31)),COUNTIF(Raw!AA31:AD31, "&gt;=0") = 4)</f>
        <v>1</v>
      </c>
      <c r="G31" s="11" t="str">
        <f>IF(F31, IF(COUNTIF(Raw!AA31:AD31,"&gt;=0") = 4, "Contingency", IF(NOT(ISBLANK(Raw!AF31)), "Paper r", IF(NOT(ISBLANK(Raw!AG31)), "Pinquart", IF(NOT(ISBLANK(Raw!AH31)), "Fraley", "Paper chiSq")))), "Not Included")</f>
        <v>Contingency</v>
      </c>
      <c r="H31" s="15">
        <f>IF(F31,Raw!AE31,"Not Included")</f>
        <v>81</v>
      </c>
      <c r="I31" s="15">
        <f>IF(COUNTIF(Raw!AA31:AD31,"&gt;=0") = 4, SUM(Raw!AA31:AD31), "No Contingency Table")</f>
        <v>81</v>
      </c>
      <c r="J31" s="15">
        <f t="shared" si="0"/>
        <v>81</v>
      </c>
      <c r="K31" s="38">
        <f>IF(F31, IF(COUNTIF(Raw!AA31:AD31,"&gt;=0") = 4, IFERROR((I31*Raw!AA31 - SUM(Raw!AA31,Raw!AB31)*SUM(Raw!AA31,Raw!AD31)) / SQRT((I31*SUM(Raw!AA31,Raw!AB31) - SUM(Raw!AA31,Raw!AB31)^2) * (I31*SUM(Raw!AA31,Raw!AD31) - SUM(Raw!AA31,Raw!AD31)^2)), 0), "No Contingency Table"), "Not Included")</f>
        <v>0.25719655159054161</v>
      </c>
      <c r="L31" s="41">
        <f>IF(F31,IF(NOT(ISBLANK(Raw!AF31)), Raw!AF31, IF(NOT(ISBLANK(Raw!AG31)), Raw!AG31, IF(NOT(ISBLANK(Raw!AH31)), Raw!AH31, IF(NOT(ISBLANK(Raw!AI31)), SQRT(Raw!AI31/H31)*Raw!AJ31, "Not Reported")))),"Not Included")</f>
        <v>0.08</v>
      </c>
      <c r="M31" s="43">
        <f t="shared" si="1"/>
        <v>0.25719655159054161</v>
      </c>
      <c r="N31" s="11">
        <f t="shared" si="2"/>
        <v>0</v>
      </c>
      <c r="O31" s="48" t="b">
        <f>OR(NOT(ISBLANK(Raw!AK31)), COUNTIF(Raw!AA31:AD31, "&gt;=0") = 4)</f>
        <v>1</v>
      </c>
      <c r="P31" s="24" t="str">
        <f>IF(O31,IF(COUNTIF(Raw!AA31:AD31,"&gt;=0") = 4,"Contingency", "Paper k"), "Not Included")</f>
        <v>Contingency</v>
      </c>
      <c r="Q31" s="48">
        <f>IF(O31, IF(COUNTIF(Raw!AA31:AD31,"&gt;=0") = 4,SUM(Raw!AA31,Raw!AC31)/H31,"No Contingency Table"), "Not Included")</f>
        <v>0.62962962962962965</v>
      </c>
      <c r="R31" s="38">
        <f>IF(O31, IF(COUNTIF(Raw!AA31:AD31, "&gt;=0") = 4,SUM(SUM(Raw!AA31,Raw!AB31)*SUM(Raw!AA31,Raw!AD31),SUM(Raw!AC31,Raw!AD31)*SUM(Raw!AC31,Raw!AB31))/H31^2,"No Contingency Table"), "Not Included")</f>
        <v>0.50160036579789669</v>
      </c>
      <c r="S31" s="38">
        <f>IF(O31, IF(COUNTIF(Raw!AA31:AD31,"&gt;=0") = 4, IFERROR((Q31 - R31) / (1 - R31), "Could not calculate"), "No Contingency Table"), "Not Included")</f>
        <v>0.25688073394495414</v>
      </c>
      <c r="T31" s="52" t="str">
        <f>IF(O31,IF(NOT(ISBLANK(Raw!AK31)), Raw!AK31, "Not Reported"), "Not Included")</f>
        <v>Not Reported</v>
      </c>
      <c r="U31" s="38">
        <f t="shared" si="3"/>
        <v>0.25688073394495414</v>
      </c>
      <c r="V31" s="11" t="str">
        <f t="shared" si="4"/>
        <v>NA</v>
      </c>
      <c r="W31" s="11" t="b">
        <f>OR(NOT(ISBLANK(Raw!AU31)),COUNTIF(Raw!AL31:AT31,"&gt;=0") = 9)</f>
        <v>0</v>
      </c>
      <c r="X31" s="11" t="str">
        <f>IF(W31, IF(COUNTIF(Raw!AL31:AT31,"&gt;=0") = 9, "Contingency", "Paper k"), "Not Included")</f>
        <v>Not Included</v>
      </c>
      <c r="Y31" s="11" t="str">
        <f>IF(W31,IF(COUNTIF(Raw!AL31:AT31,"&gt;=0") = 9,SUM(Raw!AL31:AT31),"No Contingency Table"),"Not Included")</f>
        <v>Not Included</v>
      </c>
      <c r="Z31" s="11" t="str">
        <f t="shared" si="5"/>
        <v>Not Included</v>
      </c>
      <c r="AA31" s="11" t="str">
        <f>IF(W31,IF(COUNTIF(Raw!AL31:AT31,"&gt;=0") = 9,SUM(Raw!AL31,Raw!AP31,Raw!AT31)/Y31,"No Contingency Table"), "Not Included")</f>
        <v>Not Included</v>
      </c>
      <c r="AB31" s="11" t="str">
        <f>IF(W31,IF(COUNTIF(Raw!AL31:AT31,"&gt;=0") = 9,SUM(SUM(Raw!AL31,Raw!AM31,Raw!AN31)*SUM(Raw!AL31,Raw!AO31,Raw!AR31),SUM(Raw!AO31,Raw!AP31,Raw!AQ31)*SUM(Raw!AM31,Raw!AP31,Raw!AS31),SUM(Raw!AR31,Raw!AS31,Raw!AT31)*SUM(Raw!AN31,Raw!AQ31,Raw!AT31))/Y31^2,"No Contingency Table"), "Not Included")</f>
        <v>Not Included</v>
      </c>
      <c r="AC31" s="11" t="str">
        <f>IF(W31,IF(COUNTIF(Raw!AL31:AT31,"&gt;=0") = 9,(AA31 - AB31) / (1 - AB31),"No Contingency Table"), "Not Included")</f>
        <v>Not Included</v>
      </c>
      <c r="AD31" s="11" t="str">
        <f>IF(W31, IF(NOT(ISBLANK(Raw!AU31)),Raw!AU31,"Not Reported"), "Not Included")</f>
        <v>Not Included</v>
      </c>
      <c r="AE31" s="11" t="str">
        <f t="shared" si="6"/>
        <v>Not Included</v>
      </c>
      <c r="AF31" s="11" t="str">
        <f t="shared" si="7"/>
        <v>Not Included</v>
      </c>
      <c r="AG31" s="11" t="b">
        <f>COUNTIF(Raw!AV31:BK31, "&gt;=0") = 16</f>
        <v>0</v>
      </c>
      <c r="AH31" s="11" t="str">
        <f>IF(AG31, IF(COUNTIF(Raw!AV31:BK31,"&gt;=0") = 16, "Contingency", "Paper k"), "Not Included")</f>
        <v>Not Included</v>
      </c>
      <c r="AI31" s="11" t="str">
        <f>IF(AG31,IF(COUNTIF(Raw!AV31:BK31,"&gt;=0") = 16,SUM(Raw!AV31:BK31),"No Contingency Table"),"Not Included")</f>
        <v>Not Included</v>
      </c>
      <c r="AJ31" s="15">
        <f t="shared" si="8"/>
        <v>81</v>
      </c>
      <c r="AK31" s="11" t="str">
        <f>IF(AG31,IF(COUNTIF(Raw!AV31:BK31,"&gt;=0") = 16,SUM(Raw!AV31,Raw!BA31,Raw!BF31,Raw!BK31)/AI31,"No Contingency Table"), "Not Included")</f>
        <v>Not Included</v>
      </c>
      <c r="AL31" s="11" t="str">
        <f>IF(AG31,IF(COUNTIF(Raw!AV31:BK31,"&gt;=0") = 16,SUM(SUM(Raw!AV31,Raw!AW31,Raw!AX31,Raw!AY31)*SUM(Raw!AV31,Raw!AZ31,Raw!BD31,Raw!BH31),SUM(Raw!AZ31,Raw!BA31,Raw!BB31,Raw!BC31)*SUM(Raw!AW31,Raw!BA31,Raw!BE31,Raw!BI31),SUM(Raw!BD31,Raw!BE31,Raw!BF31,Raw!BG31)*SUM(Raw!AX31,Raw!BB31,Raw!BF31,Raw!BJ31),SUM(Raw!BH31,Raw!BI31,Raw!BJ31,Raw!BK31)*SUM(Raw!AY31,Raw!BC31,Raw!BG31,Raw!BK31))/AI31^2,"No Contingency Table"), "Not Included")</f>
        <v>Not Included</v>
      </c>
      <c r="AM31" s="11" t="str">
        <f>IF(AG31,IF(COUNTIF(Raw!AV31:BK31,"&gt;=0") = 16,(AK31 - AL31) / (1 - AL31),"No Contingency Table"), "Not Included")</f>
        <v>Not Included</v>
      </c>
      <c r="AN31" s="11" t="str">
        <f>IF(NOT(ISBLANK(Raw!BL31)),Raw!BL31,"Not Reported")</f>
        <v>Not Reported</v>
      </c>
      <c r="AO31" s="11" t="str">
        <f t="shared" si="9"/>
        <v>Not Reported</v>
      </c>
      <c r="AP31" s="11" t="str">
        <f t="shared" si="10"/>
        <v>Not Included</v>
      </c>
      <c r="AQ31" s="11" t="b">
        <f t="shared" ref="AQ31:AR31" si="135">BQ31</f>
        <v>0</v>
      </c>
      <c r="AR31" s="11" t="str">
        <f t="shared" si="135"/>
        <v>Not Included</v>
      </c>
      <c r="AS31" s="11" t="str">
        <f t="shared" si="12"/>
        <v>Not Included</v>
      </c>
      <c r="AT31" s="11" t="str">
        <f t="shared" si="13"/>
        <v>Not Included</v>
      </c>
      <c r="AU31" s="11" t="str">
        <f>IF(AQ31, IF(COUNTIF(Raw!AV31:BK31, "&gt;=0") = 16, IFERROR((AT31*Raw!BK31 - SUM(Raw!BH31, Raw!BI31, Raw!BJ31, Raw!BK31)*SUM(Raw!AY31, Raw!BC31, Raw!BG31, Raw!BK31)) / SQRT((AT31*SUM(Raw!BH31, Raw!BI31, Raw!BJ31, Raw!BK31) - SUM(Raw!BH31, Raw!BI31, Raw!BJ31, Raw!BK31)^2) * (AT31*SUM(Raw!AY31, Raw!BC31, Raw!BG31, Raw!BK31) - SUM(Raw!AY31, Raw!BC31, Raw!BG31, Raw!BK31)^2)), 0), "No Contingency Table"), "Not Included")</f>
        <v>Not Included</v>
      </c>
      <c r="AV31" s="11" t="str">
        <f>IF(AQ31,IF(NOT(ISBLANK(Raw!BQ31)), Raw!BQ31, IF(NOT(ISBLANK(Raw!BR31)), Raw!BR31, "Not Reported")), "Not Included")</f>
        <v>Not Included</v>
      </c>
      <c r="AW31" s="57" t="str">
        <f t="shared" si="14"/>
        <v>Not Included</v>
      </c>
      <c r="AX31" s="11" t="str">
        <f t="shared" si="15"/>
        <v>Not Included</v>
      </c>
      <c r="AY31" s="11" t="b">
        <f t="shared" ref="AY31:AZ31" si="136">AQ31</f>
        <v>0</v>
      </c>
      <c r="AZ31" s="11" t="str">
        <f t="shared" si="136"/>
        <v>Not Included</v>
      </c>
      <c r="BA31" s="11" t="str">
        <f>IF(AY31, IF(COUNTIF(Raw!AV31:BK31, "&gt;=0") = 16, SUM(Raw!AV31,Raw!AW31,Raw!AX31,Raw!AZ31,Raw!BA31,Raw!BB31,Raw!BD31,Raw!BE31,Raw!BF31,Raw!BK31)/SUM(Raw!AV31:BK31), "No Contingency Table"), "Not Included")</f>
        <v>Not Included</v>
      </c>
      <c r="BB31" s="11" t="str">
        <f>IF(AY31, IF(COUNTIF(Raw!AV31:BK31, "&gt;=0") = 16,SUM(SUM(Raw!BH31,Raw!BI31,Raw!BJ31,Raw!BK31)*SUM(Raw!AY31,Raw!BC31,Raw!BG31,Raw!BK31),SUM(Raw!AV31:BG31)*SUM(Raw!AV31,Raw!AW31,Raw!AX31,Raw!AZ31,Raw!BA31,Raw!BB31,Raw!BD31,Raw!BE31,Raw!BF31,Raw!BH31,Raw!BI31,Raw!BJ31))/AT31^2,"No Contingency Table"), "Not Included")</f>
        <v>Not Included</v>
      </c>
      <c r="BC31" s="11" t="str">
        <f>IF(AY31, IF(COUNTIF(Raw!AV31:BK31, "&gt;=0") = 16,(BA31-BB31) / (1 - BB31),"No Contingency Table"), "Not Included")</f>
        <v>Not Included</v>
      </c>
      <c r="BD31" s="11" t="str">
        <f>IF(AY31,IF(NOT(ISBLANK(Raw!BT52)),Raw!BT52,"Not Reported"),"Not Included")</f>
        <v>Not Included</v>
      </c>
      <c r="BE31" s="11" t="str">
        <f t="shared" si="17"/>
        <v>Not Included</v>
      </c>
      <c r="BF31" s="11" t="str">
        <f t="shared" si="18"/>
        <v>Not Included</v>
      </c>
      <c r="BG31" s="11">
        <f>Raw!K31</f>
        <v>2010</v>
      </c>
      <c r="BH31" s="11" t="str">
        <f>IF(Raw!L31 = "USA","USA","Non-USA")</f>
        <v>Non-USA</v>
      </c>
      <c r="BI31" s="11" t="str">
        <f>Raw!M31</f>
        <v>Ainsworth/Grossmann</v>
      </c>
      <c r="BJ31" s="11">
        <f>Raw!N31</f>
        <v>1</v>
      </c>
      <c r="BK31" s="11">
        <f>Raw!P31</f>
        <v>0</v>
      </c>
      <c r="BL31" s="11">
        <f>Raw!Q31</f>
        <v>0</v>
      </c>
      <c r="BM31" s="11">
        <f>Raw!T31</f>
        <v>1</v>
      </c>
      <c r="BN31" s="11" t="str">
        <f>IFERROR(IF(AND(ISBLANK(Raw!U31), ISBLANK(Raw!V31), ISBLANK(Raw!W31), ISBLANK(Raw!X31)), "NA", IF(OR(NOT(ISBLANK(Raw!U31)), NOT(ISBLANK(Raw!W31))), AVERAGE(Raw!U31,Raw!W31), AVERAGE(Raw!V31,Raw!X31) + IF(Raw!Y31 = "2-way", R31, IF(Raw!Y31 = "3-way", AB31, IF(Raw!Y31 = "4-way", AL31, "NA")))*(1 - AVERAGE(Raw!V31,Raw!X31)))), "NA")</f>
        <v>NA</v>
      </c>
      <c r="BO31" s="11">
        <f>Raw!O31</f>
        <v>0</v>
      </c>
      <c r="BP31" s="11" t="str">
        <f>Raw!F31</f>
        <v>Female</v>
      </c>
      <c r="BQ31" s="11" t="b">
        <f>COUNTIF(Raw!AV31:BK31, "&gt;=0") = 16</f>
        <v>0</v>
      </c>
      <c r="BR31" s="11" t="str">
        <f t="shared" si="19"/>
        <v>Not Included</v>
      </c>
      <c r="BS31" s="11" t="str">
        <f t="shared" si="20"/>
        <v>Not Included</v>
      </c>
      <c r="BT31" s="11" t="str">
        <f>IF(BQ31, IF(COUNTIF(Raw!AV31:BK31, "&gt;=0") = 16, IFERROR((BS31*Raw!AV31 - SUM(Raw!AV31, Raw!AW31, Raw!AX31, Raw!AY31)*SUM(Raw!AV31, Raw!AZ31, Raw!BD31, Raw!BH31)) / SQRT((BS31*SUM(Raw!AV31, Raw!AW31, Raw!AX31, Raw!AY31) - SUM(Raw!AV31, Raw!AW31, Raw!AX31, Raw!AY31)^2) * (BS31*SUM(Raw!AV31, Raw!AZ31, Raw!BD31, Raw!BH31) - SUM(Raw!AV31, Raw!AZ31, Raw!BD31, Raw!BH31)^2)), 0), "No Contingency Table"), "Not Included")</f>
        <v>Not Included</v>
      </c>
      <c r="BU31" s="11" t="str">
        <f>IF(BQ31, IF(COUNTIF(Raw!AV31:BK31, "&gt;=0") = 16, SUM(Raw!BK31,Raw!BJ31,Raw!BI31,Raw!BG31,Raw!BF31,Raw!BE31,Raw!BC31,Raw!BB31,Raw!BA31,Raw!AV31)/SUM(Raw!AV31:BK31), "No Contingency Table"), "Not Included")</f>
        <v>Not Included</v>
      </c>
      <c r="BV31" s="11" t="str">
        <f>IF(BQ31, IF(COUNTIF(Raw!AV31:BK31, "&gt;=0") = 16,SUM(SUM(Raw!AV31,Raw!AW31,Raw!AX31,Raw!AY31)*SUM(Raw!AV31,Raw!AZ31,Raw!BD31,Raw!BH31),SUM(Raw!AZ31:BK31)*SUM(Raw!AW31,Raw!AX31,Raw!AY31,Raw!BA31,Raw!BB31,Raw!BC31,Raw!BE31,Raw!BF31,Raw!BG31,Raw!BI31,Raw!BJ31,Raw!BK31))/BS31^2,"No Contingency Table"), "Not Included")</f>
        <v>Not Included</v>
      </c>
      <c r="BW31" s="11" t="str">
        <f>IF(BQ31, IF(COUNTIF(Raw!AV31:BK31, "&gt;=0") = 16,(BU31-BV31) / (1 - BV31),"No Contingency Table"), "Not Included")</f>
        <v>Not Included</v>
      </c>
      <c r="BX31" s="11" t="b">
        <f t="shared" ref="BX31:BZ31" si="137">BQ31</f>
        <v>0</v>
      </c>
      <c r="BY31" s="11" t="str">
        <f t="shared" si="137"/>
        <v>Not Included</v>
      </c>
      <c r="BZ31" s="11" t="str">
        <f t="shared" si="137"/>
        <v>Not Included</v>
      </c>
      <c r="CA31" s="11" t="str">
        <f>IF(BX31, IF(COUNTIF(Raw!AV31:BK31, "&gt;=0") = 16, IFERROR((BZ31*Raw!BF31 - SUM(Raw!BD31, Raw!BE31, Raw!BF31, Raw!BG31)*SUM(Raw!BF31, Raw!AX31, Raw!BB31, Raw!BJ31)) / SQRT((BZ31*SUM(Raw!BD31, Raw!BE31, Raw!BF31, Raw!BG31) - SUM(Raw!BD31, Raw!BE31, Raw!BF31, Raw!BG31)^2) * (BZ31*SUM(Raw!BF31, Raw!AX31, Raw!BB31, Raw!BJ31) - SUM(Raw!BF31, Raw!AX31, Raw!BB31, Raw!BJ31)^2)), 0), "No Contingency Table"), "Not Included")</f>
        <v>Not Included</v>
      </c>
      <c r="CB31" s="11" t="str">
        <f>IF(BX31, IF(COUNTIF(Raw!AV31:BK31, "&gt;=0") = 16, SUM(Raw!AV31,Raw!AW31,Raw!AY31,Raw!AZ31,Raw!BA31,Raw!BC31,Raw!BF31,Raw!BH31,Raw!BI31,Raw!BK31) / SUM(Raw!AV31:BK31), "No Contingency Table"), "Not Included")</f>
        <v>Not Included</v>
      </c>
      <c r="CC31" s="11" t="str">
        <f>IF(BX31, IF(COUNTIF(Raw!AV31:BK31, "&gt;=0") = 16,SUM(SUM(Raw!BD31,Raw!BE31,Raw!BF31,Raw!BG31)*SUM(Raw!BF31,Raw!AX31,Raw!BB31,Raw!BJ31),SUM(Raw!AV31:BC31,Raw!BH31:BK31)*SUM(Raw!AV31,Raw!AW31,Raw!AY31,Raw!AZ31,Raw!BA31,Raw!BC31,Raw!BD31,Raw!BE31,Raw!BG31,Raw!BH31,Raw!BI31,Raw!BK31))/BZ31^2,"No Contingency Table"), "Not Included")</f>
        <v>Not Included</v>
      </c>
      <c r="CD31" s="11" t="str">
        <f>IF(BX31, IF(COUNTIF(Raw!AV31:BK31, "&gt;=0") = 16,(CB31 - CC31) / (1 - CC31+0.000001),"No Contingency Table"), "Not Included")</f>
        <v>Not Included</v>
      </c>
      <c r="CE31" s="11" t="b">
        <f t="shared" ref="CE31:CG31" si="138">BQ31</f>
        <v>0</v>
      </c>
      <c r="CF31" s="11" t="str">
        <f t="shared" si="138"/>
        <v>Not Included</v>
      </c>
      <c r="CG31" s="11" t="str">
        <f t="shared" si="138"/>
        <v>Not Included</v>
      </c>
      <c r="CH31" s="11" t="str">
        <f>IF(CE31, IF(COUNTIF(Raw!AV31:BK31, "&gt;=0") = 16, IFERROR((CG31*Raw!BA31 - SUM(Raw!BA31, Raw!AZ31, Raw!BB31, Raw!BC31)*SUM(Raw!BA31, Raw!AW31, Raw!BE31, Raw!BI31)) / SQRT((CG31*SUM(Raw!BA31, Raw!AZ31, Raw!BB31, Raw!BC31) - SUM(Raw!BA31, Raw!AZ31, Raw!BB31, Raw!BC31)^2) * (CG31*SUM(Raw!BA31, Raw!AW31, Raw!BE31, Raw!BI31) - SUM(Raw!BA31, Raw!AW31, Raw!BE31, Raw!BI31)^2)), 0), "No Contingency Table"), "Not Included")</f>
        <v>Not Included</v>
      </c>
      <c r="CI31" s="11" t="str">
        <f>IF(CE31, IF(COUNTIF(Raw!AV31:BK31, "&gt;=0") = 16, SUM(Raw!AV31,Raw!AX31,Raw!AY31,Raw!BA31,Raw!BD31,Raw!BF31,Raw!BG31,Raw!BH31,Raw!BJ31,Raw!BK31) / SUM(Raw!AV31:BK31), "No Contingency Table"), "Not Included")</f>
        <v>Not Included</v>
      </c>
      <c r="CJ31" s="61" t="str">
        <f>IF(BX31, IF(COUNTIF(Raw!AV31:BK31, "&gt;=0") = 16,SUM(SUM(Raw!AZ31,Raw!BA31,Raw!BB31,Raw!BC31)*SUM(Raw!BA31,Raw!AW31,Raw!BE31,Raw!BI31),SUM(Raw!AV31:AY31,Raw!BD31:BK31)*SUM(Raw!AV31,Raw!AX31,Raw!AY31,Raw!AZ31,Raw!BB31,Raw!BC31,Raw!BD31,Raw!BF31,Raw!BG31,Raw!BH31,Raw!BJ31,Raw!BK31))/CG31^2,"No Contingency Table"), "Not Included")</f>
        <v>Not Included</v>
      </c>
      <c r="CK31" s="11" t="str">
        <f>IF(BX31, IF(COUNTIF(Raw!AV31:BK31, "&gt;=0") = 16,(CI31 - CJ31) / (1 - CJ31),"No Contingency Table"), "Not Included")</f>
        <v>Not Included</v>
      </c>
      <c r="CL31" s="11" t="str">
        <f>IF(BQ31, IFERROR(Raw!AV31/SUM(Raw!AV31:AY31), 0), "Not Included")</f>
        <v>Not Included</v>
      </c>
      <c r="CM31" s="11" t="str">
        <f>IF(BQ31, IFERROR(Raw!BA31/SUM(Raw!AZ31:BC31), 0), "Not Included")</f>
        <v>Not Included</v>
      </c>
      <c r="CN31" s="11" t="str">
        <f>IF(BQ31, IFERROR(Raw!BF31/SUM(Raw!BD31:BG31), 0), "Not Included")</f>
        <v>Not Included</v>
      </c>
      <c r="CO31" s="11" t="str">
        <f>IF(BQ31, IFERROR(Raw!BK31/SUM(Raw!BH31:BK31), 0), "Not Included")</f>
        <v>Not Included</v>
      </c>
      <c r="CP31" s="11" t="str">
        <f>IF(BQ31, IFERROR(SUM(Raw!AV31,Raw!AX31,Raw!AY31,Raw!BD31,Raw!BF31,Raw!BG31,Raw!BH31,Raw!BJ31,Raw!BK31)/SUM(Raw!AV31,Raw!AW31,Raw!AX31,Raw!AY31,Raw!BD31,Raw!BE31,Raw!BF31,Raw!BG31,Raw!BH31,Raw!BI31,Raw!BJ31,Raw!BK31), 0), "Not Included")</f>
        <v>Not Included</v>
      </c>
      <c r="CQ31" s="11" t="str">
        <f>IF(BQ31, IFERROR(SUM(Raw!AV31:AX31,Raw!AZ31:BB31,Raw!BD31:BF31)/SUM(Raw!AV31:BF31), 0), "Not Included")</f>
        <v>Not Included</v>
      </c>
      <c r="CR31" s="11" t="str">
        <f>IF(BQ31, IFERROR(SUM(Raw!AV31:AY31), 0), "Not Included")</f>
        <v>Not Included</v>
      </c>
      <c r="CS31" s="11" t="str">
        <f>IF(BQ31, IFERROR(SUM(Raw!AZ31:BC31), 0), "Not Included")</f>
        <v>Not Included</v>
      </c>
      <c r="CT31" s="11" t="str">
        <f>IF(BQ31, IFERROR(SUM(Raw!BD31:BG31), 0), "Not Included")</f>
        <v>Not Included</v>
      </c>
      <c r="CU31" s="11" t="str">
        <f>IF(BQ31, IFERROR(SUM(Raw!BH31:BK31), 0), "Not Included")</f>
        <v>Not Included</v>
      </c>
      <c r="CV31" s="11" t="str">
        <f>IF(BQ31, IFERROR(SUM(Raw!AV31,Raw!AW31,Raw!AX31,Raw!AY31,Raw!BD31,Raw!BE31,Raw!BF31,Raw!BG31,Raw!BH31,Raw!BI31,Raw!BJ31,Raw!BK31), 0), "Not Included")</f>
        <v>Not Included</v>
      </c>
      <c r="CW31" s="11" t="str">
        <f>IF(BQ31, IFERROR(SUM(Raw!AV31:BF31), 0), "Not Included")</f>
        <v>Not Included</v>
      </c>
      <c r="CX31" s="11" t="str">
        <f>IF(BQ31, IFERROR((CR31*SUM(Raw!AV31,Raw!AZ31,Raw!BD31,Raw!BH31))/BS31/CR31, 0), "Not Included")</f>
        <v>Not Included</v>
      </c>
      <c r="CY31" s="11" t="str">
        <f>IF(BX31, IFERROR((CS31*SUM(Raw!BA31,Raw!AW31,Raw!BE31,Raw!BI31))/CG31/CS31, 0), "Not Included")</f>
        <v>Not Included</v>
      </c>
      <c r="CZ31" s="11" t="str">
        <f>IF(BX31, IFERROR((CT31*SUM(Raw!BF31,Raw!AX31,Raw!BB31,Raw!BJ31))/BZ31/CT31, 0), "Not Included")</f>
        <v>Not Included</v>
      </c>
      <c r="DA31" s="11" t="str">
        <f>IF(AY31, IFERROR((CU31*SUM(Raw!AY31,Raw!BC31,Raw!BG31,Raw!BK31))/AT31/CU31, 0), "Not Included")</f>
        <v>Not Included</v>
      </c>
      <c r="DB31" s="11" t="str">
        <f>IF(BX31, IFERROR((CV31*SUM(Raw!AV31,Raw!AX31,Raw!AY31,Raw!AZ31,Raw!BB31,Raw!BC31,Raw!BD31,Raw!BF31,Raw!BG31,Raw!BH31,Raw!BJ31,Raw!BK31))/CG31/CV31,0), "Not Included")</f>
        <v>Not Included</v>
      </c>
      <c r="DC31" s="11" t="str">
        <f>IF(AY31, IFERROR((CW31*SUM(Raw!AV31,Raw!AW31,Raw!AX31,Raw!AZ31,Raw!BA31,Raw!BB31,Raw!BD31,Raw!BE31,Raw!BF31,Raw!BH31,Raw!BI31,Raw!BJ31))/AT31/CW31,0), "Not Included")</f>
        <v>Not Included</v>
      </c>
    </row>
    <row r="32" spans="1:107" ht="12.75" customHeight="1">
      <c r="A32" s="11">
        <f>Raw!D32</f>
        <v>21</v>
      </c>
      <c r="B32" s="11" t="str">
        <f>Raw!A32</f>
        <v>Levendosky et al. (2011)</v>
      </c>
      <c r="C32" s="11">
        <f>Raw!G32</f>
        <v>1</v>
      </c>
      <c r="D32" s="11" t="str">
        <f>Raw!E32</f>
        <v>Domestic violence dyads</v>
      </c>
      <c r="E32" s="11" t="str">
        <f>CONCATENATE(IF(Raw!I32&lt;='Interval Definitions'!$B$2, 'Interval Definitions'!$A$2, IF(Raw!I32&lt;='Interval Definitions'!$B$3, 'Interval Definitions'!$A$3, IF(Raw!I32&lt;='Interval Definitions'!$B$4, 'Interval Definitions'!$A$4, IF(Raw!I32&lt;='Interval Definitions'!$B$5, 'Interval Definitions'!$A$5, "None")))), " - ", IF(Raw!J32&lt;='Interval Definitions'!$B$2, 'Interval Definitions'!$A$2, IF(Raw!J32&lt;='Interval Definitions'!$B$3, 'Interval Definitions'!$A$3, IF(Raw!J32&lt;='Interval Definitions'!$B$4, 'Interval Definitions'!$A$4, IF(Raw!J32&lt;='Interval Definitions'!$B$5, 'Interval Definitions'!$A$5, "None")))))</f>
        <v>Infancy - Preschool</v>
      </c>
      <c r="F32" s="11" t="b">
        <f>OR(NOT(ISBLANK(Raw!AF32)),NOT(ISBLANK(Raw!AG32)),NOT(ISBLANK(Raw!AH32)),NOT(ISBLANK(Raw!AI32)),COUNTIF(Raw!AA32:AD32, "&gt;=0") = 4)</f>
        <v>1</v>
      </c>
      <c r="G32" s="11" t="str">
        <f>IF(F32, IF(COUNTIF(Raw!AA32:AD32,"&gt;=0") = 4, "Contingency", IF(NOT(ISBLANK(Raw!AF32)), "Paper r", IF(NOT(ISBLANK(Raw!AG32)), "Pinquart", IF(NOT(ISBLANK(Raw!AH32)), "Fraley", "Paper chiSq")))), "Not Included")</f>
        <v>Contingency</v>
      </c>
      <c r="H32" s="15">
        <f>IF(F32,Raw!AE32,"Not Included")</f>
        <v>150</v>
      </c>
      <c r="I32" s="15">
        <f>IF(COUNTIF(Raw!AA32:AD32,"&gt;=0") = 4, SUM(Raw!AA32:AD32), "No Contingency Table")</f>
        <v>150</v>
      </c>
      <c r="J32" s="15">
        <f t="shared" si="0"/>
        <v>150</v>
      </c>
      <c r="K32" s="38">
        <f>IF(F32, IF(COUNTIF(Raw!AA32:AD32,"&gt;=0") = 4, IFERROR((I32*Raw!AA32 - SUM(Raw!AA32,Raw!AB32)*SUM(Raw!AA32,Raw!AD32)) / SQRT((I32*SUM(Raw!AA32,Raw!AB32) - SUM(Raw!AA32,Raw!AB32)^2) * (I32*SUM(Raw!AA32,Raw!AD32) - SUM(Raw!AA32,Raw!AD32)^2)), 0), "No Contingency Table"), "Not Included")</f>
        <v>0.11863504748151432</v>
      </c>
      <c r="L32" s="41">
        <f>IF(F32,IF(NOT(ISBLANK(Raw!AF32)), Raw!AF32, IF(NOT(ISBLANK(Raw!AG32)), Raw!AG32, IF(NOT(ISBLANK(Raw!AH32)), Raw!AH32, IF(NOT(ISBLANK(Raw!AI32)), SQRT(Raw!AI32/H32)*Raw!AJ32, "Not Reported")))),"Not Included")</f>
        <v>0.12</v>
      </c>
      <c r="M32" s="43">
        <f t="shared" si="1"/>
        <v>0.11863504748151432</v>
      </c>
      <c r="N32" s="11">
        <f t="shared" si="2"/>
        <v>1</v>
      </c>
      <c r="O32" s="48" t="b">
        <f>OR(NOT(ISBLANK(Raw!AK32)), COUNTIF(Raw!AA32:AD32, "&gt;=0") = 4)</f>
        <v>1</v>
      </c>
      <c r="P32" s="24" t="str">
        <f>IF(O32,IF(COUNTIF(Raw!AA32:AD32,"&gt;=0") = 4,"Contingency", "Paper k"), "Not Included")</f>
        <v>Contingency</v>
      </c>
      <c r="Q32" s="48">
        <f>IF(O32, IF(COUNTIF(Raw!AA32:AD32,"&gt;=0") = 4,SUM(Raw!AA32,Raw!AC32)/H32,"No Contingency Table"), "Not Included")</f>
        <v>0.57333333333333336</v>
      </c>
      <c r="R32" s="38">
        <f>IF(O32, IF(COUNTIF(Raw!AA32:AD32, "&gt;=0") = 4,SUM(SUM(Raw!AA32,Raw!AB32)*SUM(Raw!AA32,Raw!AD32),SUM(Raw!AC32,Raw!AD32)*SUM(Raw!AC32,Raw!AB32))/H32^2,"No Contingency Table"), "Not Included")</f>
        <v>0.51680000000000004</v>
      </c>
      <c r="S32" s="38">
        <f>IF(O32, IF(COUNTIF(Raw!AA32:AD32,"&gt;=0") = 4, IFERROR((Q32 - R32) / (1 - R32), "Could not calculate"), "No Contingency Table"), "Not Included")</f>
        <v>0.11699779249448122</v>
      </c>
      <c r="T32" s="52">
        <f>IF(O32,IF(NOT(ISBLANK(Raw!AK32)), Raw!AK32, "Not Reported"), "Not Included")</f>
        <v>0.12</v>
      </c>
      <c r="U32" s="38">
        <f t="shared" si="3"/>
        <v>0.11699779249448122</v>
      </c>
      <c r="V32" s="11">
        <f t="shared" si="4"/>
        <v>1</v>
      </c>
      <c r="W32" s="11" t="b">
        <f>OR(NOT(ISBLANK(Raw!AU32)),COUNTIF(Raw!AL32:AT32,"&gt;=0") = 9)</f>
        <v>0</v>
      </c>
      <c r="X32" s="11" t="str">
        <f>IF(W32, IF(COUNTIF(Raw!AL32:AT32,"&gt;=0") = 9, "Contingency", "Paper k"), "Not Included")</f>
        <v>Not Included</v>
      </c>
      <c r="Y32" s="11" t="str">
        <f>IF(W32,IF(COUNTIF(Raw!AL32:AT32,"&gt;=0") = 9,SUM(Raw!AL32:AT32),"No Contingency Table"),"Not Included")</f>
        <v>Not Included</v>
      </c>
      <c r="Z32" s="11" t="str">
        <f t="shared" si="5"/>
        <v>Not Included</v>
      </c>
      <c r="AA32" s="11" t="str">
        <f>IF(W32,IF(COUNTIF(Raw!AL32:AT32,"&gt;=0") = 9,SUM(Raw!AL32,Raw!AP32,Raw!AT32)/Y32,"No Contingency Table"), "Not Included")</f>
        <v>Not Included</v>
      </c>
      <c r="AB32" s="11" t="str">
        <f>IF(W32,IF(COUNTIF(Raw!AL32:AT32,"&gt;=0") = 9,SUM(SUM(Raw!AL32,Raw!AM32,Raw!AN32)*SUM(Raw!AL32,Raw!AO32,Raw!AR32),SUM(Raw!AO32,Raw!AP32,Raw!AQ32)*SUM(Raw!AM32,Raw!AP32,Raw!AS32),SUM(Raw!AR32,Raw!AS32,Raw!AT32)*SUM(Raw!AN32,Raw!AQ32,Raw!AT32))/Y32^2,"No Contingency Table"), "Not Included")</f>
        <v>Not Included</v>
      </c>
      <c r="AC32" s="11" t="str">
        <f>IF(W32,IF(COUNTIF(Raw!AL32:AT32,"&gt;=0") = 9,(AA32 - AB32) / (1 - AB32),"No Contingency Table"), "Not Included")</f>
        <v>Not Included</v>
      </c>
      <c r="AD32" s="11" t="str">
        <f>IF(W32, IF(NOT(ISBLANK(Raw!AU32)),Raw!AU32,"Not Reported"), "Not Included")</f>
        <v>Not Included</v>
      </c>
      <c r="AE32" s="11" t="str">
        <f t="shared" si="6"/>
        <v>Not Included</v>
      </c>
      <c r="AF32" s="11" t="str">
        <f t="shared" si="7"/>
        <v>Not Included</v>
      </c>
      <c r="AG32" s="11" t="b">
        <f>COUNTIF(Raw!AV32:BK32, "&gt;=0") = 16</f>
        <v>1</v>
      </c>
      <c r="AH32" s="11" t="str">
        <f>IF(AG32, IF(COUNTIF(Raw!AV32:BK32,"&gt;=0") = 16, "Contingency", "Paper k"), "Not Included")</f>
        <v>Contingency</v>
      </c>
      <c r="AI32" s="15">
        <f>IF(AG32,IF(COUNTIF(Raw!AV32:BK32,"&gt;=0") = 16,SUM(Raw!AV32:BK32),"No Contingency Table"),"Not Included")</f>
        <v>150</v>
      </c>
      <c r="AJ32" s="15">
        <f t="shared" si="8"/>
        <v>150</v>
      </c>
      <c r="AK32" s="11">
        <f>IF(AG32,IF(COUNTIF(Raw!AV32:BK32,"&gt;=0") = 16,SUM(Raw!AV32,Raw!BA32,Raw!BF32,Raw!BK32)/AI32,"No Contingency Table"), "Not Included")</f>
        <v>0.45333333333333331</v>
      </c>
      <c r="AL32" s="11">
        <f>IF(AG32,IF(COUNTIF(Raw!AV32:BK32,"&gt;=0") = 16,SUM(SUM(Raw!AV32,Raw!AW32,Raw!AX32,Raw!AY32)*SUM(Raw!AV32,Raw!AZ32,Raw!BD32,Raw!BH32),SUM(Raw!AZ32,Raw!BA32,Raw!BB32,Raw!BC32)*SUM(Raw!AW32,Raw!BA32,Raw!BE32,Raw!BI32),SUM(Raw!BD32,Raw!BE32,Raw!BF32,Raw!BG32)*SUM(Raw!AX32,Raw!BB32,Raw!BF32,Raw!BJ32),SUM(Raw!BH32,Raw!BI32,Raw!BJ32,Raw!BK32)*SUM(Raw!AY32,Raw!BC32,Raw!BG32,Raw!BK32))/AI32^2,"No Contingency Table"), "Not Included")</f>
        <v>0.41102222222222223</v>
      </c>
      <c r="AM32" s="11">
        <f>IF(AG32,IF(COUNTIF(Raw!AV32:BK32,"&gt;=0") = 16,(AK32 - AL32) / (1 - AL32),"No Contingency Table"), "Not Included")</f>
        <v>7.1838213099909384E-2</v>
      </c>
      <c r="AN32" s="32">
        <f>IF(NOT(ISBLANK(Raw!BL32)),Raw!BL32,"Not Reported")</f>
        <v>7.0000000000000007E-2</v>
      </c>
      <c r="AO32" s="11">
        <f t="shared" si="9"/>
        <v>7.1838213099909384E-2</v>
      </c>
      <c r="AP32" s="11">
        <f t="shared" si="10"/>
        <v>1</v>
      </c>
      <c r="AQ32" s="11" t="b">
        <f t="shared" ref="AQ32:AR32" si="139">BQ32</f>
        <v>1</v>
      </c>
      <c r="AR32" s="11" t="str">
        <f t="shared" si="139"/>
        <v>Contingency</v>
      </c>
      <c r="AS32" s="15">
        <f t="shared" si="12"/>
        <v>150</v>
      </c>
      <c r="AT32" s="15">
        <f t="shared" si="13"/>
        <v>150</v>
      </c>
      <c r="AU32" s="11">
        <f>IF(AQ32, IF(COUNTIF(Raw!AV32:BK32, "&gt;=0") = 16, IFERROR((AT32*Raw!BK32 - SUM(Raw!BH32, Raw!BI32, Raw!BJ32, Raw!BK32)*SUM(Raw!AY32, Raw!BC32, Raw!BG32, Raw!BK32)) / SQRT((AT32*SUM(Raw!BH32, Raw!BI32, Raw!BJ32, Raw!BK32) - SUM(Raw!BH32, Raw!BI32, Raw!BJ32, Raw!BK32)^2) * (AT32*SUM(Raw!AY32, Raw!BC32, Raw!BG32, Raw!BK32) - SUM(Raw!AY32, Raw!BC32, Raw!BG32, Raw!BK32)^2)), 0), "No Contingency Table"), "Not Included")</f>
        <v>4.7302920852922301E-2</v>
      </c>
      <c r="AV32" s="11" t="str">
        <f>IF(AQ32,IF(NOT(ISBLANK(Raw!BQ32)), Raw!BQ32, IF(NOT(ISBLANK(Raw!BR32)), Raw!BR32, "Not Reported")), "Not Included")</f>
        <v>Not Reported</v>
      </c>
      <c r="AW32" s="57">
        <f t="shared" si="14"/>
        <v>4.7302920852922301E-2</v>
      </c>
      <c r="AX32" s="11" t="str">
        <f t="shared" si="15"/>
        <v>NA</v>
      </c>
      <c r="AY32" s="11" t="b">
        <f t="shared" ref="AY32:AZ32" si="140">AQ32</f>
        <v>1</v>
      </c>
      <c r="AZ32" s="11" t="str">
        <f t="shared" si="140"/>
        <v>Contingency</v>
      </c>
      <c r="BA32" s="11">
        <f>IF(AY32, IF(COUNTIF(Raw!AV32:BK32, "&gt;=0") = 16, SUM(Raw!AV32,Raw!AW32,Raw!AX32,Raw!AZ32,Raw!BA32,Raw!BB32,Raw!BD32,Raw!BE32,Raw!BF32,Raw!BK32)/SUM(Raw!AV32:BK32), "No Contingency Table"), "Not Included")</f>
        <v>0.79333333333333333</v>
      </c>
      <c r="BB32" s="11">
        <f>IF(AY32, IF(COUNTIF(Raw!AV32:BK32, "&gt;=0") = 16,SUM(SUM(Raw!BH32,Raw!BI32,Raw!BJ32,Raw!BK32)*SUM(Raw!AY32,Raw!BC32,Raw!BG32,Raw!BK32),SUM(Raw!AV32:BG32)*SUM(Raw!AV32,Raw!AW32,Raw!AX32,Raw!AZ32,Raw!BA32,Raw!BB32,Raw!BD32,Raw!BE32,Raw!BF32,Raw!BH32,Raw!BI32,Raw!BJ32))/AT32^2,"No Contingency Table"), "Not Included")</f>
        <v>0.78320000000000001</v>
      </c>
      <c r="BC32" s="11">
        <f>IF(AY32, IF(COUNTIF(Raw!AV32:BK32, "&gt;=0") = 16,(BA32-BB32) / (1 - BB32),"No Contingency Table"), "Not Included")</f>
        <v>4.6740467404674024E-2</v>
      </c>
      <c r="BD32" s="11" t="str">
        <f>IF(AY32,IF(NOT(ISBLANK(Raw!BT53)),Raw!BT53,"Not Reported"),"Not Included")</f>
        <v>Not Reported</v>
      </c>
      <c r="BE32" s="11">
        <f t="shared" si="17"/>
        <v>4.6740467404674024E-2</v>
      </c>
      <c r="BF32" s="11" t="str">
        <f t="shared" si="18"/>
        <v>NA</v>
      </c>
      <c r="BG32" s="11">
        <f>Raw!K32</f>
        <v>2011</v>
      </c>
      <c r="BH32" s="11" t="str">
        <f>IF(Raw!L32 = "USA","USA","Non-USA")</f>
        <v>USA</v>
      </c>
      <c r="BI32" s="11" t="str">
        <f>Raw!M32</f>
        <v>Ainsworth/Cassidy-Marvin</v>
      </c>
      <c r="BJ32" s="11">
        <f>Raw!N32</f>
        <v>1</v>
      </c>
      <c r="BK32" s="11">
        <f>Raw!P32</f>
        <v>1</v>
      </c>
      <c r="BL32" s="11">
        <f>Raw!Q32</f>
        <v>0</v>
      </c>
      <c r="BM32" s="11">
        <f>Raw!T32</f>
        <v>1</v>
      </c>
      <c r="BN32" s="11">
        <f>IFERROR(IF(AND(ISBLANK(Raw!U32), ISBLANK(Raw!V32), ISBLANK(Raw!W32), ISBLANK(Raw!X32)), "NA", IF(OR(NOT(ISBLANK(Raw!U32)), NOT(ISBLANK(Raw!W32))), AVERAGE(Raw!U32,Raw!W32), AVERAGE(Raw!V32,Raw!X32) + IF(Raw!Y32 = "2-way", R32, IF(Raw!Y32 = "3-way", AB32, IF(Raw!Y32 = "4-way", AL32, "NA")))*(1 - AVERAGE(Raw!V32,Raw!X32)))), "NA")</f>
        <v>0.83000000000000007</v>
      </c>
      <c r="BO32" s="11">
        <f>Raw!O32</f>
        <v>0</v>
      </c>
      <c r="BP32" s="11" t="str">
        <f>Raw!F32</f>
        <v>Female</v>
      </c>
      <c r="BQ32" s="11" t="b">
        <f>COUNTIF(Raw!AV32:BK32, "&gt;=0") = 16</f>
        <v>1</v>
      </c>
      <c r="BR32" s="11" t="str">
        <f t="shared" si="19"/>
        <v>Contingency</v>
      </c>
      <c r="BS32" s="15">
        <f t="shared" si="20"/>
        <v>150</v>
      </c>
      <c r="BT32" s="11">
        <f>IF(BQ32, IF(COUNTIF(Raw!AV32:BK32, "&gt;=0") = 16, IFERROR((BS32*Raw!AV32 - SUM(Raw!AV32, Raw!AW32, Raw!AX32, Raw!AY32)*SUM(Raw!AV32, Raw!AZ32, Raw!BD32, Raw!BH32)) / SQRT((BS32*SUM(Raw!AV32, Raw!AW32, Raw!AX32, Raw!AY32) - SUM(Raw!AV32, Raw!AW32, Raw!AX32, Raw!AY32)^2) * (BS32*SUM(Raw!AV32, Raw!AZ32, Raw!BD32, Raw!BH32) - SUM(Raw!AV32, Raw!AZ32, Raw!BD32, Raw!BH32)^2)), 0), "No Contingency Table"), "Not Included")</f>
        <v>6.6292780248551897E-3</v>
      </c>
      <c r="BU32" s="11">
        <f>IF(BQ32, IF(COUNTIF(Raw!AV32:BK32, "&gt;=0") = 16, SUM(Raw!BK32,Raw!BJ32,Raw!BI32,Raw!BG32,Raw!BF32,Raw!BE32,Raw!BC32,Raw!BB32,Raw!BA32,Raw!AV32)/SUM(Raw!AV32:BK32), "No Contingency Table"), "Not Included")</f>
        <v>0.70666666666666667</v>
      </c>
      <c r="BV32" s="11">
        <f>IF(BQ32, IF(COUNTIF(Raw!AV32:BK32, "&gt;=0") = 16,SUM(SUM(Raw!AV32,Raw!AW32,Raw!AX32,Raw!AY32)*SUM(Raw!AV32,Raw!AZ32,Raw!BD32,Raw!BH32),SUM(Raw!AZ32:BK32)*SUM(Raw!AW32,Raw!AX32,Raw!AY32,Raw!BA32,Raw!BB32,Raw!BC32,Raw!BE32,Raw!BF32,Raw!BG32,Raw!BI32,Raw!BJ32,Raw!BK32))/BS32^2,"No Contingency Table"), "Not Included")</f>
        <v>0.70471111111111107</v>
      </c>
      <c r="BW32" s="11">
        <f>IF(BQ32, IF(COUNTIF(Raw!AV32:BK32, "&gt;=0") = 16,(BU32-BV32) / (1 - BV32),"No Contingency Table"), "Not Included")</f>
        <v>6.6225165562915373E-3</v>
      </c>
      <c r="BX32" s="11" t="b">
        <f t="shared" ref="BX32:BZ32" si="141">BQ32</f>
        <v>1</v>
      </c>
      <c r="BY32" s="11" t="str">
        <f t="shared" si="141"/>
        <v>Contingency</v>
      </c>
      <c r="BZ32" s="15">
        <f t="shared" si="141"/>
        <v>150</v>
      </c>
      <c r="CA32" s="11">
        <f>IF(BX32, IF(COUNTIF(Raw!AV32:BK32, "&gt;=0") = 16, IFERROR((BZ32*Raw!BF32 - SUM(Raw!BD32, Raw!BE32, Raw!BF32, Raw!BG32)*SUM(Raw!BF32, Raw!AX32, Raw!BB32, Raw!BJ32)) / SQRT((BZ32*SUM(Raw!BD32, Raw!BE32, Raw!BF32, Raw!BG32) - SUM(Raw!BD32, Raw!BE32, Raw!BF32, Raw!BG32)^2) * (BZ32*SUM(Raw!BF32, Raw!AX32, Raw!BB32, Raw!BJ32) - SUM(Raw!BF32, Raw!AX32, Raw!BB32, Raw!BJ32)^2)), 0), "No Contingency Table"), "Not Included")</f>
        <v>0.12156613477096617</v>
      </c>
      <c r="CB32" s="11">
        <f>IF(BX32, IF(COUNTIF(Raw!AV32:BK32, "&gt;=0") = 16, SUM(Raw!AV32,Raw!AW32,Raw!AY32,Raw!AZ32,Raw!BA32,Raw!BC32,Raw!BF32,Raw!BH32,Raw!BI32,Raw!BK32) / SUM(Raw!AV32:BK32), "No Contingency Table"), "Not Included")</f>
        <v>0.83333333333333337</v>
      </c>
      <c r="CC32" s="11">
        <f>IF(BX32, IF(COUNTIF(Raw!AV32:BK32, "&gt;=0") = 16,SUM(SUM(Raw!BD32,Raw!BE32,Raw!BF32,Raw!BG32)*SUM(Raw!BF32,Raw!AX32,Raw!BB32,Raw!BJ32),SUM(Raw!AV32:BC32,Raw!BH32:BK32)*SUM(Raw!AV32,Raw!AW32,Raw!AY32,Raw!AZ32,Raw!BA32,Raw!BC32,Raw!BD32,Raw!BE32,Raw!BG32,Raw!BH32,Raw!BI32,Raw!BK32))/BZ32^2,"No Contingency Table"), "Not Included")</f>
        <v>0.81733333333333336</v>
      </c>
      <c r="CD32" s="11">
        <f>IF(BX32, IF(COUNTIF(Raw!AV32:BK32, "&gt;=0") = 16,(CB32 - CC32) / (1 - CC32+0.000001),"No Contingency Table"), "Not Included")</f>
        <v>8.7590761364445172E-2</v>
      </c>
      <c r="CE32" s="11" t="b">
        <f t="shared" ref="CE32:CG32" si="142">BQ32</f>
        <v>1</v>
      </c>
      <c r="CF32" s="11" t="str">
        <f t="shared" si="142"/>
        <v>Contingency</v>
      </c>
      <c r="CG32" s="15">
        <f t="shared" si="142"/>
        <v>150</v>
      </c>
      <c r="CH32" s="11">
        <f>IF(CE32, IF(COUNTIF(Raw!AV32:BK32, "&gt;=0") = 16, IFERROR((CG32*Raw!BA32 - SUM(Raw!BA32, Raw!AZ32, Raw!BB32, Raw!BC32)*SUM(Raw!BA32, Raw!AW32, Raw!BE32, Raw!BI32)) / SQRT((CG32*SUM(Raw!BA32, Raw!AZ32, Raw!BB32, Raw!BC32) - SUM(Raw!BA32, Raw!AZ32, Raw!BB32, Raw!BC32)^2) * (CG32*SUM(Raw!BA32, Raw!AW32, Raw!BE32, Raw!BI32) - SUM(Raw!BA32, Raw!AW32, Raw!BE32, Raw!BI32)^2)), 0), "No Contingency Table"), "Not Included")</f>
        <v>0.11863504748151432</v>
      </c>
      <c r="CI32" s="11">
        <f>IF(CE32, IF(COUNTIF(Raw!AV32:BK32, "&gt;=0") = 16, SUM(Raw!AV32,Raw!AX32,Raw!AY32,Raw!BA32,Raw!BD32,Raw!BF32,Raw!BG32,Raw!BH32,Raw!BJ32,Raw!BK32) / SUM(Raw!AV32:BK32), "No Contingency Table"), "Not Included")</f>
        <v>0.57333333333333336</v>
      </c>
      <c r="CJ32" s="61">
        <f>IF(BX32, IF(COUNTIF(Raw!AV32:BK32, "&gt;=0") = 16,SUM(SUM(Raw!AZ32,Raw!BA32,Raw!BB32,Raw!BC32)*SUM(Raw!BA32,Raw!AW32,Raw!BE32,Raw!BI32),SUM(Raw!AV32:AY32,Raw!BD32:BK32)*SUM(Raw!AV32,Raw!AX32,Raw!AY32,Raw!AZ32,Raw!BB32,Raw!BC32,Raw!BD32,Raw!BF32,Raw!BG32,Raw!BH32,Raw!BJ32,Raw!BK32))/CG32^2,"No Contingency Table"), "Not Included")</f>
        <v>0.51680000000000004</v>
      </c>
      <c r="CK32" s="11">
        <f>IF(BX32, IF(COUNTIF(Raw!AV32:BK32, "&gt;=0") = 16,(CI32 - CJ32) / (1 - CJ32),"No Contingency Table"), "Not Included")</f>
        <v>0.11699779249448122</v>
      </c>
      <c r="CL32" s="11">
        <f>IF(BQ32, IFERROR(Raw!AV32/SUM(Raw!AV32:AY32), 0), "Not Included")</f>
        <v>0.19230769230769232</v>
      </c>
      <c r="CM32" s="11">
        <f>IF(BQ32, IFERROR(Raw!BA32/SUM(Raw!AZ32:BC32), 0), "Not Included")</f>
        <v>0.69047619047619047</v>
      </c>
      <c r="CN32" s="11">
        <f>IF(BQ32, IFERROR(Raw!BF32/SUM(Raw!BD32:BG32), 0), "Not Included")</f>
        <v>8.3333333333333329E-2</v>
      </c>
      <c r="CO32" s="11">
        <f>IF(BQ32, IFERROR(Raw!BK32/SUM(Raw!BH32:BK32), 0), "Not Included")</f>
        <v>0.1875</v>
      </c>
      <c r="CP32" s="11">
        <f>IF(BQ32, IFERROR(SUM(Raw!AV32,Raw!AX32,Raw!AY32,Raw!BD32,Raw!BF32,Raw!BG32,Raw!BH32,Raw!BJ32,Raw!BK32)/SUM(Raw!AV32,Raw!AW32,Raw!AX32,Raw!AY32,Raw!BD32,Raw!BE32,Raw!BF32,Raw!BG32,Raw!BH32,Raw!BI32,Raw!BJ32,Raw!BK32), 0), "Not Included")</f>
        <v>0.42424242424242425</v>
      </c>
      <c r="CQ32" s="11">
        <f>IF(BQ32, IFERROR(SUM(Raw!AV32:AX32,Raw!AZ32:BB32,Raw!BD32:BF32)/SUM(Raw!AV32:BF32), 0), "Not Included")</f>
        <v>0.8721804511278195</v>
      </c>
      <c r="CR32" s="11">
        <f>IF(BQ32, IFERROR(SUM(Raw!AV32:AY32), 0), "Not Included")</f>
        <v>26</v>
      </c>
      <c r="CS32" s="11">
        <f>IF(BQ32, IFERROR(SUM(Raw!AZ32:BC32), 0), "Not Included")</f>
        <v>84</v>
      </c>
      <c r="CT32" s="11">
        <f>IF(BQ32, IFERROR(SUM(Raw!BD32:BG32), 0), "Not Included")</f>
        <v>24</v>
      </c>
      <c r="CU32" s="11">
        <f>IF(BQ32, IFERROR(SUM(Raw!BH32:BK32), 0), "Not Included")</f>
        <v>16</v>
      </c>
      <c r="CV32" s="11">
        <f>IF(BQ32, IFERROR(SUM(Raw!AV32,Raw!AW32,Raw!AX32,Raw!AY32,Raw!BD32,Raw!BE32,Raw!BF32,Raw!BG32,Raw!BH32,Raw!BI32,Raw!BJ32,Raw!BK32), 0), "Not Included")</f>
        <v>66</v>
      </c>
      <c r="CW32" s="11">
        <f>IF(BQ32, IFERROR(SUM(Raw!AV32:BF32), 0), "Not Included")</f>
        <v>133</v>
      </c>
      <c r="CX32" s="11">
        <f>IF(BQ32, IFERROR((CR32*SUM(Raw!AV32,Raw!AZ32,Raw!BD32,Raw!BH32))/BS32/CR32, 0), "Not Included")</f>
        <v>0.18666666666666668</v>
      </c>
      <c r="CY32" s="11">
        <f>IF(BX32, IFERROR((CS32*SUM(Raw!BA32,Raw!AW32,Raw!BE32,Raw!BI32))/CG32/CS32, 0), "Not Included")</f>
        <v>0.64</v>
      </c>
      <c r="CZ32" s="11">
        <f>IF(BX32, IFERROR((CT32*SUM(Raw!BF32,Raw!AX32,Raw!BB32,Raw!BJ32))/BZ32/CT32, 0), "Not Included")</f>
        <v>3.3333333333333333E-2</v>
      </c>
      <c r="DA32" s="11">
        <f>IF(AY32, IFERROR((CU32*SUM(Raw!AY32,Raw!BC32,Raw!BG32,Raw!BK32))/AT32/CU32, 0), "Not Included")</f>
        <v>0.14000000000000001</v>
      </c>
      <c r="DB32" s="11">
        <f>IF(BX32, IFERROR((CV32*SUM(Raw!AV32,Raw!AX32,Raw!AY32,Raw!AZ32,Raw!BB32,Raw!BC32,Raw!BD32,Raw!BF32,Raw!BG32,Raw!BH32,Raw!BJ32,Raw!BK32))/CG32/CV32,0), "Not Included")</f>
        <v>0.36000000000000004</v>
      </c>
      <c r="DC32" s="11">
        <f>IF(AY32, IFERROR((CW32*SUM(Raw!AV32,Raw!AW32,Raw!AX32,Raw!AZ32,Raw!BA32,Raw!BB32,Raw!BD32,Raw!BE32,Raw!BF32,Raw!BH32,Raw!BI32,Raw!BJ32))/AT32/CW32,0), "Not Included")</f>
        <v>0.86</v>
      </c>
    </row>
    <row r="33" spans="1:107" ht="12.75" customHeight="1">
      <c r="A33" s="11">
        <f>Raw!D33</f>
        <v>22</v>
      </c>
      <c r="B33" s="11" t="str">
        <f>Raw!A33</f>
        <v>Lounds et al. (2005)</v>
      </c>
      <c r="C33" s="11">
        <f>Raw!G33</f>
        <v>1</v>
      </c>
      <c r="D33" s="11" t="str">
        <f>Raw!E33</f>
        <v>Single sample</v>
      </c>
      <c r="E33" s="11" t="str">
        <f>CONCATENATE(IF(Raw!I33&lt;='Interval Definitions'!$B$2, 'Interval Definitions'!$A$2, IF(Raw!I33&lt;='Interval Definitions'!$B$3, 'Interval Definitions'!$A$3, IF(Raw!I33&lt;='Interval Definitions'!$B$4, 'Interval Definitions'!$A$4, IF(Raw!I33&lt;='Interval Definitions'!$B$5, 'Interval Definitions'!$A$5, "None")))), " - ", IF(Raw!J33&lt;='Interval Definitions'!$B$2, 'Interval Definitions'!$A$2, IF(Raw!J33&lt;='Interval Definitions'!$B$3, 'Interval Definitions'!$A$3, IF(Raw!J33&lt;='Interval Definitions'!$B$4, 'Interval Definitions'!$A$4, IF(Raw!J33&lt;='Interval Definitions'!$B$5, 'Interval Definitions'!$A$5, "None")))))</f>
        <v>Infancy - Preschool</v>
      </c>
      <c r="F33" s="11" t="b">
        <f>OR(NOT(ISBLANK(Raw!AF33)),NOT(ISBLANK(Raw!AG33)),NOT(ISBLANK(Raw!AH33)),NOT(ISBLANK(Raw!AI33)),COUNTIF(Raw!AA33:AD33, "&gt;=0") = 4)</f>
        <v>1</v>
      </c>
      <c r="G33" s="11" t="str">
        <f>IF(F33, IF(COUNTIF(Raw!AA33:AD33,"&gt;=0") = 4, "Contingency", IF(NOT(ISBLANK(Raw!AF33)), "Paper r", IF(NOT(ISBLANK(Raw!AG33)), "Pinquart", IF(NOT(ISBLANK(Raw!AH33)), "Fraley", "Paper chiSq")))), "Not Included")</f>
        <v>Contingency</v>
      </c>
      <c r="H33" s="15">
        <f>IF(F33,Raw!AE33,"Not Included")</f>
        <v>78</v>
      </c>
      <c r="I33" s="15">
        <f>IF(COUNTIF(Raw!AA33:AD33,"&gt;=0") = 4, SUM(Raw!AA33:AD33), "No Contingency Table")</f>
        <v>78</v>
      </c>
      <c r="J33" s="15">
        <f t="shared" si="0"/>
        <v>78</v>
      </c>
      <c r="K33" s="38">
        <f>IF(F33, IF(COUNTIF(Raw!AA33:AD33,"&gt;=0") = 4, IFERROR((I33*Raw!AA33 - SUM(Raw!AA33,Raw!AB33)*SUM(Raw!AA33,Raw!AD33)) / SQRT((I33*SUM(Raw!AA33,Raw!AB33) - SUM(Raw!AA33,Raw!AB33)^2) * (I33*SUM(Raw!AA33,Raw!AD33) - SUM(Raw!AA33,Raw!AD33)^2)), 0), "No Contingency Table"), "Not Included")</f>
        <v>0.29105136962133354</v>
      </c>
      <c r="L33" s="41">
        <f>IF(F33,IF(NOT(ISBLANK(Raw!AF33)), Raw!AF33, IF(NOT(ISBLANK(Raw!AG33)), Raw!AG33, IF(NOT(ISBLANK(Raw!AH33)), Raw!AH33, IF(NOT(ISBLANK(Raw!AI33)), SQRT(Raw!AI33/H33)*Raw!AJ33, "Not Reported")))),"Not Included")</f>
        <v>0.28999999999999998</v>
      </c>
      <c r="M33" s="43">
        <f t="shared" si="1"/>
        <v>0.29105136962133354</v>
      </c>
      <c r="N33" s="11">
        <f t="shared" si="2"/>
        <v>1</v>
      </c>
      <c r="O33" s="48" t="b">
        <f>OR(NOT(ISBLANK(Raw!AK33)), COUNTIF(Raw!AA33:AD33, "&gt;=0") = 4)</f>
        <v>1</v>
      </c>
      <c r="P33" s="24" t="str">
        <f>IF(O33,IF(COUNTIF(Raw!AA33:AD33,"&gt;=0") = 4,"Contingency", "Paper k"), "Not Included")</f>
        <v>Contingency</v>
      </c>
      <c r="Q33" s="48">
        <f>IF(O33, IF(COUNTIF(Raw!AA33:AD33,"&gt;=0") = 4,SUM(Raw!AA33,Raw!AC33)/H33,"No Contingency Table"), "Not Included")</f>
        <v>0.66666666666666663</v>
      </c>
      <c r="R33" s="38">
        <f>IF(O33, IF(COUNTIF(Raw!AA33:AD33, "&gt;=0") = 4,SUM(SUM(Raw!AA33,Raw!AB33)*SUM(Raw!AA33,Raw!AD33),SUM(Raw!AC33,Raw!AD33)*SUM(Raw!AC33,Raw!AB33))/H33^2,"No Contingency Table"), "Not Included")</f>
        <v>0.53451676528599601</v>
      </c>
      <c r="S33" s="38">
        <f>IF(O33, IF(COUNTIF(Raw!AA33:AD33,"&gt;=0") = 4, IFERROR((Q33 - R33) / (1 - R33), "Could not calculate"), "No Contingency Table"), "Not Included")</f>
        <v>0.28389830508474573</v>
      </c>
      <c r="T33" s="52" t="str">
        <f>IF(O33,IF(NOT(ISBLANK(Raw!AK33)), Raw!AK33, "Not Reported"), "Not Included")</f>
        <v>Not Reported</v>
      </c>
      <c r="U33" s="38">
        <f t="shared" si="3"/>
        <v>0.28389830508474573</v>
      </c>
      <c r="V33" s="11" t="str">
        <f t="shared" si="4"/>
        <v>NA</v>
      </c>
      <c r="W33" s="11" t="b">
        <f>OR(NOT(ISBLANK(Raw!AU33)),COUNTIF(Raw!AL33:AT33,"&gt;=0") = 9)</f>
        <v>0</v>
      </c>
      <c r="X33" s="11" t="str">
        <f>IF(W33, IF(COUNTIF(Raw!AL33:AT33,"&gt;=0") = 9, "Contingency", "Paper k"), "Not Included")</f>
        <v>Not Included</v>
      </c>
      <c r="Y33" s="11" t="str">
        <f>IF(W33,IF(COUNTIF(Raw!AL33:AT33,"&gt;=0") = 9,SUM(Raw!AL33:AT33),"No Contingency Table"),"Not Included")</f>
        <v>Not Included</v>
      </c>
      <c r="Z33" s="11" t="str">
        <f t="shared" si="5"/>
        <v>Not Included</v>
      </c>
      <c r="AA33" s="11" t="str">
        <f>IF(W33,IF(COUNTIF(Raw!AL33:AT33,"&gt;=0") = 9,SUM(Raw!AL33,Raw!AP33,Raw!AT33)/Y33,"No Contingency Table"), "Not Included")</f>
        <v>Not Included</v>
      </c>
      <c r="AB33" s="11" t="str">
        <f>IF(W33,IF(COUNTIF(Raw!AL33:AT33,"&gt;=0") = 9,SUM(SUM(Raw!AL33,Raw!AM33,Raw!AN33)*SUM(Raw!AL33,Raw!AO33,Raw!AR33),SUM(Raw!AO33,Raw!AP33,Raw!AQ33)*SUM(Raw!AM33,Raw!AP33,Raw!AS33),SUM(Raw!AR33,Raw!AS33,Raw!AT33)*SUM(Raw!AN33,Raw!AQ33,Raw!AT33))/Y33^2,"No Contingency Table"), "Not Included")</f>
        <v>Not Included</v>
      </c>
      <c r="AC33" s="11" t="str">
        <f>IF(W33,IF(COUNTIF(Raw!AL33:AT33,"&gt;=0") = 9,(AA33 - AB33) / (1 - AB33),"No Contingency Table"), "Not Included")</f>
        <v>Not Included</v>
      </c>
      <c r="AD33" s="11" t="str">
        <f>IF(W33, IF(NOT(ISBLANK(Raw!AU33)),Raw!AU33,"Not Reported"), "Not Included")</f>
        <v>Not Included</v>
      </c>
      <c r="AE33" s="11" t="str">
        <f t="shared" si="6"/>
        <v>Not Included</v>
      </c>
      <c r="AF33" s="11" t="str">
        <f t="shared" si="7"/>
        <v>Not Included</v>
      </c>
      <c r="AG33" s="11" t="b">
        <f>COUNTIF(Raw!AV33:BK33, "&gt;=0") = 16</f>
        <v>0</v>
      </c>
      <c r="AH33" s="11" t="str">
        <f>IF(AG33, IF(COUNTIF(Raw!AV33:BK33,"&gt;=0") = 16, "Contingency", "Paper k"), "Not Included")</f>
        <v>Not Included</v>
      </c>
      <c r="AI33" s="11" t="str">
        <f>IF(AG33,IF(COUNTIF(Raw!AV33:BK33,"&gt;=0") = 16,SUM(Raw!AV33:BK33),"No Contingency Table"),"Not Included")</f>
        <v>Not Included</v>
      </c>
      <c r="AJ33" s="15">
        <f t="shared" si="8"/>
        <v>78</v>
      </c>
      <c r="AK33" s="11" t="str">
        <f>IF(AG33,IF(COUNTIF(Raw!AV33:BK33,"&gt;=0") = 16,SUM(Raw!AV33,Raw!BA33,Raw!BF33,Raw!BK33)/AI33,"No Contingency Table"), "Not Included")</f>
        <v>Not Included</v>
      </c>
      <c r="AL33" s="11" t="str">
        <f>IF(AG33,IF(COUNTIF(Raw!AV33:BK33,"&gt;=0") = 16,SUM(SUM(Raw!AV33,Raw!AW33,Raw!AX33,Raw!AY33)*SUM(Raw!AV33,Raw!AZ33,Raw!BD33,Raw!BH33),SUM(Raw!AZ33,Raw!BA33,Raw!BB33,Raw!BC33)*SUM(Raw!AW33,Raw!BA33,Raw!BE33,Raw!BI33),SUM(Raw!BD33,Raw!BE33,Raw!BF33,Raw!BG33)*SUM(Raw!AX33,Raw!BB33,Raw!BF33,Raw!BJ33),SUM(Raw!BH33,Raw!BI33,Raw!BJ33,Raw!BK33)*SUM(Raw!AY33,Raw!BC33,Raw!BG33,Raw!BK33))/AI33^2,"No Contingency Table"), "Not Included")</f>
        <v>Not Included</v>
      </c>
      <c r="AM33" s="11" t="str">
        <f>IF(AG33,IF(COUNTIF(Raw!AV33:BK33,"&gt;=0") = 16,(AK33 - AL33) / (1 - AL33),"No Contingency Table"), "Not Included")</f>
        <v>Not Included</v>
      </c>
      <c r="AN33" s="11" t="str">
        <f>IF(NOT(ISBLANK(Raw!BL33)),Raw!BL33,"Not Reported")</f>
        <v>Not Reported</v>
      </c>
      <c r="AO33" s="11" t="str">
        <f t="shared" si="9"/>
        <v>Not Reported</v>
      </c>
      <c r="AP33" s="11" t="str">
        <f t="shared" si="10"/>
        <v>Not Included</v>
      </c>
      <c r="AQ33" s="11" t="b">
        <f t="shared" ref="AQ33:AR33" si="143">BQ33</f>
        <v>0</v>
      </c>
      <c r="AR33" s="11" t="str">
        <f t="shared" si="143"/>
        <v>Not Included</v>
      </c>
      <c r="AS33" s="11" t="str">
        <f t="shared" si="12"/>
        <v>Not Included</v>
      </c>
      <c r="AT33" s="11" t="str">
        <f t="shared" si="13"/>
        <v>Not Included</v>
      </c>
      <c r="AU33" s="11" t="str">
        <f>IF(AQ33, IF(COUNTIF(Raw!AV33:BK33, "&gt;=0") = 16, IFERROR((AT33*Raw!BK33 - SUM(Raw!BH33, Raw!BI33, Raw!BJ33, Raw!BK33)*SUM(Raw!AY33, Raw!BC33, Raw!BG33, Raw!BK33)) / SQRT((AT33*SUM(Raw!BH33, Raw!BI33, Raw!BJ33, Raw!BK33) - SUM(Raw!BH33, Raw!BI33, Raw!BJ33, Raw!BK33)^2) * (AT33*SUM(Raw!AY33, Raw!BC33, Raw!BG33, Raw!BK33) - SUM(Raw!AY33, Raw!BC33, Raw!BG33, Raw!BK33)^2)), 0), "No Contingency Table"), "Not Included")</f>
        <v>Not Included</v>
      </c>
      <c r="AV33" s="11" t="str">
        <f>IF(AQ33,IF(NOT(ISBLANK(Raw!BQ33)), Raw!BQ33, IF(NOT(ISBLANK(Raw!BR33)), Raw!BR33, "Not Reported")), "Not Included")</f>
        <v>Not Included</v>
      </c>
      <c r="AW33" s="57" t="str">
        <f t="shared" si="14"/>
        <v>Not Included</v>
      </c>
      <c r="AX33" s="11" t="str">
        <f t="shared" si="15"/>
        <v>Not Included</v>
      </c>
      <c r="AY33" s="11" t="b">
        <f t="shared" ref="AY33:AZ33" si="144">AQ33</f>
        <v>0</v>
      </c>
      <c r="AZ33" s="11" t="str">
        <f t="shared" si="144"/>
        <v>Not Included</v>
      </c>
      <c r="BA33" s="11" t="str">
        <f>IF(AY33, IF(COUNTIF(Raw!AV33:BK33, "&gt;=0") = 16, SUM(Raw!AV33,Raw!AW33,Raw!AX33,Raw!AZ33,Raw!BA33,Raw!BB33,Raw!BD33,Raw!BE33,Raw!BF33,Raw!BK33)/SUM(Raw!AV33:BK33), "No Contingency Table"), "Not Included")</f>
        <v>Not Included</v>
      </c>
      <c r="BB33" s="11" t="str">
        <f>IF(AY33, IF(COUNTIF(Raw!AV33:BK33, "&gt;=0") = 16,SUM(SUM(Raw!BH33,Raw!BI33,Raw!BJ33,Raw!BK33)*SUM(Raw!AY33,Raw!BC33,Raw!BG33,Raw!BK33),SUM(Raw!AV33:BG33)*SUM(Raw!AV33,Raw!AW33,Raw!AX33,Raw!AZ33,Raw!BA33,Raw!BB33,Raw!BD33,Raw!BE33,Raw!BF33,Raw!BH33,Raw!BI33,Raw!BJ33))/AT33^2,"No Contingency Table"), "Not Included")</f>
        <v>Not Included</v>
      </c>
      <c r="BC33" s="11" t="str">
        <f>IF(AY33, IF(COUNTIF(Raw!AV33:BK33, "&gt;=0") = 16,(BA33-BB33) / (1 - BB33),"No Contingency Table"), "Not Included")</f>
        <v>Not Included</v>
      </c>
      <c r="BD33" s="11" t="str">
        <f>IF(AY33,IF(NOT(ISBLANK(Raw!BT54)),Raw!BT54,"Not Reported"),"Not Included")</f>
        <v>Not Included</v>
      </c>
      <c r="BE33" s="11" t="str">
        <f t="shared" si="17"/>
        <v>Not Included</v>
      </c>
      <c r="BF33" s="11" t="str">
        <f t="shared" si="18"/>
        <v>Not Included</v>
      </c>
      <c r="BG33" s="11">
        <f>Raw!K33</f>
        <v>2005</v>
      </c>
      <c r="BH33" s="11" t="str">
        <f>IF(Raw!L33 = "USA","USA","Non-USA")</f>
        <v>USA</v>
      </c>
      <c r="BI33" s="11" t="str">
        <f>Raw!M33</f>
        <v>Ainsworth/Cassidy-Marvin</v>
      </c>
      <c r="BJ33" s="11">
        <f>Raw!N33</f>
        <v>1</v>
      </c>
      <c r="BK33" s="11">
        <f>Raw!P33</f>
        <v>1</v>
      </c>
      <c r="BL33" s="11">
        <f>Raw!Q33</f>
        <v>0</v>
      </c>
      <c r="BM33" s="11">
        <f>Raw!T33</f>
        <v>1</v>
      </c>
      <c r="BN33" s="11" t="str">
        <f>IFERROR(IF(AND(ISBLANK(Raw!U33), ISBLANK(Raw!V33), ISBLANK(Raw!W33), ISBLANK(Raw!X33)), "NA", IF(OR(NOT(ISBLANK(Raw!U33)), NOT(ISBLANK(Raw!W33))), AVERAGE(Raw!U33,Raw!W33), AVERAGE(Raw!V33,Raw!X33) + IF(Raw!Y33 = "2-way", R33, IF(Raw!Y33 = "3-way", AB33, IF(Raw!Y33 = "4-way", AL33, "NA")))*(1 - AVERAGE(Raw!V33,Raw!X33)))), "NA")</f>
        <v>NA</v>
      </c>
      <c r="BO33" s="11">
        <f>Raw!O33</f>
        <v>0</v>
      </c>
      <c r="BP33" s="11" t="str">
        <f>Raw!F33</f>
        <v>Female</v>
      </c>
      <c r="BQ33" s="11" t="b">
        <f>COUNTIF(Raw!AV33:BK33, "&gt;=0") = 16</f>
        <v>0</v>
      </c>
      <c r="BR33" s="11" t="str">
        <f t="shared" si="19"/>
        <v>Not Included</v>
      </c>
      <c r="BS33" s="11" t="str">
        <f t="shared" si="20"/>
        <v>Not Included</v>
      </c>
      <c r="BT33" s="11" t="str">
        <f>IF(BQ33, IF(COUNTIF(Raw!AV33:BK33, "&gt;=0") = 16, IFERROR((BS33*Raw!AV33 - SUM(Raw!AV33, Raw!AW33, Raw!AX33, Raw!AY33)*SUM(Raw!AV33, Raw!AZ33, Raw!BD33, Raw!BH33)) / SQRT((BS33*SUM(Raw!AV33, Raw!AW33, Raw!AX33, Raw!AY33) - SUM(Raw!AV33, Raw!AW33, Raw!AX33, Raw!AY33)^2) * (BS33*SUM(Raw!AV33, Raw!AZ33, Raw!BD33, Raw!BH33) - SUM(Raw!AV33, Raw!AZ33, Raw!BD33, Raw!BH33)^2)), 0), "No Contingency Table"), "Not Included")</f>
        <v>Not Included</v>
      </c>
      <c r="BU33" s="11" t="str">
        <f>IF(BQ33, IF(COUNTIF(Raw!AV33:BK33, "&gt;=0") = 16, SUM(Raw!BK33,Raw!BJ33,Raw!BI33,Raw!BG33,Raw!BF33,Raw!BE33,Raw!BC33,Raw!BB33,Raw!BA33,Raw!AV33)/SUM(Raw!AV33:BK33), "No Contingency Table"), "Not Included")</f>
        <v>Not Included</v>
      </c>
      <c r="BV33" s="11" t="str">
        <f>IF(BQ33, IF(COUNTIF(Raw!AV33:BK33, "&gt;=0") = 16,SUM(SUM(Raw!AV33,Raw!AW33,Raw!AX33,Raw!AY33)*SUM(Raw!AV33,Raw!AZ33,Raw!BD33,Raw!BH33),SUM(Raw!AZ33:BK33)*SUM(Raw!AW33,Raw!AX33,Raw!AY33,Raw!BA33,Raw!BB33,Raw!BC33,Raw!BE33,Raw!BF33,Raw!BG33,Raw!BI33,Raw!BJ33,Raw!BK33))/BS33^2,"No Contingency Table"), "Not Included")</f>
        <v>Not Included</v>
      </c>
      <c r="BW33" s="11" t="str">
        <f>IF(BQ33, IF(COUNTIF(Raw!AV33:BK33, "&gt;=0") = 16,(BU33-BV33) / (1 - BV33),"No Contingency Table"), "Not Included")</f>
        <v>Not Included</v>
      </c>
      <c r="BX33" s="11" t="b">
        <f t="shared" ref="BX33:BZ33" si="145">BQ33</f>
        <v>0</v>
      </c>
      <c r="BY33" s="11" t="str">
        <f t="shared" si="145"/>
        <v>Not Included</v>
      </c>
      <c r="BZ33" s="11" t="str">
        <f t="shared" si="145"/>
        <v>Not Included</v>
      </c>
      <c r="CA33" s="11" t="str">
        <f>IF(BX33, IF(COUNTIF(Raw!AV33:BK33, "&gt;=0") = 16, IFERROR((BZ33*Raw!BF33 - SUM(Raw!BD33, Raw!BE33, Raw!BF33, Raw!BG33)*SUM(Raw!BF33, Raw!AX33, Raw!BB33, Raw!BJ33)) / SQRT((BZ33*SUM(Raw!BD33, Raw!BE33, Raw!BF33, Raw!BG33) - SUM(Raw!BD33, Raw!BE33, Raw!BF33, Raw!BG33)^2) * (BZ33*SUM(Raw!BF33, Raw!AX33, Raw!BB33, Raw!BJ33) - SUM(Raw!BF33, Raw!AX33, Raw!BB33, Raw!BJ33)^2)), 0), "No Contingency Table"), "Not Included")</f>
        <v>Not Included</v>
      </c>
      <c r="CB33" s="11" t="str">
        <f>IF(BX33, IF(COUNTIF(Raw!AV33:BK33, "&gt;=0") = 16, SUM(Raw!AV33,Raw!AW33,Raw!AY33,Raw!AZ33,Raw!BA33,Raw!BC33,Raw!BF33,Raw!BH33,Raw!BI33,Raw!BK33) / SUM(Raw!AV33:BK33), "No Contingency Table"), "Not Included")</f>
        <v>Not Included</v>
      </c>
      <c r="CC33" s="11" t="str">
        <f>IF(BX33, IF(COUNTIF(Raw!AV33:BK33, "&gt;=0") = 16,SUM(SUM(Raw!BD33,Raw!BE33,Raw!BF33,Raw!BG33)*SUM(Raw!BF33,Raw!AX33,Raw!BB33,Raw!BJ33),SUM(Raw!AV33:BC33,Raw!BH33:BK33)*SUM(Raw!AV33,Raw!AW33,Raw!AY33,Raw!AZ33,Raw!BA33,Raw!BC33,Raw!BD33,Raw!BE33,Raw!BG33,Raw!BH33,Raw!BI33,Raw!BK33))/BZ33^2,"No Contingency Table"), "Not Included")</f>
        <v>Not Included</v>
      </c>
      <c r="CD33" s="11" t="str">
        <f>IF(BX33, IF(COUNTIF(Raw!AV33:BK33, "&gt;=0") = 16,(CB33 - CC33) / (1 - CC33+0.000001),"No Contingency Table"), "Not Included")</f>
        <v>Not Included</v>
      </c>
      <c r="CE33" s="11" t="b">
        <f t="shared" ref="CE33:CG33" si="146">BQ33</f>
        <v>0</v>
      </c>
      <c r="CF33" s="11" t="str">
        <f t="shared" si="146"/>
        <v>Not Included</v>
      </c>
      <c r="CG33" s="11" t="str">
        <f t="shared" si="146"/>
        <v>Not Included</v>
      </c>
      <c r="CH33" s="11" t="str">
        <f>IF(CE33, IF(COUNTIF(Raw!AV33:BK33, "&gt;=0") = 16, IFERROR((CG33*Raw!BA33 - SUM(Raw!BA33, Raw!AZ33, Raw!BB33, Raw!BC33)*SUM(Raw!BA33, Raw!AW33, Raw!BE33, Raw!BI33)) / SQRT((CG33*SUM(Raw!BA33, Raw!AZ33, Raw!BB33, Raw!BC33) - SUM(Raw!BA33, Raw!AZ33, Raw!BB33, Raw!BC33)^2) * (CG33*SUM(Raw!BA33, Raw!AW33, Raw!BE33, Raw!BI33) - SUM(Raw!BA33, Raw!AW33, Raw!BE33, Raw!BI33)^2)), 0), "No Contingency Table"), "Not Included")</f>
        <v>Not Included</v>
      </c>
      <c r="CI33" s="11" t="str">
        <f>IF(CE33, IF(COUNTIF(Raw!AV33:BK33, "&gt;=0") = 16, SUM(Raw!AV33,Raw!AX33,Raw!AY33,Raw!BA33,Raw!BD33,Raw!BF33,Raw!BG33,Raw!BH33,Raw!BJ33,Raw!BK33) / SUM(Raw!AV33:BK33), "No Contingency Table"), "Not Included")</f>
        <v>Not Included</v>
      </c>
      <c r="CJ33" s="61" t="str">
        <f>IF(BX33, IF(COUNTIF(Raw!AV33:BK33, "&gt;=0") = 16,SUM(SUM(Raw!AZ33,Raw!BA33,Raw!BB33,Raw!BC33)*SUM(Raw!BA33,Raw!AW33,Raw!BE33,Raw!BI33),SUM(Raw!AV33:AY33,Raw!BD33:BK33)*SUM(Raw!AV33,Raw!AX33,Raw!AY33,Raw!AZ33,Raw!BB33,Raw!BC33,Raw!BD33,Raw!BF33,Raw!BG33,Raw!BH33,Raw!BJ33,Raw!BK33))/CG33^2,"No Contingency Table"), "Not Included")</f>
        <v>Not Included</v>
      </c>
      <c r="CK33" s="11" t="str">
        <f>IF(BX33, IF(COUNTIF(Raw!AV33:BK33, "&gt;=0") = 16,(CI33 - CJ33) / (1 - CJ33),"No Contingency Table"), "Not Included")</f>
        <v>Not Included</v>
      </c>
      <c r="CL33" s="11" t="str">
        <f>IF(BQ33, IFERROR(Raw!AV33/SUM(Raw!AV33:AY33), 0), "Not Included")</f>
        <v>Not Included</v>
      </c>
      <c r="CM33" s="11" t="str">
        <f>IF(BQ33, IFERROR(Raw!BA33/SUM(Raw!AZ33:BC33), 0), "Not Included")</f>
        <v>Not Included</v>
      </c>
      <c r="CN33" s="11" t="str">
        <f>IF(BQ33, IFERROR(Raw!BF33/SUM(Raw!BD33:BG33), 0), "Not Included")</f>
        <v>Not Included</v>
      </c>
      <c r="CO33" s="11" t="str">
        <f>IF(BQ33, IFERROR(Raw!BK33/SUM(Raw!BH33:BK33), 0), "Not Included")</f>
        <v>Not Included</v>
      </c>
      <c r="CP33" s="11" t="str">
        <f>IF(BQ33, IFERROR(SUM(Raw!AV33,Raw!AX33,Raw!AY33,Raw!BD33,Raw!BF33,Raw!BG33,Raw!BH33,Raw!BJ33,Raw!BK33)/SUM(Raw!AV33,Raw!AW33,Raw!AX33,Raw!AY33,Raw!BD33,Raw!BE33,Raw!BF33,Raw!BG33,Raw!BH33,Raw!BI33,Raw!BJ33,Raw!BK33), 0), "Not Included")</f>
        <v>Not Included</v>
      </c>
      <c r="CQ33" s="11" t="str">
        <f>IF(BQ33, IFERROR(SUM(Raw!AV33:AX33,Raw!AZ33:BB33,Raw!BD33:BF33)/SUM(Raw!AV33:BF33), 0), "Not Included")</f>
        <v>Not Included</v>
      </c>
      <c r="CR33" s="11" t="str">
        <f>IF(BQ33, IFERROR(SUM(Raw!AV33:AY33), 0), "Not Included")</f>
        <v>Not Included</v>
      </c>
      <c r="CS33" s="11" t="str">
        <f>IF(BQ33, IFERROR(SUM(Raw!AZ33:BC33), 0), "Not Included")</f>
        <v>Not Included</v>
      </c>
      <c r="CT33" s="11" t="str">
        <f>IF(BQ33, IFERROR(SUM(Raw!BD33:BG33), 0), "Not Included")</f>
        <v>Not Included</v>
      </c>
      <c r="CU33" s="11" t="str">
        <f>IF(BQ33, IFERROR(SUM(Raw!BH33:BK33), 0), "Not Included")</f>
        <v>Not Included</v>
      </c>
      <c r="CV33" s="11" t="str">
        <f>IF(BQ33, IFERROR(SUM(Raw!AV33,Raw!AW33,Raw!AX33,Raw!AY33,Raw!BD33,Raw!BE33,Raw!BF33,Raw!BG33,Raw!BH33,Raw!BI33,Raw!BJ33,Raw!BK33), 0), "Not Included")</f>
        <v>Not Included</v>
      </c>
      <c r="CW33" s="11" t="str">
        <f>IF(BQ33, IFERROR(SUM(Raw!AV33:BF33), 0), "Not Included")</f>
        <v>Not Included</v>
      </c>
      <c r="CX33" s="11" t="str">
        <f>IF(BQ33, IFERROR((CR33*SUM(Raw!AV33,Raw!AZ33,Raw!BD33,Raw!BH33))/BS33/CR33, 0), "Not Included")</f>
        <v>Not Included</v>
      </c>
      <c r="CY33" s="11" t="str">
        <f>IF(BX33, IFERROR((CS33*SUM(Raw!BA33,Raw!AW33,Raw!BE33,Raw!BI33))/CG33/CS33, 0), "Not Included")</f>
        <v>Not Included</v>
      </c>
      <c r="CZ33" s="11" t="str">
        <f>IF(BX33, IFERROR((CT33*SUM(Raw!BF33,Raw!AX33,Raw!BB33,Raw!BJ33))/BZ33/CT33, 0), "Not Included")</f>
        <v>Not Included</v>
      </c>
      <c r="DA33" s="11" t="str">
        <f>IF(AY33, IFERROR((CU33*SUM(Raw!AY33,Raw!BC33,Raw!BG33,Raw!BK33))/AT33/CU33, 0), "Not Included")</f>
        <v>Not Included</v>
      </c>
      <c r="DB33" s="11" t="str">
        <f>IF(BX33, IFERROR((CV33*SUM(Raw!AV33,Raw!AX33,Raw!AY33,Raw!AZ33,Raw!BB33,Raw!BC33,Raw!BD33,Raw!BF33,Raw!BG33,Raw!BH33,Raw!BJ33,Raw!BK33))/CG33/CV33,0), "Not Included")</f>
        <v>Not Included</v>
      </c>
      <c r="DC33" s="11" t="str">
        <f>IF(AY33, IFERROR((CW33*SUM(Raw!AV33,Raw!AW33,Raw!AX33,Raw!AZ33,Raw!BA33,Raw!BB33,Raw!BD33,Raw!BE33,Raw!BF33,Raw!BH33,Raw!BI33,Raw!BJ33))/AT33/CW33,0), "Not Included")</f>
        <v>Not Included</v>
      </c>
    </row>
    <row r="34" spans="1:107" ht="12.75" customHeight="1">
      <c r="A34" s="11">
        <f>Raw!D34</f>
        <v>23</v>
      </c>
      <c r="B34" s="11" t="str">
        <f>Raw!A34</f>
        <v>Main &amp; Cassidy (1988)</v>
      </c>
      <c r="C34" s="11">
        <f>Raw!G34</f>
        <v>1</v>
      </c>
      <c r="D34" s="11" t="str">
        <f>Raw!E34</f>
        <v>Mother-child</v>
      </c>
      <c r="E34" s="11" t="str">
        <f>CONCATENATE(IF(Raw!I34&lt;='Interval Definitions'!$B$2, 'Interval Definitions'!$A$2, IF(Raw!I34&lt;='Interval Definitions'!$B$3, 'Interval Definitions'!$A$3, IF(Raw!I34&lt;='Interval Definitions'!$B$4, 'Interval Definitions'!$A$4, IF(Raw!I34&lt;='Interval Definitions'!$B$5, 'Interval Definitions'!$A$5, "None")))), " - ", IF(Raw!J34&lt;='Interval Definitions'!$B$2, 'Interval Definitions'!$A$2, IF(Raw!J34&lt;='Interval Definitions'!$B$3, 'Interval Definitions'!$A$3, IF(Raw!J34&lt;='Interval Definitions'!$B$4, 'Interval Definitions'!$A$4, IF(Raw!J34&lt;='Interval Definitions'!$B$5, 'Interval Definitions'!$A$5, "None")))))</f>
        <v>Infancy - Preschool</v>
      </c>
      <c r="F34" s="11" t="b">
        <f>OR(NOT(ISBLANK(Raw!AF34)),NOT(ISBLANK(Raw!AG34)),NOT(ISBLANK(Raw!AH34)),NOT(ISBLANK(Raw!AI34)),COUNTIF(Raw!AA34:AD34, "&gt;=0") = 4)</f>
        <v>1</v>
      </c>
      <c r="G34" s="11" t="str">
        <f>IF(F34, IF(COUNTIF(Raw!AA34:AD34,"&gt;=0") = 4, "Contingency", IF(NOT(ISBLANK(Raw!AF34)), "Paper r", IF(NOT(ISBLANK(Raw!AG34)), "Pinquart", IF(NOT(ISBLANK(Raw!AH34)), "Fraley", "Paper chiSq")))), "Not Included")</f>
        <v>Paper r</v>
      </c>
      <c r="H34" s="15">
        <f>IF(F34,Raw!AE34,"Not Included")</f>
        <v>40</v>
      </c>
      <c r="I34" s="15" t="str">
        <f>IF(COUNTIF(Raw!AA34:AD34,"&gt;=0") = 4, SUM(Raw!AA34:AD34), "No Contingency Table")</f>
        <v>No Contingency Table</v>
      </c>
      <c r="J34" s="15">
        <f t="shared" si="0"/>
        <v>40</v>
      </c>
      <c r="K34" s="38" t="str">
        <f>IF(F34, IF(COUNTIF(Raw!AA34:AD34,"&gt;=0") = 4, IFERROR((I34*Raw!AA34 - SUM(Raw!AA34,Raw!AB34)*SUM(Raw!AA34,Raw!AD34)) / SQRT((I34*SUM(Raw!AA34,Raw!AB34) - SUM(Raw!AA34,Raw!AB34)^2) * (I34*SUM(Raw!AA34,Raw!AD34) - SUM(Raw!AA34,Raw!AD34)^2)), 0), "No Contingency Table"), "Not Included")</f>
        <v>No Contingency Table</v>
      </c>
      <c r="L34" s="41">
        <f>IF(F34,IF(NOT(ISBLANK(Raw!AF34)), Raw!AF34, IF(NOT(ISBLANK(Raw!AG34)), Raw!AG34, IF(NOT(ISBLANK(Raw!AH34)), Raw!AH34, IF(NOT(ISBLANK(Raw!AI34)), SQRT(Raw!AI34/H34)*Raw!AJ34, "Not Reported")))),"Not Included")</f>
        <v>0.76</v>
      </c>
      <c r="M34" s="43">
        <f t="shared" si="1"/>
        <v>0.76</v>
      </c>
      <c r="N34" s="11" t="str">
        <f t="shared" si="2"/>
        <v>NA</v>
      </c>
      <c r="O34" s="48" t="b">
        <f>OR(NOT(ISBLANK(Raw!AK34)), COUNTIF(Raw!AA34:AD34, "&gt;=0") = 4)</f>
        <v>0</v>
      </c>
      <c r="P34" s="24" t="str">
        <f>IF(O34,IF(COUNTIF(Raw!AA34:AD34,"&gt;=0") = 4,"Contingency", "Paper k"), "Not Included")</f>
        <v>Not Included</v>
      </c>
      <c r="Q34" s="48" t="str">
        <f>IF(O34, IF(COUNTIF(Raw!AA34:AD34,"&gt;=0") = 4,SUM(Raw!AA34,Raw!AC34)/H34,"No Contingency Table"), "Not Included")</f>
        <v>Not Included</v>
      </c>
      <c r="R34" s="38" t="str">
        <f>IF(O34, IF(COUNTIF(Raw!AA34:AD34, "&gt;=0") = 4,SUM(SUM(Raw!AA34,Raw!AB34)*SUM(Raw!AA34,Raw!AD34),SUM(Raw!AC34,Raw!AD34)*SUM(Raw!AC34,Raw!AB34))/H34^2,"No Contingency Table"), "Not Included")</f>
        <v>Not Included</v>
      </c>
      <c r="S34" s="38" t="str">
        <f>IF(O34, IF(COUNTIF(Raw!AA34:AD34,"&gt;=0") = 4, IFERROR((Q34 - R34) / (1 - R34), "Could not calculate"), "No Contingency Table"), "Not Included")</f>
        <v>Not Included</v>
      </c>
      <c r="T34" s="52" t="str">
        <f>IF(O34,IF(NOT(ISBLANK(Raw!AK34)), Raw!AK34, "Not Reported"), "Not Included")</f>
        <v>Not Included</v>
      </c>
      <c r="U34" s="11" t="str">
        <f t="shared" si="3"/>
        <v>Not Included</v>
      </c>
      <c r="V34" s="11" t="str">
        <f t="shared" si="4"/>
        <v>Not Included</v>
      </c>
      <c r="W34" s="11" t="b">
        <f>OR(NOT(ISBLANK(Raw!AU34)),COUNTIF(Raw!AL34:AT34,"&gt;=0") = 9)</f>
        <v>0</v>
      </c>
      <c r="X34" s="11" t="str">
        <f>IF(W34, IF(COUNTIF(Raw!AL34:AT34,"&gt;=0") = 9, "Contingency", "Paper k"), "Not Included")</f>
        <v>Not Included</v>
      </c>
      <c r="Y34" s="11" t="str">
        <f>IF(W34,IF(COUNTIF(Raw!AL34:AT34,"&gt;=0") = 9,SUM(Raw!AL34:AT34),"No Contingency Table"),"Not Included")</f>
        <v>Not Included</v>
      </c>
      <c r="Z34" s="11" t="str">
        <f t="shared" si="5"/>
        <v>Not Included</v>
      </c>
      <c r="AA34" s="11" t="str">
        <f>IF(W34,IF(COUNTIF(Raw!AL34:AT34,"&gt;=0") = 9,SUM(Raw!AL34,Raw!AP34,Raw!AT34)/Y34,"No Contingency Table"), "Not Included")</f>
        <v>Not Included</v>
      </c>
      <c r="AB34" s="11" t="str">
        <f>IF(W34,IF(COUNTIF(Raw!AL34:AT34,"&gt;=0") = 9,SUM(SUM(Raw!AL34,Raw!AM34,Raw!AN34)*SUM(Raw!AL34,Raw!AO34,Raw!AR34),SUM(Raw!AO34,Raw!AP34,Raw!AQ34)*SUM(Raw!AM34,Raw!AP34,Raw!AS34),SUM(Raw!AR34,Raw!AS34,Raw!AT34)*SUM(Raw!AN34,Raw!AQ34,Raw!AT34))/Y34^2,"No Contingency Table"), "Not Included")</f>
        <v>Not Included</v>
      </c>
      <c r="AC34" s="11" t="str">
        <f>IF(W34,IF(COUNTIF(Raw!AL34:AT34,"&gt;=0") = 9,(AA34 - AB34) / (1 - AB34),"No Contingency Table"), "Not Included")</f>
        <v>Not Included</v>
      </c>
      <c r="AD34" s="11" t="str">
        <f>IF(W34, IF(NOT(ISBLANK(Raw!AU34)),Raw!AU34,"Not Reported"), "Not Included")</f>
        <v>Not Included</v>
      </c>
      <c r="AE34" s="11" t="str">
        <f t="shared" si="6"/>
        <v>Not Included</v>
      </c>
      <c r="AF34" s="11" t="str">
        <f t="shared" si="7"/>
        <v>Not Included</v>
      </c>
      <c r="AG34" s="11" t="b">
        <f>COUNTIF(Raw!AV34:BK34, "&gt;=0") = 16</f>
        <v>1</v>
      </c>
      <c r="AH34" s="11" t="str">
        <f>IF(AG34, IF(COUNTIF(Raw!AV34:BK34,"&gt;=0") = 16, "Contingency", "Paper k"), "Not Included")</f>
        <v>Contingency</v>
      </c>
      <c r="AI34" s="15">
        <f>IF(AG34,IF(COUNTIF(Raw!AV34:BK34,"&gt;=0") = 16,SUM(Raw!AV34:BK34),"No Contingency Table"),"Not Included")</f>
        <v>32</v>
      </c>
      <c r="AJ34" s="15">
        <f t="shared" si="8"/>
        <v>32</v>
      </c>
      <c r="AK34" s="11">
        <f>IF(AG34,IF(COUNTIF(Raw!AV34:BK34,"&gt;=0") = 16,SUM(Raw!AV34,Raw!BA34,Raw!BF34,Raw!BK34)/AI34,"No Contingency Table"), "Not Included")</f>
        <v>0.84375</v>
      </c>
      <c r="AL34" s="11">
        <f>IF(AG34,IF(COUNTIF(Raw!AV34:BK34,"&gt;=0") = 16,SUM(SUM(Raw!AV34,Raw!AW34,Raw!AX34,Raw!AY34)*SUM(Raw!AV34,Raw!AZ34,Raw!BD34,Raw!BH34),SUM(Raw!AZ34,Raw!BA34,Raw!BB34,Raw!BC34)*SUM(Raw!AW34,Raw!BA34,Raw!BE34,Raw!BI34),SUM(Raw!BD34,Raw!BE34,Raw!BF34,Raw!BG34)*SUM(Raw!AX34,Raw!BB34,Raw!BF34,Raw!BJ34),SUM(Raw!BH34,Raw!BI34,Raw!BJ34,Raw!BK34)*SUM(Raw!AY34,Raw!BC34,Raw!BG34,Raw!BK34))/AI34^2,"No Contingency Table"), "Not Included")</f>
        <v>0.34765625</v>
      </c>
      <c r="AM34" s="11">
        <f>IF(AG34,IF(COUNTIF(Raw!AV34:BK34,"&gt;=0") = 16,(AK34 - AL34) / (1 - AL34),"No Contingency Table"), "Not Included")</f>
        <v>0.76047904191616766</v>
      </c>
      <c r="AN34" s="11" t="str">
        <f>IF(NOT(ISBLANK(Raw!BL34)),Raw!BL34,"Not Reported")</f>
        <v>Not Reported</v>
      </c>
      <c r="AO34" s="11">
        <f t="shared" si="9"/>
        <v>0.76047904191616766</v>
      </c>
      <c r="AP34" s="11" t="str">
        <f t="shared" si="10"/>
        <v>NA</v>
      </c>
      <c r="AQ34" s="11" t="b">
        <f t="shared" ref="AQ34:AR34" si="147">BQ34</f>
        <v>1</v>
      </c>
      <c r="AR34" s="11" t="str">
        <f t="shared" si="147"/>
        <v>Contingency</v>
      </c>
      <c r="AS34" s="15">
        <f t="shared" si="12"/>
        <v>32</v>
      </c>
      <c r="AT34" s="15">
        <f t="shared" si="13"/>
        <v>32</v>
      </c>
      <c r="AU34" s="11">
        <f>IF(AQ34, IF(COUNTIF(Raw!AV34:BK34, "&gt;=0") = 16, IFERROR((AT34*Raw!BK34 - SUM(Raw!BH34, Raw!BI34, Raw!BJ34, Raw!BK34)*SUM(Raw!AY34, Raw!BC34, Raw!BG34, Raw!BK34)) / SQRT((AT34*SUM(Raw!BH34, Raw!BI34, Raw!BJ34, Raw!BK34) - SUM(Raw!BH34, Raw!BI34, Raw!BJ34, Raw!BK34)^2) * (AT34*SUM(Raw!AY34, Raw!BC34, Raw!BG34, Raw!BK34) - SUM(Raw!AY34, Raw!BC34, Raw!BG34, Raw!BK34)^2)), 0), "No Contingency Table"), "Not Included")</f>
        <v>0.73112615501393097</v>
      </c>
      <c r="AV34" s="11" t="str">
        <f>IF(AQ34,IF(NOT(ISBLANK(Raw!BQ34)), Raw!BQ34, IF(NOT(ISBLANK(Raw!BR34)), Raw!BR34, "Not Reported")), "Not Included")</f>
        <v>Not Reported</v>
      </c>
      <c r="AW34" s="57">
        <f t="shared" si="14"/>
        <v>0.73112615501393097</v>
      </c>
      <c r="AX34" s="11" t="str">
        <f t="shared" si="15"/>
        <v>NA</v>
      </c>
      <c r="AY34" s="11" t="b">
        <f t="shared" ref="AY34:AZ34" si="148">AQ34</f>
        <v>1</v>
      </c>
      <c r="AZ34" s="11" t="str">
        <f t="shared" si="148"/>
        <v>Contingency</v>
      </c>
      <c r="BA34" s="11">
        <f>IF(AY34, IF(COUNTIF(Raw!AV34:BK34, "&gt;=0") = 16, SUM(Raw!AV34,Raw!AW34,Raw!AX34,Raw!AZ34,Raw!BA34,Raw!BB34,Raw!BD34,Raw!BE34,Raw!BF34,Raw!BK34)/SUM(Raw!AV34:BK34), "No Contingency Table"), "Not Included")</f>
        <v>0.875</v>
      </c>
      <c r="BB34" s="11">
        <f>IF(AY34, IF(COUNTIF(Raw!AV34:BK34, "&gt;=0") = 16,SUM(SUM(Raw!BH34,Raw!BI34,Raw!BJ34,Raw!BK34)*SUM(Raw!AY34,Raw!BC34,Raw!BG34,Raw!BK34),SUM(Raw!AV34:BG34)*SUM(Raw!AV34,Raw!AW34,Raw!AX34,Raw!AZ34,Raw!BA34,Raw!BB34,Raw!BD34,Raw!BE34,Raw!BF34,Raw!BH34,Raw!BI34,Raw!BJ34))/AT34^2,"No Contingency Table"), "Not Included")</f>
        <v>0.546875</v>
      </c>
      <c r="BC34" s="11">
        <f>IF(AY34, IF(COUNTIF(Raw!AV34:BK34, "&gt;=0") = 16,(BA34-BB34) / (1 - BB34),"No Contingency Table"), "Not Included")</f>
        <v>0.72413793103448276</v>
      </c>
      <c r="BD34" s="11" t="str">
        <f>IF(AY34,IF(NOT(ISBLANK(Raw!BT55)),Raw!BT55,"Not Reported"),"Not Included")</f>
        <v>Not Reported</v>
      </c>
      <c r="BE34" s="11">
        <f t="shared" si="17"/>
        <v>0.72413793103448276</v>
      </c>
      <c r="BF34" s="11" t="str">
        <f t="shared" si="18"/>
        <v>NA</v>
      </c>
      <c r="BG34" s="11">
        <f>Raw!K34</f>
        <v>1988</v>
      </c>
      <c r="BH34" s="11" t="str">
        <f>IF(Raw!L34 = "USA","USA","Non-USA")</f>
        <v>USA</v>
      </c>
      <c r="BI34" s="11" t="str">
        <f>Raw!M34</f>
        <v>Ainsworth/Main-Cassidy</v>
      </c>
      <c r="BJ34" s="11">
        <f>Raw!N34</f>
        <v>1</v>
      </c>
      <c r="BK34" s="11">
        <f>Raw!P34</f>
        <v>0</v>
      </c>
      <c r="BL34" s="11">
        <f>Raw!Q34</f>
        <v>0</v>
      </c>
      <c r="BM34" s="11">
        <f>Raw!T34</f>
        <v>1</v>
      </c>
      <c r="BN34" s="11">
        <f>IFERROR(IF(AND(ISBLANK(Raw!U34), ISBLANK(Raw!V34), ISBLANK(Raw!W34), ISBLANK(Raw!X34)), "NA", IF(OR(NOT(ISBLANK(Raw!U34)), NOT(ISBLANK(Raw!W34))), AVERAGE(Raw!U34,Raw!W34), AVERAGE(Raw!V34,Raw!X34) + IF(Raw!Y34 = "2-way", R34, IF(Raw!Y34 = "3-way", AB34, IF(Raw!Y34 = "4-way", AL34, "NA")))*(1 - AVERAGE(Raw!V34,Raw!X34)))), "NA")</f>
        <v>0.83</v>
      </c>
      <c r="BO34" s="11">
        <f>Raw!O34</f>
        <v>1</v>
      </c>
      <c r="BP34" s="11" t="str">
        <f>Raw!F34</f>
        <v>Female</v>
      </c>
      <c r="BQ34" s="11" t="b">
        <f>COUNTIF(Raw!AV34:BK34, "&gt;=0") = 16</f>
        <v>1</v>
      </c>
      <c r="BR34" s="11" t="str">
        <f t="shared" si="19"/>
        <v>Contingency</v>
      </c>
      <c r="BS34" s="15">
        <f t="shared" si="20"/>
        <v>32</v>
      </c>
      <c r="BT34" s="11">
        <f>IF(BQ34, IF(COUNTIF(Raw!AV34:BK34, "&gt;=0") = 16, IFERROR((BS34*Raw!AV34 - SUM(Raw!AV34, Raw!AW34, Raw!AX34, Raw!AY34)*SUM(Raw!AV34, Raw!AZ34, Raw!BD34, Raw!BH34)) / SQRT((BS34*SUM(Raw!AV34, Raw!AW34, Raw!AX34, Raw!AY34) - SUM(Raw!AV34, Raw!AW34, Raw!AX34, Raw!AY34)^2) * (BS34*SUM(Raw!AV34, Raw!AZ34, Raw!BD34, Raw!BH34) - SUM(Raw!AV34, Raw!AZ34, Raw!BD34, Raw!BH34)^2)), 0), "No Contingency Table"), "Not Included")</f>
        <v>0.74194082680237416</v>
      </c>
      <c r="BU34" s="11">
        <f>IF(BQ34, IF(COUNTIF(Raw!AV34:BK34, "&gt;=0") = 16, SUM(Raw!BK34,Raw!BJ34,Raw!BI34,Raw!BG34,Raw!BF34,Raw!BE34,Raw!BC34,Raw!BB34,Raw!BA34,Raw!AV34)/SUM(Raw!AV34:BK34), "No Contingency Table"), "Not Included")</f>
        <v>0.90625</v>
      </c>
      <c r="BV34" s="11">
        <f>IF(BQ34, IF(COUNTIF(Raw!AV34:BK34, "&gt;=0") = 16,SUM(SUM(Raw!AV34,Raw!AW34,Raw!AX34,Raw!AY34)*SUM(Raw!AV34,Raw!AZ34,Raw!BD34,Raw!BH34),SUM(Raw!AZ34:BK34)*SUM(Raw!AW34,Raw!AX34,Raw!AY34,Raw!BA34,Raw!BB34,Raw!BC34,Raw!BE34,Raw!BF34,Raw!BG34,Raw!BI34,Raw!BJ34,Raw!BK34))/BS34^2,"No Contingency Table"), "Not Included")</f>
        <v>0.640625</v>
      </c>
      <c r="BW34" s="11">
        <f>IF(BQ34, IF(COUNTIF(Raw!AV34:BK34, "&gt;=0") = 16,(BU34-BV34) / (1 - BV34),"No Contingency Table"), "Not Included")</f>
        <v>0.73913043478260865</v>
      </c>
      <c r="BX34" s="11" t="b">
        <f t="shared" ref="BX34:BZ34" si="149">BQ34</f>
        <v>1</v>
      </c>
      <c r="BY34" s="11" t="str">
        <f t="shared" si="149"/>
        <v>Contingency</v>
      </c>
      <c r="BZ34" s="15">
        <f t="shared" si="149"/>
        <v>32</v>
      </c>
      <c r="CA34" s="11">
        <f>IF(BX34, IF(COUNTIF(Raw!AV34:BK34, "&gt;=0") = 16, IFERROR((BZ34*Raw!BF34 - SUM(Raw!BD34, Raw!BE34, Raw!BF34, Raw!BG34)*SUM(Raw!BF34, Raw!AX34, Raw!BB34, Raw!BJ34)) / SQRT((BZ34*SUM(Raw!BD34, Raw!BE34, Raw!BF34, Raw!BG34) - SUM(Raw!BD34, Raw!BE34, Raw!BF34, Raw!BG34)^2) * (BZ34*SUM(Raw!BF34, Raw!AX34, Raw!BB34, Raw!BJ34) - SUM(Raw!BF34, Raw!AX34, Raw!BB34, Raw!BJ34)^2)), 0), "No Contingency Table"), "Not Included")</f>
        <v>0</v>
      </c>
      <c r="CB34" s="11">
        <f>IF(BX34, IF(COUNTIF(Raw!AV34:BK34, "&gt;=0") = 16, SUM(Raw!AV34,Raw!AW34,Raw!AY34,Raw!AZ34,Raw!BA34,Raw!BC34,Raw!BF34,Raw!BH34,Raw!BI34,Raw!BK34) / SUM(Raw!AV34:BK34), "No Contingency Table"), "Not Included")</f>
        <v>1</v>
      </c>
      <c r="CC34" s="11">
        <f>IF(BX34, IF(COUNTIF(Raw!AV34:BK34, "&gt;=0") = 16,SUM(SUM(Raw!BD34,Raw!BE34,Raw!BF34,Raw!BG34)*SUM(Raw!BF34,Raw!AX34,Raw!BB34,Raw!BJ34),SUM(Raw!AV34:BC34,Raw!BH34:BK34)*SUM(Raw!AV34,Raw!AW34,Raw!AY34,Raw!AZ34,Raw!BA34,Raw!BC34,Raw!BD34,Raw!BE34,Raw!BG34,Raw!BH34,Raw!BI34,Raw!BK34))/BZ34^2,"No Contingency Table"), "Not Included")</f>
        <v>1</v>
      </c>
      <c r="CD34" s="11">
        <f>IF(BX34, IF(COUNTIF(Raw!AV34:BK34, "&gt;=0") = 16,(CB34 - CC34) / (1 - CC34+0.000001),"No Contingency Table"), "Not Included")</f>
        <v>0</v>
      </c>
      <c r="CE34" s="11" t="b">
        <f t="shared" ref="CE34:CG34" si="150">BQ34</f>
        <v>1</v>
      </c>
      <c r="CF34" s="11" t="str">
        <f t="shared" si="150"/>
        <v>Contingency</v>
      </c>
      <c r="CG34" s="15">
        <f t="shared" si="150"/>
        <v>32</v>
      </c>
      <c r="CH34" s="11">
        <f>IF(CE34, IF(COUNTIF(Raw!AV34:BK34, "&gt;=0") = 16, IFERROR((CG34*Raw!BA34 - SUM(Raw!BA34, Raw!AZ34, Raw!BB34, Raw!BC34)*SUM(Raw!BA34, Raw!AW34, Raw!BE34, Raw!BI34)) / SQRT((CG34*SUM(Raw!BA34, Raw!AZ34, Raw!BB34, Raw!BC34) - SUM(Raw!BA34, Raw!AZ34, Raw!BB34, Raw!BC34)^2) * (CG34*SUM(Raw!BA34, Raw!AW34, Raw!BE34, Raw!BI34) - SUM(Raw!BA34, Raw!AW34, Raw!BE34, Raw!BI34)^2)), 0), "No Contingency Table"), "Not Included")</f>
        <v>0.82462112512353214</v>
      </c>
      <c r="CI34" s="11">
        <f>IF(CE34, IF(COUNTIF(Raw!AV34:BK34, "&gt;=0") = 16, SUM(Raw!AV34,Raw!AX34,Raw!AY34,Raw!BA34,Raw!BD34,Raw!BF34,Raw!BG34,Raw!BH34,Raw!BJ34,Raw!BK34) / SUM(Raw!AV34:BK34), "No Contingency Table"), "Not Included")</f>
        <v>0.90625</v>
      </c>
      <c r="CJ34" s="61">
        <f>IF(BX34, IF(COUNTIF(Raw!AV34:BK34, "&gt;=0") = 16,SUM(SUM(Raw!AZ34,Raw!BA34,Raw!BB34,Raw!BC34)*SUM(Raw!BA34,Raw!AW34,Raw!BE34,Raw!BI34),SUM(Raw!AV34:AY34,Raw!BD34:BK34)*SUM(Raw!AV34,Raw!AX34,Raw!AY34,Raw!AZ34,Raw!BB34,Raw!BC34,Raw!BD34,Raw!BF34,Raw!BG34,Raw!BH34,Raw!BJ34,Raw!BK34))/CG34^2,"No Contingency Table"), "Not Included")</f>
        <v>0.5078125</v>
      </c>
      <c r="CK34" s="11">
        <f>IF(BX34, IF(COUNTIF(Raw!AV34:BK34, "&gt;=0") = 16,(CI34 - CJ34) / (1 - CJ34),"No Contingency Table"), "Not Included")</f>
        <v>0.80952380952380953</v>
      </c>
      <c r="CL34" s="11">
        <f>IF(BQ34, IFERROR(Raw!AV34/SUM(Raw!AV34:AY34), 0), "Not Included")</f>
        <v>0.75</v>
      </c>
      <c r="CM34" s="11">
        <f>IF(BQ34, IFERROR(Raw!BA34/SUM(Raw!AZ34:BC34), 0), "Not Included")</f>
        <v>1</v>
      </c>
      <c r="CN34" s="11">
        <f>IF(BQ34, IFERROR(Raw!BF34/SUM(Raw!BD34:BG34), 0), "Not Included")</f>
        <v>0</v>
      </c>
      <c r="CO34" s="11">
        <f>IF(BQ34, IFERROR(Raw!BK34/SUM(Raw!BH34:BK34), 0), "Not Included")</f>
        <v>0.75</v>
      </c>
      <c r="CP34" s="11">
        <f>IF(BQ34, IFERROR(SUM(Raw!AV34,Raw!AX34,Raw!AY34,Raw!BD34,Raw!BF34,Raw!BG34,Raw!BH34,Raw!BJ34,Raw!BK34)/SUM(Raw!AV34,Raw!AW34,Raw!AX34,Raw!AY34,Raw!BD34,Raw!BE34,Raw!BF34,Raw!BG34,Raw!BH34,Raw!BI34,Raw!BJ34,Raw!BK34), 0), "Not Included")</f>
        <v>0.85</v>
      </c>
      <c r="CQ34" s="11">
        <f>IF(BQ34, IFERROR(SUM(Raw!AV34:AX34,Raw!AZ34:BB34,Raw!BD34:BF34)/SUM(Raw!AV34:BF34), 0), "Not Included")</f>
        <v>0.95</v>
      </c>
      <c r="CR34" s="11">
        <f>IF(BQ34, IFERROR(SUM(Raw!AV34:AY34), 0), "Not Included")</f>
        <v>8</v>
      </c>
      <c r="CS34" s="11">
        <f>IF(BQ34, IFERROR(SUM(Raw!AZ34:BC34), 0), "Not Included")</f>
        <v>12</v>
      </c>
      <c r="CT34" s="11">
        <f>IF(BQ34, IFERROR(SUM(Raw!BD34:BG34), 0), "Not Included")</f>
        <v>0</v>
      </c>
      <c r="CU34" s="11">
        <f>IF(BQ34, IFERROR(SUM(Raw!BH34:BK34), 0), "Not Included")</f>
        <v>12</v>
      </c>
      <c r="CV34" s="11">
        <f>IF(BQ34, IFERROR(SUM(Raw!AV34,Raw!AW34,Raw!AX34,Raw!AY34,Raw!BD34,Raw!BE34,Raw!BF34,Raw!BG34,Raw!BH34,Raw!BI34,Raw!BJ34,Raw!BK34), 0), "Not Included")</f>
        <v>20</v>
      </c>
      <c r="CW34" s="11">
        <f>IF(BQ34, IFERROR(SUM(Raw!AV34:BF34), 0), "Not Included")</f>
        <v>20</v>
      </c>
      <c r="CX34" s="11">
        <f>IF(BQ34, IFERROR((CR34*SUM(Raw!AV34,Raw!AZ34,Raw!BD34,Raw!BH34))/BS34/CR34, 0), "Not Included")</f>
        <v>0.21875</v>
      </c>
      <c r="CY34" s="11">
        <f>IF(BX34, IFERROR((CS34*SUM(Raw!BA34,Raw!AW34,Raw!BE34,Raw!BI34))/CG34/CS34, 0), "Not Included")</f>
        <v>0.46875</v>
      </c>
      <c r="CZ34" s="11">
        <f>IF(BX34, IFERROR((CT34*SUM(Raw!BF34,Raw!AX34,Raw!BB34,Raw!BJ34))/BZ34/CT34, 0), "Not Included")</f>
        <v>0</v>
      </c>
      <c r="DA34" s="11">
        <f>IF(AY34, IFERROR((CU34*SUM(Raw!AY34,Raw!BC34,Raw!BG34,Raw!BK34))/AT34/CU34, 0), "Not Included")</f>
        <v>0.3125</v>
      </c>
      <c r="DB34" s="11">
        <f>IF(BX34, IFERROR((CV34*SUM(Raw!AV34,Raw!AX34,Raw!AY34,Raw!AZ34,Raw!BB34,Raw!BC34,Raw!BD34,Raw!BF34,Raw!BG34,Raw!BH34,Raw!BJ34,Raw!BK34))/CG34/CV34,0), "Not Included")</f>
        <v>0.53125</v>
      </c>
      <c r="DC34" s="11">
        <f>IF(AY34, IFERROR((CW34*SUM(Raw!AV34,Raw!AW34,Raw!AX34,Raw!AZ34,Raw!BA34,Raw!BB34,Raw!BD34,Raw!BE34,Raw!BF34,Raw!BH34,Raw!BI34,Raw!BJ34))/AT34/CW34,0), "Not Included")</f>
        <v>0.6875</v>
      </c>
    </row>
    <row r="35" spans="1:107" ht="12.75" customHeight="1">
      <c r="A35" s="11">
        <f>Raw!D35</f>
        <v>23</v>
      </c>
      <c r="B35" s="11" t="str">
        <f>Raw!A35</f>
        <v>Main &amp; Cassidy (1988)</v>
      </c>
      <c r="C35" s="11">
        <f>Raw!G35</f>
        <v>2</v>
      </c>
      <c r="D35" s="11" t="str">
        <f>Raw!E35</f>
        <v>Father-child</v>
      </c>
      <c r="E35" s="11" t="str">
        <f>CONCATENATE(IF(Raw!I35&lt;='Interval Definitions'!$B$2, 'Interval Definitions'!$A$2, IF(Raw!I35&lt;='Interval Definitions'!$B$3, 'Interval Definitions'!$A$3, IF(Raw!I35&lt;='Interval Definitions'!$B$4, 'Interval Definitions'!$A$4, IF(Raw!I35&lt;='Interval Definitions'!$B$5, 'Interval Definitions'!$A$5, "None")))), " - ", IF(Raw!J35&lt;='Interval Definitions'!$B$2, 'Interval Definitions'!$A$2, IF(Raw!J35&lt;='Interval Definitions'!$B$3, 'Interval Definitions'!$A$3, IF(Raw!J35&lt;='Interval Definitions'!$B$4, 'Interval Definitions'!$A$4, IF(Raw!J35&lt;='Interval Definitions'!$B$5, 'Interval Definitions'!$A$5, "None")))))</f>
        <v>Infancy - Preschool</v>
      </c>
      <c r="F35" s="11" t="b">
        <f>OR(NOT(ISBLANK(Raw!AF35)),NOT(ISBLANK(Raw!AG35)),NOT(ISBLANK(Raw!AH35)),NOT(ISBLANK(Raw!AI35)),COUNTIF(Raw!AA35:AD35, "&gt;=0") = 4)</f>
        <v>1</v>
      </c>
      <c r="G35" s="11" t="str">
        <f>IF(F35, IF(COUNTIF(Raw!AA35:AD35,"&gt;=0") = 4, "Contingency", IF(NOT(ISBLANK(Raw!AF35)), "Paper r", IF(NOT(ISBLANK(Raw!AG35)), "Pinquart", IF(NOT(ISBLANK(Raw!AH35)), "Fraley", "Paper chiSq")))), "Not Included")</f>
        <v>Paper r</v>
      </c>
      <c r="H35" s="15">
        <f>IF(F35,Raw!AE35,"Not Included")</f>
        <v>40</v>
      </c>
      <c r="I35" s="15" t="str">
        <f>IF(COUNTIF(Raw!AA35:AD35,"&gt;=0") = 4, SUM(Raw!AA35:AD35), "No Contingency Table")</f>
        <v>No Contingency Table</v>
      </c>
      <c r="J35" s="15">
        <f t="shared" si="0"/>
        <v>40</v>
      </c>
      <c r="K35" s="38" t="str">
        <f>IF(F35, IF(COUNTIF(Raw!AA35:AD35,"&gt;=0") = 4, IFERROR((I35*Raw!AA35 - SUM(Raw!AA35,Raw!AB35)*SUM(Raw!AA35,Raw!AD35)) / SQRT((I35*SUM(Raw!AA35,Raw!AB35) - SUM(Raw!AA35,Raw!AB35)^2) * (I35*SUM(Raw!AA35,Raw!AD35) - SUM(Raw!AA35,Raw!AD35)^2)), 0), "No Contingency Table"), "Not Included")</f>
        <v>No Contingency Table</v>
      </c>
      <c r="L35" s="41">
        <f>IF(F35,IF(NOT(ISBLANK(Raw!AF35)), Raw!AF35, IF(NOT(ISBLANK(Raw!AG35)), Raw!AG35, IF(NOT(ISBLANK(Raw!AH35)), Raw!AH35, IF(NOT(ISBLANK(Raw!AI35)), SQRT(Raw!AI35/H35)*Raw!AJ35, "Not Reported")))),"Not Included")</f>
        <v>0.3</v>
      </c>
      <c r="M35" s="43">
        <f t="shared" si="1"/>
        <v>0.3</v>
      </c>
      <c r="N35" s="11" t="str">
        <f t="shared" si="2"/>
        <v>NA</v>
      </c>
      <c r="O35" s="48" t="b">
        <f>OR(NOT(ISBLANK(Raw!AK35)), COUNTIF(Raw!AA35:AD35, "&gt;=0") = 4)</f>
        <v>0</v>
      </c>
      <c r="P35" s="24" t="str">
        <f>IF(O35,IF(COUNTIF(Raw!AA35:AD35,"&gt;=0") = 4,"Contingency", "Paper k"), "Not Included")</f>
        <v>Not Included</v>
      </c>
      <c r="Q35" s="48" t="str">
        <f>IF(O35, IF(COUNTIF(Raw!AA35:AD35,"&gt;=0") = 4,SUM(Raw!AA35,Raw!AC35)/H35,"No Contingency Table"), "Not Included")</f>
        <v>Not Included</v>
      </c>
      <c r="R35" s="38" t="str">
        <f>IF(O35, IF(COUNTIF(Raw!AA35:AD35, "&gt;=0") = 4,SUM(SUM(Raw!AA35,Raw!AB35)*SUM(Raw!AA35,Raw!AD35),SUM(Raw!AC35,Raw!AD35)*SUM(Raw!AC35,Raw!AB35))/H35^2,"No Contingency Table"), "Not Included")</f>
        <v>Not Included</v>
      </c>
      <c r="S35" s="38" t="str">
        <f>IF(O35, IF(COUNTIF(Raw!AA35:AD35,"&gt;=0") = 4, IFERROR((Q35 - R35) / (1 - R35), "Could not calculate"), "No Contingency Table"), "Not Included")</f>
        <v>Not Included</v>
      </c>
      <c r="T35" s="52" t="str">
        <f>IF(O35,IF(NOT(ISBLANK(Raw!AK35)), Raw!AK35, "Not Reported"), "Not Included")</f>
        <v>Not Included</v>
      </c>
      <c r="U35" s="11" t="str">
        <f t="shared" si="3"/>
        <v>Not Included</v>
      </c>
      <c r="V35" s="11" t="str">
        <f t="shared" si="4"/>
        <v>Not Included</v>
      </c>
      <c r="W35" s="11" t="b">
        <f>OR(NOT(ISBLANK(Raw!AU35)),COUNTIF(Raw!AL35:AT35,"&gt;=0") = 9)</f>
        <v>0</v>
      </c>
      <c r="X35" s="11" t="str">
        <f>IF(W35, IF(COUNTIF(Raw!AL35:AT35,"&gt;=0") = 9, "Contingency", "Paper k"), "Not Included")</f>
        <v>Not Included</v>
      </c>
      <c r="Y35" s="11" t="str">
        <f>IF(W35,IF(COUNTIF(Raw!AL35:AT35,"&gt;=0") = 9,SUM(Raw!AL35:AT35),"No Contingency Table"),"Not Included")</f>
        <v>Not Included</v>
      </c>
      <c r="Z35" s="11" t="str">
        <f t="shared" si="5"/>
        <v>Not Included</v>
      </c>
      <c r="AA35" s="11" t="str">
        <f>IF(W35,IF(COUNTIF(Raw!AL35:AT35,"&gt;=0") = 9,SUM(Raw!AL35,Raw!AP35,Raw!AT35)/Y35,"No Contingency Table"), "Not Included")</f>
        <v>Not Included</v>
      </c>
      <c r="AB35" s="11" t="str">
        <f>IF(W35,IF(COUNTIF(Raw!AL35:AT35,"&gt;=0") = 9,SUM(SUM(Raw!AL35,Raw!AM35,Raw!AN35)*SUM(Raw!AL35,Raw!AO35,Raw!AR35),SUM(Raw!AO35,Raw!AP35,Raw!AQ35)*SUM(Raw!AM35,Raw!AP35,Raw!AS35),SUM(Raw!AR35,Raw!AS35,Raw!AT35)*SUM(Raw!AN35,Raw!AQ35,Raw!AT35))/Y35^2,"No Contingency Table"), "Not Included")</f>
        <v>Not Included</v>
      </c>
      <c r="AC35" s="11" t="str">
        <f>IF(W35,IF(COUNTIF(Raw!AL35:AT35,"&gt;=0") = 9,(AA35 - AB35) / (1 - AB35),"No Contingency Table"), "Not Included")</f>
        <v>Not Included</v>
      </c>
      <c r="AD35" s="11" t="str">
        <f>IF(W35, IF(NOT(ISBLANK(Raw!AU35)),Raw!AU35,"Not Reported"), "Not Included")</f>
        <v>Not Included</v>
      </c>
      <c r="AE35" s="11" t="str">
        <f t="shared" si="6"/>
        <v>Not Included</v>
      </c>
      <c r="AF35" s="11" t="str">
        <f t="shared" si="7"/>
        <v>Not Included</v>
      </c>
      <c r="AG35" s="11" t="b">
        <f>COUNTIF(Raw!AV35:BK35, "&gt;=0") = 16</f>
        <v>1</v>
      </c>
      <c r="AH35" s="11" t="str">
        <f>IF(AG35, IF(COUNTIF(Raw!AV35:BK35,"&gt;=0") = 16, "Contingency", "Paper k"), "Not Included")</f>
        <v>Contingency</v>
      </c>
      <c r="AI35" s="15">
        <f>IF(AG35,IF(COUNTIF(Raw!AV35:BK35,"&gt;=0") = 16,SUM(Raw!AV35:BK35),"No Contingency Table"),"Not Included")</f>
        <v>33</v>
      </c>
      <c r="AJ35" s="15">
        <f t="shared" si="8"/>
        <v>33</v>
      </c>
      <c r="AK35" s="11">
        <f>IF(AG35,IF(COUNTIF(Raw!AV35:BK35,"&gt;=0") = 16,SUM(Raw!AV35,Raw!BA35,Raw!BF35,Raw!BK35)/AI35,"No Contingency Table"), "Not Included")</f>
        <v>0.60606060606060608</v>
      </c>
      <c r="AL35" s="11">
        <f>IF(AG35,IF(COUNTIF(Raw!AV35:BK35,"&gt;=0") = 16,SUM(SUM(Raw!AV35,Raw!AW35,Raw!AX35,Raw!AY35)*SUM(Raw!AV35,Raw!AZ35,Raw!BD35,Raw!BH35),SUM(Raw!AZ35,Raw!BA35,Raw!BB35,Raw!BC35)*SUM(Raw!AW35,Raw!BA35,Raw!BE35,Raw!BI35),SUM(Raw!BD35,Raw!BE35,Raw!BF35,Raw!BG35)*SUM(Raw!AX35,Raw!BB35,Raw!BF35,Raw!BJ35),SUM(Raw!BH35,Raw!BI35,Raw!BJ35,Raw!BK35)*SUM(Raw!AY35,Raw!BC35,Raw!BG35,Raw!BK35))/AI35^2,"No Contingency Table"), "Not Included")</f>
        <v>0.45546372819100089</v>
      </c>
      <c r="AM35" s="11">
        <f>IF(AG35,IF(COUNTIF(Raw!AV35:BK35,"&gt;=0") = 16,(AK35 - AL35) / (1 - AL35),"No Contingency Table"), "Not Included")</f>
        <v>0.27655986509274882</v>
      </c>
      <c r="AN35" s="11" t="str">
        <f>IF(NOT(ISBLANK(Raw!BL35)),Raw!BL35,"Not Reported")</f>
        <v>Not Reported</v>
      </c>
      <c r="AO35" s="11">
        <f t="shared" si="9"/>
        <v>0.27655986509274882</v>
      </c>
      <c r="AP35" s="11" t="str">
        <f t="shared" si="10"/>
        <v>NA</v>
      </c>
      <c r="AQ35" s="11" t="b">
        <f t="shared" ref="AQ35:AR35" si="151">BQ35</f>
        <v>1</v>
      </c>
      <c r="AR35" s="11" t="str">
        <f t="shared" si="151"/>
        <v>Contingency</v>
      </c>
      <c r="AS35" s="15">
        <f t="shared" si="12"/>
        <v>33</v>
      </c>
      <c r="AT35" s="15">
        <f t="shared" si="13"/>
        <v>33</v>
      </c>
      <c r="AU35" s="11">
        <f>IF(AQ35, IF(COUNTIF(Raw!AV35:BK35, "&gt;=0") = 16, IFERROR((AT35*Raw!BK35 - SUM(Raw!BH35, Raw!BI35, Raw!BJ35, Raw!BK35)*SUM(Raw!AY35, Raw!BC35, Raw!BG35, Raw!BK35)) / SQRT((AT35*SUM(Raw!BH35, Raw!BI35, Raw!BJ35, Raw!BK35) - SUM(Raw!BH35, Raw!BI35, Raw!BJ35, Raw!BK35)^2) * (AT35*SUM(Raw!AY35, Raw!BC35, Raw!BG35, Raw!BK35) - SUM(Raw!AY35, Raw!BC35, Raw!BG35, Raw!BK35)^2)), 0), "No Contingency Table"), "Not Included")</f>
        <v>0.24686980467612782</v>
      </c>
      <c r="AV35" s="11" t="str">
        <f>IF(AQ35,IF(NOT(ISBLANK(Raw!BQ35)), Raw!BQ35, IF(NOT(ISBLANK(Raw!BR35)), Raw!BR35, "Not Reported")), "Not Included")</f>
        <v>Not Reported</v>
      </c>
      <c r="AW35" s="57">
        <f t="shared" si="14"/>
        <v>0.24686980467612782</v>
      </c>
      <c r="AX35" s="11" t="str">
        <f t="shared" si="15"/>
        <v>NA</v>
      </c>
      <c r="AY35" s="11" t="b">
        <f t="shared" ref="AY35:AZ35" si="152">AQ35</f>
        <v>1</v>
      </c>
      <c r="AZ35" s="11" t="str">
        <f t="shared" si="152"/>
        <v>Contingency</v>
      </c>
      <c r="BA35" s="11">
        <f>IF(AY35, IF(COUNTIF(Raw!AV35:BK35, "&gt;=0") = 16, SUM(Raw!AV35,Raw!AW35,Raw!AX35,Raw!AZ35,Raw!BA35,Raw!BB35,Raw!BD35,Raw!BE35,Raw!BF35,Raw!BK35)/SUM(Raw!AV35:BK35), "No Contingency Table"), "Not Included")</f>
        <v>0.84848484848484851</v>
      </c>
      <c r="BB35" s="11">
        <f>IF(AY35, IF(COUNTIF(Raw!AV35:BK35, "&gt;=0") = 16,SUM(SUM(Raw!BH35,Raw!BI35,Raw!BJ35,Raw!BK35)*SUM(Raw!AY35,Raw!BC35,Raw!BG35,Raw!BK35),SUM(Raw!AV35:BG35)*SUM(Raw!AV35,Raw!AW35,Raw!AX35,Raw!AZ35,Raw!BA35,Raw!BB35,Raw!BD35,Raw!BE35,Raw!BF35,Raw!BH35,Raw!BI35,Raw!BJ35))/AT35^2,"No Contingency Table"), "Not Included")</f>
        <v>0.80624426078971534</v>
      </c>
      <c r="BC35" s="11">
        <f>IF(AY35, IF(COUNTIF(Raw!AV35:BK35, "&gt;=0") = 16,(BA35-BB35) / (1 - BB35),"No Contingency Table"), "Not Included")</f>
        <v>0.2180094786729859</v>
      </c>
      <c r="BD35" s="11" t="str">
        <f>IF(AY35,IF(NOT(ISBLANK(Raw!BT56)),Raw!BT56,"Not Reported"),"Not Included")</f>
        <v>Not Reported</v>
      </c>
      <c r="BE35" s="11">
        <f t="shared" si="17"/>
        <v>0.2180094786729859</v>
      </c>
      <c r="BF35" s="11" t="str">
        <f t="shared" si="18"/>
        <v>NA</v>
      </c>
      <c r="BG35" s="11">
        <f>Raw!K35</f>
        <v>1988</v>
      </c>
      <c r="BH35" s="11" t="str">
        <f>IF(Raw!L35 = "USA","USA","Non-USA")</f>
        <v>USA</v>
      </c>
      <c r="BI35" s="11" t="str">
        <f>Raw!M35</f>
        <v>Ainsworth/Main-Cassidy</v>
      </c>
      <c r="BJ35" s="11">
        <f>Raw!N35</f>
        <v>1</v>
      </c>
      <c r="BK35" s="11">
        <f>Raw!P35</f>
        <v>0</v>
      </c>
      <c r="BL35" s="11">
        <f>Raw!Q35</f>
        <v>0</v>
      </c>
      <c r="BM35" s="11">
        <f>Raw!T35</f>
        <v>1</v>
      </c>
      <c r="BN35" s="11">
        <f>IFERROR(IF(AND(ISBLANK(Raw!U35), ISBLANK(Raw!V35), ISBLANK(Raw!W35), ISBLANK(Raw!X35)), "NA", IF(OR(NOT(ISBLANK(Raw!U35)), NOT(ISBLANK(Raw!W35))), AVERAGE(Raw!U35,Raw!W35), AVERAGE(Raw!V35,Raw!X35) + IF(Raw!Y35 = "2-way", R35, IF(Raw!Y35 = "3-way", AB35, IF(Raw!Y35 = "4-way", AL35, "NA")))*(1 - AVERAGE(Raw!V35,Raw!X35)))), "NA")</f>
        <v>0.77</v>
      </c>
      <c r="BO35" s="11">
        <f>Raw!O35</f>
        <v>1</v>
      </c>
      <c r="BP35" s="11" t="str">
        <f>Raw!F35</f>
        <v>Male</v>
      </c>
      <c r="BQ35" s="11" t="b">
        <f>COUNTIF(Raw!AV35:BK35, "&gt;=0") = 16</f>
        <v>1</v>
      </c>
      <c r="BR35" s="11" t="str">
        <f t="shared" si="19"/>
        <v>Contingency</v>
      </c>
      <c r="BS35" s="15">
        <f t="shared" si="20"/>
        <v>33</v>
      </c>
      <c r="BT35" s="11">
        <f>IF(BQ35, IF(COUNTIF(Raw!AV35:BK35, "&gt;=0") = 16, IFERROR((BS35*Raw!AV35 - SUM(Raw!AV35, Raw!AW35, Raw!AX35, Raw!AY35)*SUM(Raw!AV35, Raw!AZ35, Raw!BD35, Raw!BH35)) / SQRT((BS35*SUM(Raw!AV35, Raw!AW35, Raw!AX35, Raw!AY35) - SUM(Raw!AV35, Raw!AW35, Raw!AX35, Raw!AY35)^2) * (BS35*SUM(Raw!AV35, Raw!AZ35, Raw!BD35, Raw!BH35) - SUM(Raw!AV35, Raw!AZ35, Raw!BD35, Raw!BH35)^2)), 0), "No Contingency Table"), "Not Included")</f>
        <v>0.18843366572035794</v>
      </c>
      <c r="BU35" s="11">
        <f>IF(BQ35, IF(COUNTIF(Raw!AV35:BK35, "&gt;=0") = 16, SUM(Raw!BK35,Raw!BJ35,Raw!BI35,Raw!BG35,Raw!BF35,Raw!BE35,Raw!BC35,Raw!BB35,Raw!BA35,Raw!AV35)/SUM(Raw!AV35:BK35), "No Contingency Table"), "Not Included")</f>
        <v>0.66666666666666663</v>
      </c>
      <c r="BV35" s="11">
        <f>IF(BQ35, IF(COUNTIF(Raw!AV35:BK35, "&gt;=0") = 16,SUM(SUM(Raw!AV35,Raw!AW35,Raw!AX35,Raw!AY35)*SUM(Raw!AV35,Raw!AZ35,Raw!BD35,Raw!BH35),SUM(Raw!AZ35:BK35)*SUM(Raw!AW35,Raw!AX35,Raw!AY35,Raw!BA35,Raw!BB35,Raw!BC35,Raw!BE35,Raw!BF35,Raw!BG35,Raw!BI35,Raw!BJ35,Raw!BK35))/BS35^2,"No Contingency Table"), "Not Included")</f>
        <v>0.58953168044077131</v>
      </c>
      <c r="BW35" s="11">
        <f>IF(BQ35, IF(COUNTIF(Raw!AV35:BK35, "&gt;=0") = 16,(BU35-BV35) / (1 - BV35),"No Contingency Table"), "Not Included")</f>
        <v>0.1879194630872483</v>
      </c>
      <c r="BX35" s="11" t="b">
        <f t="shared" ref="BX35:BZ35" si="153">BQ35</f>
        <v>1</v>
      </c>
      <c r="BY35" s="11" t="str">
        <f t="shared" si="153"/>
        <v>Contingency</v>
      </c>
      <c r="BZ35" s="15">
        <f t="shared" si="153"/>
        <v>33</v>
      </c>
      <c r="CA35" s="11">
        <f>IF(BX35, IF(COUNTIF(Raw!AV35:BK35, "&gt;=0") = 16, IFERROR((BZ35*Raw!BF35 - SUM(Raw!BD35, Raw!BE35, Raw!BF35, Raw!BG35)*SUM(Raw!BF35, Raw!AX35, Raw!BB35, Raw!BJ35)) / SQRT((BZ35*SUM(Raw!BD35, Raw!BE35, Raw!BF35, Raw!BG35) - SUM(Raw!BD35, Raw!BE35, Raw!BF35, Raw!BG35)^2) * (BZ35*SUM(Raw!BF35, Raw!AX35, Raw!BB35, Raw!BJ35) - SUM(Raw!BF35, Raw!AX35, Raw!BB35, Raw!BJ35)^2)), 0), "No Contingency Table"), "Not Included")</f>
        <v>0</v>
      </c>
      <c r="CB35" s="11">
        <f>IF(BX35, IF(COUNTIF(Raw!AV35:BK35, "&gt;=0") = 16, SUM(Raw!AV35,Raw!AW35,Raw!AY35,Raw!AZ35,Raw!BA35,Raw!BC35,Raw!BF35,Raw!BH35,Raw!BI35,Raw!BK35) / SUM(Raw!AV35:BK35), "No Contingency Table"), "Not Included")</f>
        <v>1</v>
      </c>
      <c r="CC35" s="11">
        <f>IF(BX35, IF(COUNTIF(Raw!AV35:BK35, "&gt;=0") = 16,SUM(SUM(Raw!BD35,Raw!BE35,Raw!BF35,Raw!BG35)*SUM(Raw!BF35,Raw!AX35,Raw!BB35,Raw!BJ35),SUM(Raw!AV35:BC35,Raw!BH35:BK35)*SUM(Raw!AV35,Raw!AW35,Raw!AY35,Raw!AZ35,Raw!BA35,Raw!BC35,Raw!BD35,Raw!BE35,Raw!BG35,Raw!BH35,Raw!BI35,Raw!BK35))/BZ35^2,"No Contingency Table"), "Not Included")</f>
        <v>1</v>
      </c>
      <c r="CD35" s="11">
        <f>IF(BX35, IF(COUNTIF(Raw!AV35:BK35, "&gt;=0") = 16,(CB35 - CC35) / (1 - CC35+0.000001),"No Contingency Table"), "Not Included")</f>
        <v>0</v>
      </c>
      <c r="CE35" s="11" t="b">
        <f t="shared" ref="CE35:CG35" si="154">BQ35</f>
        <v>1</v>
      </c>
      <c r="CF35" s="11" t="str">
        <f t="shared" si="154"/>
        <v>Contingency</v>
      </c>
      <c r="CG35" s="15">
        <f t="shared" si="154"/>
        <v>33</v>
      </c>
      <c r="CH35" s="11">
        <f>IF(CE35, IF(COUNTIF(Raw!AV35:BK35, "&gt;=0") = 16, IFERROR((CG35*Raw!BA35 - SUM(Raw!BA35, Raw!AZ35, Raw!BB35, Raw!BC35)*SUM(Raw!BA35, Raw!AW35, Raw!BE35, Raw!BI35)) / SQRT((CG35*SUM(Raw!BA35, Raw!AZ35, Raw!BB35, Raw!BC35) - SUM(Raw!BA35, Raw!AZ35, Raw!BB35, Raw!BC35)^2) * (CG35*SUM(Raw!BA35, Raw!AW35, Raw!BE35, Raw!BI35) - SUM(Raw!BA35, Raw!AW35, Raw!BE35, Raw!BI35)^2)), 0), "No Contingency Table"), "Not Included")</f>
        <v>0.3872983346207417</v>
      </c>
      <c r="CI35" s="11">
        <f>IF(CE35, IF(COUNTIF(Raw!AV35:BK35, "&gt;=0") = 16, SUM(Raw!AV35,Raw!AX35,Raw!AY35,Raw!BA35,Raw!BD35,Raw!BF35,Raw!BG35,Raw!BH35,Raw!BJ35,Raw!BK35) / SUM(Raw!AV35:BK35), "No Contingency Table"), "Not Included")</f>
        <v>0.69696969696969702</v>
      </c>
      <c r="CJ35" s="61">
        <f>IF(BX35, IF(COUNTIF(Raw!AV35:BK35, "&gt;=0") = 16,SUM(SUM(Raw!AZ35,Raw!BA35,Raw!BB35,Raw!BC35)*SUM(Raw!BA35,Raw!AW35,Raw!BE35,Raw!BI35),SUM(Raw!AV35:AY35,Raw!BD35:BK35)*SUM(Raw!AV35,Raw!AX35,Raw!AY35,Raw!AZ35,Raw!BB35,Raw!BC35,Raw!BD35,Raw!BF35,Raw!BG35,Raw!BH35,Raw!BJ35,Raw!BK35))/CG35^2,"No Contingency Table"), "Not Included")</f>
        <v>0.51515151515151514</v>
      </c>
      <c r="CK35" s="11">
        <f>IF(BX35, IF(COUNTIF(Raw!AV35:BK35, "&gt;=0") = 16,(CI35 - CJ35) / (1 - CJ35),"No Contingency Table"), "Not Included")</f>
        <v>0.37500000000000011</v>
      </c>
      <c r="CL35" s="11">
        <f>IF(BQ35, IFERROR(Raw!AV35/SUM(Raw!AV35:AY35), 0), "Not Included")</f>
        <v>0.44444444444444442</v>
      </c>
      <c r="CM35" s="11">
        <f>IF(BQ35, IFERROR(Raw!BA35/SUM(Raw!AZ35:BC35), 0), "Not Included")</f>
        <v>0.68181818181818177</v>
      </c>
      <c r="CN35" s="11">
        <f>IF(BQ35, IFERROR(Raw!BF35/SUM(Raw!BD35:BG35), 0), "Not Included")</f>
        <v>0</v>
      </c>
      <c r="CO35" s="11">
        <f>IF(BQ35, IFERROR(Raw!BK35/SUM(Raw!BH35:BK35), 0), "Not Included")</f>
        <v>0.5</v>
      </c>
      <c r="CP35" s="11">
        <f>IF(BQ35, IFERROR(SUM(Raw!AV35,Raw!AX35,Raw!AY35,Raw!BD35,Raw!BF35,Raw!BG35,Raw!BH35,Raw!BJ35,Raw!BK35)/SUM(Raw!AV35,Raw!AW35,Raw!AX35,Raw!AY35,Raw!BD35,Raw!BE35,Raw!BF35,Raw!BG35,Raw!BH35,Raw!BI35,Raw!BJ35,Raw!BK35), 0), "Not Included")</f>
        <v>0.72727272727272729</v>
      </c>
      <c r="CQ35" s="11">
        <f>IF(BQ35, IFERROR(SUM(Raw!AV35:AX35,Raw!AZ35:BB35,Raw!BD35:BF35)/SUM(Raw!AV35:BF35), 0), "Not Included")</f>
        <v>0.87096774193548387</v>
      </c>
      <c r="CR35" s="11">
        <f>IF(BQ35, IFERROR(SUM(Raw!AV35:AY35), 0), "Not Included")</f>
        <v>9</v>
      </c>
      <c r="CS35" s="11">
        <f>IF(BQ35, IFERROR(SUM(Raw!AZ35:BC35), 0), "Not Included")</f>
        <v>22</v>
      </c>
      <c r="CT35" s="11">
        <f>IF(BQ35, IFERROR(SUM(Raw!BD35:BG35), 0), "Not Included")</f>
        <v>0</v>
      </c>
      <c r="CU35" s="11">
        <f>IF(BQ35, IFERROR(SUM(Raw!BH35:BK35), 0), "Not Included")</f>
        <v>2</v>
      </c>
      <c r="CV35" s="11">
        <f>IF(BQ35, IFERROR(SUM(Raw!AV35,Raw!AW35,Raw!AX35,Raw!AY35,Raw!BD35,Raw!BE35,Raw!BF35,Raw!BG35,Raw!BH35,Raw!BI35,Raw!BJ35,Raw!BK35), 0), "Not Included")</f>
        <v>11</v>
      </c>
      <c r="CW35" s="11">
        <f>IF(BQ35, IFERROR(SUM(Raw!AV35:BF35), 0), "Not Included")</f>
        <v>31</v>
      </c>
      <c r="CX35" s="11">
        <f>IF(BQ35, IFERROR((CR35*SUM(Raw!AV35,Raw!AZ35,Raw!BD35,Raw!BH35))/BS35/CR35, 0), "Not Included")</f>
        <v>0.30303030303030298</v>
      </c>
      <c r="CY35" s="11">
        <f>IF(BX35, IFERROR((CS35*SUM(Raw!BA35,Raw!AW35,Raw!BE35,Raw!BI35))/CG35/CS35, 0), "Not Included")</f>
        <v>0.54545454545454541</v>
      </c>
      <c r="CZ35" s="11">
        <f>IF(BX35, IFERROR((CT35*SUM(Raw!BF35,Raw!AX35,Raw!BB35,Raw!BJ35))/BZ35/CT35, 0), "Not Included")</f>
        <v>0</v>
      </c>
      <c r="DA35" s="11">
        <f>IF(AY35, IFERROR((CU35*SUM(Raw!AY35,Raw!BC35,Raw!BG35,Raw!BK35))/AT35/CU35, 0), "Not Included")</f>
        <v>0.15151515151515152</v>
      </c>
      <c r="DB35" s="11">
        <f>IF(BX35, IFERROR((CV35*SUM(Raw!AV35,Raw!AX35,Raw!AY35,Raw!AZ35,Raw!BB35,Raw!BC35,Raw!BD35,Raw!BF35,Raw!BG35,Raw!BH35,Raw!BJ35,Raw!BK35))/CG35/CV35,0), "Not Included")</f>
        <v>0.45454545454545453</v>
      </c>
      <c r="DC35" s="11">
        <f>IF(AY35, IFERROR((CW35*SUM(Raw!AV35,Raw!AW35,Raw!AX35,Raw!AZ35,Raw!BA35,Raw!BB35,Raw!BD35,Raw!BE35,Raw!BF35,Raw!BH35,Raw!BI35,Raw!BJ35))/AT35/CW35,0), "Not Included")</f>
        <v>0.84848484848484851</v>
      </c>
    </row>
    <row r="36" spans="1:107" ht="12.75" customHeight="1">
      <c r="A36" s="11">
        <f>Raw!D36</f>
        <v>24</v>
      </c>
      <c r="B36" s="11" t="str">
        <f>Raw!A36</f>
        <v>Maris et al. (2000)</v>
      </c>
      <c r="C36" s="11">
        <f>Raw!G36</f>
        <v>1</v>
      </c>
      <c r="D36" s="11" t="str">
        <f>Raw!E36</f>
        <v>Cleft lip and palate</v>
      </c>
      <c r="E36" s="11" t="str">
        <f>CONCATENATE(IF(Raw!I36&lt;='Interval Definitions'!$B$2, 'Interval Definitions'!$A$2, IF(Raw!I36&lt;='Interval Definitions'!$B$3, 'Interval Definitions'!$A$3, IF(Raw!I36&lt;='Interval Definitions'!$B$4, 'Interval Definitions'!$A$4, IF(Raw!I36&lt;='Interval Definitions'!$B$5, 'Interval Definitions'!$A$5, "None")))), " - ", IF(Raw!J36&lt;='Interval Definitions'!$B$2, 'Interval Definitions'!$A$2, IF(Raw!J36&lt;='Interval Definitions'!$B$3, 'Interval Definitions'!$A$3, IF(Raw!J36&lt;='Interval Definitions'!$B$4, 'Interval Definitions'!$A$4, IF(Raw!J36&lt;='Interval Definitions'!$B$5, 'Interval Definitions'!$A$5, "None")))))</f>
        <v>Infancy - Toddlerhood</v>
      </c>
      <c r="F36" s="11" t="b">
        <f>OR(NOT(ISBLANK(Raw!AF36)),NOT(ISBLANK(Raw!AG36)),NOT(ISBLANK(Raw!AH36)),NOT(ISBLANK(Raw!AI36)),COUNTIF(Raw!AA36:AD36, "&gt;=0") = 4)</f>
        <v>1</v>
      </c>
      <c r="G36" s="11" t="str">
        <f>IF(F36, IF(COUNTIF(Raw!AA36:AD36,"&gt;=0") = 4, "Contingency", IF(NOT(ISBLANK(Raw!AF36)), "Paper r", IF(NOT(ISBLANK(Raw!AG36)), "Pinquart", IF(NOT(ISBLANK(Raw!AH36)), "Fraley", "Paper chiSq")))), "Not Included")</f>
        <v>Contingency</v>
      </c>
      <c r="H36" s="15">
        <f>IF(F36,Raw!AE36,"Not Included")</f>
        <v>24</v>
      </c>
      <c r="I36" s="15">
        <f>IF(COUNTIF(Raw!AA36:AD36,"&gt;=0") = 4, SUM(Raw!AA36:AD36), "No Contingency Table")</f>
        <v>24</v>
      </c>
      <c r="J36" s="15">
        <f t="shared" si="0"/>
        <v>24</v>
      </c>
      <c r="K36" s="38">
        <f>IF(F36, IF(COUNTIF(Raw!AA36:AD36,"&gt;=0") = 4, IFERROR((I36*Raw!AA36 - SUM(Raw!AA36,Raw!AB36)*SUM(Raw!AA36,Raw!AD36)) / SQRT((I36*SUM(Raw!AA36,Raw!AB36) - SUM(Raw!AA36,Raw!AB36)^2) * (I36*SUM(Raw!AA36,Raw!AD36) - SUM(Raw!AA36,Raw!AD36)^2)), 0), "No Contingency Table"), "Not Included")</f>
        <v>-0.24253562503633297</v>
      </c>
      <c r="L36" s="41">
        <f>IF(F36,IF(NOT(ISBLANK(Raw!AF36)), Raw!AF36, IF(NOT(ISBLANK(Raw!AG36)), Raw!AG36, IF(NOT(ISBLANK(Raw!AH36)), Raw!AH36, IF(NOT(ISBLANK(Raw!AI36)), SQRT(Raw!AI36/H36)*Raw!AJ36, "Not Reported")))),"Not Included")</f>
        <v>-0.24</v>
      </c>
      <c r="M36" s="43">
        <f t="shared" si="1"/>
        <v>-0.24253562503633297</v>
      </c>
      <c r="N36" s="11">
        <f t="shared" si="2"/>
        <v>1</v>
      </c>
      <c r="O36" s="48" t="b">
        <f>OR(NOT(ISBLANK(Raw!AK36)), COUNTIF(Raw!AA36:AD36, "&gt;=0") = 4)</f>
        <v>1</v>
      </c>
      <c r="P36" s="24" t="str">
        <f>IF(O36,IF(COUNTIF(Raw!AA36:AD36,"&gt;=0") = 4,"Contingency", "Paper k"), "Not Included")</f>
        <v>Contingency</v>
      </c>
      <c r="Q36" s="48">
        <f>IF(O36, IF(COUNTIF(Raw!AA36:AD36,"&gt;=0") = 4,SUM(Raw!AA36,Raw!AC36)/H36,"No Contingency Table"), "Not Included")</f>
        <v>0.58333333333333337</v>
      </c>
      <c r="R36" s="38">
        <f>IF(O36, IF(COUNTIF(Raw!AA36:AD36, "&gt;=0") = 4,SUM(SUM(Raw!AA36,Raw!AB36)*SUM(Raw!AA36,Raw!AD36),SUM(Raw!AC36,Raw!AD36)*SUM(Raw!AC36,Raw!AB36))/H36^2,"No Contingency Table"), "Not Included")</f>
        <v>0.65625</v>
      </c>
      <c r="S36" s="38">
        <f>IF(O36, IF(COUNTIF(Raw!AA36:AD36,"&gt;=0") = 4, IFERROR((Q36 - R36) / (1 - R36), "Could not calculate"), "No Contingency Table"), "Not Included")</f>
        <v>-0.21212121212121202</v>
      </c>
      <c r="T36" s="52" t="str">
        <f>IF(O36,IF(NOT(ISBLANK(Raw!AK36)), Raw!AK36, "Not Reported"), "Not Included")</f>
        <v>Not Reported</v>
      </c>
      <c r="U36" s="38">
        <f t="shared" si="3"/>
        <v>-0.21212121212121202</v>
      </c>
      <c r="V36" s="11" t="str">
        <f t="shared" si="4"/>
        <v>NA</v>
      </c>
      <c r="W36" s="11" t="b">
        <f>OR(NOT(ISBLANK(Raw!AU36)),COUNTIF(Raw!AL36:AT36,"&gt;=0") = 9)</f>
        <v>0</v>
      </c>
      <c r="X36" s="11" t="str">
        <f>IF(W36, IF(COUNTIF(Raw!AL36:AT36,"&gt;=0") = 9, "Contingency", "Paper k"), "Not Included")</f>
        <v>Not Included</v>
      </c>
      <c r="Y36" s="11" t="str">
        <f>IF(W36,IF(COUNTIF(Raw!AL36:AT36,"&gt;=0") = 9,SUM(Raw!AL36:AT36),"No Contingency Table"),"Not Included")</f>
        <v>Not Included</v>
      </c>
      <c r="Z36" s="11" t="str">
        <f t="shared" si="5"/>
        <v>Not Included</v>
      </c>
      <c r="AA36" s="11" t="str">
        <f>IF(W36,IF(COUNTIF(Raw!AL36:AT36,"&gt;=0") = 9,SUM(Raw!AL36,Raw!AP36,Raw!AT36)/Y36,"No Contingency Table"), "Not Included")</f>
        <v>Not Included</v>
      </c>
      <c r="AB36" s="11" t="str">
        <f>IF(W36,IF(COUNTIF(Raw!AL36:AT36,"&gt;=0") = 9,SUM(SUM(Raw!AL36,Raw!AM36,Raw!AN36)*SUM(Raw!AL36,Raw!AO36,Raw!AR36),SUM(Raw!AO36,Raw!AP36,Raw!AQ36)*SUM(Raw!AM36,Raw!AP36,Raw!AS36),SUM(Raw!AR36,Raw!AS36,Raw!AT36)*SUM(Raw!AN36,Raw!AQ36,Raw!AT36))/Y36^2,"No Contingency Table"), "Not Included")</f>
        <v>Not Included</v>
      </c>
      <c r="AC36" s="11" t="str">
        <f>IF(W36,IF(COUNTIF(Raw!AL36:AT36,"&gt;=0") = 9,(AA36 - AB36) / (1 - AB36),"No Contingency Table"), "Not Included")</f>
        <v>Not Included</v>
      </c>
      <c r="AD36" s="11" t="str">
        <f>IF(W36, IF(NOT(ISBLANK(Raw!AU36)),Raw!AU36,"Not Reported"), "Not Included")</f>
        <v>Not Included</v>
      </c>
      <c r="AE36" s="11" t="str">
        <f t="shared" si="6"/>
        <v>Not Included</v>
      </c>
      <c r="AF36" s="11" t="str">
        <f t="shared" si="7"/>
        <v>Not Included</v>
      </c>
      <c r="AG36" s="11" t="b">
        <f>COUNTIF(Raw!AV36:BK36, "&gt;=0") = 16</f>
        <v>0</v>
      </c>
      <c r="AH36" s="11" t="str">
        <f>IF(AG36, IF(COUNTIF(Raw!AV36:BK36,"&gt;=0") = 16, "Contingency", "Paper k"), "Not Included")</f>
        <v>Not Included</v>
      </c>
      <c r="AI36" s="11" t="str">
        <f>IF(AG36,IF(COUNTIF(Raw!AV36:BK36,"&gt;=0") = 16,SUM(Raw!AV36:BK36),"No Contingency Table"),"Not Included")</f>
        <v>Not Included</v>
      </c>
      <c r="AJ36" s="15">
        <f t="shared" si="8"/>
        <v>24</v>
      </c>
      <c r="AK36" s="11" t="str">
        <f>IF(AG36,IF(COUNTIF(Raw!AV36:BK36,"&gt;=0") = 16,SUM(Raw!AV36,Raw!BA36,Raw!BF36,Raw!BK36)/AI36,"No Contingency Table"), "Not Included")</f>
        <v>Not Included</v>
      </c>
      <c r="AL36" s="11" t="str">
        <f>IF(AG36,IF(COUNTIF(Raw!AV36:BK36,"&gt;=0") = 16,SUM(SUM(Raw!AV36,Raw!AW36,Raw!AX36,Raw!AY36)*SUM(Raw!AV36,Raw!AZ36,Raw!BD36,Raw!BH36),SUM(Raw!AZ36,Raw!BA36,Raw!BB36,Raw!BC36)*SUM(Raw!AW36,Raw!BA36,Raw!BE36,Raw!BI36),SUM(Raw!BD36,Raw!BE36,Raw!BF36,Raw!BG36)*SUM(Raw!AX36,Raw!BB36,Raw!BF36,Raw!BJ36),SUM(Raw!BH36,Raw!BI36,Raw!BJ36,Raw!BK36)*SUM(Raw!AY36,Raw!BC36,Raw!BG36,Raw!BK36))/AI36^2,"No Contingency Table"), "Not Included")</f>
        <v>Not Included</v>
      </c>
      <c r="AM36" s="11" t="str">
        <f>IF(AG36,IF(COUNTIF(Raw!AV36:BK36,"&gt;=0") = 16,(AK36 - AL36) / (1 - AL36),"No Contingency Table"), "Not Included")</f>
        <v>Not Included</v>
      </c>
      <c r="AN36" s="11" t="str">
        <f>IF(NOT(ISBLANK(Raw!BL36)),Raw!BL36,"Not Reported")</f>
        <v>Not Reported</v>
      </c>
      <c r="AO36" s="11" t="str">
        <f t="shared" si="9"/>
        <v>Not Reported</v>
      </c>
      <c r="AP36" s="11" t="str">
        <f t="shared" si="10"/>
        <v>Not Included</v>
      </c>
      <c r="AQ36" s="11" t="b">
        <f t="shared" ref="AQ36:AR36" si="155">BQ36</f>
        <v>0</v>
      </c>
      <c r="AR36" s="11" t="str">
        <f t="shared" si="155"/>
        <v>Not Included</v>
      </c>
      <c r="AS36" s="11" t="str">
        <f t="shared" si="12"/>
        <v>Not Included</v>
      </c>
      <c r="AT36" s="11" t="str">
        <f t="shared" si="13"/>
        <v>Not Included</v>
      </c>
      <c r="AU36" s="11" t="str">
        <f>IF(AQ36, IF(COUNTIF(Raw!AV36:BK36, "&gt;=0") = 16, IFERROR((AT36*Raw!BK36 - SUM(Raw!BH36, Raw!BI36, Raw!BJ36, Raw!BK36)*SUM(Raw!AY36, Raw!BC36, Raw!BG36, Raw!BK36)) / SQRT((AT36*SUM(Raw!BH36, Raw!BI36, Raw!BJ36, Raw!BK36) - SUM(Raw!BH36, Raw!BI36, Raw!BJ36, Raw!BK36)^2) * (AT36*SUM(Raw!AY36, Raw!BC36, Raw!BG36, Raw!BK36) - SUM(Raw!AY36, Raw!BC36, Raw!BG36, Raw!BK36)^2)), 0), "No Contingency Table"), "Not Included")</f>
        <v>Not Included</v>
      </c>
      <c r="AV36" s="11" t="str">
        <f>IF(AQ36,IF(NOT(ISBLANK(Raw!BQ36)), Raw!BQ36, IF(NOT(ISBLANK(Raw!BR36)), Raw!BR36, "Not Reported")), "Not Included")</f>
        <v>Not Included</v>
      </c>
      <c r="AW36" s="57" t="str">
        <f t="shared" si="14"/>
        <v>Not Included</v>
      </c>
      <c r="AX36" s="11" t="str">
        <f t="shared" si="15"/>
        <v>Not Included</v>
      </c>
      <c r="AY36" s="11" t="b">
        <f t="shared" ref="AY36:AZ36" si="156">AQ36</f>
        <v>0</v>
      </c>
      <c r="AZ36" s="11" t="str">
        <f t="shared" si="156"/>
        <v>Not Included</v>
      </c>
      <c r="BA36" s="11" t="str">
        <f>IF(AY36, IF(COUNTIF(Raw!AV36:BK36, "&gt;=0") = 16, SUM(Raw!AV36,Raw!AW36,Raw!AX36,Raw!AZ36,Raw!BA36,Raw!BB36,Raw!BD36,Raw!BE36,Raw!BF36,Raw!BK36)/SUM(Raw!AV36:BK36), "No Contingency Table"), "Not Included")</f>
        <v>Not Included</v>
      </c>
      <c r="BB36" s="11" t="str">
        <f>IF(AY36, IF(COUNTIF(Raw!AV36:BK36, "&gt;=0") = 16,SUM(SUM(Raw!BH36,Raw!BI36,Raw!BJ36,Raw!BK36)*SUM(Raw!AY36,Raw!BC36,Raw!BG36,Raw!BK36),SUM(Raw!AV36:BG36)*SUM(Raw!AV36,Raw!AW36,Raw!AX36,Raw!AZ36,Raw!BA36,Raw!BB36,Raw!BD36,Raw!BE36,Raw!BF36,Raw!BH36,Raw!BI36,Raw!BJ36))/AT36^2,"No Contingency Table"), "Not Included")</f>
        <v>Not Included</v>
      </c>
      <c r="BC36" s="11" t="str">
        <f>IF(AY36, IF(COUNTIF(Raw!AV36:BK36, "&gt;=0") = 16,(BA36-BB36) / (1 - BB36),"No Contingency Table"), "Not Included")</f>
        <v>Not Included</v>
      </c>
      <c r="BD36" s="11" t="str">
        <f>IF(AY36,IF(NOT(ISBLANK(Raw!BT57)),Raw!BT57,"Not Reported"),"Not Included")</f>
        <v>Not Included</v>
      </c>
      <c r="BE36" s="11" t="str">
        <f t="shared" si="17"/>
        <v>Not Included</v>
      </c>
      <c r="BF36" s="11" t="str">
        <f t="shared" si="18"/>
        <v>Not Included</v>
      </c>
      <c r="BG36" s="11">
        <f>Raw!K36</f>
        <v>2000</v>
      </c>
      <c r="BH36" s="11" t="str">
        <f>IF(Raw!L36 = "USA","USA","Non-USA")</f>
        <v>USA</v>
      </c>
      <c r="BI36" s="11" t="str">
        <f>Raw!M36</f>
        <v>Ainsworth/Cassidy-Marvin</v>
      </c>
      <c r="BJ36" s="11">
        <f>Raw!N36</f>
        <v>1</v>
      </c>
      <c r="BK36" s="11">
        <f>Raw!P36</f>
        <v>0</v>
      </c>
      <c r="BL36" s="11">
        <f>Raw!Q36</f>
        <v>1</v>
      </c>
      <c r="BM36" s="11">
        <f>Raw!T36</f>
        <v>1</v>
      </c>
      <c r="BN36" s="11">
        <f>IFERROR(IF(AND(ISBLANK(Raw!U36), ISBLANK(Raw!V36), ISBLANK(Raw!W36), ISBLANK(Raw!X36)), "NA", IF(OR(NOT(ISBLANK(Raw!U36)), NOT(ISBLANK(Raw!W36))), AVERAGE(Raw!U36,Raw!W36), AVERAGE(Raw!V36,Raw!X36) + IF(Raw!Y36 = "2-way", R36, IF(Raw!Y36 = "3-way", AB36, IF(Raw!Y36 = "4-way", AL36, "NA")))*(1 - AVERAGE(Raw!V36,Raw!X36)))), "NA")</f>
        <v>0.83000000000000007</v>
      </c>
      <c r="BO36" s="11">
        <f>Raw!O36</f>
        <v>0</v>
      </c>
      <c r="BP36" s="11" t="str">
        <f>Raw!F36</f>
        <v>Female</v>
      </c>
      <c r="BQ36" s="11" t="b">
        <f>COUNTIF(Raw!AV36:BK36, "&gt;=0") = 16</f>
        <v>0</v>
      </c>
      <c r="BR36" s="11" t="str">
        <f t="shared" si="19"/>
        <v>Not Included</v>
      </c>
      <c r="BS36" s="11" t="str">
        <f t="shared" si="20"/>
        <v>Not Included</v>
      </c>
      <c r="BT36" s="11" t="str">
        <f>IF(BQ36, IF(COUNTIF(Raw!AV36:BK36, "&gt;=0") = 16, IFERROR((BS36*Raw!AV36 - SUM(Raw!AV36, Raw!AW36, Raw!AX36, Raw!AY36)*SUM(Raw!AV36, Raw!AZ36, Raw!BD36, Raw!BH36)) / SQRT((BS36*SUM(Raw!AV36, Raw!AW36, Raw!AX36, Raw!AY36) - SUM(Raw!AV36, Raw!AW36, Raw!AX36, Raw!AY36)^2) * (BS36*SUM(Raw!AV36, Raw!AZ36, Raw!BD36, Raw!BH36) - SUM(Raw!AV36, Raw!AZ36, Raw!BD36, Raw!BH36)^2)), 0), "No Contingency Table"), "Not Included")</f>
        <v>Not Included</v>
      </c>
      <c r="BU36" s="11" t="str">
        <f>IF(BQ36, IF(COUNTIF(Raw!AV36:BK36, "&gt;=0") = 16, SUM(Raw!BK36,Raw!BJ36,Raw!BI36,Raw!BG36,Raw!BF36,Raw!BE36,Raw!BC36,Raw!BB36,Raw!BA36,Raw!AV36)/SUM(Raw!AV36:BK36), "No Contingency Table"), "Not Included")</f>
        <v>Not Included</v>
      </c>
      <c r="BV36" s="11" t="str">
        <f>IF(BQ36, IF(COUNTIF(Raw!AV36:BK36, "&gt;=0") = 16,SUM(SUM(Raw!AV36,Raw!AW36,Raw!AX36,Raw!AY36)*SUM(Raw!AV36,Raw!AZ36,Raw!BD36,Raw!BH36),SUM(Raw!AZ36:BK36)*SUM(Raw!AW36,Raw!AX36,Raw!AY36,Raw!BA36,Raw!BB36,Raw!BC36,Raw!BE36,Raw!BF36,Raw!BG36,Raw!BI36,Raw!BJ36,Raw!BK36))/BS36^2,"No Contingency Table"), "Not Included")</f>
        <v>Not Included</v>
      </c>
      <c r="BW36" s="11" t="str">
        <f>IF(BQ36, IF(COUNTIF(Raw!AV36:BK36, "&gt;=0") = 16,(BU36-BV36) / (1 - BV36),"No Contingency Table"), "Not Included")</f>
        <v>Not Included</v>
      </c>
      <c r="BX36" s="11" t="b">
        <f t="shared" ref="BX36:BZ36" si="157">BQ36</f>
        <v>0</v>
      </c>
      <c r="BY36" s="11" t="str">
        <f t="shared" si="157"/>
        <v>Not Included</v>
      </c>
      <c r="BZ36" s="11" t="str">
        <f t="shared" si="157"/>
        <v>Not Included</v>
      </c>
      <c r="CA36" s="11" t="str">
        <f>IF(BX36, IF(COUNTIF(Raw!AV36:BK36, "&gt;=0") = 16, IFERROR((BZ36*Raw!BF36 - SUM(Raw!BD36, Raw!BE36, Raw!BF36, Raw!BG36)*SUM(Raw!BF36, Raw!AX36, Raw!BB36, Raw!BJ36)) / SQRT((BZ36*SUM(Raw!BD36, Raw!BE36, Raw!BF36, Raw!BG36) - SUM(Raw!BD36, Raw!BE36, Raw!BF36, Raw!BG36)^2) * (BZ36*SUM(Raw!BF36, Raw!AX36, Raw!BB36, Raw!BJ36) - SUM(Raw!BF36, Raw!AX36, Raw!BB36, Raw!BJ36)^2)), 0), "No Contingency Table"), "Not Included")</f>
        <v>Not Included</v>
      </c>
      <c r="CB36" s="11" t="str">
        <f>IF(BX36, IF(COUNTIF(Raw!AV36:BK36, "&gt;=0") = 16, SUM(Raw!AV36,Raw!AW36,Raw!AY36,Raw!AZ36,Raw!BA36,Raw!BC36,Raw!BF36,Raw!BH36,Raw!BI36,Raw!BK36) / SUM(Raw!AV36:BK36), "No Contingency Table"), "Not Included")</f>
        <v>Not Included</v>
      </c>
      <c r="CC36" s="11" t="str">
        <f>IF(BX36, IF(COUNTIF(Raw!AV36:BK36, "&gt;=0") = 16,SUM(SUM(Raw!BD36,Raw!BE36,Raw!BF36,Raw!BG36)*SUM(Raw!BF36,Raw!AX36,Raw!BB36,Raw!BJ36),SUM(Raw!AV36:BC36,Raw!BH36:BK36)*SUM(Raw!AV36,Raw!AW36,Raw!AY36,Raw!AZ36,Raw!BA36,Raw!BC36,Raw!BD36,Raw!BE36,Raw!BG36,Raw!BH36,Raw!BI36,Raw!BK36))/BZ36^2,"No Contingency Table"), "Not Included")</f>
        <v>Not Included</v>
      </c>
      <c r="CD36" s="11" t="str">
        <f>IF(BX36, IF(COUNTIF(Raw!AV36:BK36, "&gt;=0") = 16,(CB36 - CC36) / (1 - CC36+0.000001),"No Contingency Table"), "Not Included")</f>
        <v>Not Included</v>
      </c>
      <c r="CE36" s="11" t="b">
        <f t="shared" ref="CE36:CG36" si="158">BQ36</f>
        <v>0</v>
      </c>
      <c r="CF36" s="11" t="str">
        <f t="shared" si="158"/>
        <v>Not Included</v>
      </c>
      <c r="CG36" s="11" t="str">
        <f t="shared" si="158"/>
        <v>Not Included</v>
      </c>
      <c r="CH36" s="11" t="str">
        <f>IF(CE36, IF(COUNTIF(Raw!AV36:BK36, "&gt;=0") = 16, IFERROR((CG36*Raw!BA36 - SUM(Raw!BA36, Raw!AZ36, Raw!BB36, Raw!BC36)*SUM(Raw!BA36, Raw!AW36, Raw!BE36, Raw!BI36)) / SQRT((CG36*SUM(Raw!BA36, Raw!AZ36, Raw!BB36, Raw!BC36) - SUM(Raw!BA36, Raw!AZ36, Raw!BB36, Raw!BC36)^2) * (CG36*SUM(Raw!BA36, Raw!AW36, Raw!BE36, Raw!BI36) - SUM(Raw!BA36, Raw!AW36, Raw!BE36, Raw!BI36)^2)), 0), "No Contingency Table"), "Not Included")</f>
        <v>Not Included</v>
      </c>
      <c r="CI36" s="11" t="str">
        <f>IF(CE36, IF(COUNTIF(Raw!AV36:BK36, "&gt;=0") = 16, SUM(Raw!AV36,Raw!AX36,Raw!AY36,Raw!BA36,Raw!BD36,Raw!BF36,Raw!BG36,Raw!BH36,Raw!BJ36,Raw!BK36) / SUM(Raw!AV36:BK36), "No Contingency Table"), "Not Included")</f>
        <v>Not Included</v>
      </c>
      <c r="CJ36" s="61" t="str">
        <f>IF(BX36, IF(COUNTIF(Raw!AV36:BK36, "&gt;=0") = 16,SUM(SUM(Raw!AZ36,Raw!BA36,Raw!BB36,Raw!BC36)*SUM(Raw!BA36,Raw!AW36,Raw!BE36,Raw!BI36),SUM(Raw!AV36:AY36,Raw!BD36:BK36)*SUM(Raw!AV36,Raw!AX36,Raw!AY36,Raw!AZ36,Raw!BB36,Raw!BC36,Raw!BD36,Raw!BF36,Raw!BG36,Raw!BH36,Raw!BJ36,Raw!BK36))/CG36^2,"No Contingency Table"), "Not Included")</f>
        <v>Not Included</v>
      </c>
      <c r="CK36" s="11" t="str">
        <f>IF(BX36, IF(COUNTIF(Raw!AV36:BK36, "&gt;=0") = 16,(CI36 - CJ36) / (1 - CJ36),"No Contingency Table"), "Not Included")</f>
        <v>Not Included</v>
      </c>
      <c r="CL36" s="11" t="str">
        <f>IF(BQ36, IFERROR(Raw!AV36/SUM(Raw!AV36:AY36), 0), "Not Included")</f>
        <v>Not Included</v>
      </c>
      <c r="CM36" s="11" t="str">
        <f>IF(BQ36, IFERROR(Raw!BA36/SUM(Raw!AZ36:BC36), 0), "Not Included")</f>
        <v>Not Included</v>
      </c>
      <c r="CN36" s="11" t="str">
        <f>IF(BQ36, IFERROR(Raw!BF36/SUM(Raw!BD36:BG36), 0), "Not Included")</f>
        <v>Not Included</v>
      </c>
      <c r="CO36" s="11" t="str">
        <f>IF(BQ36, IFERROR(Raw!BK36/SUM(Raw!BH36:BK36), 0), "Not Included")</f>
        <v>Not Included</v>
      </c>
      <c r="CP36" s="11" t="str">
        <f>IF(BQ36, IFERROR(SUM(Raw!AV36,Raw!AX36,Raw!AY36,Raw!BD36,Raw!BF36,Raw!BG36,Raw!BH36,Raw!BJ36,Raw!BK36)/SUM(Raw!AV36,Raw!AW36,Raw!AX36,Raw!AY36,Raw!BD36,Raw!BE36,Raw!BF36,Raw!BG36,Raw!BH36,Raw!BI36,Raw!BJ36,Raw!BK36), 0), "Not Included")</f>
        <v>Not Included</v>
      </c>
      <c r="CQ36" s="11" t="str">
        <f>IF(BQ36, IFERROR(SUM(Raw!AV36:AX36,Raw!AZ36:BB36,Raw!BD36:BF36)/SUM(Raw!AV36:BF36), 0), "Not Included")</f>
        <v>Not Included</v>
      </c>
      <c r="CR36" s="11" t="str">
        <f>IF(BQ36, IFERROR(SUM(Raw!AV36:AY36), 0), "Not Included")</f>
        <v>Not Included</v>
      </c>
      <c r="CS36" s="11" t="str">
        <f>IF(BQ36, IFERROR(SUM(Raw!AZ36:BC36), 0), "Not Included")</f>
        <v>Not Included</v>
      </c>
      <c r="CT36" s="11" t="str">
        <f>IF(BQ36, IFERROR(SUM(Raw!BD36:BG36), 0), "Not Included")</f>
        <v>Not Included</v>
      </c>
      <c r="CU36" s="11" t="str">
        <f>IF(BQ36, IFERROR(SUM(Raw!BH36:BK36), 0), "Not Included")</f>
        <v>Not Included</v>
      </c>
      <c r="CV36" s="11" t="str">
        <f>IF(BQ36, IFERROR(SUM(Raw!AV36,Raw!AW36,Raw!AX36,Raw!AY36,Raw!BD36,Raw!BE36,Raw!BF36,Raw!BG36,Raw!BH36,Raw!BI36,Raw!BJ36,Raw!BK36), 0), "Not Included")</f>
        <v>Not Included</v>
      </c>
      <c r="CW36" s="11" t="str">
        <f>IF(BQ36, IFERROR(SUM(Raw!AV36:BF36), 0), "Not Included")</f>
        <v>Not Included</v>
      </c>
      <c r="CX36" s="11" t="str">
        <f>IF(BQ36, IFERROR((CR36*SUM(Raw!AV36,Raw!AZ36,Raw!BD36,Raw!BH36))/BS36/CR36, 0), "Not Included")</f>
        <v>Not Included</v>
      </c>
      <c r="CY36" s="11" t="str">
        <f>IF(BX36, IFERROR((CS36*SUM(Raw!BA36,Raw!AW36,Raw!BE36,Raw!BI36))/CG36/CS36, 0), "Not Included")</f>
        <v>Not Included</v>
      </c>
      <c r="CZ36" s="11" t="str">
        <f>IF(BX36, IFERROR((CT36*SUM(Raw!BF36,Raw!AX36,Raw!BB36,Raw!BJ36))/BZ36/CT36, 0), "Not Included")</f>
        <v>Not Included</v>
      </c>
      <c r="DA36" s="11" t="str">
        <f>IF(AY36, IFERROR((CU36*SUM(Raw!AY36,Raw!BC36,Raw!BG36,Raw!BK36))/AT36/CU36, 0), "Not Included")</f>
        <v>Not Included</v>
      </c>
      <c r="DB36" s="11" t="str">
        <f>IF(BX36, IFERROR((CV36*SUM(Raw!AV36,Raw!AX36,Raw!AY36,Raw!AZ36,Raw!BB36,Raw!BC36,Raw!BD36,Raw!BF36,Raw!BG36,Raw!BH36,Raw!BJ36,Raw!BK36))/CG36/CV36,0), "Not Included")</f>
        <v>Not Included</v>
      </c>
      <c r="DC36" s="11" t="str">
        <f>IF(AY36, IFERROR((CW36*SUM(Raw!AV36,Raw!AW36,Raw!AX36,Raw!AZ36,Raw!BA36,Raw!BB36,Raw!BD36,Raw!BE36,Raw!BF36,Raw!BH36,Raw!BI36,Raw!BJ36))/AT36/CW36,0), "Not Included")</f>
        <v>Not Included</v>
      </c>
    </row>
    <row r="37" spans="1:107" ht="12.75" customHeight="1">
      <c r="A37" s="11">
        <f>Raw!D37</f>
        <v>25</v>
      </c>
      <c r="B37" s="11" t="str">
        <f>Raw!A37</f>
        <v>Maris et al. (2000)</v>
      </c>
      <c r="C37" s="11">
        <f>Raw!G37</f>
        <v>1</v>
      </c>
      <c r="D37" s="11" t="str">
        <f>Raw!E37</f>
        <v>Comparison</v>
      </c>
      <c r="E37" s="11" t="str">
        <f>CONCATENATE(IF(Raw!I37&lt;='Interval Definitions'!$B$2, 'Interval Definitions'!$A$2, IF(Raw!I37&lt;='Interval Definitions'!$B$3, 'Interval Definitions'!$A$3, IF(Raw!I37&lt;='Interval Definitions'!$B$4, 'Interval Definitions'!$A$4, IF(Raw!I37&lt;='Interval Definitions'!$B$5, 'Interval Definitions'!$A$5, "None")))), " - ", IF(Raw!J37&lt;='Interval Definitions'!$B$2, 'Interval Definitions'!$A$2, IF(Raw!J37&lt;='Interval Definitions'!$B$3, 'Interval Definitions'!$A$3, IF(Raw!J37&lt;='Interval Definitions'!$B$4, 'Interval Definitions'!$A$4, IF(Raw!J37&lt;='Interval Definitions'!$B$5, 'Interval Definitions'!$A$5, "None")))))</f>
        <v>Infancy - Toddlerhood</v>
      </c>
      <c r="F37" s="11" t="b">
        <f>OR(NOT(ISBLANK(Raw!AF37)),NOT(ISBLANK(Raw!AG37)),NOT(ISBLANK(Raw!AH37)),NOT(ISBLANK(Raw!AI37)),COUNTIF(Raw!AA37:AD37, "&gt;=0") = 4)</f>
        <v>1</v>
      </c>
      <c r="G37" s="11" t="str">
        <f>IF(F37, IF(COUNTIF(Raw!AA37:AD37,"&gt;=0") = 4, "Contingency", IF(NOT(ISBLANK(Raw!AF37)), "Paper r", IF(NOT(ISBLANK(Raw!AG37)), "Pinquart", IF(NOT(ISBLANK(Raw!AH37)), "Fraley", "Paper chiSq")))), "Not Included")</f>
        <v>Contingency</v>
      </c>
      <c r="H37" s="15">
        <f>IF(F37,Raw!AE37,"Not Included")</f>
        <v>61</v>
      </c>
      <c r="I37" s="15">
        <f>IF(COUNTIF(Raw!AA37:AD37,"&gt;=0") = 4, SUM(Raw!AA37:AD37), "No Contingency Table")</f>
        <v>61</v>
      </c>
      <c r="J37" s="15">
        <f t="shared" si="0"/>
        <v>61</v>
      </c>
      <c r="K37" s="38">
        <f>IF(F37, IF(COUNTIF(Raw!AA37:AD37,"&gt;=0") = 4, IFERROR((I37*Raw!AA37 - SUM(Raw!AA37,Raw!AB37)*SUM(Raw!AA37,Raw!AD37)) / SQRT((I37*SUM(Raw!AA37,Raw!AB37) - SUM(Raw!AA37,Raw!AB37)^2) * (I37*SUM(Raw!AA37,Raw!AD37) - SUM(Raw!AA37,Raw!AD37)^2)), 0), "No Contingency Table"), "Not Included")</f>
        <v>0.18509673813748259</v>
      </c>
      <c r="L37" s="41">
        <f>IF(F37,IF(NOT(ISBLANK(Raw!AF37)), Raw!AF37, IF(NOT(ISBLANK(Raw!AG37)), Raw!AG37, IF(NOT(ISBLANK(Raw!AH37)), Raw!AH37, IF(NOT(ISBLANK(Raw!AI37)), SQRT(Raw!AI37/H37)*Raw!AJ37, "Not Reported")))),"Not Included")</f>
        <v>0.19</v>
      </c>
      <c r="M37" s="43">
        <f t="shared" si="1"/>
        <v>0.18509673813748259</v>
      </c>
      <c r="N37" s="11">
        <f t="shared" si="2"/>
        <v>1</v>
      </c>
      <c r="O37" s="48" t="b">
        <f>OR(NOT(ISBLANK(Raw!AK37)), COUNTIF(Raw!AA37:AD37, "&gt;=0") = 4)</f>
        <v>1</v>
      </c>
      <c r="P37" s="24" t="str">
        <f>IF(O37,IF(COUNTIF(Raw!AA37:AD37,"&gt;=0") = 4,"Contingency", "Paper k"), "Not Included")</f>
        <v>Contingency</v>
      </c>
      <c r="Q37" s="48">
        <f>IF(O37, IF(COUNTIF(Raw!AA37:AD37,"&gt;=0") = 4,SUM(Raw!AA37,Raw!AC37)/H37,"No Contingency Table"), "Not Included")</f>
        <v>0.62295081967213117</v>
      </c>
      <c r="R37" s="38">
        <f>IF(O37, IF(COUNTIF(Raw!AA37:AD37, "&gt;=0") = 4,SUM(SUM(Raw!AA37,Raw!AB37)*SUM(Raw!AA37,Raw!AD37),SUM(Raw!AC37,Raw!AD37)*SUM(Raw!AC37,Raw!AB37))/H37^2,"No Contingency Table"), "Not Included")</f>
        <v>0.5428648212846009</v>
      </c>
      <c r="S37" s="38">
        <f>IF(O37, IF(COUNTIF(Raw!AA37:AD37,"&gt;=0") = 4, IFERROR((Q37 - R37) / (1 - R37), "Could not calculate"), "No Contingency Table"), "Not Included")</f>
        <v>0.17519106407995305</v>
      </c>
      <c r="T37" s="52">
        <f>IF(O37,IF(NOT(ISBLANK(Raw!AK37)), Raw!AK37, "Not Reported"), "Not Included")</f>
        <v>0.18</v>
      </c>
      <c r="U37" s="38">
        <f t="shared" si="3"/>
        <v>0.17519106407995305</v>
      </c>
      <c r="V37" s="11">
        <f t="shared" si="4"/>
        <v>1</v>
      </c>
      <c r="W37" s="11" t="b">
        <f>OR(NOT(ISBLANK(Raw!AU37)),COUNTIF(Raw!AL37:AT37,"&gt;=0") = 9)</f>
        <v>0</v>
      </c>
      <c r="X37" s="11" t="str">
        <f>IF(W37, IF(COUNTIF(Raw!AL37:AT37,"&gt;=0") = 9, "Contingency", "Paper k"), "Not Included")</f>
        <v>Not Included</v>
      </c>
      <c r="Y37" s="11" t="str">
        <f>IF(W37,IF(COUNTIF(Raw!AL37:AT37,"&gt;=0") = 9,SUM(Raw!AL37:AT37),"No Contingency Table"),"Not Included")</f>
        <v>Not Included</v>
      </c>
      <c r="Z37" s="11" t="str">
        <f t="shared" si="5"/>
        <v>Not Included</v>
      </c>
      <c r="AA37" s="11" t="str">
        <f>IF(W37,IF(COUNTIF(Raw!AL37:AT37,"&gt;=0") = 9,SUM(Raw!AL37,Raw!AP37,Raw!AT37)/Y37,"No Contingency Table"), "Not Included")</f>
        <v>Not Included</v>
      </c>
      <c r="AB37" s="11" t="str">
        <f>IF(W37,IF(COUNTIF(Raw!AL37:AT37,"&gt;=0") = 9,SUM(SUM(Raw!AL37,Raw!AM37,Raw!AN37)*SUM(Raw!AL37,Raw!AO37,Raw!AR37),SUM(Raw!AO37,Raw!AP37,Raw!AQ37)*SUM(Raw!AM37,Raw!AP37,Raw!AS37),SUM(Raw!AR37,Raw!AS37,Raw!AT37)*SUM(Raw!AN37,Raw!AQ37,Raw!AT37))/Y37^2,"No Contingency Table"), "Not Included")</f>
        <v>Not Included</v>
      </c>
      <c r="AC37" s="11" t="str">
        <f>IF(W37,IF(COUNTIF(Raw!AL37:AT37,"&gt;=0") = 9,(AA37 - AB37) / (1 - AB37),"No Contingency Table"), "Not Included")</f>
        <v>Not Included</v>
      </c>
      <c r="AD37" s="11" t="str">
        <f>IF(W37, IF(NOT(ISBLANK(Raw!AU37)),Raw!AU37,"Not Reported"), "Not Included")</f>
        <v>Not Included</v>
      </c>
      <c r="AE37" s="11" t="str">
        <f t="shared" si="6"/>
        <v>Not Included</v>
      </c>
      <c r="AF37" s="11" t="str">
        <f t="shared" si="7"/>
        <v>Not Included</v>
      </c>
      <c r="AG37" s="11" t="b">
        <f>COUNTIF(Raw!AV37:BK37, "&gt;=0") = 16</f>
        <v>0</v>
      </c>
      <c r="AH37" s="11" t="str">
        <f>IF(AG37, IF(COUNTIF(Raw!AV37:BK37,"&gt;=0") = 16, "Contingency", "Paper k"), "Not Included")</f>
        <v>Not Included</v>
      </c>
      <c r="AI37" s="11" t="str">
        <f>IF(AG37,IF(COUNTIF(Raw!AV37:BK37,"&gt;=0") = 16,SUM(Raw!AV37:BK37),"No Contingency Table"),"Not Included")</f>
        <v>Not Included</v>
      </c>
      <c r="AJ37" s="15">
        <f t="shared" si="8"/>
        <v>61</v>
      </c>
      <c r="AK37" s="11" t="str">
        <f>IF(AG37,IF(COUNTIF(Raw!AV37:BK37,"&gt;=0") = 16,SUM(Raw!AV37,Raw!BA37,Raw!BF37,Raw!BK37)/AI37,"No Contingency Table"), "Not Included")</f>
        <v>Not Included</v>
      </c>
      <c r="AL37" s="11" t="str">
        <f>IF(AG37,IF(COUNTIF(Raw!AV37:BK37,"&gt;=0") = 16,SUM(SUM(Raw!AV37,Raw!AW37,Raw!AX37,Raw!AY37)*SUM(Raw!AV37,Raw!AZ37,Raw!BD37,Raw!BH37),SUM(Raw!AZ37,Raw!BA37,Raw!BB37,Raw!BC37)*SUM(Raw!AW37,Raw!BA37,Raw!BE37,Raw!BI37),SUM(Raw!BD37,Raw!BE37,Raw!BF37,Raw!BG37)*SUM(Raw!AX37,Raw!BB37,Raw!BF37,Raw!BJ37),SUM(Raw!BH37,Raw!BI37,Raw!BJ37,Raw!BK37)*SUM(Raw!AY37,Raw!BC37,Raw!BG37,Raw!BK37))/AI37^2,"No Contingency Table"), "Not Included")</f>
        <v>Not Included</v>
      </c>
      <c r="AM37" s="11" t="str">
        <f>IF(AG37,IF(COUNTIF(Raw!AV37:BK37,"&gt;=0") = 16,(AK37 - AL37) / (1 - AL37),"No Contingency Table"), "Not Included")</f>
        <v>Not Included</v>
      </c>
      <c r="AN37" s="11" t="str">
        <f>IF(NOT(ISBLANK(Raw!BL37)),Raw!BL37,"Not Reported")</f>
        <v>Not Reported</v>
      </c>
      <c r="AO37" s="11" t="str">
        <f t="shared" si="9"/>
        <v>Not Reported</v>
      </c>
      <c r="AP37" s="11" t="str">
        <f t="shared" si="10"/>
        <v>Not Included</v>
      </c>
      <c r="AQ37" s="11" t="b">
        <f t="shared" ref="AQ37:AR37" si="159">BQ37</f>
        <v>0</v>
      </c>
      <c r="AR37" s="11" t="str">
        <f t="shared" si="159"/>
        <v>Not Included</v>
      </c>
      <c r="AS37" s="11" t="str">
        <f t="shared" si="12"/>
        <v>Not Included</v>
      </c>
      <c r="AT37" s="11" t="str">
        <f t="shared" si="13"/>
        <v>Not Included</v>
      </c>
      <c r="AU37" s="11" t="str">
        <f>IF(AQ37, IF(COUNTIF(Raw!AV37:BK37, "&gt;=0") = 16, IFERROR((AT37*Raw!BK37 - SUM(Raw!BH37, Raw!BI37, Raw!BJ37, Raw!BK37)*SUM(Raw!AY37, Raw!BC37, Raw!BG37, Raw!BK37)) / SQRT((AT37*SUM(Raw!BH37, Raw!BI37, Raw!BJ37, Raw!BK37) - SUM(Raw!BH37, Raw!BI37, Raw!BJ37, Raw!BK37)^2) * (AT37*SUM(Raw!AY37, Raw!BC37, Raw!BG37, Raw!BK37) - SUM(Raw!AY37, Raw!BC37, Raw!BG37, Raw!BK37)^2)), 0), "No Contingency Table"), "Not Included")</f>
        <v>Not Included</v>
      </c>
      <c r="AV37" s="11" t="str">
        <f>IF(AQ37,IF(NOT(ISBLANK(Raw!BQ37)), Raw!BQ37, IF(NOT(ISBLANK(Raw!BR37)), Raw!BR37, "Not Reported")), "Not Included")</f>
        <v>Not Included</v>
      </c>
      <c r="AW37" s="57" t="str">
        <f t="shared" si="14"/>
        <v>Not Included</v>
      </c>
      <c r="AX37" s="11" t="str">
        <f t="shared" si="15"/>
        <v>Not Included</v>
      </c>
      <c r="AY37" s="11" t="b">
        <f t="shared" ref="AY37:AZ37" si="160">AQ37</f>
        <v>0</v>
      </c>
      <c r="AZ37" s="11" t="str">
        <f t="shared" si="160"/>
        <v>Not Included</v>
      </c>
      <c r="BA37" s="11" t="str">
        <f>IF(AY37, IF(COUNTIF(Raw!AV37:BK37, "&gt;=0") = 16, SUM(Raw!AV37,Raw!AW37,Raw!AX37,Raw!AZ37,Raw!BA37,Raw!BB37,Raw!BD37,Raw!BE37,Raw!BF37,Raw!BK37)/SUM(Raw!AV37:BK37), "No Contingency Table"), "Not Included")</f>
        <v>Not Included</v>
      </c>
      <c r="BB37" s="11" t="str">
        <f>IF(AY37, IF(COUNTIF(Raw!AV37:BK37, "&gt;=0") = 16,SUM(SUM(Raw!BH37,Raw!BI37,Raw!BJ37,Raw!BK37)*SUM(Raw!AY37,Raw!BC37,Raw!BG37,Raw!BK37),SUM(Raw!AV37:BG37)*SUM(Raw!AV37,Raw!AW37,Raw!AX37,Raw!AZ37,Raw!BA37,Raw!BB37,Raw!BD37,Raw!BE37,Raw!BF37,Raw!BH37,Raw!BI37,Raw!BJ37))/AT37^2,"No Contingency Table"), "Not Included")</f>
        <v>Not Included</v>
      </c>
      <c r="BC37" s="11" t="str">
        <f>IF(AY37, IF(COUNTIF(Raw!AV37:BK37, "&gt;=0") = 16,(BA37-BB37) / (1 - BB37),"No Contingency Table"), "Not Included")</f>
        <v>Not Included</v>
      </c>
      <c r="BD37" s="11" t="str">
        <f>IF(AY37,IF(NOT(ISBLANK(Raw!BT58)),Raw!BT58,"Not Reported"),"Not Included")</f>
        <v>Not Included</v>
      </c>
      <c r="BE37" s="11" t="str">
        <f t="shared" si="17"/>
        <v>Not Included</v>
      </c>
      <c r="BF37" s="11" t="str">
        <f t="shared" si="18"/>
        <v>Not Included</v>
      </c>
      <c r="BG37" s="11">
        <f>Raw!K37</f>
        <v>2000</v>
      </c>
      <c r="BH37" s="11" t="str">
        <f>IF(Raw!L37 = "USA","USA","Non-USA")</f>
        <v>USA</v>
      </c>
      <c r="BI37" s="11" t="str">
        <f>Raw!M37</f>
        <v>Ainsworth/Cassidy-Marvin</v>
      </c>
      <c r="BJ37" s="11">
        <f>Raw!N37</f>
        <v>1</v>
      </c>
      <c r="BK37" s="11">
        <f>Raw!P37</f>
        <v>0</v>
      </c>
      <c r="BL37" s="11">
        <f>Raw!Q37</f>
        <v>0</v>
      </c>
      <c r="BM37" s="11">
        <f>Raw!T37</f>
        <v>1</v>
      </c>
      <c r="BN37" s="11">
        <f>IFERROR(IF(AND(ISBLANK(Raw!U37), ISBLANK(Raw!V37), ISBLANK(Raw!W37), ISBLANK(Raw!X37)), "NA", IF(OR(NOT(ISBLANK(Raw!U37)), NOT(ISBLANK(Raw!W37))), AVERAGE(Raw!U37,Raw!W37), AVERAGE(Raw!V37,Raw!X37) + IF(Raw!Y37 = "2-way", R37, IF(Raw!Y37 = "3-way", AB37, IF(Raw!Y37 = "4-way", AL37, "NA")))*(1 - AVERAGE(Raw!V37,Raw!X37)))), "NA")</f>
        <v>0.83000000000000007</v>
      </c>
      <c r="BO37" s="11">
        <f>Raw!O37</f>
        <v>0</v>
      </c>
      <c r="BP37" s="11" t="str">
        <f>Raw!F37</f>
        <v>Female</v>
      </c>
      <c r="BQ37" s="11" t="b">
        <f>COUNTIF(Raw!AV37:BK37, "&gt;=0") = 16</f>
        <v>0</v>
      </c>
      <c r="BR37" s="11" t="str">
        <f t="shared" si="19"/>
        <v>Not Included</v>
      </c>
      <c r="BS37" s="11" t="str">
        <f t="shared" si="20"/>
        <v>Not Included</v>
      </c>
      <c r="BT37" s="11" t="str">
        <f>IF(BQ37, IF(COUNTIF(Raw!AV37:BK37, "&gt;=0") = 16, IFERROR((BS37*Raw!AV37 - SUM(Raw!AV37, Raw!AW37, Raw!AX37, Raw!AY37)*SUM(Raw!AV37, Raw!AZ37, Raw!BD37, Raw!BH37)) / SQRT((BS37*SUM(Raw!AV37, Raw!AW37, Raw!AX37, Raw!AY37) - SUM(Raw!AV37, Raw!AW37, Raw!AX37, Raw!AY37)^2) * (BS37*SUM(Raw!AV37, Raw!AZ37, Raw!BD37, Raw!BH37) - SUM(Raw!AV37, Raw!AZ37, Raw!BD37, Raw!BH37)^2)), 0), "No Contingency Table"), "Not Included")</f>
        <v>Not Included</v>
      </c>
      <c r="BU37" s="11" t="str">
        <f>IF(BQ37, IF(COUNTIF(Raw!AV37:BK37, "&gt;=0") = 16, SUM(Raw!BK37,Raw!BJ37,Raw!BI37,Raw!BG37,Raw!BF37,Raw!BE37,Raw!BC37,Raw!BB37,Raw!BA37,Raw!AV37)/SUM(Raw!AV37:BK37), "No Contingency Table"), "Not Included")</f>
        <v>Not Included</v>
      </c>
      <c r="BV37" s="11" t="str">
        <f>IF(BQ37, IF(COUNTIF(Raw!AV37:BK37, "&gt;=0") = 16,SUM(SUM(Raw!AV37,Raw!AW37,Raw!AX37,Raw!AY37)*SUM(Raw!AV37,Raw!AZ37,Raw!BD37,Raw!BH37),SUM(Raw!AZ37:BK37)*SUM(Raw!AW37,Raw!AX37,Raw!AY37,Raw!BA37,Raw!BB37,Raw!BC37,Raw!BE37,Raw!BF37,Raw!BG37,Raw!BI37,Raw!BJ37,Raw!BK37))/BS37^2,"No Contingency Table"), "Not Included")</f>
        <v>Not Included</v>
      </c>
      <c r="BW37" s="11" t="str">
        <f>IF(BQ37, IF(COUNTIF(Raw!AV37:BK37, "&gt;=0") = 16,(BU37-BV37) / (1 - BV37),"No Contingency Table"), "Not Included")</f>
        <v>Not Included</v>
      </c>
      <c r="BX37" s="11" t="b">
        <f t="shared" ref="BX37:BZ37" si="161">BQ37</f>
        <v>0</v>
      </c>
      <c r="BY37" s="11" t="str">
        <f t="shared" si="161"/>
        <v>Not Included</v>
      </c>
      <c r="BZ37" s="11" t="str">
        <f t="shared" si="161"/>
        <v>Not Included</v>
      </c>
      <c r="CA37" s="11" t="str">
        <f>IF(BX37, IF(COUNTIF(Raw!AV37:BK37, "&gt;=0") = 16, IFERROR((BZ37*Raw!BF37 - SUM(Raw!BD37, Raw!BE37, Raw!BF37, Raw!BG37)*SUM(Raw!BF37, Raw!AX37, Raw!BB37, Raw!BJ37)) / SQRT((BZ37*SUM(Raw!BD37, Raw!BE37, Raw!BF37, Raw!BG37) - SUM(Raw!BD37, Raw!BE37, Raw!BF37, Raw!BG37)^2) * (BZ37*SUM(Raw!BF37, Raw!AX37, Raw!BB37, Raw!BJ37) - SUM(Raw!BF37, Raw!AX37, Raw!BB37, Raw!BJ37)^2)), 0), "No Contingency Table"), "Not Included")</f>
        <v>Not Included</v>
      </c>
      <c r="CB37" s="11" t="str">
        <f>IF(BX37, IF(COUNTIF(Raw!AV37:BK37, "&gt;=0") = 16, SUM(Raw!AV37,Raw!AW37,Raw!AY37,Raw!AZ37,Raw!BA37,Raw!BC37,Raw!BF37,Raw!BH37,Raw!BI37,Raw!BK37) / SUM(Raw!AV37:BK37), "No Contingency Table"), "Not Included")</f>
        <v>Not Included</v>
      </c>
      <c r="CC37" s="11" t="str">
        <f>IF(BX37, IF(COUNTIF(Raw!AV37:BK37, "&gt;=0") = 16,SUM(SUM(Raw!BD37,Raw!BE37,Raw!BF37,Raw!BG37)*SUM(Raw!BF37,Raw!AX37,Raw!BB37,Raw!BJ37),SUM(Raw!AV37:BC37,Raw!BH37:BK37)*SUM(Raw!AV37,Raw!AW37,Raw!AY37,Raw!AZ37,Raw!BA37,Raw!BC37,Raw!BD37,Raw!BE37,Raw!BG37,Raw!BH37,Raw!BI37,Raw!BK37))/BZ37^2,"No Contingency Table"), "Not Included")</f>
        <v>Not Included</v>
      </c>
      <c r="CD37" s="11" t="str">
        <f>IF(BX37, IF(COUNTIF(Raw!AV37:BK37, "&gt;=0") = 16,(CB37 - CC37) / (1 - CC37+0.000001),"No Contingency Table"), "Not Included")</f>
        <v>Not Included</v>
      </c>
      <c r="CE37" s="11" t="b">
        <f t="shared" ref="CE37:CG37" si="162">BQ37</f>
        <v>0</v>
      </c>
      <c r="CF37" s="11" t="str">
        <f t="shared" si="162"/>
        <v>Not Included</v>
      </c>
      <c r="CG37" s="11" t="str">
        <f t="shared" si="162"/>
        <v>Not Included</v>
      </c>
      <c r="CH37" s="11" t="str">
        <f>IF(CE37, IF(COUNTIF(Raw!AV37:BK37, "&gt;=0") = 16, IFERROR((CG37*Raw!BA37 - SUM(Raw!BA37, Raw!AZ37, Raw!BB37, Raw!BC37)*SUM(Raw!BA37, Raw!AW37, Raw!BE37, Raw!BI37)) / SQRT((CG37*SUM(Raw!BA37, Raw!AZ37, Raw!BB37, Raw!BC37) - SUM(Raw!BA37, Raw!AZ37, Raw!BB37, Raw!BC37)^2) * (CG37*SUM(Raw!BA37, Raw!AW37, Raw!BE37, Raw!BI37) - SUM(Raw!BA37, Raw!AW37, Raw!BE37, Raw!BI37)^2)), 0), "No Contingency Table"), "Not Included")</f>
        <v>Not Included</v>
      </c>
      <c r="CI37" s="11" t="str">
        <f>IF(CE37, IF(COUNTIF(Raw!AV37:BK37, "&gt;=0") = 16, SUM(Raw!AV37,Raw!AX37,Raw!AY37,Raw!BA37,Raw!BD37,Raw!BF37,Raw!BG37,Raw!BH37,Raw!BJ37,Raw!BK37) / SUM(Raw!AV37:BK37), "No Contingency Table"), "Not Included")</f>
        <v>Not Included</v>
      </c>
      <c r="CJ37" s="61" t="str">
        <f>IF(BX37, IF(COUNTIF(Raw!AV37:BK37, "&gt;=0") = 16,SUM(SUM(Raw!AZ37,Raw!BA37,Raw!BB37,Raw!BC37)*SUM(Raw!BA37,Raw!AW37,Raw!BE37,Raw!BI37),SUM(Raw!AV37:AY37,Raw!BD37:BK37)*SUM(Raw!AV37,Raw!AX37,Raw!AY37,Raw!AZ37,Raw!BB37,Raw!BC37,Raw!BD37,Raw!BF37,Raw!BG37,Raw!BH37,Raw!BJ37,Raw!BK37))/CG37^2,"No Contingency Table"), "Not Included")</f>
        <v>Not Included</v>
      </c>
      <c r="CK37" s="11" t="str">
        <f>IF(BX37, IF(COUNTIF(Raw!AV37:BK37, "&gt;=0") = 16,(CI37 - CJ37) / (1 - CJ37),"No Contingency Table"), "Not Included")</f>
        <v>Not Included</v>
      </c>
      <c r="CL37" s="11" t="str">
        <f>IF(BQ37, IFERROR(Raw!AV37/SUM(Raw!AV37:AY37), 0), "Not Included")</f>
        <v>Not Included</v>
      </c>
      <c r="CM37" s="11" t="str">
        <f>IF(BQ37, IFERROR(Raw!BA37/SUM(Raw!AZ37:BC37), 0), "Not Included")</f>
        <v>Not Included</v>
      </c>
      <c r="CN37" s="11" t="str">
        <f>IF(BQ37, IFERROR(Raw!BF37/SUM(Raw!BD37:BG37), 0), "Not Included")</f>
        <v>Not Included</v>
      </c>
      <c r="CO37" s="11" t="str">
        <f>IF(BQ37, IFERROR(Raw!BK37/SUM(Raw!BH37:BK37), 0), "Not Included")</f>
        <v>Not Included</v>
      </c>
      <c r="CP37" s="11" t="str">
        <f>IF(BQ37, IFERROR(SUM(Raw!AV37,Raw!AX37,Raw!AY37,Raw!BD37,Raw!BF37,Raw!BG37,Raw!BH37,Raw!BJ37,Raw!BK37)/SUM(Raw!AV37,Raw!AW37,Raw!AX37,Raw!AY37,Raw!BD37,Raw!BE37,Raw!BF37,Raw!BG37,Raw!BH37,Raw!BI37,Raw!BJ37,Raw!BK37), 0), "Not Included")</f>
        <v>Not Included</v>
      </c>
      <c r="CQ37" s="11" t="str">
        <f>IF(BQ37, IFERROR(SUM(Raw!AV37:AX37,Raw!AZ37:BB37,Raw!BD37:BF37)/SUM(Raw!AV37:BF37), 0), "Not Included")</f>
        <v>Not Included</v>
      </c>
      <c r="CR37" s="11" t="str">
        <f>IF(BQ37, IFERROR(SUM(Raw!AV37:AY37), 0), "Not Included")</f>
        <v>Not Included</v>
      </c>
      <c r="CS37" s="11" t="str">
        <f>IF(BQ37, IFERROR(SUM(Raw!AZ37:BC37), 0), "Not Included")</f>
        <v>Not Included</v>
      </c>
      <c r="CT37" s="11" t="str">
        <f>IF(BQ37, IFERROR(SUM(Raw!BD37:BG37), 0), "Not Included")</f>
        <v>Not Included</v>
      </c>
      <c r="CU37" s="11" t="str">
        <f>IF(BQ37, IFERROR(SUM(Raw!BH37:BK37), 0), "Not Included")</f>
        <v>Not Included</v>
      </c>
      <c r="CV37" s="11" t="str">
        <f>IF(BQ37, IFERROR(SUM(Raw!AV37,Raw!AW37,Raw!AX37,Raw!AY37,Raw!BD37,Raw!BE37,Raw!BF37,Raw!BG37,Raw!BH37,Raw!BI37,Raw!BJ37,Raw!BK37), 0), "Not Included")</f>
        <v>Not Included</v>
      </c>
      <c r="CW37" s="11" t="str">
        <f>IF(BQ37, IFERROR(SUM(Raw!AV37:BF37), 0), "Not Included")</f>
        <v>Not Included</v>
      </c>
      <c r="CX37" s="11" t="str">
        <f>IF(BQ37, IFERROR((CR37*SUM(Raw!AV37,Raw!AZ37,Raw!BD37,Raw!BH37))/BS37/CR37, 0), "Not Included")</f>
        <v>Not Included</v>
      </c>
      <c r="CY37" s="11" t="str">
        <f>IF(BX37, IFERROR((CS37*SUM(Raw!BA37,Raw!AW37,Raw!BE37,Raw!BI37))/CG37/CS37, 0), "Not Included")</f>
        <v>Not Included</v>
      </c>
      <c r="CZ37" s="11" t="str">
        <f>IF(BX37, IFERROR((CT37*SUM(Raw!BF37,Raw!AX37,Raw!BB37,Raw!BJ37))/BZ37/CT37, 0), "Not Included")</f>
        <v>Not Included</v>
      </c>
      <c r="DA37" s="11" t="str">
        <f>IF(AY37, IFERROR((CU37*SUM(Raw!AY37,Raw!BC37,Raw!BG37,Raw!BK37))/AT37/CU37, 0), "Not Included")</f>
        <v>Not Included</v>
      </c>
      <c r="DB37" s="11" t="str">
        <f>IF(BX37, IFERROR((CV37*SUM(Raw!AV37,Raw!AX37,Raw!AY37,Raw!AZ37,Raw!BB37,Raw!BC37,Raw!BD37,Raw!BF37,Raw!BG37,Raw!BH37,Raw!BJ37,Raw!BK37))/CG37/CV37,0), "Not Included")</f>
        <v>Not Included</v>
      </c>
      <c r="DC37" s="11" t="str">
        <f>IF(AY37, IFERROR((CW37*SUM(Raw!AV37,Raw!AW37,Raw!AX37,Raw!AZ37,Raw!BA37,Raw!BB37,Raw!BD37,Raw!BE37,Raw!BF37,Raw!BH37,Raw!BI37,Raw!BJ37))/AT37/CW37,0), "Not Included")</f>
        <v>Not Included</v>
      </c>
    </row>
    <row r="38" spans="1:107" ht="12.75" customHeight="1">
      <c r="A38" s="11">
        <f>Raw!D38</f>
        <v>26</v>
      </c>
      <c r="B38" s="11" t="str">
        <f>Raw!A38</f>
        <v>Maris et al. (2000)</v>
      </c>
      <c r="C38" s="11">
        <f>Raw!G38</f>
        <v>1</v>
      </c>
      <c r="D38" s="11" t="str">
        <f>Raw!E38</f>
        <v>Cleft palate only</v>
      </c>
      <c r="E38" s="11" t="str">
        <f>CONCATENATE(IF(Raw!I38&lt;='Interval Definitions'!$B$2, 'Interval Definitions'!$A$2, IF(Raw!I38&lt;='Interval Definitions'!$B$3, 'Interval Definitions'!$A$3, IF(Raw!I38&lt;='Interval Definitions'!$B$4, 'Interval Definitions'!$A$4, IF(Raw!I38&lt;='Interval Definitions'!$B$5, 'Interval Definitions'!$A$5, "None")))), " - ", IF(Raw!J38&lt;='Interval Definitions'!$B$2, 'Interval Definitions'!$A$2, IF(Raw!J38&lt;='Interval Definitions'!$B$3, 'Interval Definitions'!$A$3, IF(Raw!J38&lt;='Interval Definitions'!$B$4, 'Interval Definitions'!$A$4, IF(Raw!J38&lt;='Interval Definitions'!$B$5, 'Interval Definitions'!$A$5, "None")))))</f>
        <v>Infancy - Toddlerhood</v>
      </c>
      <c r="F38" s="11" t="b">
        <f>OR(NOT(ISBLANK(Raw!AF38)),NOT(ISBLANK(Raw!AG38)),NOT(ISBLANK(Raw!AH38)),NOT(ISBLANK(Raw!AI38)),COUNTIF(Raw!AA38:AD38, "&gt;=0") = 4)</f>
        <v>1</v>
      </c>
      <c r="G38" s="11" t="str">
        <f>IF(F38, IF(COUNTIF(Raw!AA38:AD38,"&gt;=0") = 4, "Contingency", IF(NOT(ISBLANK(Raw!AF38)), "Paper r", IF(NOT(ISBLANK(Raw!AG38)), "Pinquart", IF(NOT(ISBLANK(Raw!AH38)), "Fraley", "Paper chiSq")))), "Not Included")</f>
        <v>Contingency</v>
      </c>
      <c r="H38" s="15">
        <f>IF(F38,Raw!AE38,"Not Included")</f>
        <v>22</v>
      </c>
      <c r="I38" s="15">
        <f>IF(COUNTIF(Raw!AA38:AD38,"&gt;=0") = 4, SUM(Raw!AA38:AD38), "No Contingency Table")</f>
        <v>22</v>
      </c>
      <c r="J38" s="15">
        <f t="shared" si="0"/>
        <v>22</v>
      </c>
      <c r="K38" s="38">
        <f>IF(F38, IF(COUNTIF(Raw!AA38:AD38,"&gt;=0") = 4, IFERROR((I38*Raw!AA38 - SUM(Raw!AA38,Raw!AB38)*SUM(Raw!AA38,Raw!AD38)) / SQRT((I38*SUM(Raw!AA38,Raw!AB38) - SUM(Raw!AA38,Raw!AB38)^2) * (I38*SUM(Raw!AA38,Raw!AD38) - SUM(Raw!AA38,Raw!AD38)^2)), 0), "No Contingency Table"), "Not Included")</f>
        <v>-0.32539568672798425</v>
      </c>
      <c r="L38" s="41">
        <f>IF(F38,IF(NOT(ISBLANK(Raw!AF38)), Raw!AF38, IF(NOT(ISBLANK(Raw!AG38)), Raw!AG38, IF(NOT(ISBLANK(Raw!AH38)), Raw!AH38, IF(NOT(ISBLANK(Raw!AI38)), SQRT(Raw!AI38/H38)*Raw!AJ38, "Not Reported")))),"Not Included")</f>
        <v>-0.33</v>
      </c>
      <c r="M38" s="43">
        <f t="shared" si="1"/>
        <v>-0.32539568672798425</v>
      </c>
      <c r="N38" s="11">
        <f t="shared" si="2"/>
        <v>1</v>
      </c>
      <c r="O38" s="48" t="b">
        <f>OR(NOT(ISBLANK(Raw!AK38)), COUNTIF(Raw!AA38:AD38, "&gt;=0") = 4)</f>
        <v>1</v>
      </c>
      <c r="P38" s="24" t="str">
        <f>IF(O38,IF(COUNTIF(Raw!AA38:AD38,"&gt;=0") = 4,"Contingency", "Paper k"), "Not Included")</f>
        <v>Contingency</v>
      </c>
      <c r="Q38" s="48">
        <f>IF(O38, IF(COUNTIF(Raw!AA38:AD38,"&gt;=0") = 4,SUM(Raw!AA38,Raw!AC38)/H38,"No Contingency Table"), "Not Included")</f>
        <v>0.36363636363636365</v>
      </c>
      <c r="R38" s="38">
        <f>IF(O38, IF(COUNTIF(Raw!AA38:AD38, "&gt;=0") = 4,SUM(SUM(Raw!AA38,Raw!AB38)*SUM(Raw!AA38,Raw!AD38),SUM(Raw!AC38,Raw!AD38)*SUM(Raw!AC38,Raw!AB38))/H38^2,"No Contingency Table"), "Not Included")</f>
        <v>0.5</v>
      </c>
      <c r="S38" s="38">
        <f>IF(O38, IF(COUNTIF(Raw!AA38:AD38,"&gt;=0") = 4, IFERROR((Q38 - R38) / (1 - R38), "Could not calculate"), "No Contingency Table"), "Not Included")</f>
        <v>-0.27272727272727271</v>
      </c>
      <c r="T38" s="52" t="str">
        <f>IF(O38,IF(NOT(ISBLANK(Raw!AK38)), Raw!AK38, "Not Reported"), "Not Included")</f>
        <v>Not Reported</v>
      </c>
      <c r="U38" s="38">
        <f t="shared" si="3"/>
        <v>-0.27272727272727271</v>
      </c>
      <c r="V38" s="11" t="str">
        <f t="shared" si="4"/>
        <v>NA</v>
      </c>
      <c r="W38" s="11" t="b">
        <f>OR(NOT(ISBLANK(Raw!AU38)),COUNTIF(Raw!AL38:AT38,"&gt;=0") = 9)</f>
        <v>0</v>
      </c>
      <c r="X38" s="11" t="str">
        <f>IF(W38, IF(COUNTIF(Raw!AL38:AT38,"&gt;=0") = 9, "Contingency", "Paper k"), "Not Included")</f>
        <v>Not Included</v>
      </c>
      <c r="Y38" s="11" t="str">
        <f>IF(W38,IF(COUNTIF(Raw!AL38:AT38,"&gt;=0") = 9,SUM(Raw!AL38:AT38),"No Contingency Table"),"Not Included")</f>
        <v>Not Included</v>
      </c>
      <c r="Z38" s="11" t="str">
        <f t="shared" si="5"/>
        <v>Not Included</v>
      </c>
      <c r="AA38" s="11" t="str">
        <f>IF(W38,IF(COUNTIF(Raw!AL38:AT38,"&gt;=0") = 9,SUM(Raw!AL38,Raw!AP38,Raw!AT38)/Y38,"No Contingency Table"), "Not Included")</f>
        <v>Not Included</v>
      </c>
      <c r="AB38" s="11" t="str">
        <f>IF(W38,IF(COUNTIF(Raw!AL38:AT38,"&gt;=0") = 9,SUM(SUM(Raw!AL38,Raw!AM38,Raw!AN38)*SUM(Raw!AL38,Raw!AO38,Raw!AR38),SUM(Raw!AO38,Raw!AP38,Raw!AQ38)*SUM(Raw!AM38,Raw!AP38,Raw!AS38),SUM(Raw!AR38,Raw!AS38,Raw!AT38)*SUM(Raw!AN38,Raw!AQ38,Raw!AT38))/Y38^2,"No Contingency Table"), "Not Included")</f>
        <v>Not Included</v>
      </c>
      <c r="AC38" s="11" t="str">
        <f>IF(W38,IF(COUNTIF(Raw!AL38:AT38,"&gt;=0") = 9,(AA38 - AB38) / (1 - AB38),"No Contingency Table"), "Not Included")</f>
        <v>Not Included</v>
      </c>
      <c r="AD38" s="11" t="str">
        <f>IF(W38, IF(NOT(ISBLANK(Raw!AU38)),Raw!AU38,"Not Reported"), "Not Included")</f>
        <v>Not Included</v>
      </c>
      <c r="AE38" s="11" t="str">
        <f t="shared" si="6"/>
        <v>Not Included</v>
      </c>
      <c r="AF38" s="11" t="str">
        <f t="shared" si="7"/>
        <v>Not Included</v>
      </c>
      <c r="AG38" s="11" t="b">
        <f>COUNTIF(Raw!AV38:BK38, "&gt;=0") = 16</f>
        <v>0</v>
      </c>
      <c r="AH38" s="11" t="str">
        <f>IF(AG38, IF(COUNTIF(Raw!AV38:BK38,"&gt;=0") = 16, "Contingency", "Paper k"), "Not Included")</f>
        <v>Not Included</v>
      </c>
      <c r="AI38" s="11" t="str">
        <f>IF(AG38,IF(COUNTIF(Raw!AV38:BK38,"&gt;=0") = 16,SUM(Raw!AV38:BK38),"No Contingency Table"),"Not Included")</f>
        <v>Not Included</v>
      </c>
      <c r="AJ38" s="15">
        <f t="shared" si="8"/>
        <v>22</v>
      </c>
      <c r="AK38" s="11" t="str">
        <f>IF(AG38,IF(COUNTIF(Raw!AV38:BK38,"&gt;=0") = 16,SUM(Raw!AV38,Raw!BA38,Raw!BF38,Raw!BK38)/AI38,"No Contingency Table"), "Not Included")</f>
        <v>Not Included</v>
      </c>
      <c r="AL38" s="11" t="str">
        <f>IF(AG38,IF(COUNTIF(Raw!AV38:BK38,"&gt;=0") = 16,SUM(SUM(Raw!AV38,Raw!AW38,Raw!AX38,Raw!AY38)*SUM(Raw!AV38,Raw!AZ38,Raw!BD38,Raw!BH38),SUM(Raw!AZ38,Raw!BA38,Raw!BB38,Raw!BC38)*SUM(Raw!AW38,Raw!BA38,Raw!BE38,Raw!BI38),SUM(Raw!BD38,Raw!BE38,Raw!BF38,Raw!BG38)*SUM(Raw!AX38,Raw!BB38,Raw!BF38,Raw!BJ38),SUM(Raw!BH38,Raw!BI38,Raw!BJ38,Raw!BK38)*SUM(Raw!AY38,Raw!BC38,Raw!BG38,Raw!BK38))/AI38^2,"No Contingency Table"), "Not Included")</f>
        <v>Not Included</v>
      </c>
      <c r="AM38" s="11" t="str">
        <f>IF(AG38,IF(COUNTIF(Raw!AV38:BK38,"&gt;=0") = 16,(AK38 - AL38) / (1 - AL38),"No Contingency Table"), "Not Included")</f>
        <v>Not Included</v>
      </c>
      <c r="AN38" s="11" t="str">
        <f>IF(NOT(ISBLANK(Raw!BL38)),Raw!BL38,"Not Reported")</f>
        <v>Not Reported</v>
      </c>
      <c r="AO38" s="11" t="str">
        <f t="shared" si="9"/>
        <v>Not Reported</v>
      </c>
      <c r="AP38" s="11" t="str">
        <f t="shared" si="10"/>
        <v>Not Included</v>
      </c>
      <c r="AQ38" s="11" t="b">
        <f t="shared" ref="AQ38:AR38" si="163">BQ38</f>
        <v>0</v>
      </c>
      <c r="AR38" s="11" t="str">
        <f t="shared" si="163"/>
        <v>Not Included</v>
      </c>
      <c r="AS38" s="11" t="str">
        <f t="shared" si="12"/>
        <v>Not Included</v>
      </c>
      <c r="AT38" s="11" t="str">
        <f t="shared" si="13"/>
        <v>Not Included</v>
      </c>
      <c r="AU38" s="11" t="str">
        <f>IF(AQ38, IF(COUNTIF(Raw!AV38:BK38, "&gt;=0") = 16, IFERROR((AT38*Raw!BK38 - SUM(Raw!BH38, Raw!BI38, Raw!BJ38, Raw!BK38)*SUM(Raw!AY38, Raw!BC38, Raw!BG38, Raw!BK38)) / SQRT((AT38*SUM(Raw!BH38, Raw!BI38, Raw!BJ38, Raw!BK38) - SUM(Raw!BH38, Raw!BI38, Raw!BJ38, Raw!BK38)^2) * (AT38*SUM(Raw!AY38, Raw!BC38, Raw!BG38, Raw!BK38) - SUM(Raw!AY38, Raw!BC38, Raw!BG38, Raw!BK38)^2)), 0), "No Contingency Table"), "Not Included")</f>
        <v>Not Included</v>
      </c>
      <c r="AV38" s="11" t="str">
        <f>IF(AQ38,IF(NOT(ISBLANK(Raw!BQ38)), Raw!BQ38, IF(NOT(ISBLANK(Raw!BR38)), Raw!BR38, "Not Reported")), "Not Included")</f>
        <v>Not Included</v>
      </c>
      <c r="AW38" s="57" t="str">
        <f t="shared" si="14"/>
        <v>Not Included</v>
      </c>
      <c r="AX38" s="11" t="str">
        <f t="shared" si="15"/>
        <v>Not Included</v>
      </c>
      <c r="AY38" s="11" t="b">
        <f t="shared" ref="AY38:AZ38" si="164">AQ38</f>
        <v>0</v>
      </c>
      <c r="AZ38" s="11" t="str">
        <f t="shared" si="164"/>
        <v>Not Included</v>
      </c>
      <c r="BA38" s="11" t="str">
        <f>IF(AY38, IF(COUNTIF(Raw!AV38:BK38, "&gt;=0") = 16, SUM(Raw!AV38,Raw!AW38,Raw!AX38,Raw!AZ38,Raw!BA38,Raw!BB38,Raw!BD38,Raw!BE38,Raw!BF38,Raw!BK38)/SUM(Raw!AV38:BK38), "No Contingency Table"), "Not Included")</f>
        <v>Not Included</v>
      </c>
      <c r="BB38" s="11" t="str">
        <f>IF(AY38, IF(COUNTIF(Raw!AV38:BK38, "&gt;=0") = 16,SUM(SUM(Raw!BH38,Raw!BI38,Raw!BJ38,Raw!BK38)*SUM(Raw!AY38,Raw!BC38,Raw!BG38,Raw!BK38),SUM(Raw!AV38:BG38)*SUM(Raw!AV38,Raw!AW38,Raw!AX38,Raw!AZ38,Raw!BA38,Raw!BB38,Raw!BD38,Raw!BE38,Raw!BF38,Raw!BH38,Raw!BI38,Raw!BJ38))/AT38^2,"No Contingency Table"), "Not Included")</f>
        <v>Not Included</v>
      </c>
      <c r="BC38" s="11" t="str">
        <f>IF(AY38, IF(COUNTIF(Raw!AV38:BK38, "&gt;=0") = 16,(BA38-BB38) / (1 - BB38),"No Contingency Table"), "Not Included")</f>
        <v>Not Included</v>
      </c>
      <c r="BD38" s="11" t="str">
        <f>IF(AY38,IF(NOT(ISBLANK(Raw!BT59)),Raw!BT59,"Not Reported"),"Not Included")</f>
        <v>Not Included</v>
      </c>
      <c r="BE38" s="11" t="str">
        <f t="shared" si="17"/>
        <v>Not Included</v>
      </c>
      <c r="BF38" s="11" t="str">
        <f t="shared" si="18"/>
        <v>Not Included</v>
      </c>
      <c r="BG38" s="11">
        <f>Raw!K38</f>
        <v>2000</v>
      </c>
      <c r="BH38" s="11" t="str">
        <f>IF(Raw!L38 = "USA","USA","Non-USA")</f>
        <v>USA</v>
      </c>
      <c r="BI38" s="11" t="str">
        <f>Raw!M38</f>
        <v>Ainsworth/Cassidy-Marvin</v>
      </c>
      <c r="BJ38" s="11">
        <f>Raw!N38</f>
        <v>1</v>
      </c>
      <c r="BK38" s="11">
        <f>Raw!P38</f>
        <v>0</v>
      </c>
      <c r="BL38" s="11">
        <f>Raw!Q38</f>
        <v>1</v>
      </c>
      <c r="BM38" s="11">
        <f>Raw!T38</f>
        <v>1</v>
      </c>
      <c r="BN38" s="11">
        <f>IFERROR(IF(AND(ISBLANK(Raw!U38), ISBLANK(Raw!V38), ISBLANK(Raw!W38), ISBLANK(Raw!X38)), "NA", IF(OR(NOT(ISBLANK(Raw!U38)), NOT(ISBLANK(Raw!W38))), AVERAGE(Raw!U38,Raw!W38), AVERAGE(Raw!V38,Raw!X38) + IF(Raw!Y38 = "2-way", R38, IF(Raw!Y38 = "3-way", AB38, IF(Raw!Y38 = "4-way", AL38, "NA")))*(1 - AVERAGE(Raw!V38,Raw!X38)))), "NA")</f>
        <v>0.83000000000000007</v>
      </c>
      <c r="BO38" s="11">
        <f>Raw!O38</f>
        <v>0</v>
      </c>
      <c r="BP38" s="11" t="str">
        <f>Raw!F38</f>
        <v>Female</v>
      </c>
      <c r="BQ38" s="11" t="b">
        <f>COUNTIF(Raw!AV38:BK38, "&gt;=0") = 16</f>
        <v>0</v>
      </c>
      <c r="BR38" s="11" t="str">
        <f t="shared" si="19"/>
        <v>Not Included</v>
      </c>
      <c r="BS38" s="11" t="str">
        <f t="shared" si="20"/>
        <v>Not Included</v>
      </c>
      <c r="BT38" s="11" t="str">
        <f>IF(BQ38, IF(COUNTIF(Raw!AV38:BK38, "&gt;=0") = 16, IFERROR((BS38*Raw!AV38 - SUM(Raw!AV38, Raw!AW38, Raw!AX38, Raw!AY38)*SUM(Raw!AV38, Raw!AZ38, Raw!BD38, Raw!BH38)) / SQRT((BS38*SUM(Raw!AV38, Raw!AW38, Raw!AX38, Raw!AY38) - SUM(Raw!AV38, Raw!AW38, Raw!AX38, Raw!AY38)^2) * (BS38*SUM(Raw!AV38, Raw!AZ38, Raw!BD38, Raw!BH38) - SUM(Raw!AV38, Raw!AZ38, Raw!BD38, Raw!BH38)^2)), 0), "No Contingency Table"), "Not Included")</f>
        <v>Not Included</v>
      </c>
      <c r="BU38" s="11" t="str">
        <f>IF(BQ38, IF(COUNTIF(Raw!AV38:BK38, "&gt;=0") = 16, SUM(Raw!BK38,Raw!BJ38,Raw!BI38,Raw!BG38,Raw!BF38,Raw!BE38,Raw!BC38,Raw!BB38,Raw!BA38,Raw!AV38)/SUM(Raw!AV38:BK38), "No Contingency Table"), "Not Included")</f>
        <v>Not Included</v>
      </c>
      <c r="BV38" s="11" t="str">
        <f>IF(BQ38, IF(COUNTIF(Raw!AV38:BK38, "&gt;=0") = 16,SUM(SUM(Raw!AV38,Raw!AW38,Raw!AX38,Raw!AY38)*SUM(Raw!AV38,Raw!AZ38,Raw!BD38,Raw!BH38),SUM(Raw!AZ38:BK38)*SUM(Raw!AW38,Raw!AX38,Raw!AY38,Raw!BA38,Raw!BB38,Raw!BC38,Raw!BE38,Raw!BF38,Raw!BG38,Raw!BI38,Raw!BJ38,Raw!BK38))/BS38^2,"No Contingency Table"), "Not Included")</f>
        <v>Not Included</v>
      </c>
      <c r="BW38" s="11" t="str">
        <f>IF(BQ38, IF(COUNTIF(Raw!AV38:BK38, "&gt;=0") = 16,(BU38-BV38) / (1 - BV38),"No Contingency Table"), "Not Included")</f>
        <v>Not Included</v>
      </c>
      <c r="BX38" s="11" t="b">
        <f t="shared" ref="BX38:BZ38" si="165">BQ38</f>
        <v>0</v>
      </c>
      <c r="BY38" s="11" t="str">
        <f t="shared" si="165"/>
        <v>Not Included</v>
      </c>
      <c r="BZ38" s="11" t="str">
        <f t="shared" si="165"/>
        <v>Not Included</v>
      </c>
      <c r="CA38" s="11" t="str">
        <f>IF(BX38, IF(COUNTIF(Raw!AV38:BK38, "&gt;=0") = 16, IFERROR((BZ38*Raw!BF38 - SUM(Raw!BD38, Raw!BE38, Raw!BF38, Raw!BG38)*SUM(Raw!BF38, Raw!AX38, Raw!BB38, Raw!BJ38)) / SQRT((BZ38*SUM(Raw!BD38, Raw!BE38, Raw!BF38, Raw!BG38) - SUM(Raw!BD38, Raw!BE38, Raw!BF38, Raw!BG38)^2) * (BZ38*SUM(Raw!BF38, Raw!AX38, Raw!BB38, Raw!BJ38) - SUM(Raw!BF38, Raw!AX38, Raw!BB38, Raw!BJ38)^2)), 0), "No Contingency Table"), "Not Included")</f>
        <v>Not Included</v>
      </c>
      <c r="CB38" s="11" t="str">
        <f>IF(BX38, IF(COUNTIF(Raw!AV38:BK38, "&gt;=0") = 16, SUM(Raw!AV38,Raw!AW38,Raw!AY38,Raw!AZ38,Raw!BA38,Raw!BC38,Raw!BF38,Raw!BH38,Raw!BI38,Raw!BK38) / SUM(Raw!AV38:BK38), "No Contingency Table"), "Not Included")</f>
        <v>Not Included</v>
      </c>
      <c r="CC38" s="11" t="str">
        <f>IF(BX38, IF(COUNTIF(Raw!AV38:BK38, "&gt;=0") = 16,SUM(SUM(Raw!BD38,Raw!BE38,Raw!BF38,Raw!BG38)*SUM(Raw!BF38,Raw!AX38,Raw!BB38,Raw!BJ38),SUM(Raw!AV38:BC38,Raw!BH38:BK38)*SUM(Raw!AV38,Raw!AW38,Raw!AY38,Raw!AZ38,Raw!BA38,Raw!BC38,Raw!BD38,Raw!BE38,Raw!BG38,Raw!BH38,Raw!BI38,Raw!BK38))/BZ38^2,"No Contingency Table"), "Not Included")</f>
        <v>Not Included</v>
      </c>
      <c r="CD38" s="11" t="str">
        <f>IF(BX38, IF(COUNTIF(Raw!AV38:BK38, "&gt;=0") = 16,(CB38 - CC38) / (1 - CC38+0.000001),"No Contingency Table"), "Not Included")</f>
        <v>Not Included</v>
      </c>
      <c r="CE38" s="11" t="b">
        <f t="shared" ref="CE38:CG38" si="166">BQ38</f>
        <v>0</v>
      </c>
      <c r="CF38" s="11" t="str">
        <f t="shared" si="166"/>
        <v>Not Included</v>
      </c>
      <c r="CG38" s="11" t="str">
        <f t="shared" si="166"/>
        <v>Not Included</v>
      </c>
      <c r="CH38" s="11" t="str">
        <f>IF(CE38, IF(COUNTIF(Raw!AV38:BK38, "&gt;=0") = 16, IFERROR((CG38*Raw!BA38 - SUM(Raw!BA38, Raw!AZ38, Raw!BB38, Raw!BC38)*SUM(Raw!BA38, Raw!AW38, Raw!BE38, Raw!BI38)) / SQRT((CG38*SUM(Raw!BA38, Raw!AZ38, Raw!BB38, Raw!BC38) - SUM(Raw!BA38, Raw!AZ38, Raw!BB38, Raw!BC38)^2) * (CG38*SUM(Raw!BA38, Raw!AW38, Raw!BE38, Raw!BI38) - SUM(Raw!BA38, Raw!AW38, Raw!BE38, Raw!BI38)^2)), 0), "No Contingency Table"), "Not Included")</f>
        <v>Not Included</v>
      </c>
      <c r="CI38" s="11" t="str">
        <f>IF(CE38, IF(COUNTIF(Raw!AV38:BK38, "&gt;=0") = 16, SUM(Raw!AV38,Raw!AX38,Raw!AY38,Raw!BA38,Raw!BD38,Raw!BF38,Raw!BG38,Raw!BH38,Raw!BJ38,Raw!BK38) / SUM(Raw!AV38:BK38), "No Contingency Table"), "Not Included")</f>
        <v>Not Included</v>
      </c>
      <c r="CJ38" s="61" t="str">
        <f>IF(BX38, IF(COUNTIF(Raw!AV38:BK38, "&gt;=0") = 16,SUM(SUM(Raw!AZ38,Raw!BA38,Raw!BB38,Raw!BC38)*SUM(Raw!BA38,Raw!AW38,Raw!BE38,Raw!BI38),SUM(Raw!AV38:AY38,Raw!BD38:BK38)*SUM(Raw!AV38,Raw!AX38,Raw!AY38,Raw!AZ38,Raw!BB38,Raw!BC38,Raw!BD38,Raw!BF38,Raw!BG38,Raw!BH38,Raw!BJ38,Raw!BK38))/CG38^2,"No Contingency Table"), "Not Included")</f>
        <v>Not Included</v>
      </c>
      <c r="CK38" s="11" t="str">
        <f>IF(BX38, IF(COUNTIF(Raw!AV38:BK38, "&gt;=0") = 16,(CI38 - CJ38) / (1 - CJ38),"No Contingency Table"), "Not Included")</f>
        <v>Not Included</v>
      </c>
      <c r="CL38" s="11" t="str">
        <f>IF(BQ38, IFERROR(Raw!AV38/SUM(Raw!AV38:AY38), 0), "Not Included")</f>
        <v>Not Included</v>
      </c>
      <c r="CM38" s="11" t="str">
        <f>IF(BQ38, IFERROR(Raw!BA38/SUM(Raw!AZ38:BC38), 0), "Not Included")</f>
        <v>Not Included</v>
      </c>
      <c r="CN38" s="11" t="str">
        <f>IF(BQ38, IFERROR(Raw!BF38/SUM(Raw!BD38:BG38), 0), "Not Included")</f>
        <v>Not Included</v>
      </c>
      <c r="CO38" s="11" t="str">
        <f>IF(BQ38, IFERROR(Raw!BK38/SUM(Raw!BH38:BK38), 0), "Not Included")</f>
        <v>Not Included</v>
      </c>
      <c r="CP38" s="11" t="str">
        <f>IF(BQ38, IFERROR(SUM(Raw!AV38,Raw!AX38,Raw!AY38,Raw!BD38,Raw!BF38,Raw!BG38,Raw!BH38,Raw!BJ38,Raw!BK38)/SUM(Raw!AV38,Raw!AW38,Raw!AX38,Raw!AY38,Raw!BD38,Raw!BE38,Raw!BF38,Raw!BG38,Raw!BH38,Raw!BI38,Raw!BJ38,Raw!BK38), 0), "Not Included")</f>
        <v>Not Included</v>
      </c>
      <c r="CQ38" s="11" t="str">
        <f>IF(BQ38, IFERROR(SUM(Raw!AV38:AX38,Raw!AZ38:BB38,Raw!BD38:BF38)/SUM(Raw!AV38:BF38), 0), "Not Included")</f>
        <v>Not Included</v>
      </c>
      <c r="CR38" s="11" t="str">
        <f>IF(BQ38, IFERROR(SUM(Raw!AV38:AY38), 0), "Not Included")</f>
        <v>Not Included</v>
      </c>
      <c r="CS38" s="11" t="str">
        <f>IF(BQ38, IFERROR(SUM(Raw!AZ38:BC38), 0), "Not Included")</f>
        <v>Not Included</v>
      </c>
      <c r="CT38" s="11" t="str">
        <f>IF(BQ38, IFERROR(SUM(Raw!BD38:BG38), 0), "Not Included")</f>
        <v>Not Included</v>
      </c>
      <c r="CU38" s="11" t="str">
        <f>IF(BQ38, IFERROR(SUM(Raw!BH38:BK38), 0), "Not Included")</f>
        <v>Not Included</v>
      </c>
      <c r="CV38" s="11" t="str">
        <f>IF(BQ38, IFERROR(SUM(Raw!AV38,Raw!AW38,Raw!AX38,Raw!AY38,Raw!BD38,Raw!BE38,Raw!BF38,Raw!BG38,Raw!BH38,Raw!BI38,Raw!BJ38,Raw!BK38), 0), "Not Included")</f>
        <v>Not Included</v>
      </c>
      <c r="CW38" s="11" t="str">
        <f>IF(BQ38, IFERROR(SUM(Raw!AV38:BF38), 0), "Not Included")</f>
        <v>Not Included</v>
      </c>
      <c r="CX38" s="11" t="str">
        <f>IF(BQ38, IFERROR((CR38*SUM(Raw!AV38,Raw!AZ38,Raw!BD38,Raw!BH38))/BS38/CR38, 0), "Not Included")</f>
        <v>Not Included</v>
      </c>
      <c r="CY38" s="11" t="str">
        <f>IF(BX38, IFERROR((CS38*SUM(Raw!BA38,Raw!AW38,Raw!BE38,Raw!BI38))/CG38/CS38, 0), "Not Included")</f>
        <v>Not Included</v>
      </c>
      <c r="CZ38" s="11" t="str">
        <f>IF(BX38, IFERROR((CT38*SUM(Raw!BF38,Raw!AX38,Raw!BB38,Raw!BJ38))/BZ38/CT38, 0), "Not Included")</f>
        <v>Not Included</v>
      </c>
      <c r="DA38" s="11" t="str">
        <f>IF(AY38, IFERROR((CU38*SUM(Raw!AY38,Raw!BC38,Raw!BG38,Raw!BK38))/AT38/CU38, 0), "Not Included")</f>
        <v>Not Included</v>
      </c>
      <c r="DB38" s="11" t="str">
        <f>IF(BX38, IFERROR((CV38*SUM(Raw!AV38,Raw!AX38,Raw!AY38,Raw!AZ38,Raw!BB38,Raw!BC38,Raw!BD38,Raw!BF38,Raw!BG38,Raw!BH38,Raw!BJ38,Raw!BK38))/CG38/CV38,0), "Not Included")</f>
        <v>Not Included</v>
      </c>
      <c r="DC38" s="11" t="str">
        <f>IF(AY38, IFERROR((CW38*SUM(Raw!AV38,Raw!AW38,Raw!AX38,Raw!AZ38,Raw!BA38,Raw!BB38,Raw!BD38,Raw!BE38,Raw!BF38,Raw!BH38,Raw!BI38,Raw!BJ38))/AT38/CW38,0), "Not Included")</f>
        <v>Not Included</v>
      </c>
    </row>
    <row r="39" spans="1:107" ht="12.75" customHeight="1">
      <c r="A39" s="11">
        <f>Raw!D39</f>
        <v>27</v>
      </c>
      <c r="B39" s="11" t="str">
        <f>Raw!A39</f>
        <v>Milentijevic, Altman &amp; Ward (1995)</v>
      </c>
      <c r="C39" s="11">
        <f>Raw!G39</f>
        <v>1</v>
      </c>
      <c r="D39" s="11" t="str">
        <f>Raw!E39</f>
        <v>Single sample</v>
      </c>
      <c r="E39" s="11" t="str">
        <f>CONCATENATE(IF(Raw!I39&lt;='Interval Definitions'!$B$2, 'Interval Definitions'!$A$2, IF(Raw!I39&lt;='Interval Definitions'!$B$3, 'Interval Definitions'!$A$3, IF(Raw!I39&lt;='Interval Definitions'!$B$4, 'Interval Definitions'!$A$4, IF(Raw!I39&lt;='Interval Definitions'!$B$5, 'Interval Definitions'!$A$5, "None")))), " - ", IF(Raw!J39&lt;='Interval Definitions'!$B$2, 'Interval Definitions'!$A$2, IF(Raw!J39&lt;='Interval Definitions'!$B$3, 'Interval Definitions'!$A$3, IF(Raw!J39&lt;='Interval Definitions'!$B$4, 'Interval Definitions'!$A$4, IF(Raw!J39&lt;='Interval Definitions'!$B$5, 'Interval Definitions'!$A$5, "None")))))</f>
        <v>Infancy - Preschool</v>
      </c>
      <c r="F39" s="11" t="b">
        <f>OR(NOT(ISBLANK(Raw!AF39)),NOT(ISBLANK(Raw!AG39)),NOT(ISBLANK(Raw!AH39)),NOT(ISBLANK(Raw!AI39)),COUNTIF(Raw!AA39:AD39, "&gt;=0") = 4)</f>
        <v>1</v>
      </c>
      <c r="G39" s="11" t="str">
        <f>IF(F39, IF(COUNTIF(Raw!AA39:AD39,"&gt;=0") = 4, "Contingency", IF(NOT(ISBLANK(Raw!AF39)), "Paper r", IF(NOT(ISBLANK(Raw!AG39)), "Pinquart", IF(NOT(ISBLANK(Raw!AH39)), "Fraley", "Paper chiSq")))), "Not Included")</f>
        <v>Contingency</v>
      </c>
      <c r="H39" s="15">
        <f>IF(F39,Raw!AE39,"Not Included")</f>
        <v>86</v>
      </c>
      <c r="I39" s="15">
        <f>IF(COUNTIF(Raw!AA39:AD39,"&gt;=0") = 4, SUM(Raw!AA39:AD39), "No Contingency Table")</f>
        <v>86</v>
      </c>
      <c r="J39" s="15">
        <f t="shared" si="0"/>
        <v>86</v>
      </c>
      <c r="K39" s="38">
        <f>IF(F39, IF(COUNTIF(Raw!AA39:AD39,"&gt;=0") = 4, IFERROR((I39*Raw!AA39 - SUM(Raw!AA39,Raw!AB39)*SUM(Raw!AA39,Raw!AD39)) / SQRT((I39*SUM(Raw!AA39,Raw!AB39) - SUM(Raw!AA39,Raw!AB39)^2) * (I39*SUM(Raw!AA39,Raw!AD39) - SUM(Raw!AA39,Raw!AD39)^2)), 0), "No Contingency Table"), "Not Included")</f>
        <v>1.3242903670462042E-2</v>
      </c>
      <c r="L39" s="41" t="str">
        <f>IF(F39,IF(NOT(ISBLANK(Raw!AF39)), Raw!AF39, IF(NOT(ISBLANK(Raw!AG39)), Raw!AG39, IF(NOT(ISBLANK(Raw!AH39)), Raw!AH39, IF(NOT(ISBLANK(Raw!AI39)), SQRT(Raw!AI39/H39)*Raw!AJ39, "Not Reported")))),"Not Included")</f>
        <v>Not Reported</v>
      </c>
      <c r="M39" s="43">
        <f t="shared" si="1"/>
        <v>1.3242903670462042E-2</v>
      </c>
      <c r="N39" s="11" t="str">
        <f t="shared" si="2"/>
        <v>NA</v>
      </c>
      <c r="O39" s="48" t="b">
        <f>OR(NOT(ISBLANK(Raw!AK39)), COUNTIF(Raw!AA39:AD39, "&gt;=0") = 4)</f>
        <v>1</v>
      </c>
      <c r="P39" s="24" t="str">
        <f>IF(O39,IF(COUNTIF(Raw!AA39:AD39,"&gt;=0") = 4,"Contingency", "Paper k"), "Not Included")</f>
        <v>Contingency</v>
      </c>
      <c r="Q39" s="48">
        <f>IF(O39, IF(COUNTIF(Raw!AA39:AD39,"&gt;=0") = 4,SUM(Raw!AA39,Raw!AC39)/H39,"No Contingency Table"), "Not Included")</f>
        <v>0.5</v>
      </c>
      <c r="R39" s="38">
        <f>IF(O39, IF(COUNTIF(Raw!AA39:AD39, "&gt;=0") = 4,SUM(SUM(Raw!AA39,Raw!AB39)*SUM(Raw!AA39,Raw!AD39),SUM(Raw!AC39,Raw!AD39)*SUM(Raw!AC39,Raw!AB39))/H39^2,"No Contingency Table"), "Not Included")</f>
        <v>0.49351000540832884</v>
      </c>
      <c r="S39" s="38">
        <f>IF(O39, IF(COUNTIF(Raw!AA39:AD39,"&gt;=0") = 4, IFERROR((Q39 - R39) / (1 - R39), "Could not calculate"), "No Contingency Table"), "Not Included")</f>
        <v>1.2813667912439899E-2</v>
      </c>
      <c r="T39" s="52" t="str">
        <f>IF(O39,IF(NOT(ISBLANK(Raw!AK39)), Raw!AK39, "Not Reported"), "Not Included")</f>
        <v>Not Reported</v>
      </c>
      <c r="U39" s="38">
        <f t="shared" si="3"/>
        <v>1.2813667912439899E-2</v>
      </c>
      <c r="V39" s="11" t="str">
        <f t="shared" si="4"/>
        <v>NA</v>
      </c>
      <c r="W39" s="11" t="b">
        <f>OR(NOT(ISBLANK(Raw!AU39)),COUNTIF(Raw!AL39:AT39,"&gt;=0") = 9)</f>
        <v>0</v>
      </c>
      <c r="X39" s="11" t="str">
        <f>IF(W39, IF(COUNTIF(Raw!AL39:AT39,"&gt;=0") = 9, "Contingency", "Paper k"), "Not Included")</f>
        <v>Not Included</v>
      </c>
      <c r="Y39" s="11" t="str">
        <f>IF(W39,IF(COUNTIF(Raw!AL39:AT39,"&gt;=0") = 9,SUM(Raw!AL39:AT39),"No Contingency Table"),"Not Included")</f>
        <v>Not Included</v>
      </c>
      <c r="Z39" s="11" t="str">
        <f t="shared" si="5"/>
        <v>Not Included</v>
      </c>
      <c r="AA39" s="11" t="str">
        <f>IF(W39,IF(COUNTIF(Raw!AL39:AT39,"&gt;=0") = 9,SUM(Raw!AL39,Raw!AP39,Raw!AT39)/Y39,"No Contingency Table"), "Not Included")</f>
        <v>Not Included</v>
      </c>
      <c r="AB39" s="11" t="str">
        <f>IF(W39,IF(COUNTIF(Raw!AL39:AT39,"&gt;=0") = 9,SUM(SUM(Raw!AL39,Raw!AM39,Raw!AN39)*SUM(Raw!AL39,Raw!AO39,Raw!AR39),SUM(Raw!AO39,Raw!AP39,Raw!AQ39)*SUM(Raw!AM39,Raw!AP39,Raw!AS39),SUM(Raw!AR39,Raw!AS39,Raw!AT39)*SUM(Raw!AN39,Raw!AQ39,Raw!AT39))/Y39^2,"No Contingency Table"), "Not Included")</f>
        <v>Not Included</v>
      </c>
      <c r="AC39" s="11" t="str">
        <f>IF(W39,IF(COUNTIF(Raw!AL39:AT39,"&gt;=0") = 9,(AA39 - AB39) / (1 - AB39),"No Contingency Table"), "Not Included")</f>
        <v>Not Included</v>
      </c>
      <c r="AD39" s="11" t="str">
        <f>IF(W39, IF(NOT(ISBLANK(Raw!AU39)),Raw!AU39,"Not Reported"), "Not Included")</f>
        <v>Not Included</v>
      </c>
      <c r="AE39" s="11" t="str">
        <f t="shared" si="6"/>
        <v>Not Included</v>
      </c>
      <c r="AF39" s="11" t="str">
        <f t="shared" si="7"/>
        <v>Not Included</v>
      </c>
      <c r="AG39" s="11" t="b">
        <f>COUNTIF(Raw!AV39:BK39, "&gt;=0") = 16</f>
        <v>1</v>
      </c>
      <c r="AH39" s="11" t="str">
        <f>IF(AG39, IF(COUNTIF(Raw!AV39:BK39,"&gt;=0") = 16, "Contingency", "Paper k"), "Not Included")</f>
        <v>Contingency</v>
      </c>
      <c r="AI39" s="15">
        <f>IF(AG39,IF(COUNTIF(Raw!AV39:BK39,"&gt;=0") = 16,SUM(Raw!AV39:BK39),"No Contingency Table"),"Not Included")</f>
        <v>86</v>
      </c>
      <c r="AJ39" s="15">
        <f t="shared" si="8"/>
        <v>86</v>
      </c>
      <c r="AK39" s="11">
        <f>IF(AG39,IF(COUNTIF(Raw!AV39:BK39,"&gt;=0") = 16,SUM(Raw!AV39,Raw!BA39,Raw!BF39,Raw!BK39)/AI39,"No Contingency Table"), "Not Included")</f>
        <v>0.40697674418604651</v>
      </c>
      <c r="AL39" s="11">
        <f>IF(AG39,IF(COUNTIF(Raw!AV39:BK39,"&gt;=0") = 16,SUM(SUM(Raw!AV39,Raw!AW39,Raw!AX39,Raw!AY39)*SUM(Raw!AV39,Raw!AZ39,Raw!BD39,Raw!BH39),SUM(Raw!AZ39,Raw!BA39,Raw!BB39,Raw!BC39)*SUM(Raw!AW39,Raw!BA39,Raw!BE39,Raw!BI39),SUM(Raw!BD39,Raw!BE39,Raw!BF39,Raw!BG39)*SUM(Raw!AX39,Raw!BB39,Raw!BF39,Raw!BJ39),SUM(Raw!BH39,Raw!BI39,Raw!BJ39,Raw!BK39)*SUM(Raw!AY39,Raw!BC39,Raw!BG39,Raw!BK39))/AI39^2,"No Contingency Table"), "Not Included")</f>
        <v>0.35911303407247158</v>
      </c>
      <c r="AM39" s="11">
        <f>IF(AG39,IF(COUNTIF(Raw!AV39:BK39,"&gt;=0") = 16,(AK39 - AL39) / (1 - AL39),"No Contingency Table"), "Not Included")</f>
        <v>7.4683544303797506E-2</v>
      </c>
      <c r="AN39" s="11" t="str">
        <f>IF(NOT(ISBLANK(Raw!BL39)),Raw!BL39,"Not Reported")</f>
        <v>Not Reported</v>
      </c>
      <c r="AO39" s="11">
        <f t="shared" si="9"/>
        <v>7.4683544303797506E-2</v>
      </c>
      <c r="AP39" s="11" t="str">
        <f t="shared" si="10"/>
        <v>NA</v>
      </c>
      <c r="AQ39" s="11" t="b">
        <f t="shared" ref="AQ39:AR39" si="167">BQ39</f>
        <v>1</v>
      </c>
      <c r="AR39" s="11" t="str">
        <f t="shared" si="167"/>
        <v>Contingency</v>
      </c>
      <c r="AS39" s="15">
        <f t="shared" si="12"/>
        <v>86</v>
      </c>
      <c r="AT39" s="15">
        <f t="shared" si="13"/>
        <v>86</v>
      </c>
      <c r="AU39" s="11">
        <f>IF(AQ39, IF(COUNTIF(Raw!AV39:BK39, "&gt;=0") = 16, IFERROR((AT39*Raw!BK39 - SUM(Raw!BH39, Raw!BI39, Raw!BJ39, Raw!BK39)*SUM(Raw!AY39, Raw!BC39, Raw!BG39, Raw!BK39)) / SQRT((AT39*SUM(Raw!BH39, Raw!BI39, Raw!BJ39, Raw!BK39) - SUM(Raw!BH39, Raw!BI39, Raw!BJ39, Raw!BK39)^2) * (AT39*SUM(Raw!AY39, Raw!BC39, Raw!BG39, Raw!BK39) - SUM(Raw!AY39, Raw!BC39, Raw!BG39, Raw!BK39)^2)), 0), "No Contingency Table"), "Not Included")</f>
        <v>0.16485939003577049</v>
      </c>
      <c r="AV39" s="11" t="str">
        <f>IF(AQ39,IF(NOT(ISBLANK(Raw!BQ39)), Raw!BQ39, IF(NOT(ISBLANK(Raw!BR39)), Raw!BR39, "Not Reported")), "Not Included")</f>
        <v>Not Reported</v>
      </c>
      <c r="AW39" s="57">
        <f t="shared" si="14"/>
        <v>0.16485939003577049</v>
      </c>
      <c r="AX39" s="11" t="str">
        <f t="shared" si="15"/>
        <v>NA</v>
      </c>
      <c r="AY39" s="11" t="b">
        <f t="shared" ref="AY39:AZ39" si="168">AQ39</f>
        <v>1</v>
      </c>
      <c r="AZ39" s="11" t="str">
        <f t="shared" si="168"/>
        <v>Contingency</v>
      </c>
      <c r="BA39" s="11">
        <f>IF(AY39, IF(COUNTIF(Raw!AV39:BK39, "&gt;=0") = 16, SUM(Raw!AV39,Raw!AW39,Raw!AX39,Raw!AZ39,Raw!BA39,Raw!BB39,Raw!BD39,Raw!BE39,Raw!BF39,Raw!BK39)/SUM(Raw!AV39:BK39), "No Contingency Table"), "Not Included")</f>
        <v>0.68604651162790697</v>
      </c>
      <c r="BB39" s="11">
        <f>IF(AY39, IF(COUNTIF(Raw!AV39:BK39, "&gt;=0") = 16,SUM(SUM(Raw!BH39,Raw!BI39,Raw!BJ39,Raw!BK39)*SUM(Raw!AY39,Raw!BC39,Raw!BG39,Raw!BK39),SUM(Raw!AV39:BG39)*SUM(Raw!AV39,Raw!AW39,Raw!AX39,Raw!AZ39,Raw!BA39,Raw!BB39,Raw!BD39,Raw!BE39,Raw!BF39,Raw!BH39,Raw!BI39,Raw!BJ39))/AT39^2,"No Contingency Table"), "Not Included")</f>
        <v>0.6243915630070308</v>
      </c>
      <c r="BC39" s="11">
        <f>IF(AY39, IF(COUNTIF(Raw!AV39:BK39, "&gt;=0") = 16,(BA39-BB39) / (1 - BB39),"No Contingency Table"), "Not Included")</f>
        <v>0.16414686825054001</v>
      </c>
      <c r="BD39" s="11" t="str">
        <f>IF(AY39,IF(NOT(ISBLANK(Raw!BT60)),Raw!BT60,"Not Reported"),"Not Included")</f>
        <v>Not Reported</v>
      </c>
      <c r="BE39" s="11">
        <f t="shared" si="17"/>
        <v>0.16414686825054001</v>
      </c>
      <c r="BF39" s="11" t="str">
        <f t="shared" si="18"/>
        <v>NA</v>
      </c>
      <c r="BG39" s="11">
        <f>Raw!K39</f>
        <v>1995</v>
      </c>
      <c r="BH39" s="11" t="str">
        <f>IF(Raw!L39 = "USA","USA","Non-USA")</f>
        <v>USA</v>
      </c>
      <c r="BI39" s="11" t="str">
        <f>Raw!M39</f>
        <v>Ainsworth/Cassidy-Marvin</v>
      </c>
      <c r="BJ39" s="11">
        <f>Raw!N39</f>
        <v>0</v>
      </c>
      <c r="BK39" s="11">
        <f>Raw!P39</f>
        <v>1</v>
      </c>
      <c r="BL39" s="11">
        <f>Raw!Q39</f>
        <v>0</v>
      </c>
      <c r="BM39" s="11">
        <f>Raw!T39</f>
        <v>0</v>
      </c>
      <c r="BN39" s="11">
        <f>IFERROR(IF(AND(ISBLANK(Raw!U39), ISBLANK(Raw!V39), ISBLANK(Raw!W39), ISBLANK(Raw!X39)), "NA", IF(OR(NOT(ISBLANK(Raw!U39)), NOT(ISBLANK(Raw!W39))), AVERAGE(Raw!U39,Raw!W39), AVERAGE(Raw!V39,Raw!X39) + IF(Raw!Y39 = "2-way", R39, IF(Raw!Y39 = "3-way", AB39, IF(Raw!Y39 = "4-way", AL39, "NA")))*(1 - AVERAGE(Raw!V39,Raw!X39)))), "NA")</f>
        <v>0.8</v>
      </c>
      <c r="BO39" s="11">
        <f>Raw!O39</f>
        <v>1</v>
      </c>
      <c r="BP39" s="11" t="str">
        <f>Raw!F39</f>
        <v>Female</v>
      </c>
      <c r="BQ39" s="11" t="b">
        <f>COUNTIF(Raw!AV39:BK39, "&gt;=0") = 16</f>
        <v>1</v>
      </c>
      <c r="BR39" s="11" t="str">
        <f t="shared" si="19"/>
        <v>Contingency</v>
      </c>
      <c r="BS39" s="15">
        <f t="shared" si="20"/>
        <v>86</v>
      </c>
      <c r="BT39" s="11">
        <f>IF(BQ39, IF(COUNTIF(Raw!AV39:BK39, "&gt;=0") = 16, IFERROR((BS39*Raw!AV39 - SUM(Raw!AV39, Raw!AW39, Raw!AX39, Raw!AY39)*SUM(Raw!AV39, Raw!AZ39, Raw!BD39, Raw!BH39)) / SQRT((BS39*SUM(Raw!AV39, Raw!AW39, Raw!AX39, Raw!AY39) - SUM(Raw!AV39, Raw!AW39, Raw!AX39, Raw!AY39)^2) * (BS39*SUM(Raw!AV39, Raw!AZ39, Raw!BD39, Raw!BH39) - SUM(Raw!AV39, Raw!AZ39, Raw!BD39, Raw!BH39)^2)), 0), "No Contingency Table"), "Not Included")</f>
        <v>0.14388861576723855</v>
      </c>
      <c r="BU39" s="11">
        <f>IF(BQ39, IF(COUNTIF(Raw!AV39:BK39, "&gt;=0") = 16, SUM(Raw!BK39,Raw!BJ39,Raw!BI39,Raw!BG39,Raw!BF39,Raw!BE39,Raw!BC39,Raw!BB39,Raw!BA39,Raw!AV39)/SUM(Raw!AV39:BK39), "No Contingency Table"), "Not Included")</f>
        <v>0.73255813953488369</v>
      </c>
      <c r="BV39" s="11">
        <f>IF(BQ39, IF(COUNTIF(Raw!AV39:BK39, "&gt;=0") = 16,SUM(SUM(Raw!AV39,Raw!AW39,Raw!AX39,Raw!AY39)*SUM(Raw!AV39,Raw!AZ39,Raw!BD39,Raw!BH39),SUM(Raw!AZ39:BK39)*SUM(Raw!AW39,Raw!AX39,Raw!AY39,Raw!BA39,Raw!BB39,Raw!BC39,Raw!BE39,Raw!BF39,Raw!BG39,Raw!BI39,Raw!BJ39,Raw!BK39))/BS39^2,"No Contingency Table"), "Not Included")</f>
        <v>0.70010816657652786</v>
      </c>
      <c r="BW39" s="11">
        <f>IF(BQ39, IF(COUNTIF(Raw!AV39:BK39, "&gt;=0") = 16,(BU39-BV39) / (1 - BV39),"No Contingency Table"), "Not Included")</f>
        <v>0.10820559062218203</v>
      </c>
      <c r="BX39" s="11" t="b">
        <f t="shared" ref="BX39:BZ39" si="169">BQ39</f>
        <v>1</v>
      </c>
      <c r="BY39" s="11" t="str">
        <f t="shared" si="169"/>
        <v>Contingency</v>
      </c>
      <c r="BZ39" s="15">
        <f t="shared" si="169"/>
        <v>86</v>
      </c>
      <c r="CA39" s="11">
        <f>IF(BX39, IF(COUNTIF(Raw!AV39:BK39, "&gt;=0") = 16, IFERROR((BZ39*Raw!BF39 - SUM(Raw!BD39, Raw!BE39, Raw!BF39, Raw!BG39)*SUM(Raw!BF39, Raw!AX39, Raw!BB39, Raw!BJ39)) / SQRT((BZ39*SUM(Raw!BD39, Raw!BE39, Raw!BF39, Raw!BG39) - SUM(Raw!BD39, Raw!BE39, Raw!BF39, Raw!BG39)^2) * (BZ39*SUM(Raw!BF39, Raw!AX39, Raw!BB39, Raw!BJ39) - SUM(Raw!BF39, Raw!AX39, Raw!BB39, Raw!BJ39)^2)), 0), "No Contingency Table"), "Not Included")</f>
        <v>-5.2065760087546743E-2</v>
      </c>
      <c r="CB39" s="11">
        <f>IF(BX39, IF(COUNTIF(Raw!AV39:BK39, "&gt;=0") = 16, SUM(Raw!AV39,Raw!AW39,Raw!AY39,Raw!AZ39,Raw!BA39,Raw!BC39,Raw!BF39,Raw!BH39,Raw!BI39,Raw!BK39) / SUM(Raw!AV39:BK39), "No Contingency Table"), "Not Included")</f>
        <v>0.89534883720930236</v>
      </c>
      <c r="CC39" s="11">
        <f>IF(BX39, IF(COUNTIF(Raw!AV39:BK39, "&gt;=0") = 16,SUM(SUM(Raw!BD39,Raw!BE39,Raw!BF39,Raw!BG39)*SUM(Raw!BF39,Raw!AX39,Raw!BB39,Raw!BJ39),SUM(Raw!AV39:BC39,Raw!BH39:BK39)*SUM(Raw!AV39,Raw!AW39,Raw!AY39,Raw!AZ39,Raw!BA39,Raw!BC39,Raw!BD39,Raw!BE39,Raw!BG39,Raw!BH39,Raw!BI39,Raw!BK39))/BZ39^2,"No Contingency Table"), "Not Included")</f>
        <v>0.90021633315305571</v>
      </c>
      <c r="CD39" s="11">
        <f>IF(BX39, IF(COUNTIF(Raw!AV39:BK39, "&gt;=0") = 16,(CB39 - CC39) / (1 - CC39+0.000001),"No Contingency Table"), "Not Included")</f>
        <v>-4.8779998947327353E-2</v>
      </c>
      <c r="CE39" s="11" t="b">
        <f t="shared" ref="CE39:CG39" si="170">BQ39</f>
        <v>1</v>
      </c>
      <c r="CF39" s="11" t="str">
        <f t="shared" si="170"/>
        <v>Contingency</v>
      </c>
      <c r="CG39" s="15">
        <f t="shared" si="170"/>
        <v>86</v>
      </c>
      <c r="CH39" s="11">
        <f>IF(CE39, IF(COUNTIF(Raw!AV39:BK39, "&gt;=0") = 16, IFERROR((CG39*Raw!BA39 - SUM(Raw!BA39, Raw!AZ39, Raw!BB39, Raw!BC39)*SUM(Raw!BA39, Raw!AW39, Raw!BE39, Raw!BI39)) / SQRT((CG39*SUM(Raw!BA39, Raw!AZ39, Raw!BB39, Raw!BC39) - SUM(Raw!BA39, Raw!AZ39, Raw!BB39, Raw!BC39)^2) * (CG39*SUM(Raw!BA39, Raw!AW39, Raw!BE39, Raw!BI39) - SUM(Raw!BA39, Raw!AW39, Raw!BE39, Raw!BI39)^2)), 0), "No Contingency Table"), "Not Included")</f>
        <v>1.3242903670462042E-2</v>
      </c>
      <c r="CI39" s="11">
        <f>IF(CE39, IF(COUNTIF(Raw!AV39:BK39, "&gt;=0") = 16, SUM(Raw!AV39,Raw!AX39,Raw!AY39,Raw!BA39,Raw!BD39,Raw!BF39,Raw!BG39,Raw!BH39,Raw!BJ39,Raw!BK39) / SUM(Raw!AV39:BK39), "No Contingency Table"), "Not Included")</f>
        <v>0.5</v>
      </c>
      <c r="CJ39" s="61">
        <f>IF(BX39, IF(COUNTIF(Raw!AV39:BK39, "&gt;=0") = 16,SUM(SUM(Raw!AZ39,Raw!BA39,Raw!BB39,Raw!BC39)*SUM(Raw!BA39,Raw!AW39,Raw!BE39,Raw!BI39),SUM(Raw!AV39:AY39,Raw!BD39:BK39)*SUM(Raw!AV39,Raw!AX39,Raw!AY39,Raw!AZ39,Raw!BB39,Raw!BC39,Raw!BD39,Raw!BF39,Raw!BG39,Raw!BH39,Raw!BJ39,Raw!BK39))/CG39^2,"No Contingency Table"), "Not Included")</f>
        <v>0.49351000540832884</v>
      </c>
      <c r="CK39" s="11">
        <f>IF(BX39, IF(COUNTIF(Raw!AV39:BK39, "&gt;=0") = 16,(CI39 - CJ39) / (1 - CJ39),"No Contingency Table"), "Not Included")</f>
        <v>1.2813667912439899E-2</v>
      </c>
      <c r="CL39" s="11">
        <f>IF(BQ39, IFERROR(Raw!AV39/SUM(Raw!AV39:AY39), 0), "Not Included")</f>
        <v>0.13043478260869565</v>
      </c>
      <c r="CM39" s="11">
        <f>IF(BQ39, IFERROR(Raw!BA39/SUM(Raw!AZ39:BC39), 0), "Not Included")</f>
        <v>0.6</v>
      </c>
      <c r="CN39" s="11">
        <f>IF(BQ39, IFERROR(Raw!BF39/SUM(Raw!BD39:BG39), 0), "Not Included")</f>
        <v>0</v>
      </c>
      <c r="CO39" s="11">
        <f>IF(BQ39, IFERROR(Raw!BK39/SUM(Raw!BH39:BK39), 0), "Not Included")</f>
        <v>0.4</v>
      </c>
      <c r="CP39" s="11">
        <f>IF(BQ39, IFERROR(SUM(Raw!AV39,Raw!AX39,Raw!AY39,Raw!BD39,Raw!BF39,Raw!BG39,Raw!BH39,Raw!BJ39,Raw!BK39)/SUM(Raw!AV39,Raw!AW39,Raw!AX39,Raw!AY39,Raw!BD39,Raw!BE39,Raw!BF39,Raw!BG39,Raw!BH39,Raw!BI39,Raw!BJ39,Raw!BK39), 0), "Not Included")</f>
        <v>0.41304347826086957</v>
      </c>
      <c r="CQ39" s="11">
        <f>IF(BQ39, IFERROR(SUM(Raw!AV39:AX39,Raw!AZ39:BB39,Raw!BD39:BF39)/SUM(Raw!AV39:BF39), 0), "Not Included")</f>
        <v>0.77272727272727271</v>
      </c>
      <c r="CR39" s="11">
        <f>IF(BQ39, IFERROR(SUM(Raw!AV39:AY39), 0), "Not Included")</f>
        <v>23</v>
      </c>
      <c r="CS39" s="11">
        <f>IF(BQ39, IFERROR(SUM(Raw!AZ39:BC39), 0), "Not Included")</f>
        <v>40</v>
      </c>
      <c r="CT39" s="11">
        <f>IF(BQ39, IFERROR(SUM(Raw!BD39:BG39), 0), "Not Included")</f>
        <v>3</v>
      </c>
      <c r="CU39" s="11">
        <f>IF(BQ39, IFERROR(SUM(Raw!BH39:BK39), 0), "Not Included")</f>
        <v>20</v>
      </c>
      <c r="CV39" s="11">
        <f>IF(BQ39, IFERROR(SUM(Raw!AV39,Raw!AW39,Raw!AX39,Raw!AY39,Raw!BD39,Raw!BE39,Raw!BF39,Raw!BG39,Raw!BH39,Raw!BI39,Raw!BJ39,Raw!BK39), 0), "Not Included")</f>
        <v>46</v>
      </c>
      <c r="CW39" s="11">
        <f>IF(BQ39, IFERROR(SUM(Raw!AV39:BF39), 0), "Not Included")</f>
        <v>66</v>
      </c>
      <c r="CX39" s="11">
        <f>IF(BQ39, IFERROR((CR39*SUM(Raw!AV39,Raw!AZ39,Raw!BD39,Raw!BH39))/BS39/CR39, 0), "Not Included")</f>
        <v>6.9767441860465115E-2</v>
      </c>
      <c r="CY39" s="11">
        <f>IF(BX39, IFERROR((CS39*SUM(Raw!BA39,Raw!AW39,Raw!BE39,Raw!BI39))/CG39/CS39, 0), "Not Included")</f>
        <v>0.59302325581395343</v>
      </c>
      <c r="CZ39" s="11">
        <f>IF(BX39, IFERROR((CT39*SUM(Raw!BF39,Raw!AX39,Raw!BB39,Raw!BJ39))/BZ39/CT39, 0), "Not Included")</f>
        <v>6.9767441860465115E-2</v>
      </c>
      <c r="DA39" s="11">
        <f>IF(AY39, IFERROR((CU39*SUM(Raw!AY39,Raw!BC39,Raw!BG39,Raw!BK39))/AT39/CU39, 0), "Not Included")</f>
        <v>0.26744186046511625</v>
      </c>
      <c r="DB39" s="11">
        <f>IF(BX39, IFERROR((CV39*SUM(Raw!AV39,Raw!AX39,Raw!AY39,Raw!AZ39,Raw!BB39,Raw!BC39,Raw!BD39,Raw!BF39,Raw!BG39,Raw!BH39,Raw!BJ39,Raw!BK39))/CG39/CV39,0), "Not Included")</f>
        <v>0.40697674418604651</v>
      </c>
      <c r="DC39" s="11">
        <f>IF(AY39, IFERROR((CW39*SUM(Raw!AV39,Raw!AW39,Raw!AX39,Raw!AZ39,Raw!BA39,Raw!BB39,Raw!BD39,Raw!BE39,Raw!BF39,Raw!BH39,Raw!BI39,Raw!BJ39))/AT39/CW39,0), "Not Included")</f>
        <v>0.73255813953488369</v>
      </c>
    </row>
    <row r="40" spans="1:107" ht="12.75" customHeight="1">
      <c r="A40" s="11">
        <f>Raw!D40</f>
        <v>28</v>
      </c>
      <c r="B40" s="11" t="str">
        <f>Raw!A40</f>
        <v>Moss et al. (2005)</v>
      </c>
      <c r="C40" s="11">
        <f>Raw!G40</f>
        <v>1</v>
      </c>
      <c r="D40" s="11" t="str">
        <f>Raw!E40</f>
        <v>Single sample</v>
      </c>
      <c r="E40" s="11" t="str">
        <f>CONCATENATE(IF(Raw!I40&lt;='Interval Definitions'!$B$2, 'Interval Definitions'!$A$2, IF(Raw!I40&lt;='Interval Definitions'!$B$3, 'Interval Definitions'!$A$3, IF(Raw!I40&lt;='Interval Definitions'!$B$4, 'Interval Definitions'!$A$4, IF(Raw!I40&lt;='Interval Definitions'!$B$5, 'Interval Definitions'!$A$5, "None")))), " - ", IF(Raw!J40&lt;='Interval Definitions'!$B$2, 'Interval Definitions'!$A$2, IF(Raw!J40&lt;='Interval Definitions'!$B$3, 'Interval Definitions'!$A$3, IF(Raw!J40&lt;='Interval Definitions'!$B$4, 'Interval Definitions'!$A$4, IF(Raw!J40&lt;='Interval Definitions'!$B$5, 'Interval Definitions'!$A$5, "None")))))</f>
        <v>Preschool - Preschool</v>
      </c>
      <c r="F40" s="11" t="b">
        <f>OR(NOT(ISBLANK(Raw!AF40)),NOT(ISBLANK(Raw!AG40)),NOT(ISBLANK(Raw!AH40)),NOT(ISBLANK(Raw!AI40)),COUNTIF(Raw!AA40:AD40, "&gt;=0") = 4)</f>
        <v>1</v>
      </c>
      <c r="G40" s="11" t="str">
        <f>IF(F40, IF(COUNTIF(Raw!AA40:AD40,"&gt;=0") = 4, "Contingency", IF(NOT(ISBLANK(Raw!AF40)), "Paper r", IF(NOT(ISBLANK(Raw!AG40)), "Pinquart", IF(NOT(ISBLANK(Raw!AH40)), "Fraley", "Paper chiSq")))), "Not Included")</f>
        <v>Contingency</v>
      </c>
      <c r="H40" s="15">
        <f>IF(F40,Raw!AE40,"Not Included")</f>
        <v>120</v>
      </c>
      <c r="I40" s="15">
        <f>IF(COUNTIF(Raw!AA40:AD40,"&gt;=0") = 4, SUM(Raw!AA40:AD40), "No Contingency Table")</f>
        <v>120</v>
      </c>
      <c r="J40" s="15">
        <f t="shared" si="0"/>
        <v>120</v>
      </c>
      <c r="K40" s="38">
        <f>IF(F40, IF(COUNTIF(Raw!AA40:AD40,"&gt;=0") = 4, IFERROR((I40*Raw!AA40 - SUM(Raw!AA40,Raw!AB40)*SUM(Raw!AA40,Raw!AD40)) / SQRT((I40*SUM(Raw!AA40,Raw!AB40) - SUM(Raw!AA40,Raw!AB40)^2) * (I40*SUM(Raw!AA40,Raw!AD40) - SUM(Raw!AA40,Raw!AD40)^2)), 0), "No Contingency Table"), "Not Included")</f>
        <v>0.54890743121239594</v>
      </c>
      <c r="L40" s="41" t="str">
        <f>IF(F40,IF(NOT(ISBLANK(Raw!AF40)), Raw!AF40, IF(NOT(ISBLANK(Raw!AG40)), Raw!AG40, IF(NOT(ISBLANK(Raw!AH40)), Raw!AH40, IF(NOT(ISBLANK(Raw!AI40)), SQRT(Raw!AI40/H40)*Raw!AJ40, "Not Reported")))),"Not Included")</f>
        <v>Not Reported</v>
      </c>
      <c r="M40" s="43">
        <f t="shared" si="1"/>
        <v>0.54890743121239594</v>
      </c>
      <c r="N40" s="11" t="str">
        <f t="shared" si="2"/>
        <v>NA</v>
      </c>
      <c r="O40" s="48" t="b">
        <f>OR(NOT(ISBLANK(Raw!AK40)), COUNTIF(Raw!AA40:AD40, "&gt;=0") = 4)</f>
        <v>1</v>
      </c>
      <c r="P40" s="24" t="str">
        <f>IF(O40,IF(COUNTIF(Raw!AA40:AD40,"&gt;=0") = 4,"Contingency", "Paper k"), "Not Included")</f>
        <v>Contingency</v>
      </c>
      <c r="Q40" s="48">
        <f>IF(O40, IF(COUNTIF(Raw!AA40:AD40,"&gt;=0") = 4,SUM(Raw!AA40,Raw!AC40)/H40,"No Contingency Table"), "Not Included")</f>
        <v>0.76666666666666672</v>
      </c>
      <c r="R40" s="38">
        <f>IF(O40, IF(COUNTIF(Raw!AA40:AD40, "&gt;=0") = 4,SUM(SUM(Raw!AA40,Raw!AB40)*SUM(Raw!AA40,Raw!AD40),SUM(Raw!AC40,Raw!AD40)*SUM(Raw!AC40,Raw!AB40))/H40^2,"No Contingency Table"), "Not Included")</f>
        <v>0.505</v>
      </c>
      <c r="S40" s="38">
        <f>IF(O40, IF(COUNTIF(Raw!AA40:AD40,"&gt;=0") = 4, IFERROR((Q40 - R40) / (1 - R40), "Could not calculate"), "No Contingency Table"), "Not Included")</f>
        <v>0.52861952861952877</v>
      </c>
      <c r="T40" s="52" t="str">
        <f>IF(O40,IF(NOT(ISBLANK(Raw!AK40)), Raw!AK40, "Not Reported"), "Not Included")</f>
        <v>Not Reported</v>
      </c>
      <c r="U40" s="38">
        <f t="shared" si="3"/>
        <v>0.52861952861952877</v>
      </c>
      <c r="V40" s="11" t="str">
        <f t="shared" si="4"/>
        <v>NA</v>
      </c>
      <c r="W40" s="11" t="b">
        <f>OR(NOT(ISBLANK(Raw!AU40)),COUNTIF(Raw!AL40:AT40,"&gt;=0") = 9)</f>
        <v>0</v>
      </c>
      <c r="X40" s="11" t="str">
        <f>IF(W40, IF(COUNTIF(Raw!AL40:AT40,"&gt;=0") = 9, "Contingency", "Paper k"), "Not Included")</f>
        <v>Not Included</v>
      </c>
      <c r="Y40" s="11" t="str">
        <f>IF(W40,IF(COUNTIF(Raw!AL40:AT40,"&gt;=0") = 9,SUM(Raw!AL40:AT40),"No Contingency Table"),"Not Included")</f>
        <v>Not Included</v>
      </c>
      <c r="Z40" s="11" t="str">
        <f t="shared" si="5"/>
        <v>Not Included</v>
      </c>
      <c r="AA40" s="11" t="str">
        <f>IF(W40,IF(COUNTIF(Raw!AL40:AT40,"&gt;=0") = 9,SUM(Raw!AL40,Raw!AP40,Raw!AT40)/Y40,"No Contingency Table"), "Not Included")</f>
        <v>Not Included</v>
      </c>
      <c r="AB40" s="11" t="str">
        <f>IF(W40,IF(COUNTIF(Raw!AL40:AT40,"&gt;=0") = 9,SUM(SUM(Raw!AL40,Raw!AM40,Raw!AN40)*SUM(Raw!AL40,Raw!AO40,Raw!AR40),SUM(Raw!AO40,Raw!AP40,Raw!AQ40)*SUM(Raw!AM40,Raw!AP40,Raw!AS40),SUM(Raw!AR40,Raw!AS40,Raw!AT40)*SUM(Raw!AN40,Raw!AQ40,Raw!AT40))/Y40^2,"No Contingency Table"), "Not Included")</f>
        <v>Not Included</v>
      </c>
      <c r="AC40" s="11" t="str">
        <f>IF(W40,IF(COUNTIF(Raw!AL40:AT40,"&gt;=0") = 9,(AA40 - AB40) / (1 - AB40),"No Contingency Table"), "Not Included")</f>
        <v>Not Included</v>
      </c>
      <c r="AD40" s="11" t="str">
        <f>IF(W40, IF(NOT(ISBLANK(Raw!AU40)),Raw!AU40,"Not Reported"), "Not Included")</f>
        <v>Not Included</v>
      </c>
      <c r="AE40" s="11" t="str">
        <f t="shared" si="6"/>
        <v>Not Included</v>
      </c>
      <c r="AF40" s="11" t="str">
        <f t="shared" si="7"/>
        <v>Not Included</v>
      </c>
      <c r="AG40" s="11" t="b">
        <f>COUNTIF(Raw!AV40:BK40, "&gt;=0") = 16</f>
        <v>1</v>
      </c>
      <c r="AH40" s="11" t="str">
        <f>IF(AG40, IF(COUNTIF(Raw!AV40:BK40,"&gt;=0") = 16, "Contingency", "Paper k"), "Not Included")</f>
        <v>Contingency</v>
      </c>
      <c r="AI40" s="15">
        <f>IF(AG40,IF(COUNTIF(Raw!AV40:BK40,"&gt;=0") = 16,SUM(Raw!AV40:BK40),"No Contingency Table"),"Not Included")</f>
        <v>120</v>
      </c>
      <c r="AJ40" s="15">
        <f t="shared" si="8"/>
        <v>120</v>
      </c>
      <c r="AK40" s="11">
        <f>IF(AG40,IF(COUNTIF(Raw!AV40:BK40,"&gt;=0") = 16,SUM(Raw!AV40,Raw!BA40,Raw!BF40,Raw!BK40)/AI40,"No Contingency Table"), "Not Included")</f>
        <v>0.67500000000000004</v>
      </c>
      <c r="AL40" s="11">
        <f>IF(AG40,IF(COUNTIF(Raw!AV40:BK40,"&gt;=0") = 16,SUM(SUM(Raw!AV40,Raw!AW40,Raw!AX40,Raw!AY40)*SUM(Raw!AV40,Raw!AZ40,Raw!BD40,Raw!BH40),SUM(Raw!AZ40,Raw!BA40,Raw!BB40,Raw!BC40)*SUM(Raw!AW40,Raw!BA40,Raw!BE40,Raw!BI40),SUM(Raw!BD40,Raw!BE40,Raw!BF40,Raw!BG40)*SUM(Raw!AX40,Raw!BB40,Raw!BF40,Raw!BJ40),SUM(Raw!BH40,Raw!BI40,Raw!BJ40,Raw!BK40)*SUM(Raw!AY40,Raw!BC40,Raw!BG40,Raw!BK40))/AI40^2,"No Contingency Table"), "Not Included")</f>
        <v>0.39173611111111112</v>
      </c>
      <c r="AM40" s="11">
        <f>IF(AG40,IF(COUNTIF(Raw!AV40:BK40,"&gt;=0") = 16,(AK40 - AL40) / (1 - AL40),"No Contingency Table"), "Not Included")</f>
        <v>0.46569243064276744</v>
      </c>
      <c r="AN40" s="32">
        <f>IF(NOT(ISBLANK(Raw!BL40)),Raw!BL40,"Not Reported")</f>
        <v>0.47</v>
      </c>
      <c r="AO40" s="11">
        <f t="shared" si="9"/>
        <v>0.46569243064276744</v>
      </c>
      <c r="AP40" s="11">
        <f t="shared" si="10"/>
        <v>1</v>
      </c>
      <c r="AQ40" s="11" t="b">
        <f t="shared" ref="AQ40:AR40" si="171">BQ40</f>
        <v>1</v>
      </c>
      <c r="AR40" s="11" t="str">
        <f t="shared" si="171"/>
        <v>Contingency</v>
      </c>
      <c r="AS40" s="15">
        <f t="shared" si="12"/>
        <v>120</v>
      </c>
      <c r="AT40" s="15">
        <f t="shared" si="13"/>
        <v>120</v>
      </c>
      <c r="AU40" s="11">
        <f>IF(AQ40, IF(COUNTIF(Raw!AV40:BK40, "&gt;=0") = 16, IFERROR((AT40*Raw!BK40 - SUM(Raw!BH40, Raw!BI40, Raw!BJ40, Raw!BK40)*SUM(Raw!AY40, Raw!BC40, Raw!BG40, Raw!BK40)) / SQRT((AT40*SUM(Raw!BH40, Raw!BI40, Raw!BJ40, Raw!BK40) - SUM(Raw!BH40, Raw!BI40, Raw!BJ40, Raw!BK40)^2) * (AT40*SUM(Raw!AY40, Raw!BC40, Raw!BG40, Raw!BK40) - SUM(Raw!AY40, Raw!BC40, Raw!BG40, Raw!BK40)^2)), 0), "No Contingency Table"), "Not Included")</f>
        <v>0.51145972506332726</v>
      </c>
      <c r="AV40" s="11" t="str">
        <f>IF(AQ40,IF(NOT(ISBLANK(Raw!BQ40)), Raw!BQ40, IF(NOT(ISBLANK(Raw!BR40)), Raw!BR40, "Not Reported")), "Not Included")</f>
        <v>Not Reported</v>
      </c>
      <c r="AW40" s="57">
        <f t="shared" si="14"/>
        <v>0.51145972506332726</v>
      </c>
      <c r="AX40" s="11" t="str">
        <f t="shared" si="15"/>
        <v>NA</v>
      </c>
      <c r="AY40" s="11" t="b">
        <f t="shared" ref="AY40:AZ40" si="172">AQ40</f>
        <v>1</v>
      </c>
      <c r="AZ40" s="11" t="str">
        <f t="shared" si="172"/>
        <v>Contingency</v>
      </c>
      <c r="BA40" s="11">
        <f>IF(AY40, IF(COUNTIF(Raw!AV40:BK40, "&gt;=0") = 16, SUM(Raw!AV40,Raw!AW40,Raw!AX40,Raw!AZ40,Raw!BA40,Raw!BB40,Raw!BD40,Raw!BE40,Raw!BF40,Raw!BK40)/SUM(Raw!AV40:BK40), "No Contingency Table"), "Not Included")</f>
        <v>0.8666666666666667</v>
      </c>
      <c r="BB40" s="11">
        <f>IF(AY40, IF(COUNTIF(Raw!AV40:BK40, "&gt;=0") = 16,SUM(SUM(Raw!BH40,Raw!BI40,Raw!BJ40,Raw!BK40)*SUM(Raw!AY40,Raw!BC40,Raw!BG40,Raw!BK40),SUM(Raw!AV40:BG40)*SUM(Raw!AV40,Raw!AW40,Raw!AX40,Raw!AZ40,Raw!BA40,Raw!BB40,Raw!BD40,Raw!BE40,Raw!BF40,Raw!BH40,Raw!BI40,Raw!BJ40))/AT40^2,"No Contingency Table"), "Not Included")</f>
        <v>0.74152777777777779</v>
      </c>
      <c r="BC40" s="11">
        <f>IF(AY40, IF(COUNTIF(Raw!AV40:BK40, "&gt;=0") = 16,(BA40-BB40) / (1 - BB40),"No Contingency Table"), "Not Included")</f>
        <v>0.48414830736163361</v>
      </c>
      <c r="BD40" s="11" t="str">
        <f>IF(AY40,IF(NOT(ISBLANK(Raw!BT61)),Raw!BT61,"Not Reported"),"Not Included")</f>
        <v>Not Reported</v>
      </c>
      <c r="BE40" s="11">
        <f t="shared" si="17"/>
        <v>0.48414830736163361</v>
      </c>
      <c r="BF40" s="11" t="str">
        <f t="shared" si="18"/>
        <v>NA</v>
      </c>
      <c r="BG40" s="11">
        <f>Raw!K40</f>
        <v>2005</v>
      </c>
      <c r="BH40" s="11" t="str">
        <f>IF(Raw!L40 = "USA","USA","Non-USA")</f>
        <v>Non-USA</v>
      </c>
      <c r="BI40" s="11" t="str">
        <f>Raw!M40</f>
        <v>Cassidy-Marvin/Main-Cassidy</v>
      </c>
      <c r="BJ40" s="11">
        <f>Raw!N40</f>
        <v>1</v>
      </c>
      <c r="BK40" s="11">
        <f>Raw!P40</f>
        <v>0</v>
      </c>
      <c r="BL40" s="11">
        <f>Raw!Q40</f>
        <v>0</v>
      </c>
      <c r="BM40" s="11">
        <f>Raw!T40</f>
        <v>1</v>
      </c>
      <c r="BN40" s="11">
        <f>IFERROR(IF(AND(ISBLANK(Raw!U40), ISBLANK(Raw!V40), ISBLANK(Raw!W40), ISBLANK(Raw!X40)), "NA", IF(OR(NOT(ISBLANK(Raw!U40)), NOT(ISBLANK(Raw!W40))), AVERAGE(Raw!U40,Raw!W40), AVERAGE(Raw!V40,Raw!X40) + IF(Raw!Y40 = "2-way", R40, IF(Raw!Y40 = "3-way", AB40, IF(Raw!Y40 = "4-way", AL40, "NA")))*(1 - AVERAGE(Raw!V40,Raw!X40)))), "NA")</f>
        <v>0.89500000000000002</v>
      </c>
      <c r="BO40" s="11">
        <f>Raw!O40</f>
        <v>0</v>
      </c>
      <c r="BP40" s="11" t="str">
        <f>Raw!F40</f>
        <v>Female</v>
      </c>
      <c r="BQ40" s="11" t="b">
        <f>COUNTIF(Raw!AV40:BK40, "&gt;=0") = 16</f>
        <v>1</v>
      </c>
      <c r="BR40" s="11" t="str">
        <f t="shared" si="19"/>
        <v>Contingency</v>
      </c>
      <c r="BS40" s="15">
        <f t="shared" si="20"/>
        <v>120</v>
      </c>
      <c r="BT40" s="11">
        <f>IF(BQ40, IF(COUNTIF(Raw!AV40:BK40, "&gt;=0") = 16, IFERROR((BS40*Raw!AV40 - SUM(Raw!AV40, Raw!AW40, Raw!AX40, Raw!AY40)*SUM(Raw!AV40, Raw!AZ40, Raw!BD40, Raw!BH40)) / SQRT((BS40*SUM(Raw!AV40, Raw!AW40, Raw!AX40, Raw!AY40) - SUM(Raw!AV40, Raw!AW40, Raw!AX40, Raw!AY40)^2) * (BS40*SUM(Raw!AV40, Raw!AZ40, Raw!BD40, Raw!BH40) - SUM(Raw!AV40, Raw!AZ40, Raw!BD40, Raw!BH40)^2)), 0), "No Contingency Table"), "Not Included")</f>
        <v>0.33275807380904077</v>
      </c>
      <c r="BU40" s="11">
        <f>IF(BQ40, IF(COUNTIF(Raw!AV40:BK40, "&gt;=0") = 16, SUM(Raw!BK40,Raw!BJ40,Raw!BI40,Raw!BG40,Raw!BF40,Raw!BE40,Raw!BC40,Raw!BB40,Raw!BA40,Raw!AV40)/SUM(Raw!AV40:BK40), "No Contingency Table"), "Not Included")</f>
        <v>0.84166666666666667</v>
      </c>
      <c r="BV40" s="11">
        <f>IF(BQ40, IF(COUNTIF(Raw!AV40:BK40, "&gt;=0") = 16,SUM(SUM(Raw!AV40,Raw!AW40,Raw!AX40,Raw!AY40)*SUM(Raw!AV40,Raw!AZ40,Raw!BD40,Raw!BH40),SUM(Raw!AZ40:BK40)*SUM(Raw!AW40,Raw!AX40,Raw!AY40,Raw!BA40,Raw!BB40,Raw!BC40,Raw!BE40,Raw!BF40,Raw!BG40,Raw!BI40,Raw!BJ40,Raw!BK40))/BS40^2,"No Contingency Table"), "Not Included")</f>
        <v>0.76277777777777778</v>
      </c>
      <c r="BW40" s="11">
        <f>IF(BQ40, IF(COUNTIF(Raw!AV40:BK40, "&gt;=0") = 16,(BU40-BV40) / (1 - BV40),"No Contingency Table"), "Not Included")</f>
        <v>0.33255269320843095</v>
      </c>
      <c r="BX40" s="11" t="b">
        <f t="shared" ref="BX40:BZ40" si="173">BQ40</f>
        <v>1</v>
      </c>
      <c r="BY40" s="11" t="str">
        <f t="shared" si="173"/>
        <v>Contingency</v>
      </c>
      <c r="BZ40" s="15">
        <f t="shared" si="173"/>
        <v>120</v>
      </c>
      <c r="CA40" s="11">
        <f>IF(BX40, IF(COUNTIF(Raw!AV40:BK40, "&gt;=0") = 16, IFERROR((BZ40*Raw!BF40 - SUM(Raw!BD40, Raw!BE40, Raw!BF40, Raw!BG40)*SUM(Raw!BF40, Raw!AX40, Raw!BB40, Raw!BJ40)) / SQRT((BZ40*SUM(Raw!BD40, Raw!BE40, Raw!BF40, Raw!BG40) - SUM(Raw!BD40, Raw!BE40, Raw!BF40, Raw!BG40)^2) * (BZ40*SUM(Raw!BF40, Raw!AX40, Raw!BB40, Raw!BJ40) - SUM(Raw!BF40, Raw!AX40, Raw!BB40, Raw!BJ40)^2)), 0), "No Contingency Table"), "Not Included")</f>
        <v>0.45429370321378015</v>
      </c>
      <c r="CB40" s="11">
        <f>IF(BX40, IF(COUNTIF(Raw!AV40:BK40, "&gt;=0") = 16, SUM(Raw!AV40,Raw!AW40,Raw!AY40,Raw!AZ40,Raw!BA40,Raw!BC40,Raw!BF40,Raw!BH40,Raw!BI40,Raw!BK40) / SUM(Raw!AV40:BK40), "No Contingency Table"), "Not Included")</f>
        <v>0.875</v>
      </c>
      <c r="CC40" s="11">
        <f>IF(BX40, IF(COUNTIF(Raw!AV40:BK40, "&gt;=0") = 16,SUM(SUM(Raw!BD40,Raw!BE40,Raw!BF40,Raw!BG40)*SUM(Raw!BF40,Raw!AX40,Raw!BB40,Raw!BJ40),SUM(Raw!AV40:BC40,Raw!BH40:BK40)*SUM(Raw!AV40,Raw!AW40,Raw!AY40,Raw!AZ40,Raw!BA40,Raw!BC40,Raw!BD40,Raw!BE40,Raw!BG40,Raw!BH40,Raw!BI40,Raw!BK40))/BZ40^2,"No Contingency Table"), "Not Included")</f>
        <v>0.77416666666666667</v>
      </c>
      <c r="CD40" s="11">
        <f>IF(BX40, IF(COUNTIF(Raw!AV40:BK40, "&gt;=0") = 16,(CB40 - CC40) / (1 - CC40+0.000001),"No Contingency Table"), "Not Included")</f>
        <v>0.44649248785614232</v>
      </c>
      <c r="CE40" s="11" t="b">
        <f t="shared" ref="CE40:CG40" si="174">BQ40</f>
        <v>1</v>
      </c>
      <c r="CF40" s="11" t="str">
        <f t="shared" si="174"/>
        <v>Contingency</v>
      </c>
      <c r="CG40" s="15">
        <f t="shared" si="174"/>
        <v>120</v>
      </c>
      <c r="CH40" s="11">
        <f>IF(CE40, IF(COUNTIF(Raw!AV40:BK40, "&gt;=0") = 16, IFERROR((CG40*Raw!BA40 - SUM(Raw!BA40, Raw!AZ40, Raw!BB40, Raw!BC40)*SUM(Raw!BA40, Raw!AW40, Raw!BE40, Raw!BI40)) / SQRT((CG40*SUM(Raw!BA40, Raw!AZ40, Raw!BB40, Raw!BC40) - SUM(Raw!BA40, Raw!AZ40, Raw!BB40, Raw!BC40)^2) * (CG40*SUM(Raw!BA40, Raw!AW40, Raw!BE40, Raw!BI40) - SUM(Raw!BA40, Raw!AW40, Raw!BE40, Raw!BI40)^2)), 0), "No Contingency Table"), "Not Included")</f>
        <v>0.54890743121239594</v>
      </c>
      <c r="CI40" s="11">
        <f>IF(CE40, IF(COUNTIF(Raw!AV40:BK40, "&gt;=0") = 16, SUM(Raw!AV40,Raw!AX40,Raw!AY40,Raw!BA40,Raw!BD40,Raw!BF40,Raw!BG40,Raw!BH40,Raw!BJ40,Raw!BK40) / SUM(Raw!AV40:BK40), "No Contingency Table"), "Not Included")</f>
        <v>0.76666666666666672</v>
      </c>
      <c r="CJ40" s="61">
        <f>IF(BX40, IF(COUNTIF(Raw!AV40:BK40, "&gt;=0") = 16,SUM(SUM(Raw!AZ40,Raw!BA40,Raw!BB40,Raw!BC40)*SUM(Raw!BA40,Raw!AW40,Raw!BE40,Raw!BI40),SUM(Raw!AV40:AY40,Raw!BD40:BK40)*SUM(Raw!AV40,Raw!AX40,Raw!AY40,Raw!AZ40,Raw!BB40,Raw!BC40,Raw!BD40,Raw!BF40,Raw!BG40,Raw!BH40,Raw!BJ40,Raw!BK40))/CG40^2,"No Contingency Table"), "Not Included")</f>
        <v>0.505</v>
      </c>
      <c r="CK40" s="11">
        <f>IF(BX40, IF(COUNTIF(Raw!AV40:BK40, "&gt;=0") = 16,(CI40 - CJ40) / (1 - CJ40),"No Contingency Table"), "Not Included")</f>
        <v>0.52861952861952877</v>
      </c>
      <c r="CL40" s="11">
        <f>IF(BQ40, IFERROR(Raw!AV40/SUM(Raw!AV40:AY40), 0), "Not Included")</f>
        <v>0.4375</v>
      </c>
      <c r="CM40" s="11">
        <f>IF(BQ40, IFERROR(Raw!BA40/SUM(Raw!AZ40:BC40), 0), "Not Included")</f>
        <v>0.71794871794871795</v>
      </c>
      <c r="CN40" s="11">
        <f>IF(BQ40, IFERROR(Raw!BF40/SUM(Raw!BD40:BG40), 0), "Not Included")</f>
        <v>0.61538461538461542</v>
      </c>
      <c r="CO40" s="11">
        <f>IF(BQ40, IFERROR(Raw!BK40/SUM(Raw!BH40:BK40), 0), "Not Included")</f>
        <v>0.76923076923076927</v>
      </c>
      <c r="CP40" s="11">
        <f>IF(BQ40, IFERROR(SUM(Raw!AV40,Raw!AX40,Raw!AY40,Raw!BD40,Raw!BF40,Raw!BG40,Raw!BH40,Raw!BJ40,Raw!BK40)/SUM(Raw!AV40,Raw!AW40,Raw!AX40,Raw!AY40,Raw!BD40,Raw!BE40,Raw!BF40,Raw!BG40,Raw!BH40,Raw!BI40,Raw!BJ40,Raw!BK40), 0), "Not Included")</f>
        <v>0.8571428571428571</v>
      </c>
      <c r="CQ40" s="11">
        <f>IF(BQ40, IFERROR(SUM(Raw!AV40:AX40,Raw!AZ40:BB40,Raw!BD40:BF40)/SUM(Raw!AV40:BF40), 0), "Not Included")</f>
        <v>0.89523809523809528</v>
      </c>
      <c r="CR40" s="11">
        <f>IF(BQ40, IFERROR(SUM(Raw!AV40:AY40), 0), "Not Included")</f>
        <v>16</v>
      </c>
      <c r="CS40" s="11">
        <f>IF(BQ40, IFERROR(SUM(Raw!AZ40:BC40), 0), "Not Included")</f>
        <v>78</v>
      </c>
      <c r="CT40" s="11">
        <f>IF(BQ40, IFERROR(SUM(Raw!BD40:BG40), 0), "Not Included")</f>
        <v>13</v>
      </c>
      <c r="CU40" s="11">
        <f>IF(BQ40, IFERROR(SUM(Raw!BH40:BK40), 0), "Not Included")</f>
        <v>13</v>
      </c>
      <c r="CV40" s="11">
        <f>IF(BQ40, IFERROR(SUM(Raw!AV40,Raw!AW40,Raw!AX40,Raw!AY40,Raw!BD40,Raw!BE40,Raw!BF40,Raw!BG40,Raw!BH40,Raw!BI40,Raw!BJ40,Raw!BK40), 0), "Not Included")</f>
        <v>42</v>
      </c>
      <c r="CW40" s="11">
        <f>IF(BQ40, IFERROR(SUM(Raw!AV40:BF40), 0), "Not Included")</f>
        <v>105</v>
      </c>
      <c r="CX40" s="11">
        <f>IF(BQ40, IFERROR((CR40*SUM(Raw!AV40,Raw!AZ40,Raw!BD40,Raw!BH40))/BS40/CR40, 0), "Not Included")</f>
        <v>0.14166666666666666</v>
      </c>
      <c r="CY40" s="11">
        <f>IF(BX40, IFERROR((CS40*SUM(Raw!BA40,Raw!AW40,Raw!BE40,Raw!BI40))/CG40/CS40, 0), "Not Included")</f>
        <v>0.51666666666666661</v>
      </c>
      <c r="CZ40" s="11">
        <f>IF(BX40, IFERROR((CT40*SUM(Raw!BF40,Raw!AX40,Raw!BB40,Raw!BJ40))/BZ40/CT40, 0), "Not Included")</f>
        <v>0.15</v>
      </c>
      <c r="DA40" s="11">
        <f>IF(AY40, IFERROR((CU40*SUM(Raw!AY40,Raw!BC40,Raw!BG40,Raw!BK40))/AT40/CU40, 0), "Not Included")</f>
        <v>0.19166666666666668</v>
      </c>
      <c r="DB40" s="11">
        <f>IF(BX40, IFERROR((CV40*SUM(Raw!AV40,Raw!AX40,Raw!AY40,Raw!AZ40,Raw!BB40,Raw!BC40,Raw!BD40,Raw!BF40,Raw!BG40,Raw!BH40,Raw!BJ40,Raw!BK40))/CG40/CV40,0), "Not Included")</f>
        <v>0.48333333333333334</v>
      </c>
      <c r="DC40" s="11">
        <f>IF(AY40, IFERROR((CW40*SUM(Raw!AV40,Raw!AW40,Raw!AX40,Raw!AZ40,Raw!BA40,Raw!BB40,Raw!BD40,Raw!BE40,Raw!BF40,Raw!BH40,Raw!BI40,Raw!BJ40))/AT40/CW40,0), "Not Included")</f>
        <v>0.80833333333333335</v>
      </c>
    </row>
    <row r="41" spans="1:107" ht="12.75" customHeight="1">
      <c r="A41" s="11">
        <f>Raw!D41</f>
        <v>29</v>
      </c>
      <c r="B41" s="11" t="str">
        <f>Raw!A41</f>
        <v>NICHD (2001)</v>
      </c>
      <c r="C41" s="11">
        <f>Raw!G41</f>
        <v>1</v>
      </c>
      <c r="D41" s="11" t="str">
        <f>Raw!E41</f>
        <v>Single sample</v>
      </c>
      <c r="E41" s="11" t="str">
        <f>CONCATENATE(IF(Raw!I41&lt;='Interval Definitions'!$B$2, 'Interval Definitions'!$A$2, IF(Raw!I41&lt;='Interval Definitions'!$B$3, 'Interval Definitions'!$A$3, IF(Raw!I41&lt;='Interval Definitions'!$B$4, 'Interval Definitions'!$A$4, IF(Raw!I41&lt;='Interval Definitions'!$B$5, 'Interval Definitions'!$A$5, "None")))), " - ", IF(Raw!J41&lt;='Interval Definitions'!$B$2, 'Interval Definitions'!$A$2, IF(Raw!J41&lt;='Interval Definitions'!$B$3, 'Interval Definitions'!$A$3, IF(Raw!J41&lt;='Interval Definitions'!$B$4, 'Interval Definitions'!$A$4, IF(Raw!J41&lt;='Interval Definitions'!$B$5, 'Interval Definitions'!$A$5, "None")))))</f>
        <v>Infancy - Toddlerhood</v>
      </c>
      <c r="F41" s="11" t="b">
        <f>OR(NOT(ISBLANK(Raw!AF41)),NOT(ISBLANK(Raw!AG41)),NOT(ISBLANK(Raw!AH41)),NOT(ISBLANK(Raw!AI41)),COUNTIF(Raw!AA41:AD41, "&gt;=0") = 4)</f>
        <v>1</v>
      </c>
      <c r="G41" s="11" t="str">
        <f>IF(F41, IF(COUNTIF(Raw!AA41:AD41,"&gt;=0") = 4, "Contingency", IF(NOT(ISBLANK(Raw!AF41)), "Paper r", IF(NOT(ISBLANK(Raw!AG41)), "Pinquart", IF(NOT(ISBLANK(Raw!AH41)), "Fraley", "Paper chiSq")))), "Not Included")</f>
        <v>Contingency</v>
      </c>
      <c r="H41" s="15">
        <f>IF(F41,Raw!AE41,"Not Included")</f>
        <v>1060</v>
      </c>
      <c r="I41" s="15">
        <f>IF(COUNTIF(Raw!AA41:AD41,"&gt;=0") = 4, SUM(Raw!AA41:AD41), "No Contingency Table")</f>
        <v>1060</v>
      </c>
      <c r="J41" s="15">
        <f t="shared" si="0"/>
        <v>1060</v>
      </c>
      <c r="K41" s="38">
        <f>IF(F41, IF(COUNTIF(Raw!AA41:AD41,"&gt;=0") = 4, IFERROR((I41*Raw!AA41 - SUM(Raw!AA41,Raw!AB41)*SUM(Raw!AA41,Raw!AD41)) / SQRT((I41*SUM(Raw!AA41,Raw!AB41) - SUM(Raw!AA41,Raw!AB41)^2) * (I41*SUM(Raw!AA41,Raw!AD41) - SUM(Raw!AA41,Raw!AD41)^2)), 0), "No Contingency Table"), "Not Included")</f>
        <v>4.4764388864901937E-2</v>
      </c>
      <c r="L41" s="41">
        <f>IF(F41,IF(NOT(ISBLANK(Raw!AF41)), Raw!AF41, IF(NOT(ISBLANK(Raw!AG41)), Raw!AG41, IF(NOT(ISBLANK(Raw!AH41)), Raw!AH41, IF(NOT(ISBLANK(Raw!AI41)), SQRT(Raw!AI41/H41)*Raw!AJ41, "Not Reported")))),"Not Included")</f>
        <v>0.05</v>
      </c>
      <c r="M41" s="43">
        <f t="shared" si="1"/>
        <v>4.4764388864901937E-2</v>
      </c>
      <c r="N41" s="11">
        <f t="shared" si="2"/>
        <v>0</v>
      </c>
      <c r="O41" s="48" t="b">
        <f>OR(NOT(ISBLANK(Raw!AK41)), COUNTIF(Raw!AA41:AD41, "&gt;=0") = 4)</f>
        <v>1</v>
      </c>
      <c r="P41" s="24" t="str">
        <f>IF(O41,IF(COUNTIF(Raw!AA41:AD41,"&gt;=0") = 4,"Contingency", "Paper k"), "Not Included")</f>
        <v>Contingency</v>
      </c>
      <c r="Q41" s="48">
        <f>IF(O41, IF(COUNTIF(Raw!AA41:AD41,"&gt;=0") = 4,SUM(Raw!AA41,Raw!AC41)/H41,"No Contingency Table"), "Not Included")</f>
        <v>0.55000000000000004</v>
      </c>
      <c r="R41" s="38">
        <f>IF(O41, IF(COUNTIF(Raw!AA41:AD41, "&gt;=0") = 4,SUM(SUM(Raw!AA41,Raw!AB41)*SUM(Raw!AA41,Raw!AD41),SUM(Raw!AC41,Raw!AD41)*SUM(Raw!AC41,Raw!AB41))/H41^2,"No Contingency Table"), "Not Included")</f>
        <v>0.52891420434318259</v>
      </c>
      <c r="S41" s="38">
        <f>IF(O41, IF(COUNTIF(Raw!AA41:AD41,"&gt;=0") = 4, IFERROR((Q41 - R41) / (1 - R41), "Could not calculate"), "No Contingency Table"), "Not Included")</f>
        <v>4.4759990327066242E-2</v>
      </c>
      <c r="T41" s="52" t="str">
        <f>IF(O41,IF(NOT(ISBLANK(Raw!AK41)), Raw!AK41, "Not Reported"), "Not Included")</f>
        <v>Not Reported</v>
      </c>
      <c r="U41" s="38">
        <f t="shared" si="3"/>
        <v>4.4759990327066242E-2</v>
      </c>
      <c r="V41" s="11" t="str">
        <f t="shared" si="4"/>
        <v>NA</v>
      </c>
      <c r="W41" s="11" t="b">
        <f>OR(NOT(ISBLANK(Raw!AU41)),COUNTIF(Raw!AL41:AT41,"&gt;=0") = 9)</f>
        <v>0</v>
      </c>
      <c r="X41" s="11" t="str">
        <f>IF(W41, IF(COUNTIF(Raw!AL41:AT41,"&gt;=0") = 9, "Contingency", "Paper k"), "Not Included")</f>
        <v>Not Included</v>
      </c>
      <c r="Y41" s="11" t="str">
        <f>IF(W41,IF(COUNTIF(Raw!AL41:AT41,"&gt;=0") = 9,SUM(Raw!AL41:AT41),"No Contingency Table"),"Not Included")</f>
        <v>Not Included</v>
      </c>
      <c r="Z41" s="11" t="str">
        <f t="shared" si="5"/>
        <v>Not Included</v>
      </c>
      <c r="AA41" s="11" t="str">
        <f>IF(W41,IF(COUNTIF(Raw!AL41:AT41,"&gt;=0") = 9,SUM(Raw!AL41,Raw!AP41,Raw!AT41)/Y41,"No Contingency Table"), "Not Included")</f>
        <v>Not Included</v>
      </c>
      <c r="AB41" s="11" t="str">
        <f>IF(W41,IF(COUNTIF(Raw!AL41:AT41,"&gt;=0") = 9,SUM(SUM(Raw!AL41,Raw!AM41,Raw!AN41)*SUM(Raw!AL41,Raw!AO41,Raw!AR41),SUM(Raw!AO41,Raw!AP41,Raw!AQ41)*SUM(Raw!AM41,Raw!AP41,Raw!AS41),SUM(Raw!AR41,Raw!AS41,Raw!AT41)*SUM(Raw!AN41,Raw!AQ41,Raw!AT41))/Y41^2,"No Contingency Table"), "Not Included")</f>
        <v>Not Included</v>
      </c>
      <c r="AC41" s="11" t="str">
        <f>IF(W41,IF(COUNTIF(Raw!AL41:AT41,"&gt;=0") = 9,(AA41 - AB41) / (1 - AB41),"No Contingency Table"), "Not Included")</f>
        <v>Not Included</v>
      </c>
      <c r="AD41" s="11" t="str">
        <f>IF(W41, IF(NOT(ISBLANK(Raw!AU41)),Raw!AU41,"Not Reported"), "Not Included")</f>
        <v>Not Included</v>
      </c>
      <c r="AE41" s="11" t="str">
        <f t="shared" si="6"/>
        <v>Not Included</v>
      </c>
      <c r="AF41" s="11" t="str">
        <f t="shared" si="7"/>
        <v>Not Included</v>
      </c>
      <c r="AG41" s="11" t="b">
        <f>COUNTIF(Raw!AV41:BK41, "&gt;=0") = 16</f>
        <v>1</v>
      </c>
      <c r="AH41" s="11" t="str">
        <f>IF(AG41, IF(COUNTIF(Raw!AV41:BK41,"&gt;=0") = 16, "Contingency", "Paper k"), "Not Included")</f>
        <v>Contingency</v>
      </c>
      <c r="AI41" s="15">
        <f>IF(AG41,IF(COUNTIF(Raw!AV41:BK41,"&gt;=0") = 16,SUM(Raw!AV41:BK41),"No Contingency Table"),"Not Included")</f>
        <v>1060</v>
      </c>
      <c r="AJ41" s="15">
        <f t="shared" si="8"/>
        <v>1060</v>
      </c>
      <c r="AK41" s="11">
        <f>IF(AG41,IF(COUNTIF(Raw!AV41:BK41,"&gt;=0") = 16,SUM(Raw!AV41,Raw!BA41,Raw!BF41,Raw!BK41)/AI41,"No Contingency Table"), "Not Included")</f>
        <v>0.46415094339622642</v>
      </c>
      <c r="AL41" s="11">
        <f>IF(AG41,IF(COUNTIF(Raw!AV41:BK41,"&gt;=0") = 16,SUM(SUM(Raw!AV41,Raw!AW41,Raw!AX41,Raw!AY41)*SUM(Raw!AV41,Raw!AZ41,Raw!BD41,Raw!BH41),SUM(Raw!AZ41,Raw!BA41,Raw!BB41,Raw!BC41)*SUM(Raw!AW41,Raw!BA41,Raw!BE41,Raw!BI41),SUM(Raw!BD41,Raw!BE41,Raw!BF41,Raw!BG41)*SUM(Raw!AX41,Raw!BB41,Raw!BF41,Raw!BJ41),SUM(Raw!BH41,Raw!BI41,Raw!BJ41,Raw!BK41)*SUM(Raw!AY41,Raw!BC41,Raw!BG41,Raw!BK41))/AI41^2,"No Contingency Table"), "Not Included")</f>
        <v>0.43155126379494479</v>
      </c>
      <c r="AM41" s="11">
        <f>IF(AG41,IF(COUNTIF(Raw!AV41:BK41,"&gt;=0") = 16,(AK41 - AL41) / (1 - AL41),"No Contingency Table"), "Not Included")</f>
        <v>5.7348495167595943E-2</v>
      </c>
      <c r="AN41" s="32">
        <f>IF(NOT(ISBLANK(Raw!BL41)),Raw!BL41,"Not Reported")</f>
        <v>0.06</v>
      </c>
      <c r="AO41" s="11">
        <f t="shared" si="9"/>
        <v>5.7348495167595943E-2</v>
      </c>
      <c r="AP41" s="11">
        <f t="shared" si="10"/>
        <v>1</v>
      </c>
      <c r="AQ41" s="11" t="b">
        <f t="shared" ref="AQ41:AR41" si="175">BQ41</f>
        <v>1</v>
      </c>
      <c r="AR41" s="11" t="str">
        <f t="shared" si="175"/>
        <v>Contingency</v>
      </c>
      <c r="AS41" s="15">
        <f t="shared" si="12"/>
        <v>1060</v>
      </c>
      <c r="AT41" s="15">
        <f t="shared" si="13"/>
        <v>1060</v>
      </c>
      <c r="AU41" s="11">
        <f>IF(AQ41, IF(COUNTIF(Raw!AV41:BK41, "&gt;=0") = 16, IFERROR((AT41*Raw!BK41 - SUM(Raw!BH41, Raw!BI41, Raw!BJ41, Raw!BK41)*SUM(Raw!AY41, Raw!BC41, Raw!BG41, Raw!BK41)) / SQRT((AT41*SUM(Raw!BH41, Raw!BI41, Raw!BJ41, Raw!BK41) - SUM(Raw!BH41, Raw!BI41, Raw!BJ41, Raw!BK41)^2) * (AT41*SUM(Raw!AY41, Raw!BC41, Raw!BG41, Raw!BK41) - SUM(Raw!AY41, Raw!BC41, Raw!BG41, Raw!BK41)^2)), 0), "No Contingency Table"), "Not Included")</f>
        <v>5.0033283297392553E-2</v>
      </c>
      <c r="AV41" s="11" t="str">
        <f>IF(AQ41,IF(NOT(ISBLANK(Raw!BQ41)), Raw!BQ41, IF(NOT(ISBLANK(Raw!BR41)), Raw!BR41, "Not Reported")), "Not Included")</f>
        <v>Not Reported</v>
      </c>
      <c r="AW41" s="57">
        <f t="shared" si="14"/>
        <v>5.0033283297392553E-2</v>
      </c>
      <c r="AX41" s="11" t="str">
        <f t="shared" si="15"/>
        <v>NA</v>
      </c>
      <c r="AY41" s="11" t="b">
        <f t="shared" ref="AY41:AZ41" si="176">AQ41</f>
        <v>1</v>
      </c>
      <c r="AZ41" s="11" t="str">
        <f t="shared" si="176"/>
        <v>Contingency</v>
      </c>
      <c r="BA41" s="11">
        <f>IF(AY41, IF(COUNTIF(Raw!AV41:BK41, "&gt;=0") = 16, SUM(Raw!AV41,Raw!AW41,Raw!AX41,Raw!AZ41,Raw!BA41,Raw!BB41,Raw!BD41,Raw!BE41,Raw!BF41,Raw!BK41)/SUM(Raw!AV41:BK41), "No Contingency Table"), "Not Included")</f>
        <v>0.74905660377358485</v>
      </c>
      <c r="BB41" s="11">
        <f>IF(AY41, IF(COUNTIF(Raw!AV41:BK41, "&gt;=0") = 16,SUM(SUM(Raw!BH41,Raw!BI41,Raw!BJ41,Raw!BK41)*SUM(Raw!AY41,Raw!BC41,Raw!BG41,Raw!BK41),SUM(Raw!AV41:BG41)*SUM(Raw!AV41,Raw!AW41,Raw!AX41,Raw!AZ41,Raw!BA41,Raw!BB41,Raw!BD41,Raw!BE41,Raw!BF41,Raw!BH41,Raw!BI41,Raw!BJ41))/AT41^2,"No Contingency Table"), "Not Included")</f>
        <v>0.73584015663937341</v>
      </c>
      <c r="BC41" s="11">
        <f>IF(AY41, IF(COUNTIF(Raw!AV41:BK41, "&gt;=0") = 16,(BA41-BB41) / (1 - BB41),"No Contingency Table"), "Not Included")</f>
        <v>5.0032007007850043E-2</v>
      </c>
      <c r="BD41" s="11" t="str">
        <f>IF(AY41,IF(NOT(ISBLANK(Raw!BT62)),Raw!BT62,"Not Reported"),"Not Included")</f>
        <v>Not Reported</v>
      </c>
      <c r="BE41" s="11">
        <f t="shared" si="17"/>
        <v>5.0032007007850043E-2</v>
      </c>
      <c r="BF41" s="11" t="str">
        <f t="shared" si="18"/>
        <v>NA</v>
      </c>
      <c r="BG41" s="11">
        <f>Raw!K41</f>
        <v>2001</v>
      </c>
      <c r="BH41" s="11" t="str">
        <f>IF(Raw!L41 = "USA","USA","Non-USA")</f>
        <v>USA</v>
      </c>
      <c r="BI41" s="11" t="str">
        <f>Raw!M41</f>
        <v>Ainsworth/Cassidy-Marvin</v>
      </c>
      <c r="BJ41" s="11">
        <f>Raw!N41</f>
        <v>1</v>
      </c>
      <c r="BK41" s="11">
        <f>Raw!P41</f>
        <v>0</v>
      </c>
      <c r="BL41" s="11">
        <f>Raw!Q41</f>
        <v>0</v>
      </c>
      <c r="BM41" s="11">
        <f>Raw!T41</f>
        <v>1</v>
      </c>
      <c r="BN41" s="11">
        <f>IFERROR(IF(AND(ISBLANK(Raw!U41), ISBLANK(Raw!V41), ISBLANK(Raw!W41), ISBLANK(Raw!X41)), "NA", IF(OR(NOT(ISBLANK(Raw!U41)), NOT(ISBLANK(Raw!W41))), AVERAGE(Raw!U41,Raw!W41), AVERAGE(Raw!V41,Raw!X41) + IF(Raw!Y41 = "2-way", R41, IF(Raw!Y41 = "3-way", AB41, IF(Raw!Y41 = "4-way", AL41, "NA")))*(1 - AVERAGE(Raw!V41,Raw!X41)))), "NA")</f>
        <v>0.78849999999999998</v>
      </c>
      <c r="BO41" s="11">
        <f>Raw!O41</f>
        <v>0</v>
      </c>
      <c r="BP41" s="11" t="str">
        <f>Raw!F41</f>
        <v>Female</v>
      </c>
      <c r="BQ41" s="11" t="b">
        <f>COUNTIF(Raw!AV41:BK41, "&gt;=0") = 16</f>
        <v>1</v>
      </c>
      <c r="BR41" s="11" t="str">
        <f t="shared" si="19"/>
        <v>Contingency</v>
      </c>
      <c r="BS41" s="15">
        <f t="shared" si="20"/>
        <v>1060</v>
      </c>
      <c r="BT41" s="11">
        <f>IF(BQ41, IF(COUNTIF(Raw!AV41:BK41, "&gt;=0") = 16, IFERROR((BS41*Raw!AV41 - SUM(Raw!AV41, Raw!AW41, Raw!AX41, Raw!AY41)*SUM(Raw!AV41, Raw!AZ41, Raw!BD41, Raw!BH41)) / SQRT((BS41*SUM(Raw!AV41, Raw!AW41, Raw!AX41, Raw!AY41) - SUM(Raw!AV41, Raw!AW41, Raw!AX41, Raw!AY41)^2) * (BS41*SUM(Raw!AV41, Raw!AZ41, Raw!BD41, Raw!BH41) - SUM(Raw!AV41, Raw!AZ41, Raw!BD41, Raw!BH41)^2)), 0), "No Contingency Table"), "Not Included")</f>
        <v>9.5972114080755053E-2</v>
      </c>
      <c r="BU41" s="11">
        <f>IF(BQ41, IF(COUNTIF(Raw!AV41:BK41, "&gt;=0") = 16, SUM(Raw!BK41,Raw!BJ41,Raw!BI41,Raw!BG41,Raw!BF41,Raw!BE41,Raw!BC41,Raw!BB41,Raw!BA41,Raw!AV41)/SUM(Raw!AV41:BK41), "No Contingency Table"), "Not Included")</f>
        <v>0.84150943396226419</v>
      </c>
      <c r="BV41" s="11">
        <f>IF(BQ41, IF(COUNTIF(Raw!AV41:BK41, "&gt;=0") = 16,SUM(SUM(Raw!AV41,Raw!AW41,Raw!AX41,Raw!AY41)*SUM(Raw!AV41,Raw!AZ41,Raw!BD41,Raw!BH41),SUM(Raw!AZ41:BK41)*SUM(Raw!AW41,Raw!AX41,Raw!AY41,Raw!BA41,Raw!BB41,Raw!BC41,Raw!BE41,Raw!BF41,Raw!BG41,Raw!BI41,Raw!BJ41,Raw!BK41))/BS41^2,"No Contingency Table"), "Not Included")</f>
        <v>0.82704877180491276</v>
      </c>
      <c r="BW41" s="11">
        <f>IF(BQ41, IF(COUNTIF(Raw!AV41:BK41, "&gt;=0") = 16,(BU41-BV41) / (1 - BV41),"No Contingency Table"), "Not Included")</f>
        <v>8.3611214029887901E-2</v>
      </c>
      <c r="BX41" s="11" t="b">
        <f t="shared" ref="BX41:BZ41" si="177">BQ41</f>
        <v>1</v>
      </c>
      <c r="BY41" s="11" t="str">
        <f t="shared" si="177"/>
        <v>Contingency</v>
      </c>
      <c r="BZ41" s="15">
        <f t="shared" si="177"/>
        <v>1060</v>
      </c>
      <c r="CA41" s="11">
        <f>IF(BX41, IF(COUNTIF(Raw!AV41:BK41, "&gt;=0") = 16, IFERROR((BZ41*Raw!BF41 - SUM(Raw!BD41, Raw!BE41, Raw!BF41, Raw!BG41)*SUM(Raw!BF41, Raw!AX41, Raw!BB41, Raw!BJ41)) / SQRT((BZ41*SUM(Raw!BD41, Raw!BE41, Raw!BF41, Raw!BG41) - SUM(Raw!BD41, Raw!BE41, Raw!BF41, Raw!BG41)^2) * (BZ41*SUM(Raw!BF41, Raw!AX41, Raw!BB41, Raw!BJ41) - SUM(Raw!BF41, Raw!AX41, Raw!BB41, Raw!BJ41)^2)), 0), "No Contingency Table"), "Not Included")</f>
        <v>7.6251179464050634E-2</v>
      </c>
      <c r="CB41" s="11">
        <f>IF(BX41, IF(COUNTIF(Raw!AV41:BK41, "&gt;=0") = 16, SUM(Raw!AV41,Raw!AW41,Raw!AY41,Raw!AZ41,Raw!BA41,Raw!BC41,Raw!BF41,Raw!BH41,Raw!BI41,Raw!BK41) / SUM(Raw!AV41:BK41), "No Contingency Table"), "Not Included")</f>
        <v>0.78773584905660377</v>
      </c>
      <c r="CC41" s="11">
        <f>IF(BX41, IF(COUNTIF(Raw!AV41:BK41, "&gt;=0") = 16,SUM(SUM(Raw!BD41,Raw!BE41,Raw!BF41,Raw!BG41)*SUM(Raw!BF41,Raw!AX41,Raw!BB41,Raw!BJ41),SUM(Raw!AV41:BC41,Raw!BH41:BK41)*SUM(Raw!AV41,Raw!AW41,Raw!AY41,Raw!AZ41,Raw!BA41,Raw!BC41,Raw!BD41,Raw!BE41,Raw!BG41,Raw!BH41,Raw!BI41,Raw!BK41))/BZ41^2,"No Contingency Table"), "Not Included")</f>
        <v>0.77129939480242082</v>
      </c>
      <c r="CD41" s="11">
        <f>IF(BX41, IF(COUNTIF(Raw!AV41:BK41, "&gt;=0") = 16,(CB41 - CC41) / (1 - CC41+0.000001),"No Contingency Table"), "Not Included")</f>
        <v>7.1868556584826812E-2</v>
      </c>
      <c r="CE41" s="11" t="b">
        <f t="shared" ref="CE41:CG41" si="178">BQ41</f>
        <v>1</v>
      </c>
      <c r="CF41" s="11" t="str">
        <f t="shared" si="178"/>
        <v>Contingency</v>
      </c>
      <c r="CG41" s="15">
        <f t="shared" si="178"/>
        <v>1060</v>
      </c>
      <c r="CH41" s="11">
        <f>IF(CE41, IF(COUNTIF(Raw!AV41:BK41, "&gt;=0") = 16, IFERROR((CG41*Raw!BA41 - SUM(Raw!BA41, Raw!AZ41, Raw!BB41, Raw!BC41)*SUM(Raw!BA41, Raw!AW41, Raw!BE41, Raw!BI41)) / SQRT((CG41*SUM(Raw!BA41, Raw!AZ41, Raw!BB41, Raw!BC41) - SUM(Raw!BA41, Raw!AZ41, Raw!BB41, Raw!BC41)^2) * (CG41*SUM(Raw!BA41, Raw!AW41, Raw!BE41, Raw!BI41) - SUM(Raw!BA41, Raw!AW41, Raw!BE41, Raw!BI41)^2)), 0), "No Contingency Table"), "Not Included")</f>
        <v>4.4764388864901937E-2</v>
      </c>
      <c r="CI41" s="11">
        <f>IF(CE41, IF(COUNTIF(Raw!AV41:BK41, "&gt;=0") = 16, SUM(Raw!AV41,Raw!AX41,Raw!AY41,Raw!BA41,Raw!BD41,Raw!BF41,Raw!BG41,Raw!BH41,Raw!BJ41,Raw!BK41) / SUM(Raw!AV41:BK41), "No Contingency Table"), "Not Included")</f>
        <v>0.55000000000000004</v>
      </c>
      <c r="CJ41" s="61">
        <f>IF(BX41, IF(COUNTIF(Raw!AV41:BK41, "&gt;=0") = 16,SUM(SUM(Raw!AZ41,Raw!BA41,Raw!BB41,Raw!BC41)*SUM(Raw!BA41,Raw!AW41,Raw!BE41,Raw!BI41),SUM(Raw!AV41:AY41,Raw!BD41:BK41)*SUM(Raw!AV41,Raw!AX41,Raw!AY41,Raw!AZ41,Raw!BB41,Raw!BC41,Raw!BD41,Raw!BF41,Raw!BG41,Raw!BH41,Raw!BJ41,Raw!BK41))/CG41^2,"No Contingency Table"), "Not Included")</f>
        <v>0.52891420434318259</v>
      </c>
      <c r="CK41" s="11">
        <f>IF(BX41, IF(COUNTIF(Raw!AV41:BK41, "&gt;=0") = 16,(CI41 - CJ41) / (1 - CJ41),"No Contingency Table"), "Not Included")</f>
        <v>4.4759990327066242E-2</v>
      </c>
      <c r="CL41" s="11">
        <f>IF(BQ41, IFERROR(Raw!AV41/SUM(Raw!AV41:AY41), 0), "Not Included")</f>
        <v>0.10416666666666667</v>
      </c>
      <c r="CM41" s="11">
        <f>IF(BQ41, IFERROR(Raw!BA41/SUM(Raw!AZ41:BC41), 0), "Not Included")</f>
        <v>0.64067278287461771</v>
      </c>
      <c r="CN41" s="11">
        <f>IF(BQ41, IFERROR(Raw!BF41/SUM(Raw!BD41:BG41), 0), "Not Included")</f>
        <v>0.25773195876288657</v>
      </c>
      <c r="CO41" s="11">
        <f>IF(BQ41, IFERROR(Raw!BK41/SUM(Raw!BH41:BK41), 0), "Not Included")</f>
        <v>0.2</v>
      </c>
      <c r="CP41" s="11">
        <f>IF(BQ41, IFERROR(SUM(Raw!AV41,Raw!AX41,Raw!AY41,Raw!BD41,Raw!BF41,Raw!BG41,Raw!BH41,Raw!BJ41,Raw!BK41)/SUM(Raw!AV41,Raw!AW41,Raw!AX41,Raw!AY41,Raw!BD41,Raw!BE41,Raw!BF41,Raw!BG41,Raw!BH41,Raw!BI41,Raw!BJ41,Raw!BK41), 0), "Not Included")</f>
        <v>0.4039408866995074</v>
      </c>
      <c r="CQ41" s="11">
        <f>IF(BQ41, IFERROR(SUM(Raw!AV41:AX41,Raw!AZ41:BB41,Raw!BD41:BF41)/SUM(Raw!AV41:BF41), 0), "Not Included")</f>
        <v>0.85794813979706874</v>
      </c>
      <c r="CR41" s="11">
        <f>IF(BQ41, IFERROR(SUM(Raw!AV41:AY41), 0), "Not Included")</f>
        <v>144</v>
      </c>
      <c r="CS41" s="11">
        <f>IF(BQ41, IFERROR(SUM(Raw!AZ41:BC41), 0), "Not Included")</f>
        <v>654</v>
      </c>
      <c r="CT41" s="11">
        <f>IF(BQ41, IFERROR(SUM(Raw!BD41:BG41), 0), "Not Included")</f>
        <v>97</v>
      </c>
      <c r="CU41" s="11">
        <f>IF(BQ41, IFERROR(SUM(Raw!BH41:BK41), 0), "Not Included")</f>
        <v>165</v>
      </c>
      <c r="CV41" s="11">
        <f>IF(BQ41, IFERROR(SUM(Raw!AV41,Raw!AW41,Raw!AX41,Raw!AY41,Raw!BD41,Raw!BE41,Raw!BF41,Raw!BG41,Raw!BH41,Raw!BI41,Raw!BJ41,Raw!BK41), 0), "Not Included")</f>
        <v>406</v>
      </c>
      <c r="CW41" s="11">
        <f>IF(BQ41, IFERROR(SUM(Raw!AV41:BF41), 0), "Not Included")</f>
        <v>887</v>
      </c>
      <c r="CX41" s="11">
        <f>IF(BQ41, IFERROR((CR41*SUM(Raw!AV41,Raw!AZ41,Raw!BD41,Raw!BH41))/BS41/CR41, 0), "Not Included")</f>
        <v>5.0943396226415097E-2</v>
      </c>
      <c r="CY41" s="11">
        <f>IF(BX41, IFERROR((CS41*SUM(Raw!BA41,Raw!AW41,Raw!BE41,Raw!BI41))/CG41/CS41, 0), "Not Included")</f>
        <v>0.62358490566037739</v>
      </c>
      <c r="CZ41" s="11">
        <f>IF(BX41, IFERROR((CT41*SUM(Raw!BF41,Raw!AX41,Raw!BB41,Raw!BJ41))/BZ41/CT41, 0), "Not Included")</f>
        <v>0.16792452830188678</v>
      </c>
      <c r="DA41" s="11">
        <f>IF(AY41, IFERROR((CU41*SUM(Raw!AY41,Raw!BC41,Raw!BG41,Raw!BK41))/AT41/CU41, 0), "Not Included")</f>
        <v>0.15754716981132075</v>
      </c>
      <c r="DB41" s="11">
        <f>IF(BX41, IFERROR((CV41*SUM(Raw!AV41,Raw!AX41,Raw!AY41,Raw!AZ41,Raw!BB41,Raw!BC41,Raw!BD41,Raw!BF41,Raw!BG41,Raw!BH41,Raw!BJ41,Raw!BK41))/CG41/CV41,0), "Not Included")</f>
        <v>0.37641509433962267</v>
      </c>
      <c r="DC41" s="11">
        <f>IF(AY41, IFERROR((CW41*SUM(Raw!AV41,Raw!AW41,Raw!AX41,Raw!AZ41,Raw!BA41,Raw!BB41,Raw!BD41,Raw!BE41,Raw!BF41,Raw!BH41,Raw!BI41,Raw!BJ41))/AT41/CW41,0), "Not Included")</f>
        <v>0.84245283018867922</v>
      </c>
    </row>
    <row r="42" spans="1:107" ht="12.75" customHeight="1">
      <c r="A42" s="11">
        <f>Raw!D42</f>
        <v>30</v>
      </c>
      <c r="B42" s="11" t="str">
        <f>Raw!A42</f>
        <v>Rauh et al. (2000)</v>
      </c>
      <c r="C42" s="11">
        <f>Raw!G42</f>
        <v>1</v>
      </c>
      <c r="D42" s="11" t="str">
        <f>Raw!E42</f>
        <v>Ainsworth-Ainsworth</v>
      </c>
      <c r="E42" s="11" t="str">
        <f>CONCATENATE(IF(Raw!I42&lt;='Interval Definitions'!$B$2, 'Interval Definitions'!$A$2, IF(Raw!I42&lt;='Interval Definitions'!$B$3, 'Interval Definitions'!$A$3, IF(Raw!I42&lt;='Interval Definitions'!$B$4, 'Interval Definitions'!$A$4, IF(Raw!I42&lt;='Interval Definitions'!$B$5, 'Interval Definitions'!$A$5, "None")))), " - ", IF(Raw!J42&lt;='Interval Definitions'!$B$2, 'Interval Definitions'!$A$2, IF(Raw!J42&lt;='Interval Definitions'!$B$3, 'Interval Definitions'!$A$3, IF(Raw!J42&lt;='Interval Definitions'!$B$4, 'Interval Definitions'!$A$4, IF(Raw!J42&lt;='Interval Definitions'!$B$5, 'Interval Definitions'!$A$5, "None")))))</f>
        <v>Infancy - Toddlerhood</v>
      </c>
      <c r="F42" s="11" t="b">
        <f>OR(NOT(ISBLANK(Raw!AF42)),NOT(ISBLANK(Raw!AG42)),NOT(ISBLANK(Raw!AH42)),NOT(ISBLANK(Raw!AI42)),COUNTIF(Raw!AA42:AD42, "&gt;=0") = 4)</f>
        <v>1</v>
      </c>
      <c r="G42" s="11" t="str">
        <f>IF(F42, IF(COUNTIF(Raw!AA42:AD42,"&gt;=0") = 4, "Contingency", IF(NOT(ISBLANK(Raw!AF42)), "Paper r", IF(NOT(ISBLANK(Raw!AG42)), "Pinquart", IF(NOT(ISBLANK(Raw!AH42)), "Fraley", "Paper chiSq")))), "Not Included")</f>
        <v>Contingency</v>
      </c>
      <c r="H42" s="15">
        <f>IF(F42,Raw!AE42,"Not Included")</f>
        <v>75</v>
      </c>
      <c r="I42" s="15">
        <f>IF(COUNTIF(Raw!AA42:AD42,"&gt;=0") = 4, SUM(Raw!AA42:AD42), "No Contingency Table")</f>
        <v>75</v>
      </c>
      <c r="J42" s="15">
        <f t="shared" si="0"/>
        <v>75</v>
      </c>
      <c r="K42" s="38">
        <f>IF(F42, IF(COUNTIF(Raw!AA42:AD42,"&gt;=0") = 4, IFERROR((I42*Raw!AA42 - SUM(Raw!AA42,Raw!AB42)*SUM(Raw!AA42,Raw!AD42)) / SQRT((I42*SUM(Raw!AA42,Raw!AB42) - SUM(Raw!AA42,Raw!AB42)^2) * (I42*SUM(Raw!AA42,Raw!AD42) - SUM(Raw!AA42,Raw!AD42)^2)), 0), "No Contingency Table"), "Not Included")</f>
        <v>0.17843445967710361</v>
      </c>
      <c r="L42" s="41">
        <f>IF(F42,IF(NOT(ISBLANK(Raw!AF42)), Raw!AF42, IF(NOT(ISBLANK(Raw!AG42)), Raw!AG42, IF(NOT(ISBLANK(Raw!AH42)), Raw!AH42, IF(NOT(ISBLANK(Raw!AI42)), SQRT(Raw!AI42/H42)*Raw!AJ42, "Not Reported")))),"Not Included")</f>
        <v>0.17799999999999999</v>
      </c>
      <c r="M42" s="43">
        <f t="shared" si="1"/>
        <v>0.17843445967710361</v>
      </c>
      <c r="N42" s="11">
        <f t="shared" si="2"/>
        <v>1</v>
      </c>
      <c r="O42" s="48" t="b">
        <f>OR(NOT(ISBLANK(Raw!AK42)), COUNTIF(Raw!AA42:AD42, "&gt;=0") = 4)</f>
        <v>1</v>
      </c>
      <c r="P42" s="24" t="str">
        <f>IF(O42,IF(COUNTIF(Raw!AA42:AD42,"&gt;=0") = 4,"Contingency", "Paper k"), "Not Included")</f>
        <v>Contingency</v>
      </c>
      <c r="Q42" s="48">
        <f>IF(O42, IF(COUNTIF(Raw!AA42:AD42,"&gt;=0") = 4,SUM(Raw!AA42,Raw!AC42)/H42,"No Contingency Table"), "Not Included")</f>
        <v>0.62666666666666671</v>
      </c>
      <c r="R42" s="38">
        <f>IF(O42, IF(COUNTIF(Raw!AA42:AD42, "&gt;=0") = 4,SUM(SUM(Raw!AA42,Raw!AB42)*SUM(Raw!AA42,Raw!AD42),SUM(Raw!AC42,Raw!AD42)*SUM(Raw!AC42,Raw!AB42))/H42^2,"No Contingency Table"), "Not Included")</f>
        <v>0.55200000000000005</v>
      </c>
      <c r="S42" s="38">
        <f>IF(O42, IF(COUNTIF(Raw!AA42:AD42,"&gt;=0") = 4, IFERROR((Q42 - R42) / (1 - R42), "Could not calculate"), "No Contingency Table"), "Not Included")</f>
        <v>0.16666666666666666</v>
      </c>
      <c r="T42" s="52">
        <f>IF(O42,IF(NOT(ISBLANK(Raw!AK42)), Raw!AK42, "Not Reported"), "Not Included")</f>
        <v>0.16700000000000001</v>
      </c>
      <c r="U42" s="38">
        <f t="shared" si="3"/>
        <v>0.16666666666666666</v>
      </c>
      <c r="V42" s="11">
        <f t="shared" si="4"/>
        <v>1</v>
      </c>
      <c r="W42" s="11" t="b">
        <f>OR(NOT(ISBLANK(Raw!AU42)),COUNTIF(Raw!AL42:AT42,"&gt;=0") = 9)</f>
        <v>0</v>
      </c>
      <c r="X42" s="11" t="str">
        <f>IF(W42, IF(COUNTIF(Raw!AL42:AT42,"&gt;=0") = 9, "Contingency", "Paper k"), "Not Included")</f>
        <v>Not Included</v>
      </c>
      <c r="Y42" s="11" t="str">
        <f>IF(W42,IF(COUNTIF(Raw!AL42:AT42,"&gt;=0") = 9,SUM(Raw!AL42:AT42),"No Contingency Table"),"Not Included")</f>
        <v>Not Included</v>
      </c>
      <c r="Z42" s="11" t="str">
        <f t="shared" si="5"/>
        <v>Not Included</v>
      </c>
      <c r="AA42" s="11" t="str">
        <f>IF(W42,IF(COUNTIF(Raw!AL42:AT42,"&gt;=0") = 9,SUM(Raw!AL42,Raw!AP42,Raw!AT42)/Y42,"No Contingency Table"), "Not Included")</f>
        <v>Not Included</v>
      </c>
      <c r="AB42" s="11" t="str">
        <f>IF(W42,IF(COUNTIF(Raw!AL42:AT42,"&gt;=0") = 9,SUM(SUM(Raw!AL42,Raw!AM42,Raw!AN42)*SUM(Raw!AL42,Raw!AO42,Raw!AR42),SUM(Raw!AO42,Raw!AP42,Raw!AQ42)*SUM(Raw!AM42,Raw!AP42,Raw!AS42),SUM(Raw!AR42,Raw!AS42,Raw!AT42)*SUM(Raw!AN42,Raw!AQ42,Raw!AT42))/Y42^2,"No Contingency Table"), "Not Included")</f>
        <v>Not Included</v>
      </c>
      <c r="AC42" s="11" t="str">
        <f>IF(W42,IF(COUNTIF(Raw!AL42:AT42,"&gt;=0") = 9,(AA42 - AB42) / (1 - AB42),"No Contingency Table"), "Not Included")</f>
        <v>Not Included</v>
      </c>
      <c r="AD42" s="11" t="str">
        <f>IF(W42, IF(NOT(ISBLANK(Raw!AU42)),Raw!AU42,"Not Reported"), "Not Included")</f>
        <v>Not Included</v>
      </c>
      <c r="AE42" s="11" t="str">
        <f t="shared" si="6"/>
        <v>Not Included</v>
      </c>
      <c r="AF42" s="11" t="str">
        <f t="shared" si="7"/>
        <v>Not Included</v>
      </c>
      <c r="AG42" s="11" t="b">
        <f>COUNTIF(Raw!AV42:BK42, "&gt;=0") = 16</f>
        <v>1</v>
      </c>
      <c r="AH42" s="11" t="str">
        <f>IF(AG42, IF(COUNTIF(Raw!AV42:BK42,"&gt;=0") = 16, "Contingency", "Paper k"), "Not Included")</f>
        <v>Contingency</v>
      </c>
      <c r="AI42" s="15">
        <f>IF(AG42,IF(COUNTIF(Raw!AV42:BK42,"&gt;=0") = 16,SUM(Raw!AV42:BK42),"No Contingency Table"),"Not Included")</f>
        <v>75</v>
      </c>
      <c r="AJ42" s="15">
        <f t="shared" si="8"/>
        <v>75</v>
      </c>
      <c r="AK42" s="11">
        <f>IF(AG42,IF(COUNTIF(Raw!AV42:BK42,"&gt;=0") = 16,SUM(Raw!AV42,Raw!BA42,Raw!BF42,Raw!BK42)/AI42,"No Contingency Table"), "Not Included")</f>
        <v>0.56000000000000005</v>
      </c>
      <c r="AL42" s="11">
        <f>IF(AG42,IF(COUNTIF(Raw!AV42:BK42,"&gt;=0") = 16,SUM(SUM(Raw!AV42,Raw!AW42,Raw!AX42,Raw!AY42)*SUM(Raw!AV42,Raw!AZ42,Raw!BD42,Raw!BH42),SUM(Raw!AZ42,Raw!BA42,Raw!BB42,Raw!BC42)*SUM(Raw!AW42,Raw!BA42,Raw!BE42,Raw!BI42),SUM(Raw!BD42,Raw!BE42,Raw!BF42,Raw!BG42)*SUM(Raw!AX42,Raw!BB42,Raw!BF42,Raw!BJ42),SUM(Raw!BH42,Raw!BI42,Raw!BJ42,Raw!BK42)*SUM(Raw!AY42,Raw!BC42,Raw!BG42,Raw!BK42))/AI42^2,"No Contingency Table"), "Not Included")</f>
        <v>0.49297777777777779</v>
      </c>
      <c r="AM42" s="11">
        <f>IF(AG42,IF(COUNTIF(Raw!AV42:BK42,"&gt;=0") = 16,(AK42 - AL42) / (1 - AL42),"No Contingency Table"), "Not Included")</f>
        <v>0.13218793828892011</v>
      </c>
      <c r="AN42" s="32">
        <f>IF(NOT(ISBLANK(Raw!BL42)),Raw!BL42,"Not Reported")</f>
        <v>0.128</v>
      </c>
      <c r="AO42" s="11">
        <f t="shared" si="9"/>
        <v>0.13218793828892011</v>
      </c>
      <c r="AP42" s="11">
        <f t="shared" si="10"/>
        <v>1</v>
      </c>
      <c r="AQ42" s="11" t="b">
        <f t="shared" ref="AQ42:AR42" si="179">BQ42</f>
        <v>1</v>
      </c>
      <c r="AR42" s="11" t="str">
        <f t="shared" si="179"/>
        <v>Contingency</v>
      </c>
      <c r="AS42" s="15">
        <f t="shared" si="12"/>
        <v>75</v>
      </c>
      <c r="AT42" s="15">
        <f t="shared" si="13"/>
        <v>75</v>
      </c>
      <c r="AU42" s="11">
        <f>IF(AQ42, IF(COUNTIF(Raw!AV42:BK42, "&gt;=0") = 16, IFERROR((AT42*Raw!BK42 - SUM(Raw!BH42, Raw!BI42, Raw!BJ42, Raw!BK42)*SUM(Raw!AY42, Raw!BC42, Raw!BG42, Raw!BK42)) / SQRT((AT42*SUM(Raw!BH42, Raw!BI42, Raw!BJ42, Raw!BK42) - SUM(Raw!BH42, Raw!BI42, Raw!BJ42, Raw!BK42)^2) * (AT42*SUM(Raw!AY42, Raw!BC42, Raw!BG42, Raw!BK42) - SUM(Raw!AY42, Raw!BC42, Raw!BG42, Raw!BK42)^2)), 0), "No Contingency Table"), "Not Included")</f>
        <v>-5.4554472558998091E-2</v>
      </c>
      <c r="AV42" s="11" t="str">
        <f>IF(AQ42,IF(NOT(ISBLANK(Raw!BQ42)), Raw!BQ42, IF(NOT(ISBLANK(Raw!BR42)), Raw!BR42, "Not Reported")), "Not Included")</f>
        <v>Not Reported</v>
      </c>
      <c r="AW42" s="57">
        <f t="shared" si="14"/>
        <v>-5.4554472558998091E-2</v>
      </c>
      <c r="AX42" s="11" t="str">
        <f t="shared" si="15"/>
        <v>NA</v>
      </c>
      <c r="AY42" s="11" t="b">
        <f t="shared" ref="AY42:AZ42" si="180">AQ42</f>
        <v>1</v>
      </c>
      <c r="AZ42" s="11" t="str">
        <f t="shared" si="180"/>
        <v>Contingency</v>
      </c>
      <c r="BA42" s="11">
        <f>IF(AY42, IF(COUNTIF(Raw!AV42:BK42, "&gt;=0") = 16, SUM(Raw!AV42,Raw!AW42,Raw!AX42,Raw!AZ42,Raw!BA42,Raw!BB42,Raw!BD42,Raw!BE42,Raw!BF42,Raw!BK42)/SUM(Raw!AV42:BK42), "No Contingency Table"), "Not Included")</f>
        <v>0.89333333333333331</v>
      </c>
      <c r="BB42" s="11">
        <f>IF(AY42, IF(COUNTIF(Raw!AV42:BK42, "&gt;=0") = 16,SUM(SUM(Raw!BH42,Raw!BI42,Raw!BJ42,Raw!BK42)*SUM(Raw!AY42,Raw!BC42,Raw!BG42,Raw!BK42),SUM(Raw!AV42:BG42)*SUM(Raw!AV42,Raw!AW42,Raw!AX42,Raw!AZ42,Raw!BA42,Raw!BB42,Raw!BD42,Raw!BE42,Raw!BF42,Raw!BH42,Raw!BI42,Raw!BJ42))/AT42^2,"No Contingency Table"), "Not Included")</f>
        <v>0.89866666666666661</v>
      </c>
      <c r="BC42" s="11">
        <f>IF(AY42, IF(COUNTIF(Raw!AV42:BK42, "&gt;=0") = 16,(BA42-BB42) / (1 - BB42),"No Contingency Table"), "Not Included")</f>
        <v>-5.2631578947368078E-2</v>
      </c>
      <c r="BD42" s="11" t="str">
        <f>IF(AY42,IF(NOT(ISBLANK(Raw!BT63)),Raw!BT63,"Not Reported"),"Not Included")</f>
        <v>Not Reported</v>
      </c>
      <c r="BE42" s="11">
        <f t="shared" si="17"/>
        <v>-5.2631578947368078E-2</v>
      </c>
      <c r="BF42" s="11" t="str">
        <f t="shared" si="18"/>
        <v>NA</v>
      </c>
      <c r="BG42" s="11">
        <f>Raw!K42</f>
        <v>2000</v>
      </c>
      <c r="BH42" s="11" t="str">
        <f>IF(Raw!L42 = "USA","USA","Non-USA")</f>
        <v>Non-USA</v>
      </c>
      <c r="BI42" s="11" t="str">
        <f>Raw!M42</f>
        <v>Ainsworth/Ainsworth</v>
      </c>
      <c r="BJ42" s="11">
        <f>Raw!N42</f>
        <v>1</v>
      </c>
      <c r="BK42" s="11">
        <f>Raw!P42</f>
        <v>0</v>
      </c>
      <c r="BL42" s="11">
        <f>Raw!Q42</f>
        <v>0</v>
      </c>
      <c r="BM42" s="11">
        <f>Raw!T42</f>
        <v>1</v>
      </c>
      <c r="BN42" s="11">
        <f>IFERROR(IF(AND(ISBLANK(Raw!U42), ISBLANK(Raw!V42), ISBLANK(Raw!W42), ISBLANK(Raw!X42)), "NA", IF(OR(NOT(ISBLANK(Raw!U42)), NOT(ISBLANK(Raw!W42))), AVERAGE(Raw!U42,Raw!W42), AVERAGE(Raw!V42,Raw!X42) + IF(Raw!Y42 = "2-way", R42, IF(Raw!Y42 = "3-way", AB42, IF(Raw!Y42 = "4-way", AL42, "NA")))*(1 - AVERAGE(Raw!V42,Raw!X42)))), "NA")</f>
        <v>0.94</v>
      </c>
      <c r="BO42" s="11">
        <f>Raw!O42</f>
        <v>1</v>
      </c>
      <c r="BP42" s="11" t="str">
        <f>Raw!F42</f>
        <v>Female</v>
      </c>
      <c r="BQ42" s="11" t="b">
        <f>COUNTIF(Raw!AV42:BK42, "&gt;=0") = 16</f>
        <v>1</v>
      </c>
      <c r="BR42" s="11" t="str">
        <f t="shared" si="19"/>
        <v>Contingency</v>
      </c>
      <c r="BS42" s="15">
        <f t="shared" si="20"/>
        <v>75</v>
      </c>
      <c r="BT42" s="11">
        <f>IF(BQ42, IF(COUNTIF(Raw!AV42:BK42, "&gt;=0") = 16, IFERROR((BS42*Raw!AV42 - SUM(Raw!AV42, Raw!AW42, Raw!AX42, Raw!AY42)*SUM(Raw!AV42, Raw!AZ42, Raw!BD42, Raw!BH42)) / SQRT((BS42*SUM(Raw!AV42, Raw!AW42, Raw!AX42, Raw!AY42) - SUM(Raw!AV42, Raw!AW42, Raw!AX42, Raw!AY42)^2) * (BS42*SUM(Raw!AV42, Raw!AZ42, Raw!BD42, Raw!BH42) - SUM(Raw!AV42, Raw!AZ42, Raw!BD42, Raw!BH42)^2)), 0), "No Contingency Table"), "Not Included")</f>
        <v>0.10922673291384397</v>
      </c>
      <c r="BU42" s="11">
        <f>IF(BQ42, IF(COUNTIF(Raw!AV42:BK42, "&gt;=0") = 16, SUM(Raw!BK42,Raw!BJ42,Raw!BI42,Raw!BG42,Raw!BF42,Raw!BE42,Raw!BC42,Raw!BB42,Raw!BA42,Raw!AV42)/SUM(Raw!AV42:BK42), "No Contingency Table"), "Not Included")</f>
        <v>0.73333333333333328</v>
      </c>
      <c r="BV42" s="11">
        <f>IF(BQ42, IF(COUNTIF(Raw!AV42:BK42, "&gt;=0") = 16,SUM(SUM(Raw!AV42,Raw!AW42,Raw!AX42,Raw!AY42)*SUM(Raw!AV42,Raw!AZ42,Raw!BD42,Raw!BH42),SUM(Raw!AZ42:BK42)*SUM(Raw!AW42,Raw!AX42,Raw!AY42,Raw!BA42,Raw!BB42,Raw!BC42,Raw!BE42,Raw!BF42,Raw!BG42,Raw!BI42,Raw!BJ42,Raw!BK42))/BS42^2,"No Contingency Table"), "Not Included")</f>
        <v>0.70453333333333334</v>
      </c>
      <c r="BW42" s="11">
        <f>IF(BQ42, IF(COUNTIF(Raw!AV42:BK42, "&gt;=0") = 16,(BU42-BV42) / (1 - BV42),"No Contingency Table"), "Not Included")</f>
        <v>9.7472924187725421E-2</v>
      </c>
      <c r="BX42" s="11" t="b">
        <f t="shared" ref="BX42:BZ42" si="181">BQ42</f>
        <v>1</v>
      </c>
      <c r="BY42" s="11" t="str">
        <f t="shared" si="181"/>
        <v>Contingency</v>
      </c>
      <c r="BZ42" s="15">
        <f t="shared" si="181"/>
        <v>75</v>
      </c>
      <c r="CA42" s="11">
        <f>IF(BX42, IF(COUNTIF(Raw!AV42:BK42, "&gt;=0") = 16, IFERROR((BZ42*Raw!BF42 - SUM(Raw!BD42, Raw!BE42, Raw!BF42, Raw!BG42)*SUM(Raw!BF42, Raw!AX42, Raw!BB42, Raw!BJ42)) / SQRT((BZ42*SUM(Raw!BD42, Raw!BE42, Raw!BF42, Raw!BG42) - SUM(Raw!BD42, Raw!BE42, Raw!BF42, Raw!BG42)^2) * (BZ42*SUM(Raw!BF42, Raw!AX42, Raw!BB42, Raw!BJ42) - SUM(Raw!BF42, Raw!AX42, Raw!BB42, Raw!BJ42)^2)), 0), "No Contingency Table"), "Not Included")</f>
        <v>0.21218487394957983</v>
      </c>
      <c r="CB42" s="11">
        <f>IF(BX42, IF(COUNTIF(Raw!AV42:BK42, "&gt;=0") = 16, SUM(Raw!AV42,Raw!AW42,Raw!AY42,Raw!AZ42,Raw!BA42,Raw!BC42,Raw!BF42,Raw!BH42,Raw!BI42,Raw!BK42) / SUM(Raw!AV42:BK42), "No Contingency Table"), "Not Included")</f>
        <v>0.8666666666666667</v>
      </c>
      <c r="CC42" s="11">
        <f>IF(BX42, IF(COUNTIF(Raw!AV42:BK42, "&gt;=0") = 16,SUM(SUM(Raw!BD42,Raw!BE42,Raw!BF42,Raw!BG42)*SUM(Raw!BF42,Raw!AX42,Raw!BB42,Raw!BJ42),SUM(Raw!AV42:BC42,Raw!BH42:BK42)*SUM(Raw!AV42,Raw!AW42,Raw!AY42,Raw!AZ42,Raw!BA42,Raw!BC42,Raw!BD42,Raw!BE42,Raw!BG42,Raw!BH42,Raw!BI42,Raw!BK42))/BZ42^2,"No Contingency Table"), "Not Included")</f>
        <v>0.83075555555555558</v>
      </c>
      <c r="CD42" s="11">
        <f>IF(BX42, IF(COUNTIF(Raw!AV42:BK42, "&gt;=0") = 16,(CB42 - CC42) / (1 - CC42+0.000001),"No Contingency Table"), "Not Included")</f>
        <v>0.21218362023858847</v>
      </c>
      <c r="CE42" s="11" t="b">
        <f t="shared" ref="CE42:CG42" si="182">BQ42</f>
        <v>1</v>
      </c>
      <c r="CF42" s="11" t="str">
        <f t="shared" si="182"/>
        <v>Contingency</v>
      </c>
      <c r="CG42" s="15">
        <f t="shared" si="182"/>
        <v>75</v>
      </c>
      <c r="CH42" s="11">
        <f>IF(CE42, IF(COUNTIF(Raw!AV42:BK42, "&gt;=0") = 16, IFERROR((CG42*Raw!BA42 - SUM(Raw!BA42, Raw!AZ42, Raw!BB42, Raw!BC42)*SUM(Raw!BA42, Raw!AW42, Raw!BE42, Raw!BI42)) / SQRT((CG42*SUM(Raw!BA42, Raw!AZ42, Raw!BB42, Raw!BC42) - SUM(Raw!BA42, Raw!AZ42, Raw!BB42, Raw!BC42)^2) * (CG42*SUM(Raw!BA42, Raw!AW42, Raw!BE42, Raw!BI42) - SUM(Raw!BA42, Raw!AW42, Raw!BE42, Raw!BI42)^2)), 0), "No Contingency Table"), "Not Included")</f>
        <v>0.17843445967710361</v>
      </c>
      <c r="CI42" s="11">
        <f>IF(CE42, IF(COUNTIF(Raw!AV42:BK42, "&gt;=0") = 16, SUM(Raw!AV42,Raw!AX42,Raw!AY42,Raw!BA42,Raw!BD42,Raw!BF42,Raw!BG42,Raw!BH42,Raw!BJ42,Raw!BK42) / SUM(Raw!AV42:BK42), "No Contingency Table"), "Not Included")</f>
        <v>0.62666666666666671</v>
      </c>
      <c r="CJ42" s="61">
        <f>IF(BX42, IF(COUNTIF(Raw!AV42:BK42, "&gt;=0") = 16,SUM(SUM(Raw!AZ42,Raw!BA42,Raw!BB42,Raw!BC42)*SUM(Raw!BA42,Raw!AW42,Raw!BE42,Raw!BI42),SUM(Raw!AV42:AY42,Raw!BD42:BK42)*SUM(Raw!AV42,Raw!AX42,Raw!AY42,Raw!AZ42,Raw!BB42,Raw!BC42,Raw!BD42,Raw!BF42,Raw!BG42,Raw!BH42,Raw!BJ42,Raw!BK42))/CG42^2,"No Contingency Table"), "Not Included")</f>
        <v>0.55200000000000005</v>
      </c>
      <c r="CK42" s="11">
        <f>IF(BX42, IF(COUNTIF(Raw!AV42:BK42, "&gt;=0") = 16,(CI42 - CJ42) / (1 - CJ42),"No Contingency Table"), "Not Included")</f>
        <v>0.16666666666666666</v>
      </c>
      <c r="CL42" s="11">
        <f>IF(BQ42, IFERROR(Raw!AV42/SUM(Raw!AV42:AY42), 0), "Not Included")</f>
        <v>0.16666666666666666</v>
      </c>
      <c r="CM42" s="11">
        <f>IF(BQ42, IFERROR(Raw!BA42/SUM(Raw!AZ42:BC42), 0), "Not Included")</f>
        <v>0.82222222222222219</v>
      </c>
      <c r="CN42" s="11">
        <f>IF(BQ42, IFERROR(Raw!BF42/SUM(Raw!BD42:BG42), 0), "Not Included")</f>
        <v>0.2857142857142857</v>
      </c>
      <c r="CO42" s="11">
        <f>IF(BQ42, IFERROR(Raw!BK42/SUM(Raw!BH42:BK42), 0), "Not Included")</f>
        <v>0</v>
      </c>
      <c r="CP42" s="11">
        <f>IF(BQ42, IFERROR(SUM(Raw!AV42,Raw!AX42,Raw!AY42,Raw!BD42,Raw!BF42,Raw!BG42,Raw!BH42,Raw!BJ42,Raw!BK42)/SUM(Raw!AV42,Raw!AW42,Raw!AX42,Raw!AY42,Raw!BD42,Raw!BE42,Raw!BF42,Raw!BG42,Raw!BH42,Raw!BI42,Raw!BJ42,Raw!BK42), 0), "Not Included")</f>
        <v>0.33333333333333331</v>
      </c>
      <c r="CQ42" s="11">
        <f>IF(BQ42, IFERROR(SUM(Raw!AV42:AX42,Raw!AZ42:BB42,Raw!BD42:BF42)/SUM(Raw!AV42:BF42), 0), "Not Included")</f>
        <v>0.95714285714285718</v>
      </c>
      <c r="CR42" s="11">
        <f>IF(BQ42, IFERROR(SUM(Raw!AV42:AY42), 0), "Not Included")</f>
        <v>18</v>
      </c>
      <c r="CS42" s="11">
        <f>IF(BQ42, IFERROR(SUM(Raw!AZ42:BC42), 0), "Not Included")</f>
        <v>45</v>
      </c>
      <c r="CT42" s="11">
        <f>IF(BQ42, IFERROR(SUM(Raw!BD42:BG42), 0), "Not Included")</f>
        <v>7</v>
      </c>
      <c r="CU42" s="11">
        <f>IF(BQ42, IFERROR(SUM(Raw!BH42:BK42), 0), "Not Included")</f>
        <v>5</v>
      </c>
      <c r="CV42" s="11">
        <f>IF(BQ42, IFERROR(SUM(Raw!AV42,Raw!AW42,Raw!AX42,Raw!AY42,Raw!BD42,Raw!BE42,Raw!BF42,Raw!BG42,Raw!BH42,Raw!BI42,Raw!BJ42,Raw!BK42), 0), "Not Included")</f>
        <v>30</v>
      </c>
      <c r="CW42" s="11">
        <f>IF(BQ42, IFERROR(SUM(Raw!AV42:BF42), 0), "Not Included")</f>
        <v>70</v>
      </c>
      <c r="CX42" s="11">
        <f>IF(BQ42, IFERROR((CR42*SUM(Raw!AV42,Raw!AZ42,Raw!BD42,Raw!BH42))/BS42/CR42, 0), "Not Included")</f>
        <v>0.10666666666666666</v>
      </c>
      <c r="CY42" s="11">
        <f>IF(BX42, IFERROR((CS42*SUM(Raw!BA42,Raw!AW42,Raw!BE42,Raw!BI42))/CG42/CS42, 0), "Not Included")</f>
        <v>0.76</v>
      </c>
      <c r="CZ42" s="11">
        <f>IF(BX42, IFERROR((CT42*SUM(Raw!BF42,Raw!AX42,Raw!BB42,Raw!BJ42))/BZ42/CT42, 0), "Not Included")</f>
        <v>9.3333333333333338E-2</v>
      </c>
      <c r="DA42" s="11">
        <f>IF(AY42, IFERROR((CU42*SUM(Raw!AY42,Raw!BC42,Raw!BG42,Raw!BK42))/AT42/CU42, 0), "Not Included")</f>
        <v>0.04</v>
      </c>
      <c r="DB42" s="11">
        <f>IF(BX42, IFERROR((CV42*SUM(Raw!AV42,Raw!AX42,Raw!AY42,Raw!AZ42,Raw!BB42,Raw!BC42,Raw!BD42,Raw!BF42,Raw!BG42,Raw!BH42,Raw!BJ42,Raw!BK42))/CG42/CV42,0), "Not Included")</f>
        <v>0.24000000000000002</v>
      </c>
      <c r="DC42" s="11">
        <f>IF(AY42, IFERROR((CW42*SUM(Raw!AV42,Raw!AW42,Raw!AX42,Raw!AZ42,Raw!BA42,Raw!BB42,Raw!BD42,Raw!BE42,Raw!BF42,Raw!BH42,Raw!BI42,Raw!BJ42))/AT42/CW42,0), "Not Included")</f>
        <v>0.96000000000000008</v>
      </c>
    </row>
    <row r="43" spans="1:107" ht="12.75" customHeight="1">
      <c r="A43" s="11">
        <f>Raw!D43</f>
        <v>30</v>
      </c>
      <c r="B43" s="11" t="str">
        <f>Raw!A43</f>
        <v>Rauh et al. (2000)</v>
      </c>
      <c r="C43" s="11">
        <f>Raw!G43</f>
        <v>2</v>
      </c>
      <c r="D43" s="11" t="str">
        <f>Raw!E43</f>
        <v>Main-Main</v>
      </c>
      <c r="E43" s="11" t="str">
        <f>CONCATENATE(IF(Raw!I43&lt;='Interval Definitions'!$B$2, 'Interval Definitions'!$A$2, IF(Raw!I43&lt;='Interval Definitions'!$B$3, 'Interval Definitions'!$A$3, IF(Raw!I43&lt;='Interval Definitions'!$B$4, 'Interval Definitions'!$A$4, IF(Raw!I43&lt;='Interval Definitions'!$B$5, 'Interval Definitions'!$A$5, "None")))), " - ", IF(Raw!J43&lt;='Interval Definitions'!$B$2, 'Interval Definitions'!$A$2, IF(Raw!J43&lt;='Interval Definitions'!$B$3, 'Interval Definitions'!$A$3, IF(Raw!J43&lt;='Interval Definitions'!$B$4, 'Interval Definitions'!$A$4, IF(Raw!J43&lt;='Interval Definitions'!$B$5, 'Interval Definitions'!$A$5, "None")))))</f>
        <v>Infancy - Toddlerhood</v>
      </c>
      <c r="F43" s="11" t="b">
        <f>OR(NOT(ISBLANK(Raw!AF43)),NOT(ISBLANK(Raw!AG43)),NOT(ISBLANK(Raw!AH43)),NOT(ISBLANK(Raw!AI43)),COUNTIF(Raw!AA43:AD43, "&gt;=0") = 4)</f>
        <v>1</v>
      </c>
      <c r="G43" s="11" t="str">
        <f>IF(F43, IF(COUNTIF(Raw!AA43:AD43,"&gt;=0") = 4, "Contingency", IF(NOT(ISBLANK(Raw!AF43)), "Paper r", IF(NOT(ISBLANK(Raw!AG43)), "Pinquart", IF(NOT(ISBLANK(Raw!AH43)), "Fraley", "Paper chiSq")))), "Not Included")</f>
        <v>Contingency</v>
      </c>
      <c r="H43" s="15">
        <f>IF(F43,Raw!AE43,"Not Included")</f>
        <v>75</v>
      </c>
      <c r="I43" s="15">
        <f>IF(COUNTIF(Raw!AA43:AD43,"&gt;=0") = 4, SUM(Raw!AA43:AD43), "No Contingency Table")</f>
        <v>75</v>
      </c>
      <c r="J43" s="15">
        <f t="shared" si="0"/>
        <v>75</v>
      </c>
      <c r="K43" s="38">
        <f>IF(F43, IF(COUNTIF(Raw!AA43:AD43,"&gt;=0") = 4, IFERROR((I43*Raw!AA43 - SUM(Raw!AA43,Raw!AB43)*SUM(Raw!AA43,Raw!AD43)) / SQRT((I43*SUM(Raw!AA43,Raw!AB43) - SUM(Raw!AA43,Raw!AB43)^2) * (I43*SUM(Raw!AA43,Raw!AD43) - SUM(Raw!AA43,Raw!AD43)^2)), 0), "No Contingency Table"), "Not Included")</f>
        <v>0.21482551506307593</v>
      </c>
      <c r="L43" s="41">
        <f>IF(F43,IF(NOT(ISBLANK(Raw!AF43)), Raw!AF43, IF(NOT(ISBLANK(Raw!AG43)), Raw!AG43, IF(NOT(ISBLANK(Raw!AH43)), Raw!AH43, IF(NOT(ISBLANK(Raw!AI43)), SQRT(Raw!AI43/H43)*Raw!AJ43, "Not Reported")))),"Not Included")</f>
        <v>0.215</v>
      </c>
      <c r="M43" s="43">
        <f t="shared" si="1"/>
        <v>0.21482551506307593</v>
      </c>
      <c r="N43" s="11">
        <f t="shared" si="2"/>
        <v>1</v>
      </c>
      <c r="O43" s="48" t="b">
        <f>OR(NOT(ISBLANK(Raw!AK43)), COUNTIF(Raw!AA43:AD43, "&gt;=0") = 4)</f>
        <v>1</v>
      </c>
      <c r="P43" s="24" t="str">
        <f>IF(O43,IF(COUNTIF(Raw!AA43:AD43,"&gt;=0") = 4,"Contingency", "Paper k"), "Not Included")</f>
        <v>Contingency</v>
      </c>
      <c r="Q43" s="48">
        <f>IF(O43, IF(COUNTIF(Raw!AA43:AD43,"&gt;=0") = 4,SUM(Raw!AA43,Raw!AC43)/H43,"No Contingency Table"), "Not Included")</f>
        <v>0.6</v>
      </c>
      <c r="R43" s="38">
        <f>IF(O43, IF(COUNTIF(Raw!AA43:AD43, "&gt;=0") = 4,SUM(SUM(Raw!AA43,Raw!AB43)*SUM(Raw!AA43,Raw!AD43),SUM(Raw!AC43,Raw!AD43)*SUM(Raw!AC43,Raw!AB43))/H43^2,"No Contingency Table"), "Not Included")</f>
        <v>0.49546666666666667</v>
      </c>
      <c r="S43" s="38">
        <f>IF(O43, IF(COUNTIF(Raw!AA43:AD43,"&gt;=0") = 4, IFERROR((Q43 - R43) / (1 - R43), "Could not calculate"), "No Contingency Table"), "Not Included")</f>
        <v>0.20718816067653276</v>
      </c>
      <c r="T43" s="52">
        <f>IF(O43,IF(NOT(ISBLANK(Raw!AK43)), Raw!AK43, "Not Reported"), "Not Included")</f>
        <v>0.20699999999999999</v>
      </c>
      <c r="U43" s="38">
        <f t="shared" si="3"/>
        <v>0.20718816067653276</v>
      </c>
      <c r="V43" s="11">
        <f t="shared" si="4"/>
        <v>1</v>
      </c>
      <c r="W43" s="11" t="b">
        <f>OR(NOT(ISBLANK(Raw!AU43)),COUNTIF(Raw!AL43:AT43,"&gt;=0") = 9)</f>
        <v>0</v>
      </c>
      <c r="X43" s="11" t="str">
        <f>IF(W43, IF(COUNTIF(Raw!AL43:AT43,"&gt;=0") = 9, "Contingency", "Paper k"), "Not Included")</f>
        <v>Not Included</v>
      </c>
      <c r="Y43" s="11" t="str">
        <f>IF(W43,IF(COUNTIF(Raw!AL43:AT43,"&gt;=0") = 9,SUM(Raw!AL43:AT43),"No Contingency Table"),"Not Included")</f>
        <v>Not Included</v>
      </c>
      <c r="Z43" s="11" t="str">
        <f t="shared" si="5"/>
        <v>Not Included</v>
      </c>
      <c r="AA43" s="11" t="str">
        <f>IF(W43,IF(COUNTIF(Raw!AL43:AT43,"&gt;=0") = 9,SUM(Raw!AL43,Raw!AP43,Raw!AT43)/Y43,"No Contingency Table"), "Not Included")</f>
        <v>Not Included</v>
      </c>
      <c r="AB43" s="11" t="str">
        <f>IF(W43,IF(COUNTIF(Raw!AL43:AT43,"&gt;=0") = 9,SUM(SUM(Raw!AL43,Raw!AM43,Raw!AN43)*SUM(Raw!AL43,Raw!AO43,Raw!AR43),SUM(Raw!AO43,Raw!AP43,Raw!AQ43)*SUM(Raw!AM43,Raw!AP43,Raw!AS43),SUM(Raw!AR43,Raw!AS43,Raw!AT43)*SUM(Raw!AN43,Raw!AQ43,Raw!AT43))/Y43^2,"No Contingency Table"), "Not Included")</f>
        <v>Not Included</v>
      </c>
      <c r="AC43" s="11" t="str">
        <f>IF(W43,IF(COUNTIF(Raw!AL43:AT43,"&gt;=0") = 9,(AA43 - AB43) / (1 - AB43),"No Contingency Table"), "Not Included")</f>
        <v>Not Included</v>
      </c>
      <c r="AD43" s="11" t="str">
        <f>IF(W43, IF(NOT(ISBLANK(Raw!AU43)),Raw!AU43,"Not Reported"), "Not Included")</f>
        <v>Not Included</v>
      </c>
      <c r="AE43" s="11" t="str">
        <f t="shared" si="6"/>
        <v>Not Included</v>
      </c>
      <c r="AF43" s="11" t="str">
        <f t="shared" si="7"/>
        <v>Not Included</v>
      </c>
      <c r="AG43" s="11" t="b">
        <f>COUNTIF(Raw!AV43:BK43, "&gt;=0") = 16</f>
        <v>1</v>
      </c>
      <c r="AH43" s="11" t="str">
        <f>IF(AG43, IF(COUNTIF(Raw!AV43:BK43,"&gt;=0") = 16, "Contingency", "Paper k"), "Not Included")</f>
        <v>Contingency</v>
      </c>
      <c r="AI43" s="15">
        <f>IF(AG43,IF(COUNTIF(Raw!AV43:BK43,"&gt;=0") = 16,SUM(Raw!AV43:BK43),"No Contingency Table"),"Not Included")</f>
        <v>75</v>
      </c>
      <c r="AJ43" s="15">
        <f t="shared" si="8"/>
        <v>75</v>
      </c>
      <c r="AK43" s="11">
        <f>IF(AG43,IF(COUNTIF(Raw!AV43:BK43,"&gt;=0") = 16,SUM(Raw!AV43,Raw!BA43,Raw!BF43,Raw!BK43)/AI43,"No Contingency Table"), "Not Included")</f>
        <v>0.50666666666666671</v>
      </c>
      <c r="AL43" s="11">
        <f>IF(AG43,IF(COUNTIF(Raw!AV43:BK43,"&gt;=0") = 16,SUM(SUM(Raw!AV43,Raw!AW43,Raw!AX43,Raw!AY43)*SUM(Raw!AV43,Raw!AZ43,Raw!BD43,Raw!BH43),SUM(Raw!AZ43,Raw!BA43,Raw!BB43,Raw!BC43)*SUM(Raw!AW43,Raw!BA43,Raw!BE43,Raw!BI43),SUM(Raw!BD43,Raw!BE43,Raw!BF43,Raw!BG43)*SUM(Raw!AX43,Raw!BB43,Raw!BF43,Raw!BJ43),SUM(Raw!BH43,Raw!BI43,Raw!BJ43,Raw!BK43)*SUM(Raw!AY43,Raw!BC43,Raw!BG43,Raw!BK43))/AI43^2,"No Contingency Table"), "Not Included")</f>
        <v>0.37742222222222221</v>
      </c>
      <c r="AM43" s="11">
        <f>IF(AG43,IF(COUNTIF(Raw!AV43:BK43,"&gt;=0") = 16,(AK43 - AL43) / (1 - AL43),"No Contingency Table"), "Not Included")</f>
        <v>0.20759565962307261</v>
      </c>
      <c r="AN43" s="32">
        <f>IF(NOT(ISBLANK(Raw!BL43)),Raw!BL43,"Not Reported")</f>
        <v>0.20799999999999999</v>
      </c>
      <c r="AO43" s="11">
        <f t="shared" si="9"/>
        <v>0.20759565962307261</v>
      </c>
      <c r="AP43" s="11">
        <f t="shared" si="10"/>
        <v>1</v>
      </c>
      <c r="AQ43" s="11" t="b">
        <f t="shared" ref="AQ43:AR43" si="183">BQ43</f>
        <v>1</v>
      </c>
      <c r="AR43" s="11" t="str">
        <f t="shared" si="183"/>
        <v>Contingency</v>
      </c>
      <c r="AS43" s="15">
        <f t="shared" si="12"/>
        <v>75</v>
      </c>
      <c r="AT43" s="15">
        <f t="shared" si="13"/>
        <v>75</v>
      </c>
      <c r="AU43" s="11">
        <f>IF(AQ43, IF(COUNTIF(Raw!AV43:BK43, "&gt;=0") = 16, IFERROR((AT43*Raw!BK43 - SUM(Raw!BH43, Raw!BI43, Raw!BJ43, Raw!BK43)*SUM(Raw!AY43, Raw!BC43, Raw!BG43, Raw!BK43)) / SQRT((AT43*SUM(Raw!BH43, Raw!BI43, Raw!BJ43, Raw!BK43) - SUM(Raw!BH43, Raw!BI43, Raw!BJ43, Raw!BK43)^2) * (AT43*SUM(Raw!AY43, Raw!BC43, Raw!BG43, Raw!BK43) - SUM(Raw!AY43, Raw!BC43, Raw!BG43, Raw!BK43)^2)), 0), "No Contingency Table"), "Not Included")</f>
        <v>0.34117472620117922</v>
      </c>
      <c r="AV43" s="11" t="str">
        <f>IF(AQ43,IF(NOT(ISBLANK(Raw!BQ43)), Raw!BQ43, IF(NOT(ISBLANK(Raw!BR43)), Raw!BR43, "Not Reported")), "Not Included")</f>
        <v>Not Reported</v>
      </c>
      <c r="AW43" s="57">
        <f t="shared" si="14"/>
        <v>0.34117472620117922</v>
      </c>
      <c r="AX43" s="11" t="str">
        <f t="shared" si="15"/>
        <v>NA</v>
      </c>
      <c r="AY43" s="11" t="b">
        <f t="shared" ref="AY43:AZ43" si="184">AQ43</f>
        <v>1</v>
      </c>
      <c r="AZ43" s="11" t="str">
        <f t="shared" si="184"/>
        <v>Contingency</v>
      </c>
      <c r="BA43" s="11">
        <f>IF(AY43, IF(COUNTIF(Raw!AV43:BK43, "&gt;=0") = 16, SUM(Raw!AV43,Raw!AW43,Raw!AX43,Raw!AZ43,Raw!BA43,Raw!BB43,Raw!BD43,Raw!BE43,Raw!BF43,Raw!BK43)/SUM(Raw!AV43:BK43), "No Contingency Table"), "Not Included")</f>
        <v>0.68</v>
      </c>
      <c r="BB43" s="11">
        <f>IF(AY43, IF(COUNTIF(Raw!AV43:BK43, "&gt;=0") = 16,SUM(SUM(Raw!BH43,Raw!BI43,Raw!BJ43,Raw!BK43)*SUM(Raw!AY43,Raw!BC43,Raw!BG43,Raw!BK43),SUM(Raw!AV43:BG43)*SUM(Raw!AV43,Raw!AW43,Raw!AX43,Raw!AZ43,Raw!BA43,Raw!BB43,Raw!BD43,Raw!BE43,Raw!BF43,Raw!BH43,Raw!BI43,Raw!BJ43))/AT43^2,"No Contingency Table"), "Not Included")</f>
        <v>0.51466666666666672</v>
      </c>
      <c r="BC43" s="11">
        <f>IF(AY43, IF(COUNTIF(Raw!AV43:BK43, "&gt;=0") = 16,(BA43-BB43) / (1 - BB43),"No Contingency Table"), "Not Included")</f>
        <v>0.34065934065934067</v>
      </c>
      <c r="BD43" s="11" t="str">
        <f>IF(AY43,IF(NOT(ISBLANK(Raw!BT64)),Raw!BT64,"Not Reported"),"Not Included")</f>
        <v>Not Reported</v>
      </c>
      <c r="BE43" s="11">
        <f t="shared" si="17"/>
        <v>0.34065934065934067</v>
      </c>
      <c r="BF43" s="11" t="str">
        <f t="shared" si="18"/>
        <v>NA</v>
      </c>
      <c r="BG43" s="11">
        <f>Raw!K43</f>
        <v>2000</v>
      </c>
      <c r="BH43" s="11" t="str">
        <f>IF(Raw!L43 = "USA","USA","Non-USA")</f>
        <v>Non-USA</v>
      </c>
      <c r="BI43" s="11" t="str">
        <f>Raw!M43</f>
        <v>Main-Cassidy/Main-Cassidy</v>
      </c>
      <c r="BJ43" s="11">
        <f>Raw!N43</f>
        <v>1</v>
      </c>
      <c r="BK43" s="11">
        <f>Raw!P43</f>
        <v>0</v>
      </c>
      <c r="BL43" s="11">
        <f>Raw!Q43</f>
        <v>0</v>
      </c>
      <c r="BM43" s="11">
        <f>Raw!T43</f>
        <v>1</v>
      </c>
      <c r="BN43" s="11">
        <f>IFERROR(IF(AND(ISBLANK(Raw!U43), ISBLANK(Raw!V43), ISBLANK(Raw!W43), ISBLANK(Raw!X43)), "NA", IF(OR(NOT(ISBLANK(Raw!U43)), NOT(ISBLANK(Raw!W43))), AVERAGE(Raw!U43,Raw!W43), AVERAGE(Raw!V43,Raw!X43) + IF(Raw!Y43 = "2-way", R43, IF(Raw!Y43 = "3-way", AB43, IF(Raw!Y43 = "4-way", AL43, "NA")))*(1 - AVERAGE(Raw!V43,Raw!X43)))), "NA")</f>
        <v>0.94</v>
      </c>
      <c r="BO43" s="11">
        <f>Raw!O43</f>
        <v>0</v>
      </c>
      <c r="BP43" s="11" t="str">
        <f>Raw!F43</f>
        <v>Female</v>
      </c>
      <c r="BQ43" s="11" t="b">
        <f>COUNTIF(Raw!AV43:BK43, "&gt;=0") = 16</f>
        <v>1</v>
      </c>
      <c r="BR43" s="11" t="str">
        <f t="shared" si="19"/>
        <v>Contingency</v>
      </c>
      <c r="BS43" s="15">
        <f t="shared" si="20"/>
        <v>75</v>
      </c>
      <c r="BT43" s="11">
        <f>IF(BQ43, IF(COUNTIF(Raw!AV43:BK43, "&gt;=0") = 16, IFERROR((BS43*Raw!AV43 - SUM(Raw!AV43, Raw!AW43, Raw!AX43, Raw!AY43)*SUM(Raw!AV43, Raw!AZ43, Raw!BD43, Raw!BH43)) / SQRT((BS43*SUM(Raw!AV43, Raw!AW43, Raw!AX43, Raw!AY43) - SUM(Raw!AV43, Raw!AW43, Raw!AX43, Raw!AY43)^2) * (BS43*SUM(Raw!AV43, Raw!AZ43, Raw!BD43, Raw!BH43) - SUM(Raw!AV43, Raw!AZ43, Raw!BD43, Raw!BH43)^2)), 0), "No Contingency Table"), "Not Included")</f>
        <v>-6.8621455169568066E-2</v>
      </c>
      <c r="BU43" s="11">
        <f>IF(BQ43, IF(COUNTIF(Raw!AV43:BK43, "&gt;=0") = 16, SUM(Raw!BK43,Raw!BJ43,Raw!BI43,Raw!BG43,Raw!BF43,Raw!BE43,Raw!BC43,Raw!BB43,Raw!BA43,Raw!AV43)/SUM(Raw!AV43:BK43), "No Contingency Table"), "Not Included")</f>
        <v>0.82666666666666666</v>
      </c>
      <c r="BV43" s="11">
        <f>IF(BQ43, IF(COUNTIF(Raw!AV43:BK43, "&gt;=0") = 16,SUM(SUM(Raw!AV43,Raw!AW43,Raw!AX43,Raw!AY43)*SUM(Raw!AV43,Raw!AZ43,Raw!BD43,Raw!BH43),SUM(Raw!AZ43:BK43)*SUM(Raw!AW43,Raw!AX43,Raw!AY43,Raw!BA43,Raw!BB43,Raw!BC43,Raw!BE43,Raw!BF43,Raw!BG43,Raw!BI43,Raw!BJ43,Raw!BK43))/BS43^2,"No Contingency Table"), "Not Included")</f>
        <v>0.83448888888888884</v>
      </c>
      <c r="BW43" s="11">
        <f>IF(BQ43, IF(COUNTIF(Raw!AV43:BK43, "&gt;=0") = 16,(BU43-BV43) / (1 - BV43),"No Contingency Table"), "Not Included")</f>
        <v>-4.7261009667024401E-2</v>
      </c>
      <c r="BX43" s="11" t="b">
        <f t="shared" ref="BX43:BZ43" si="185">BQ43</f>
        <v>1</v>
      </c>
      <c r="BY43" s="11" t="str">
        <f t="shared" si="185"/>
        <v>Contingency</v>
      </c>
      <c r="BZ43" s="15">
        <f t="shared" si="185"/>
        <v>75</v>
      </c>
      <c r="CA43" s="11">
        <f>IF(BX43, IF(COUNTIF(Raw!AV43:BK43, "&gt;=0") = 16, IFERROR((BZ43*Raw!BF43 - SUM(Raw!BD43, Raw!BE43, Raw!BF43, Raw!BG43)*SUM(Raw!BF43, Raw!AX43, Raw!BB43, Raw!BJ43)) / SQRT((BZ43*SUM(Raw!BD43, Raw!BE43, Raw!BF43, Raw!BG43) - SUM(Raw!BD43, Raw!BE43, Raw!BF43, Raw!BG43)^2) * (BZ43*SUM(Raw!BF43, Raw!AX43, Raw!BB43, Raw!BJ43) - SUM(Raw!BF43, Raw!AX43, Raw!BB43, Raw!BJ43)^2)), 0), "No Contingency Table"), "Not Included")</f>
        <v>-4.4237395520380883E-2</v>
      </c>
      <c r="CB43" s="11">
        <f>IF(BX43, IF(COUNTIF(Raw!AV43:BK43, "&gt;=0") = 16, SUM(Raw!AV43,Raw!AW43,Raw!AY43,Raw!AZ43,Raw!BA43,Raw!BC43,Raw!BF43,Raw!BH43,Raw!BI43,Raw!BK43) / SUM(Raw!AV43:BK43), "No Contingency Table"), "Not Included")</f>
        <v>0.90666666666666662</v>
      </c>
      <c r="CC43" s="11">
        <f>IF(BX43, IF(COUNTIF(Raw!AV43:BK43, "&gt;=0") = 16,SUM(SUM(Raw!BD43,Raw!BE43,Raw!BF43,Raw!BG43)*SUM(Raw!BF43,Raw!AX43,Raw!BB43,Raw!BJ43),SUM(Raw!AV43:BC43,Raw!BH43:BK43)*SUM(Raw!AV43,Raw!AW43,Raw!AY43,Raw!AZ43,Raw!BA43,Raw!BC43,Raw!BD43,Raw!BE43,Raw!BG43,Raw!BH43,Raw!BI43,Raw!BK43))/BZ43^2,"No Contingency Table"), "Not Included")</f>
        <v>0.91022222222222227</v>
      </c>
      <c r="CD43" s="11">
        <f>IF(BX43, IF(COUNTIF(Raw!AV43:BK43, "&gt;=0") = 16,(CB43 - CC43) / (1 - CC43+0.000001),"No Contingency Table"), "Not Included")</f>
        <v>-3.9603519267731944E-2</v>
      </c>
      <c r="CE43" s="11" t="b">
        <f t="shared" ref="CE43:CG43" si="186">BQ43</f>
        <v>1</v>
      </c>
      <c r="CF43" s="11" t="str">
        <f t="shared" si="186"/>
        <v>Contingency</v>
      </c>
      <c r="CG43" s="15">
        <f t="shared" si="186"/>
        <v>75</v>
      </c>
      <c r="CH43" s="11">
        <f>IF(CE43, IF(COUNTIF(Raw!AV43:BK43, "&gt;=0") = 16, IFERROR((CG43*Raw!BA43 - SUM(Raw!BA43, Raw!AZ43, Raw!BB43, Raw!BC43)*SUM(Raw!BA43, Raw!AW43, Raw!BE43, Raw!BI43)) / SQRT((CG43*SUM(Raw!BA43, Raw!AZ43, Raw!BB43, Raw!BC43) - SUM(Raw!BA43, Raw!AZ43, Raw!BB43, Raw!BC43)^2) * (CG43*SUM(Raw!BA43, Raw!AW43, Raw!BE43, Raw!BI43) - SUM(Raw!BA43, Raw!AW43, Raw!BE43, Raw!BI43)^2)), 0), "No Contingency Table"), "Not Included")</f>
        <v>0.21482551506307593</v>
      </c>
      <c r="CI43" s="11">
        <f>IF(CE43, IF(COUNTIF(Raw!AV43:BK43, "&gt;=0") = 16, SUM(Raw!AV43,Raw!AX43,Raw!AY43,Raw!BA43,Raw!BD43,Raw!BF43,Raw!BG43,Raw!BH43,Raw!BJ43,Raw!BK43) / SUM(Raw!AV43:BK43), "No Contingency Table"), "Not Included")</f>
        <v>0.6</v>
      </c>
      <c r="CJ43" s="61">
        <f>IF(BX43, IF(COUNTIF(Raw!AV43:BK43, "&gt;=0") = 16,SUM(SUM(Raw!AZ43,Raw!BA43,Raw!BB43,Raw!BC43)*SUM(Raw!BA43,Raw!AW43,Raw!BE43,Raw!BI43),SUM(Raw!AV43:AY43,Raw!BD43:BK43)*SUM(Raw!AV43,Raw!AX43,Raw!AY43,Raw!AZ43,Raw!BB43,Raw!BC43,Raw!BD43,Raw!BF43,Raw!BG43,Raw!BH43,Raw!BJ43,Raw!BK43))/CG43^2,"No Contingency Table"), "Not Included")</f>
        <v>0.49546666666666667</v>
      </c>
      <c r="CK43" s="11">
        <f>IF(BX43, IF(COUNTIF(Raw!AV43:BK43, "&gt;=0") = 16,(CI43 - CJ43) / (1 - CJ43),"No Contingency Table"), "Not Included")</f>
        <v>0.20718816067653276</v>
      </c>
      <c r="CL43" s="11">
        <f>IF(BQ43, IFERROR(Raw!AV43/SUM(Raw!AV43:AY43), 0), "Not Included")</f>
        <v>0</v>
      </c>
      <c r="CM43" s="11">
        <f>IF(BQ43, IFERROR(Raw!BA43/SUM(Raw!AZ43:BC43), 0), "Not Included")</f>
        <v>0.65517241379310343</v>
      </c>
      <c r="CN43" s="11">
        <f>IF(BQ43, IFERROR(Raw!BF43/SUM(Raw!BD43:BG43), 0), "Not Included")</f>
        <v>0</v>
      </c>
      <c r="CO43" s="11">
        <f>IF(BQ43, IFERROR(Raw!BK43/SUM(Raw!BH43:BK43), 0), "Not Included")</f>
        <v>0.6333333333333333</v>
      </c>
      <c r="CP43" s="11">
        <f>IF(BQ43, IFERROR(SUM(Raw!AV43,Raw!AX43,Raw!AY43,Raw!BD43,Raw!BF43,Raw!BG43,Raw!BH43,Raw!BJ43,Raw!BK43)/SUM(Raw!AV43,Raw!AW43,Raw!AX43,Raw!AY43,Raw!BD43,Raw!BE43,Raw!BF43,Raw!BG43,Raw!BH43,Raw!BI43,Raw!BJ43,Raw!BK43), 0), "Not Included")</f>
        <v>0.56521739130434778</v>
      </c>
      <c r="CQ43" s="11">
        <f>IF(BQ43, IFERROR(SUM(Raw!AV43:AX43,Raw!AZ43:BB43,Raw!BD43:BF43)/SUM(Raw!AV43:BF43), 0), "Not Included")</f>
        <v>0.72727272727272729</v>
      </c>
      <c r="CR43" s="11">
        <f>IF(BQ43, IFERROR(SUM(Raw!AV43:AY43), 0), "Not Included")</f>
        <v>11</v>
      </c>
      <c r="CS43" s="11">
        <f>IF(BQ43, IFERROR(SUM(Raw!AZ43:BC43), 0), "Not Included")</f>
        <v>29</v>
      </c>
      <c r="CT43" s="11">
        <f>IF(BQ43, IFERROR(SUM(Raw!BD43:BG43), 0), "Not Included")</f>
        <v>5</v>
      </c>
      <c r="CU43" s="11">
        <f>IF(BQ43, IFERROR(SUM(Raw!BH43:BK43), 0), "Not Included")</f>
        <v>30</v>
      </c>
      <c r="CV43" s="11">
        <f>IF(BQ43, IFERROR(SUM(Raw!AV43,Raw!AW43,Raw!AX43,Raw!AY43,Raw!BD43,Raw!BE43,Raw!BF43,Raw!BG43,Raw!BH43,Raw!BI43,Raw!BJ43,Raw!BK43), 0), "Not Included")</f>
        <v>46</v>
      </c>
      <c r="CW43" s="11">
        <f>IF(BQ43, IFERROR(SUM(Raw!AV43:BF43), 0), "Not Included")</f>
        <v>44</v>
      </c>
      <c r="CX43" s="11">
        <f>IF(BQ43, IFERROR((CR43*SUM(Raw!AV43,Raw!AZ43,Raw!BD43,Raw!BH43))/BS43/CR43, 0), "Not Included")</f>
        <v>2.6666666666666668E-2</v>
      </c>
      <c r="CY43" s="11">
        <f>IF(BX43, IFERROR((CS43*SUM(Raw!BA43,Raw!AW43,Raw!BE43,Raw!BI43))/CG43/CS43, 0), "Not Included")</f>
        <v>0.52</v>
      </c>
      <c r="CZ43" s="11">
        <f>IF(BX43, IFERROR((CT43*SUM(Raw!BF43,Raw!AX43,Raw!BB43,Raw!BJ43))/BZ43/CT43, 0), "Not Included")</f>
        <v>2.6666666666666665E-2</v>
      </c>
      <c r="DA43" s="11">
        <f>IF(AY43, IFERROR((CU43*SUM(Raw!AY43,Raw!BC43,Raw!BG43,Raw!BK43))/AT43/CU43, 0), "Not Included")</f>
        <v>0.42666666666666669</v>
      </c>
      <c r="DB43" s="11">
        <f>IF(BX43, IFERROR((CV43*SUM(Raw!AV43,Raw!AX43,Raw!AY43,Raw!AZ43,Raw!BB43,Raw!BC43,Raw!BD43,Raw!BF43,Raw!BG43,Raw!BH43,Raw!BJ43,Raw!BK43))/CG43/CV43,0), "Not Included")</f>
        <v>0.48</v>
      </c>
      <c r="DC43" s="11">
        <f>IF(AY43, IFERROR((CW43*SUM(Raw!AV43,Raw!AW43,Raw!AX43,Raw!AZ43,Raw!BA43,Raw!BB43,Raw!BD43,Raw!BE43,Raw!BF43,Raw!BH43,Raw!BI43,Raw!BJ43))/AT43/CW43,0), "Not Included")</f>
        <v>0.57333333333333336</v>
      </c>
    </row>
    <row r="44" spans="1:107" ht="12.75" customHeight="1">
      <c r="A44" s="11">
        <f>Raw!D44</f>
        <v>30</v>
      </c>
      <c r="B44" s="11" t="str">
        <f>Raw!A44</f>
        <v>Rauh et al. (2000)</v>
      </c>
      <c r="C44" s="11">
        <f>Raw!G44</f>
        <v>3</v>
      </c>
      <c r="D44" s="11" t="str">
        <f>Raw!E44</f>
        <v>Main-Ainsworth</v>
      </c>
      <c r="E44" s="11" t="str">
        <f>CONCATENATE(IF(Raw!I44&lt;='Interval Definitions'!$B$2, 'Interval Definitions'!$A$2, IF(Raw!I44&lt;='Interval Definitions'!$B$3, 'Interval Definitions'!$A$3, IF(Raw!I44&lt;='Interval Definitions'!$B$4, 'Interval Definitions'!$A$4, IF(Raw!I44&lt;='Interval Definitions'!$B$5, 'Interval Definitions'!$A$5, "None")))), " - ", IF(Raw!J44&lt;='Interval Definitions'!$B$2, 'Interval Definitions'!$A$2, IF(Raw!J44&lt;='Interval Definitions'!$B$3, 'Interval Definitions'!$A$3, IF(Raw!J44&lt;='Interval Definitions'!$B$4, 'Interval Definitions'!$A$4, IF(Raw!J44&lt;='Interval Definitions'!$B$5, 'Interval Definitions'!$A$5, "None")))))</f>
        <v>Infancy - Toddlerhood</v>
      </c>
      <c r="F44" s="11" t="b">
        <f>OR(NOT(ISBLANK(Raw!AF44)),NOT(ISBLANK(Raw!AG44)),NOT(ISBLANK(Raw!AH44)),NOT(ISBLANK(Raw!AI44)),COUNTIF(Raw!AA44:AD44, "&gt;=0") = 4)</f>
        <v>1</v>
      </c>
      <c r="G44" s="11" t="str">
        <f>IF(F44, IF(COUNTIF(Raw!AA44:AD44,"&gt;=0") = 4, "Contingency", IF(NOT(ISBLANK(Raw!AF44)), "Paper r", IF(NOT(ISBLANK(Raw!AG44)), "Pinquart", IF(NOT(ISBLANK(Raw!AH44)), "Fraley", "Paper chiSq")))), "Not Included")</f>
        <v>Contingency</v>
      </c>
      <c r="H44" s="15">
        <f>IF(F44,Raw!AE44,"Not Included")</f>
        <v>75</v>
      </c>
      <c r="I44" s="15">
        <f>IF(COUNTIF(Raw!AA44:AD44,"&gt;=0") = 4, SUM(Raw!AA44:AD44), "No Contingency Table")</f>
        <v>75</v>
      </c>
      <c r="J44" s="15">
        <f t="shared" si="0"/>
        <v>75</v>
      </c>
      <c r="K44" s="38">
        <f>IF(F44, IF(COUNTIF(Raw!AA44:AD44,"&gt;=0") = 4, IFERROR((I44*Raw!AA44 - SUM(Raw!AA44,Raw!AB44)*SUM(Raw!AA44,Raw!AD44)) / SQRT((I44*SUM(Raw!AA44,Raw!AB44) - SUM(Raw!AA44,Raw!AB44)^2) * (I44*SUM(Raw!AA44,Raw!AD44) - SUM(Raw!AA44,Raw!AD44)^2)), 0), "No Contingency Table"), "Not Included")</f>
        <v>0.12565093932121157</v>
      </c>
      <c r="L44" s="41">
        <f>IF(F44,IF(NOT(ISBLANK(Raw!AF44)), Raw!AF44, IF(NOT(ISBLANK(Raw!AG44)), Raw!AG44, IF(NOT(ISBLANK(Raw!AH44)), Raw!AH44, IF(NOT(ISBLANK(Raw!AI44)), SQRT(Raw!AI44/H44)*Raw!AJ44, "Not Reported")))),"Not Included")</f>
        <v>0.126</v>
      </c>
      <c r="M44" s="43">
        <f t="shared" si="1"/>
        <v>0.12565093932121157</v>
      </c>
      <c r="N44" s="11">
        <f t="shared" si="2"/>
        <v>1</v>
      </c>
      <c r="O44" s="48" t="b">
        <f>OR(NOT(ISBLANK(Raw!AK44)), COUNTIF(Raw!AA44:AD44, "&gt;=0") = 4)</f>
        <v>1</v>
      </c>
      <c r="P44" s="24" t="str">
        <f>IF(O44,IF(COUNTIF(Raw!AA44:AD44,"&gt;=0") = 4,"Contingency", "Paper k"), "Not Included")</f>
        <v>Contingency</v>
      </c>
      <c r="Q44" s="48">
        <f>IF(O44, IF(COUNTIF(Raw!AA44:AD44,"&gt;=0") = 4,SUM(Raw!AA44,Raw!AC44)/H44,"No Contingency Table"), "Not Included")</f>
        <v>0.49333333333333335</v>
      </c>
      <c r="R44" s="38">
        <f>IF(O44, IF(COUNTIF(Raw!AA44:AD44, "&gt;=0") = 4,SUM(SUM(Raw!AA44,Raw!AB44)*SUM(Raw!AA44,Raw!AD44),SUM(Raw!AC44,Raw!AD44)*SUM(Raw!AC44,Raw!AB44))/H44^2,"No Contingency Table"), "Not Included")</f>
        <v>0.44106666666666666</v>
      </c>
      <c r="S44" s="38">
        <f>IF(O44, IF(COUNTIF(Raw!AA44:AD44,"&gt;=0") = 4, IFERROR((Q44 - R44) / (1 - R44), "Could not calculate"), "No Contingency Table"), "Not Included")</f>
        <v>9.3511450381679434E-2</v>
      </c>
      <c r="T44" s="52">
        <f>IF(O44,IF(NOT(ISBLANK(Raw!AK44)), Raw!AK44, "Not Reported"), "Not Included")</f>
        <v>9.4E-2</v>
      </c>
      <c r="U44" s="38">
        <f t="shared" si="3"/>
        <v>9.3511450381679434E-2</v>
      </c>
      <c r="V44" s="11">
        <f t="shared" si="4"/>
        <v>1</v>
      </c>
      <c r="W44" s="11" t="b">
        <f>OR(NOT(ISBLANK(Raw!AU44)),COUNTIF(Raw!AL44:AT44,"&gt;=0") = 9)</f>
        <v>0</v>
      </c>
      <c r="X44" s="11" t="str">
        <f>IF(W44, IF(COUNTIF(Raw!AL44:AT44,"&gt;=0") = 9, "Contingency", "Paper k"), "Not Included")</f>
        <v>Not Included</v>
      </c>
      <c r="Y44" s="11" t="str">
        <f>IF(W44,IF(COUNTIF(Raw!AL44:AT44,"&gt;=0") = 9,SUM(Raw!AL44:AT44),"No Contingency Table"),"Not Included")</f>
        <v>Not Included</v>
      </c>
      <c r="Z44" s="11" t="str">
        <f t="shared" si="5"/>
        <v>Not Included</v>
      </c>
      <c r="AA44" s="11" t="str">
        <f>IF(W44,IF(COUNTIF(Raw!AL44:AT44,"&gt;=0") = 9,SUM(Raw!AL44,Raw!AP44,Raw!AT44)/Y44,"No Contingency Table"), "Not Included")</f>
        <v>Not Included</v>
      </c>
      <c r="AB44" s="11" t="str">
        <f>IF(W44,IF(COUNTIF(Raw!AL44:AT44,"&gt;=0") = 9,SUM(SUM(Raw!AL44,Raw!AM44,Raw!AN44)*SUM(Raw!AL44,Raw!AO44,Raw!AR44),SUM(Raw!AO44,Raw!AP44,Raw!AQ44)*SUM(Raw!AM44,Raw!AP44,Raw!AS44),SUM(Raw!AR44,Raw!AS44,Raw!AT44)*SUM(Raw!AN44,Raw!AQ44,Raw!AT44))/Y44^2,"No Contingency Table"), "Not Included")</f>
        <v>Not Included</v>
      </c>
      <c r="AC44" s="11" t="str">
        <f>IF(W44,IF(COUNTIF(Raw!AL44:AT44,"&gt;=0") = 9,(AA44 - AB44) / (1 - AB44),"No Contingency Table"), "Not Included")</f>
        <v>Not Included</v>
      </c>
      <c r="AD44" s="11" t="str">
        <f>IF(W44, IF(NOT(ISBLANK(Raw!AU44)),Raw!AU44,"Not Reported"), "Not Included")</f>
        <v>Not Included</v>
      </c>
      <c r="AE44" s="11" t="str">
        <f t="shared" si="6"/>
        <v>Not Included</v>
      </c>
      <c r="AF44" s="11" t="str">
        <f t="shared" si="7"/>
        <v>Not Included</v>
      </c>
      <c r="AG44" s="11" t="b">
        <f>COUNTIF(Raw!AV44:BK44, "&gt;=0") = 16</f>
        <v>1</v>
      </c>
      <c r="AH44" s="11" t="str">
        <f>IF(AG44, IF(COUNTIF(Raw!AV44:BK44,"&gt;=0") = 16, "Contingency", "Paper k"), "Not Included")</f>
        <v>Contingency</v>
      </c>
      <c r="AI44" s="15">
        <f>IF(AG44,IF(COUNTIF(Raw!AV44:BK44,"&gt;=0") = 16,SUM(Raw!AV44:BK44),"No Contingency Table"),"Not Included")</f>
        <v>75</v>
      </c>
      <c r="AJ44" s="15">
        <f t="shared" si="8"/>
        <v>75</v>
      </c>
      <c r="AK44" s="11">
        <f>IF(AG44,IF(COUNTIF(Raw!AV44:BK44,"&gt;=0") = 16,SUM(Raw!AV44,Raw!BA44,Raw!BF44,Raw!BK44)/AI44,"No Contingency Table"), "Not Included")</f>
        <v>0.36</v>
      </c>
      <c r="AL44" s="11">
        <f>IF(AG44,IF(COUNTIF(Raw!AV44:BK44,"&gt;=0") = 16,SUM(SUM(Raw!AV44,Raw!AW44,Raw!AX44,Raw!AY44)*SUM(Raw!AV44,Raw!AZ44,Raw!BD44,Raw!BH44),SUM(Raw!AZ44,Raw!BA44,Raw!BB44,Raw!BC44)*SUM(Raw!AW44,Raw!BA44,Raw!BE44,Raw!BI44),SUM(Raw!BD44,Raw!BE44,Raw!BF44,Raw!BG44)*SUM(Raw!AX44,Raw!BB44,Raw!BF44,Raw!BJ44),SUM(Raw!BH44,Raw!BI44,Raw!BJ44,Raw!BK44)*SUM(Raw!AY44,Raw!BC44,Raw!BG44,Raw!BK44))/AI44^2,"No Contingency Table"), "Not Included")</f>
        <v>0.33173333333333332</v>
      </c>
      <c r="AM44" s="11">
        <f>IF(AG44,IF(COUNTIF(Raw!AV44:BK44,"&gt;=0") = 16,(AK44 - AL44) / (1 - AL44),"No Contingency Table"), "Not Included")</f>
        <v>4.2298483639265756E-2</v>
      </c>
      <c r="AN44" s="32">
        <f>IF(NOT(ISBLANK(Raw!BL44)),Raw!BL44,"Not Reported")</f>
        <v>4.7E-2</v>
      </c>
      <c r="AO44" s="11">
        <f t="shared" si="9"/>
        <v>4.2298483639265756E-2</v>
      </c>
      <c r="AP44" s="11">
        <f t="shared" si="10"/>
        <v>0</v>
      </c>
      <c r="AQ44" s="11" t="b">
        <f t="shared" ref="AQ44:AR44" si="187">BQ44</f>
        <v>1</v>
      </c>
      <c r="AR44" s="11" t="str">
        <f t="shared" si="187"/>
        <v>Contingency</v>
      </c>
      <c r="AS44" s="15">
        <f t="shared" si="12"/>
        <v>75</v>
      </c>
      <c r="AT44" s="15">
        <f t="shared" si="13"/>
        <v>75</v>
      </c>
      <c r="AU44" s="11">
        <f>IF(AQ44, IF(COUNTIF(Raw!AV44:BK44, "&gt;=0") = 16, IFERROR((AT44*Raw!BK44 - SUM(Raw!BH44, Raw!BI44, Raw!BJ44, Raw!BK44)*SUM(Raw!AY44, Raw!BC44, Raw!BG44, Raw!BK44)) / SQRT((AT44*SUM(Raw!BH44, Raw!BI44, Raw!BJ44, Raw!BK44) - SUM(Raw!BH44, Raw!BI44, Raw!BJ44, Raw!BK44)^2) * (AT44*SUM(Raw!AY44, Raw!BC44, Raw!BG44, Raw!BK44) - SUM(Raw!AY44, Raw!BC44, Raw!BG44, Raw!BK44)^2)), 0), "No Contingency Table"), "Not Included")</f>
        <v>-2.7777777777777776E-2</v>
      </c>
      <c r="AV44" s="11" t="str">
        <f>IF(AQ44,IF(NOT(ISBLANK(Raw!BQ44)), Raw!BQ44, IF(NOT(ISBLANK(Raw!BR44)), Raw!BR44, "Not Reported")), "Not Included")</f>
        <v>Not Reported</v>
      </c>
      <c r="AW44" s="57">
        <f t="shared" si="14"/>
        <v>-2.7777777777777776E-2</v>
      </c>
      <c r="AX44" s="11" t="str">
        <f t="shared" si="15"/>
        <v>NA</v>
      </c>
      <c r="AY44" s="11" t="b">
        <f t="shared" ref="AY44:AZ44" si="188">AQ44</f>
        <v>1</v>
      </c>
      <c r="AZ44" s="11" t="str">
        <f t="shared" si="188"/>
        <v>Contingency</v>
      </c>
      <c r="BA44" s="11">
        <f>IF(AY44, IF(COUNTIF(Raw!AV44:BK44, "&gt;=0") = 16, SUM(Raw!AV44,Raw!AW44,Raw!AX44,Raw!AZ44,Raw!BA44,Raw!BB44,Raw!BD44,Raw!BE44,Raw!BF44,Raw!BK44)/SUM(Raw!AV44:BK44), "No Contingency Table"), "Not Included")</f>
        <v>0.58666666666666667</v>
      </c>
      <c r="BB44" s="11">
        <f>IF(AY44, IF(COUNTIF(Raw!AV44:BK44, "&gt;=0") = 16,SUM(SUM(Raw!BH44,Raw!BI44,Raw!BJ44,Raw!BK44)*SUM(Raw!AY44,Raw!BC44,Raw!BG44,Raw!BK44),SUM(Raw!AV44:BG44)*SUM(Raw!AV44,Raw!AW44,Raw!AX44,Raw!AZ44,Raw!BA44,Raw!BB44,Raw!BD44,Raw!BE44,Raw!BF44,Raw!BH44,Raw!BI44,Raw!BJ44))/AT44^2,"No Contingency Table"), "Not Included")</f>
        <v>0.59199999999999997</v>
      </c>
      <c r="BC44" s="11">
        <f>IF(AY44, IF(COUNTIF(Raw!AV44:BK44, "&gt;=0") = 16,(BA44-BB44) / (1 - BB44),"No Contingency Table"), "Not Included")</f>
        <v>-1.3071895424836522E-2</v>
      </c>
      <c r="BD44" s="11" t="str">
        <f>IF(AY44,IF(NOT(ISBLANK(Raw!BT65)),Raw!BT65,"Not Reported"),"Not Included")</f>
        <v>Not Reported</v>
      </c>
      <c r="BE44" s="11">
        <f t="shared" si="17"/>
        <v>-1.3071895424836522E-2</v>
      </c>
      <c r="BF44" s="11" t="str">
        <f t="shared" si="18"/>
        <v>NA</v>
      </c>
      <c r="BG44" s="11">
        <f>Raw!K44</f>
        <v>2000</v>
      </c>
      <c r="BH44" s="11" t="str">
        <f>IF(Raw!L44 = "USA","USA","Non-USA")</f>
        <v>Non-USA</v>
      </c>
      <c r="BI44" s="11" t="str">
        <f>Raw!M44</f>
        <v>Main-Cassidy/Ainsworth</v>
      </c>
      <c r="BJ44" s="11">
        <f>Raw!N44</f>
        <v>1</v>
      </c>
      <c r="BK44" s="11">
        <f>Raw!P44</f>
        <v>0</v>
      </c>
      <c r="BL44" s="11">
        <f>Raw!Q44</f>
        <v>0</v>
      </c>
      <c r="BM44" s="11">
        <f>Raw!T44</f>
        <v>1</v>
      </c>
      <c r="BN44" s="11">
        <f>IFERROR(IF(AND(ISBLANK(Raw!U44), ISBLANK(Raw!V44), ISBLANK(Raw!W44), ISBLANK(Raw!X44)), "NA", IF(OR(NOT(ISBLANK(Raw!U44)), NOT(ISBLANK(Raw!W44))), AVERAGE(Raw!U44,Raw!W44), AVERAGE(Raw!V44,Raw!X44) + IF(Raw!Y44 = "2-way", R44, IF(Raw!Y44 = "3-way", AB44, IF(Raw!Y44 = "4-way", AL44, "NA")))*(1 - AVERAGE(Raw!V44,Raw!X44)))), "NA")</f>
        <v>0.94</v>
      </c>
      <c r="BO44" s="11">
        <f>Raw!O44</f>
        <v>0</v>
      </c>
      <c r="BP44" s="11" t="str">
        <f>Raw!F44</f>
        <v>Female</v>
      </c>
      <c r="BQ44" s="11" t="b">
        <f>COUNTIF(Raw!AV44:BK44, "&gt;=0") = 16</f>
        <v>1</v>
      </c>
      <c r="BR44" s="11" t="str">
        <f t="shared" si="19"/>
        <v>Contingency</v>
      </c>
      <c r="BS44" s="15">
        <f t="shared" si="20"/>
        <v>75</v>
      </c>
      <c r="BT44" s="11">
        <f>IF(BQ44, IF(COUNTIF(Raw!AV44:BK44, "&gt;=0") = 16, IFERROR((BS44*Raw!AV44 - SUM(Raw!AV44, Raw!AW44, Raw!AX44, Raw!AY44)*SUM(Raw!AV44, Raw!AZ44, Raw!BD44, Raw!BH44)) / SQRT((BS44*SUM(Raw!AV44, Raw!AW44, Raw!AX44, Raw!AY44) - SUM(Raw!AV44, Raw!AW44, Raw!AX44, Raw!AY44)^2) * (BS44*SUM(Raw!AV44, Raw!AZ44, Raw!BD44, Raw!BH44) - SUM(Raw!AV44, Raw!AZ44, Raw!BD44, Raw!BH44)^2)), 0), "No Contingency Table"), "Not Included")</f>
        <v>0.10093062558243326</v>
      </c>
      <c r="BU44" s="11">
        <f>IF(BQ44, IF(COUNTIF(Raw!AV44:BK44, "&gt;=0") = 16, SUM(Raw!BK44,Raw!BJ44,Raw!BI44,Raw!BG44,Raw!BF44,Raw!BE44,Raw!BC44,Raw!BB44,Raw!BA44,Raw!AV44)/SUM(Raw!AV44:BK44), "No Contingency Table"), "Not Included")</f>
        <v>0.8</v>
      </c>
      <c r="BV44" s="11">
        <f>IF(BQ44, IF(COUNTIF(Raw!AV44:BK44, "&gt;=0") = 16,SUM(SUM(Raw!AV44,Raw!AW44,Raw!AX44,Raw!AY44)*SUM(Raw!AV44,Raw!AZ44,Raw!BD44,Raw!BH44),SUM(Raw!AZ44:BK44)*SUM(Raw!AW44,Raw!AX44,Raw!AY44,Raw!BA44,Raw!BB44,Raw!BC44,Raw!BE44,Raw!BF44,Raw!BG44,Raw!BI44,Raw!BJ44,Raw!BK44))/BS44^2,"No Contingency Table"), "Not Included")</f>
        <v>0.77795555555555551</v>
      </c>
      <c r="BW44" s="11">
        <f>IF(BQ44, IF(COUNTIF(Raw!AV44:BK44, "&gt;=0") = 16,(BU44-BV44) / (1 - BV44),"No Contingency Table"), "Not Included")</f>
        <v>9.9279423538831443E-2</v>
      </c>
      <c r="BX44" s="11" t="b">
        <f t="shared" ref="BX44:BZ44" si="189">BQ44</f>
        <v>1</v>
      </c>
      <c r="BY44" s="11" t="str">
        <f t="shared" si="189"/>
        <v>Contingency</v>
      </c>
      <c r="BZ44" s="15">
        <f t="shared" si="189"/>
        <v>75</v>
      </c>
      <c r="CA44" s="11">
        <f>IF(BX44, IF(COUNTIF(Raw!AV44:BK44, "&gt;=0") = 16, IFERROR((BZ44*Raw!BF44 - SUM(Raw!BD44, Raw!BE44, Raw!BF44, Raw!BG44)*SUM(Raw!BF44, Raw!AX44, Raw!BB44, Raw!BJ44)) / SQRT((BZ44*SUM(Raw!BD44, Raw!BE44, Raw!BF44, Raw!BG44) - SUM(Raw!BD44, Raw!BE44, Raw!BF44, Raw!BG44)^2) * (BZ44*SUM(Raw!BF44, Raw!AX44, Raw!BB44, Raw!BJ44) - SUM(Raw!BF44, Raw!AX44, Raw!BB44, Raw!BJ44)^2)), 0), "No Contingency Table"), "Not Included")</f>
        <v>-8.5749292571254424E-2</v>
      </c>
      <c r="CB44" s="11">
        <f>IF(BX44, IF(COUNTIF(Raw!AV44:BK44, "&gt;=0") = 16, SUM(Raw!AV44,Raw!AW44,Raw!AY44,Raw!AZ44,Raw!BA44,Raw!BC44,Raw!BF44,Raw!BH44,Raw!BI44,Raw!BK44) / SUM(Raw!AV44:BK44), "No Contingency Table"), "Not Included")</f>
        <v>0.84</v>
      </c>
      <c r="CC44" s="11">
        <f>IF(BX44, IF(COUNTIF(Raw!AV44:BK44, "&gt;=0") = 16,SUM(SUM(Raw!BD44,Raw!BE44,Raw!BF44,Raw!BG44)*SUM(Raw!BF44,Raw!AX44,Raw!BB44,Raw!BJ44),SUM(Raw!AV44:BC44,Raw!BH44:BK44)*SUM(Raw!AV44,Raw!AW44,Raw!AY44,Raw!AZ44,Raw!BA44,Raw!BC44,Raw!BD44,Raw!BE44,Raw!BG44,Raw!BH44,Raw!BI44,Raw!BK44))/BZ44^2,"No Contingency Table"), "Not Included")</f>
        <v>0.85244444444444445</v>
      </c>
      <c r="CD44" s="11">
        <f>IF(BX44, IF(COUNTIF(Raw!AV44:BK44, "&gt;=0") = 16,(CB44 - CC44) / (1 - CC44+0.000001),"No Contingency Table"), "Not Included")</f>
        <v>-8.4336777838102242E-2</v>
      </c>
      <c r="CE44" s="11" t="b">
        <f t="shared" ref="CE44:CG44" si="190">BQ44</f>
        <v>1</v>
      </c>
      <c r="CF44" s="11" t="str">
        <f t="shared" si="190"/>
        <v>Contingency</v>
      </c>
      <c r="CG44" s="15">
        <f t="shared" si="190"/>
        <v>75</v>
      </c>
      <c r="CH44" s="11">
        <f>IF(CE44, IF(COUNTIF(Raw!AV44:BK44, "&gt;=0") = 16, IFERROR((CG44*Raw!BA44 - SUM(Raw!BA44, Raw!AZ44, Raw!BB44, Raw!BC44)*SUM(Raw!BA44, Raw!AW44, Raw!BE44, Raw!BI44)) / SQRT((CG44*SUM(Raw!BA44, Raw!AZ44, Raw!BB44, Raw!BC44) - SUM(Raw!BA44, Raw!AZ44, Raw!BB44, Raw!BC44)^2) * (CG44*SUM(Raw!BA44, Raw!AW44, Raw!BE44, Raw!BI44) - SUM(Raw!BA44, Raw!AW44, Raw!BE44, Raw!BI44)^2)), 0), "No Contingency Table"), "Not Included")</f>
        <v>0.12565093932121157</v>
      </c>
      <c r="CI44" s="11">
        <f>IF(CE44, IF(COUNTIF(Raw!AV44:BK44, "&gt;=0") = 16, SUM(Raw!AV44,Raw!AX44,Raw!AY44,Raw!BA44,Raw!BD44,Raw!BF44,Raw!BG44,Raw!BH44,Raw!BJ44,Raw!BK44) / SUM(Raw!AV44:BK44), "No Contingency Table"), "Not Included")</f>
        <v>0.49333333333333335</v>
      </c>
      <c r="CJ44" s="61">
        <f>IF(BX44, IF(COUNTIF(Raw!AV44:BK44, "&gt;=0") = 16,SUM(SUM(Raw!AZ44,Raw!BA44,Raw!BB44,Raw!BC44)*SUM(Raw!BA44,Raw!AW44,Raw!BE44,Raw!BI44),SUM(Raw!AV44:AY44,Raw!BD44:BK44)*SUM(Raw!AV44,Raw!AX44,Raw!AY44,Raw!AZ44,Raw!BB44,Raw!BC44,Raw!BD44,Raw!BF44,Raw!BG44,Raw!BH44,Raw!BJ44,Raw!BK44))/CG44^2,"No Contingency Table"), "Not Included")</f>
        <v>0.44106666666666666</v>
      </c>
      <c r="CK44" s="11">
        <f>IF(BX44, IF(COUNTIF(Raw!AV44:BK44, "&gt;=0") = 16,(CI44 - CJ44) / (1 - CJ44),"No Contingency Table"), "Not Included")</f>
        <v>9.3511450381679434E-2</v>
      </c>
      <c r="CL44" s="11">
        <f>IF(BQ44, IFERROR(Raw!AV44/SUM(Raw!AV44:AY44), 0), "Not Included")</f>
        <v>0.18181818181818182</v>
      </c>
      <c r="CM44" s="11">
        <f>IF(BQ44, IFERROR(Raw!BA44/SUM(Raw!AZ44:BC44), 0), "Not Included")</f>
        <v>0.82758620689655171</v>
      </c>
      <c r="CN44" s="11">
        <f>IF(BQ44, IFERROR(Raw!BF44/SUM(Raw!BD44:BG44), 0), "Not Included")</f>
        <v>0</v>
      </c>
      <c r="CO44" s="11">
        <f>IF(BQ44, IFERROR(Raw!BK44/SUM(Raw!BH44:BK44), 0), "Not Included")</f>
        <v>3.3333333333333333E-2</v>
      </c>
      <c r="CP44" s="11">
        <f>IF(BQ44, IFERROR(SUM(Raw!AV44,Raw!AX44,Raw!AY44,Raw!BD44,Raw!BF44,Raw!BG44,Raw!BH44,Raw!BJ44,Raw!BK44)/SUM(Raw!AV44,Raw!AW44,Raw!AX44,Raw!AY44,Raw!BD44,Raw!BE44,Raw!BF44,Raw!BG44,Raw!BH44,Raw!BI44,Raw!BJ44,Raw!BK44), 0), "Not Included")</f>
        <v>0.28260869565217389</v>
      </c>
      <c r="CQ44" s="11">
        <f>IF(BQ44, IFERROR(SUM(Raw!AV44:AX44,Raw!AZ44:BB44,Raw!BD44:BF44)/SUM(Raw!AV44:BF44), 0), "Not Included")</f>
        <v>0.9555555555555556</v>
      </c>
      <c r="CR44" s="11">
        <f>IF(BQ44, IFERROR(SUM(Raw!AV44:AY44), 0), "Not Included")</f>
        <v>11</v>
      </c>
      <c r="CS44" s="11">
        <f>IF(BQ44, IFERROR(SUM(Raw!AZ44:BC44), 0), "Not Included")</f>
        <v>29</v>
      </c>
      <c r="CT44" s="11">
        <f>IF(BQ44, IFERROR(SUM(Raw!BD44:BG44), 0), "Not Included")</f>
        <v>5</v>
      </c>
      <c r="CU44" s="11">
        <f>IF(BQ44, IFERROR(SUM(Raw!BH44:BK44), 0), "Not Included")</f>
        <v>30</v>
      </c>
      <c r="CV44" s="11">
        <f>IF(BQ44, IFERROR(SUM(Raw!AV44,Raw!AW44,Raw!AX44,Raw!AY44,Raw!BD44,Raw!BE44,Raw!BF44,Raw!BG44,Raw!BH44,Raw!BI44,Raw!BJ44,Raw!BK44), 0), "Not Included")</f>
        <v>46</v>
      </c>
      <c r="CW44" s="11">
        <f>IF(BQ44, IFERROR(SUM(Raw!AV44:BF44), 0), "Not Included")</f>
        <v>45</v>
      </c>
      <c r="CX44" s="11">
        <f>IF(BQ44, IFERROR((CR44*SUM(Raw!AV44,Raw!AZ44,Raw!BD44,Raw!BH44))/BS44/CR44, 0), "Not Included")</f>
        <v>0.10666666666666667</v>
      </c>
      <c r="CY44" s="11">
        <f>IF(BX44, IFERROR((CS44*SUM(Raw!BA44,Raw!AW44,Raw!BE44,Raw!BI44))/CG44/CS44, 0), "Not Included")</f>
        <v>0.76</v>
      </c>
      <c r="CZ44" s="11">
        <f>IF(BX44, IFERROR((CT44*SUM(Raw!BF44,Raw!AX44,Raw!BB44,Raw!BJ44))/BZ44/CT44, 0), "Not Included")</f>
        <v>9.3333333333333338E-2</v>
      </c>
      <c r="DA44" s="11">
        <f>IF(AY44, IFERROR((CU44*SUM(Raw!AY44,Raw!BC44,Raw!BG44,Raw!BK44))/AT44/CU44, 0), "Not Included")</f>
        <v>0.04</v>
      </c>
      <c r="DB44" s="11">
        <f>IF(BX44, IFERROR((CV44*SUM(Raw!AV44,Raw!AX44,Raw!AY44,Raw!AZ44,Raw!BB44,Raw!BC44,Raw!BD44,Raw!BF44,Raw!BG44,Raw!BH44,Raw!BJ44,Raw!BK44))/CG44/CV44,0), "Not Included")</f>
        <v>0.24</v>
      </c>
      <c r="DC44" s="11">
        <f>IF(AY44, IFERROR((CW44*SUM(Raw!AV44,Raw!AW44,Raw!AX44,Raw!AZ44,Raw!BA44,Raw!BB44,Raw!BD44,Raw!BE44,Raw!BF44,Raw!BH44,Raw!BI44,Raw!BJ44))/AT44/CW44,0), "Not Included")</f>
        <v>0.96000000000000008</v>
      </c>
    </row>
    <row r="45" spans="1:107" ht="12.75" customHeight="1">
      <c r="A45" s="11">
        <f>Raw!D45</f>
        <v>30</v>
      </c>
      <c r="B45" s="11" t="str">
        <f>Raw!A45</f>
        <v>Rauh et al. (2000)</v>
      </c>
      <c r="C45" s="11">
        <f>Raw!G45</f>
        <v>4</v>
      </c>
      <c r="D45" s="11" t="str">
        <f>Raw!E45</f>
        <v>Ainsworth-Main</v>
      </c>
      <c r="E45" s="11" t="str">
        <f>CONCATENATE(IF(Raw!I45&lt;='Interval Definitions'!$B$2, 'Interval Definitions'!$A$2, IF(Raw!I45&lt;='Interval Definitions'!$B$3, 'Interval Definitions'!$A$3, IF(Raw!I45&lt;='Interval Definitions'!$B$4, 'Interval Definitions'!$A$4, IF(Raw!I45&lt;='Interval Definitions'!$B$5, 'Interval Definitions'!$A$5, "None")))), " - ", IF(Raw!J45&lt;='Interval Definitions'!$B$2, 'Interval Definitions'!$A$2, IF(Raw!J45&lt;='Interval Definitions'!$B$3, 'Interval Definitions'!$A$3, IF(Raw!J45&lt;='Interval Definitions'!$B$4, 'Interval Definitions'!$A$4, IF(Raw!J45&lt;='Interval Definitions'!$B$5, 'Interval Definitions'!$A$5, "None")))))</f>
        <v>Infancy - Toddlerhood</v>
      </c>
      <c r="F45" s="11" t="b">
        <f>OR(NOT(ISBLANK(Raw!AF45)),NOT(ISBLANK(Raw!AG45)),NOT(ISBLANK(Raw!AH45)),NOT(ISBLANK(Raw!AI45)),COUNTIF(Raw!AA45:AD45, "&gt;=0") = 4)</f>
        <v>1</v>
      </c>
      <c r="G45" s="11" t="str">
        <f>IF(F45, IF(COUNTIF(Raw!AA45:AD45,"&gt;=0") = 4, "Contingency", IF(NOT(ISBLANK(Raw!AF45)), "Paper r", IF(NOT(ISBLANK(Raw!AG45)), "Pinquart", IF(NOT(ISBLANK(Raw!AH45)), "Fraley", "Paper chiSq")))), "Not Included")</f>
        <v>Contingency</v>
      </c>
      <c r="H45" s="15">
        <f>IF(F45,Raw!AE45,"Not Included")</f>
        <v>75</v>
      </c>
      <c r="I45" s="15">
        <f>IF(COUNTIF(Raw!AA45:AD45,"&gt;=0") = 4, SUM(Raw!AA45:AD45), "No Contingency Table")</f>
        <v>75</v>
      </c>
      <c r="J45" s="15">
        <f t="shared" si="0"/>
        <v>75</v>
      </c>
      <c r="K45" s="38">
        <f>IF(F45, IF(COUNTIF(Raw!AA45:AD45,"&gt;=0") = 4, IFERROR((I45*Raw!AA45 - SUM(Raw!AA45,Raw!AB45)*SUM(Raw!AA45,Raw!AD45)) / SQRT((I45*SUM(Raw!AA45,Raw!AB45) - SUM(Raw!AA45,Raw!AB45)^2) * (I45*SUM(Raw!AA45,Raw!AD45) - SUM(Raw!AA45,Raw!AD45)^2)), 0), "No Contingency Table"), "Not Included")</f>
        <v>0.14163943093313291</v>
      </c>
      <c r="L45" s="41">
        <f>IF(F45,IF(NOT(ISBLANK(Raw!AF45)), Raw!AF45, IF(NOT(ISBLANK(Raw!AG45)), Raw!AG45, IF(NOT(ISBLANK(Raw!AH45)), Raw!AH45, IF(NOT(ISBLANK(Raw!AI45)), SQRT(Raw!AI45/H45)*Raw!AJ45, "Not Reported")))),"Not Included")</f>
        <v>0.14199999999999999</v>
      </c>
      <c r="M45" s="43">
        <f t="shared" si="1"/>
        <v>0.14163943093313291</v>
      </c>
      <c r="N45" s="11">
        <f t="shared" si="2"/>
        <v>1</v>
      </c>
      <c r="O45" s="48" t="b">
        <f>OR(NOT(ISBLANK(Raw!AK45)), COUNTIF(Raw!AA45:AD45, "&gt;=0") = 4)</f>
        <v>1</v>
      </c>
      <c r="P45" s="24" t="str">
        <f>IF(O45,IF(COUNTIF(Raw!AA45:AD45,"&gt;=0") = 4,"Contingency", "Paper k"), "Not Included")</f>
        <v>Contingency</v>
      </c>
      <c r="Q45" s="48">
        <f>IF(O45, IF(COUNTIF(Raw!AA45:AD45,"&gt;=0") = 4,SUM(Raw!AA45,Raw!AC45)/H45,"No Contingency Table"), "Not Included")</f>
        <v>0.57333333333333336</v>
      </c>
      <c r="R45" s="38">
        <f>IF(O45, IF(COUNTIF(Raw!AA45:AD45, "&gt;=0") = 4,SUM(SUM(Raw!AA45,Raw!AB45)*SUM(Raw!AA45,Raw!AD45),SUM(Raw!AC45,Raw!AD45)*SUM(Raw!AC45,Raw!AB45))/H45^2,"No Contingency Table"), "Not Included")</f>
        <v>0.504</v>
      </c>
      <c r="S45" s="38">
        <f>IF(O45, IF(COUNTIF(Raw!AA45:AD45,"&gt;=0") = 4, IFERROR((Q45 - R45) / (1 - R45), "Could not calculate"), "No Contingency Table"), "Not Included")</f>
        <v>0.13978494623655918</v>
      </c>
      <c r="T45" s="52">
        <f>IF(O45,IF(NOT(ISBLANK(Raw!AK45)), Raw!AK45, "Not Reported"), "Not Included")</f>
        <v>0.14000000000000001</v>
      </c>
      <c r="U45" s="38">
        <f t="shared" si="3"/>
        <v>0.13978494623655918</v>
      </c>
      <c r="V45" s="11">
        <f t="shared" si="4"/>
        <v>1</v>
      </c>
      <c r="W45" s="11" t="b">
        <f>OR(NOT(ISBLANK(Raw!AU45)),COUNTIF(Raw!AL45:AT45,"&gt;=0") = 9)</f>
        <v>0</v>
      </c>
      <c r="X45" s="11" t="str">
        <f>IF(W45, IF(COUNTIF(Raw!AL45:AT45,"&gt;=0") = 9, "Contingency", "Paper k"), "Not Included")</f>
        <v>Not Included</v>
      </c>
      <c r="Y45" s="11" t="str">
        <f>IF(W45,IF(COUNTIF(Raw!AL45:AT45,"&gt;=0") = 9,SUM(Raw!AL45:AT45),"No Contingency Table"),"Not Included")</f>
        <v>Not Included</v>
      </c>
      <c r="Z45" s="11" t="str">
        <f t="shared" si="5"/>
        <v>Not Included</v>
      </c>
      <c r="AA45" s="11" t="str">
        <f>IF(W45,IF(COUNTIF(Raw!AL45:AT45,"&gt;=0") = 9,SUM(Raw!AL45,Raw!AP45,Raw!AT45)/Y45,"No Contingency Table"), "Not Included")</f>
        <v>Not Included</v>
      </c>
      <c r="AB45" s="11" t="str">
        <f>IF(W45,IF(COUNTIF(Raw!AL45:AT45,"&gt;=0") = 9,SUM(SUM(Raw!AL45,Raw!AM45,Raw!AN45)*SUM(Raw!AL45,Raw!AO45,Raw!AR45),SUM(Raw!AO45,Raw!AP45,Raw!AQ45)*SUM(Raw!AM45,Raw!AP45,Raw!AS45),SUM(Raw!AR45,Raw!AS45,Raw!AT45)*SUM(Raw!AN45,Raw!AQ45,Raw!AT45))/Y45^2,"No Contingency Table"), "Not Included")</f>
        <v>Not Included</v>
      </c>
      <c r="AC45" s="11" t="str">
        <f>IF(W45,IF(COUNTIF(Raw!AL45:AT45,"&gt;=0") = 9,(AA45 - AB45) / (1 - AB45),"No Contingency Table"), "Not Included")</f>
        <v>Not Included</v>
      </c>
      <c r="AD45" s="11" t="str">
        <f>IF(W45, IF(NOT(ISBLANK(Raw!AU45)),Raw!AU45,"Not Reported"), "Not Included")</f>
        <v>Not Included</v>
      </c>
      <c r="AE45" s="11" t="str">
        <f t="shared" si="6"/>
        <v>Not Included</v>
      </c>
      <c r="AF45" s="11" t="str">
        <f t="shared" si="7"/>
        <v>Not Included</v>
      </c>
      <c r="AG45" s="11" t="b">
        <f>COUNTIF(Raw!AV45:BK45, "&gt;=0") = 16</f>
        <v>1</v>
      </c>
      <c r="AH45" s="11" t="str">
        <f>IF(AG45, IF(COUNTIF(Raw!AV45:BK45,"&gt;=0") = 16, "Contingency", "Paper k"), "Not Included")</f>
        <v>Contingency</v>
      </c>
      <c r="AI45" s="15">
        <f>IF(AG45,IF(COUNTIF(Raw!AV45:BK45,"&gt;=0") = 16,SUM(Raw!AV45:BK45),"No Contingency Table"),"Not Included")</f>
        <v>75</v>
      </c>
      <c r="AJ45" s="15">
        <f t="shared" si="8"/>
        <v>75</v>
      </c>
      <c r="AK45" s="11">
        <f>IF(AG45,IF(COUNTIF(Raw!AV45:BK45,"&gt;=0") = 16,SUM(Raw!AV45,Raw!BA45,Raw!BF45,Raw!BK45)/AI45,"No Contingency Table"), "Not Included")</f>
        <v>0.38666666666666666</v>
      </c>
      <c r="AL45" s="11">
        <f>IF(AG45,IF(COUNTIF(Raw!AV45:BK45,"&gt;=0") = 16,SUM(SUM(Raw!AV45,Raw!AW45,Raw!AX45,Raw!AY45)*SUM(Raw!AV45,Raw!AZ45,Raw!BD45,Raw!BH45),SUM(Raw!AZ45,Raw!BA45,Raw!BB45,Raw!BC45)*SUM(Raw!AW45,Raw!BA45,Raw!BE45,Raw!BI45),SUM(Raw!BD45,Raw!BE45,Raw!BF45,Raw!BG45)*SUM(Raw!AX45,Raw!BB45,Raw!BF45,Raw!BJ45),SUM(Raw!BH45,Raw!BI45,Raw!BJ45,Raw!BK45)*SUM(Raw!AY45,Raw!BC45,Raw!BG45,Raw!BK45))/AI45^2,"No Contingency Table"), "Not Included")</f>
        <v>0.34933333333333333</v>
      </c>
      <c r="AM45" s="11">
        <f>IF(AG45,IF(COUNTIF(Raw!AV45:BK45,"&gt;=0") = 16,(AK45 - AL45) / (1 - AL45),"No Contingency Table"), "Not Included")</f>
        <v>5.7377049180327856E-2</v>
      </c>
      <c r="AN45" s="32">
        <f>IF(NOT(ISBLANK(Raw!BL45)),Raw!BL45,"Not Reported")</f>
        <v>5.7000000000000002E-2</v>
      </c>
      <c r="AO45" s="11">
        <f t="shared" si="9"/>
        <v>5.7377049180327856E-2</v>
      </c>
      <c r="AP45" s="11">
        <f t="shared" si="10"/>
        <v>1</v>
      </c>
      <c r="AQ45" s="11" t="b">
        <f t="shared" ref="AQ45:AR45" si="191">BQ45</f>
        <v>1</v>
      </c>
      <c r="AR45" s="11" t="str">
        <f t="shared" si="191"/>
        <v>Contingency</v>
      </c>
      <c r="AS45" s="15">
        <f t="shared" si="12"/>
        <v>75</v>
      </c>
      <c r="AT45" s="15">
        <f t="shared" si="13"/>
        <v>75</v>
      </c>
      <c r="AU45" s="11">
        <f>IF(AQ45, IF(COUNTIF(Raw!AV45:BK45, "&gt;=0") = 16, IFERROR((AT45*Raw!BK45 - SUM(Raw!BH45, Raw!BI45, Raw!BJ45, Raw!BK45)*SUM(Raw!AY45, Raw!BC45, Raw!BG45, Raw!BK45)) / SQRT((AT45*SUM(Raw!BH45, Raw!BI45, Raw!BJ45, Raw!BK45) - SUM(Raw!BH45, Raw!BI45, Raw!BJ45, Raw!BK45)^2) * (AT45*SUM(Raw!AY45, Raw!BC45, Raw!BG45, Raw!BK45) - SUM(Raw!AY45, Raw!BC45, Raw!BG45, Raw!BK45)^2)), 0), "No Contingency Table"), "Not Included")</f>
        <v>9.3663442876938174E-2</v>
      </c>
      <c r="AV45" s="11" t="str">
        <f>IF(AQ45,IF(NOT(ISBLANK(Raw!BQ45)), Raw!BQ45, IF(NOT(ISBLANK(Raw!BR45)), Raw!BR45, "Not Reported")), "Not Included")</f>
        <v>Not Reported</v>
      </c>
      <c r="AW45" s="57">
        <f t="shared" si="14"/>
        <v>9.3663442876938174E-2</v>
      </c>
      <c r="AX45" s="11" t="str">
        <f t="shared" si="15"/>
        <v>NA</v>
      </c>
      <c r="AY45" s="11" t="b">
        <f t="shared" ref="AY45:AZ45" si="192">AQ45</f>
        <v>1</v>
      </c>
      <c r="AZ45" s="11" t="str">
        <f t="shared" si="192"/>
        <v>Contingency</v>
      </c>
      <c r="BA45" s="11">
        <f>IF(AY45, IF(COUNTIF(Raw!AV45:BK45, "&gt;=0") = 16, SUM(Raw!AV45,Raw!AW45,Raw!AX45,Raw!AZ45,Raw!BA45,Raw!BB45,Raw!BD45,Raw!BE45,Raw!BF45,Raw!BK45)/SUM(Raw!AV45:BK45), "No Contingency Table"), "Not Included")</f>
        <v>0.58666666666666667</v>
      </c>
      <c r="BB45" s="11">
        <f>IF(AY45, IF(COUNTIF(Raw!AV45:BK45, "&gt;=0") = 16,SUM(SUM(Raw!BH45,Raw!BI45,Raw!BJ45,Raw!BK45)*SUM(Raw!AY45,Raw!BC45,Raw!BG45,Raw!BK45),SUM(Raw!AV45:BG45)*SUM(Raw!AV45,Raw!AW45,Raw!AX45,Raw!AZ45,Raw!BA45,Raw!BB45,Raw!BD45,Raw!BE45,Raw!BF45,Raw!BH45,Raw!BI45,Raw!BJ45))/AT45^2,"No Contingency Table"), "Not Included")</f>
        <v>0.56355555555555559</v>
      </c>
      <c r="BC45" s="11">
        <f>IF(AY45, IF(COUNTIF(Raw!AV45:BK45, "&gt;=0") = 16,(BA45-BB45) / (1 - BB45),"No Contingency Table"), "Not Included")</f>
        <v>5.2953156822810529E-2</v>
      </c>
      <c r="BD45" s="11" t="str">
        <f>IF(AY45,IF(NOT(ISBLANK(Raw!BT66)),Raw!BT66,"Not Reported"),"Not Included")</f>
        <v>Not Reported</v>
      </c>
      <c r="BE45" s="11">
        <f t="shared" si="17"/>
        <v>5.2953156822810529E-2</v>
      </c>
      <c r="BF45" s="11" t="str">
        <f t="shared" si="18"/>
        <v>NA</v>
      </c>
      <c r="BG45" s="11">
        <f>Raw!K45</f>
        <v>2000</v>
      </c>
      <c r="BH45" s="11" t="str">
        <f>IF(Raw!L45 = "USA","USA","Non-USA")</f>
        <v>Non-USA</v>
      </c>
      <c r="BI45" s="11" t="str">
        <f>Raw!M45</f>
        <v>Ainsworth/Main-Cassidy</v>
      </c>
      <c r="BJ45" s="11">
        <f>Raw!N45</f>
        <v>1</v>
      </c>
      <c r="BK45" s="11">
        <f>Raw!P45</f>
        <v>0</v>
      </c>
      <c r="BL45" s="11">
        <f>Raw!Q45</f>
        <v>0</v>
      </c>
      <c r="BM45" s="11">
        <f>Raw!T45</f>
        <v>1</v>
      </c>
      <c r="BN45" s="11">
        <f>IFERROR(IF(AND(ISBLANK(Raw!U45), ISBLANK(Raw!V45), ISBLANK(Raw!W45), ISBLANK(Raw!X45)), "NA", IF(OR(NOT(ISBLANK(Raw!U45)), NOT(ISBLANK(Raw!W45))), AVERAGE(Raw!U45,Raw!W45), AVERAGE(Raw!V45,Raw!X45) + IF(Raw!Y45 = "2-way", R45, IF(Raw!Y45 = "3-way", AB45, IF(Raw!Y45 = "4-way", AL45, "NA")))*(1 - AVERAGE(Raw!V45,Raw!X45)))), "NA")</f>
        <v>0.94</v>
      </c>
      <c r="BO45" s="11">
        <f>Raw!O45</f>
        <v>0</v>
      </c>
      <c r="BP45" s="11" t="str">
        <f>Raw!F45</f>
        <v>Female</v>
      </c>
      <c r="BQ45" s="11" t="b">
        <f>COUNTIF(Raw!AV45:BK45, "&gt;=0") = 16</f>
        <v>1</v>
      </c>
      <c r="BR45" s="11" t="str">
        <f t="shared" si="19"/>
        <v>Contingency</v>
      </c>
      <c r="BS45" s="15">
        <f t="shared" si="20"/>
        <v>75</v>
      </c>
      <c r="BT45" s="11">
        <f>IF(BQ45, IF(COUNTIF(Raw!AV45:BK45, "&gt;=0") = 16, IFERROR((BS45*Raw!AV45 - SUM(Raw!AV45, Raw!AW45, Raw!AX45, Raw!AY45)*SUM(Raw!AV45, Raw!AZ45, Raw!BD45, Raw!BH45)) / SQRT((BS45*SUM(Raw!AV45, Raw!AW45, Raw!AX45, Raw!AY45) - SUM(Raw!AV45, Raw!AW45, Raw!AX45, Raw!AY45)^2) * (BS45*SUM(Raw!AV45, Raw!AZ45, Raw!BD45, Raw!BH45) - SUM(Raw!AV45, Raw!AZ45, Raw!BD45, Raw!BH45)^2)), 0), "No Contingency Table"), "Not Included")</f>
        <v>-9.3014871941572541E-2</v>
      </c>
      <c r="BU45" s="11">
        <f>IF(BQ45, IF(COUNTIF(Raw!AV45:BK45, "&gt;=0") = 16, SUM(Raw!BK45,Raw!BJ45,Raw!BI45,Raw!BG45,Raw!BF45,Raw!BE45,Raw!BC45,Raw!BB45,Raw!BA45,Raw!AV45)/SUM(Raw!AV45:BK45), "No Contingency Table"), "Not Included")</f>
        <v>0.73333333333333328</v>
      </c>
      <c r="BV45" s="11">
        <f>IF(BQ45, IF(COUNTIF(Raw!AV45:BK45, "&gt;=0") = 16,SUM(SUM(Raw!AV45,Raw!AW45,Raw!AX45,Raw!AY45)*SUM(Raw!AV45,Raw!AZ45,Raw!BD45,Raw!BH45),SUM(Raw!AZ45:BK45)*SUM(Raw!AW45,Raw!AX45,Raw!AY45,Raw!BA45,Raw!BB45,Raw!BC45,Raw!BE45,Raw!BF45,Raw!BG45,Raw!BI45,Raw!BJ45,Raw!BK45))/BS45^2,"No Contingency Table"), "Not Included")</f>
        <v>0.74613333333333332</v>
      </c>
      <c r="BW45" s="11">
        <f>IF(BQ45, IF(COUNTIF(Raw!AV45:BK45, "&gt;=0") = 16,(BU45-BV45) / (1 - BV45),"No Contingency Table"), "Not Included")</f>
        <v>-5.0420168067227017E-2</v>
      </c>
      <c r="BX45" s="11" t="b">
        <f t="shared" ref="BX45:BZ45" si="193">BQ45</f>
        <v>1</v>
      </c>
      <c r="BY45" s="11" t="str">
        <f t="shared" si="193"/>
        <v>Contingency</v>
      </c>
      <c r="BZ45" s="15">
        <f t="shared" si="193"/>
        <v>75</v>
      </c>
      <c r="CA45" s="11">
        <f>IF(BX45, IF(COUNTIF(Raw!AV45:BK45, "&gt;=0") = 16, IFERROR((BZ45*Raw!BF45 - SUM(Raw!BD45, Raw!BE45, Raw!BF45, Raw!BG45)*SUM(Raw!BF45, Raw!AX45, Raw!BB45, Raw!BJ45)) / SQRT((BZ45*SUM(Raw!BD45, Raw!BE45, Raw!BF45, Raw!BG45) - SUM(Raw!BD45, Raw!BE45, Raw!BF45, Raw!BG45)^2) * (BZ45*SUM(Raw!BF45, Raw!AX45, Raw!BB45, Raw!BJ45) - SUM(Raw!BF45, Raw!AX45, Raw!BB45, Raw!BJ45)^2)), 0), "No Contingency Table"), "Not Included")</f>
        <v>-5.3106555194944158E-2</v>
      </c>
      <c r="CB45" s="11">
        <f>IF(BX45, IF(COUNTIF(Raw!AV45:BK45, "&gt;=0") = 16, SUM(Raw!AV45,Raw!AW45,Raw!AY45,Raw!AZ45,Raw!BA45,Raw!BC45,Raw!BF45,Raw!BH45,Raw!BI45,Raw!BK45) / SUM(Raw!AV45:BK45), "No Contingency Table"), "Not Included")</f>
        <v>0.88</v>
      </c>
      <c r="CC45" s="11">
        <f>IF(BX45, IF(COUNTIF(Raw!AV45:BK45, "&gt;=0") = 16,SUM(SUM(Raw!BD45,Raw!BE45,Raw!BF45,Raw!BG45)*SUM(Raw!BF45,Raw!AX45,Raw!BB45,Raw!BJ45),SUM(Raw!AV45:BC45,Raw!BH45:BK45)*SUM(Raw!AV45,Raw!AW45,Raw!AY45,Raw!AZ45,Raw!BA45,Raw!BC45,Raw!BD45,Raw!BE45,Raw!BG45,Raw!BH45,Raw!BI45,Raw!BK45))/BZ45^2,"No Contingency Table"), "Not Included")</f>
        <v>0.88497777777777775</v>
      </c>
      <c r="CD45" s="11">
        <f>IF(BX45, IF(COUNTIF(Raw!AV45:BK45, "&gt;=0") = 16,(CB45 - CC45) / (1 - CC45+0.000001),"No Contingency Table"), "Not Included")</f>
        <v>-4.3276285271862704E-2</v>
      </c>
      <c r="CE45" s="11" t="b">
        <f t="shared" ref="CE45:CG45" si="194">BQ45</f>
        <v>1</v>
      </c>
      <c r="CF45" s="11" t="str">
        <f t="shared" si="194"/>
        <v>Contingency</v>
      </c>
      <c r="CG45" s="15">
        <f t="shared" si="194"/>
        <v>75</v>
      </c>
      <c r="CH45" s="11">
        <f>IF(CE45, IF(COUNTIF(Raw!AV45:BK45, "&gt;=0") = 16, IFERROR((CG45*Raw!BA45 - SUM(Raw!BA45, Raw!AZ45, Raw!BB45, Raw!BC45)*SUM(Raw!BA45, Raw!AW45, Raw!BE45, Raw!BI45)) / SQRT((CG45*SUM(Raw!BA45, Raw!AZ45, Raw!BB45, Raw!BC45) - SUM(Raw!BA45, Raw!AZ45, Raw!BB45, Raw!BC45)^2) * (CG45*SUM(Raw!BA45, Raw!AW45, Raw!BE45, Raw!BI45) - SUM(Raw!BA45, Raw!AW45, Raw!BE45, Raw!BI45)^2)), 0), "No Contingency Table"), "Not Included")</f>
        <v>0.14163943093313291</v>
      </c>
      <c r="CI45" s="11">
        <f>IF(CE45, IF(COUNTIF(Raw!AV45:BK45, "&gt;=0") = 16, SUM(Raw!AV45,Raw!AX45,Raw!AY45,Raw!BA45,Raw!BD45,Raw!BF45,Raw!BG45,Raw!BH45,Raw!BJ45,Raw!BK45) / SUM(Raw!AV45:BK45), "No Contingency Table"), "Not Included")</f>
        <v>0.57333333333333336</v>
      </c>
      <c r="CJ45" s="61">
        <f>IF(BX45, IF(COUNTIF(Raw!AV45:BK45, "&gt;=0") = 16,SUM(SUM(Raw!AZ45,Raw!BA45,Raw!BB45,Raw!BC45)*SUM(Raw!BA45,Raw!AW45,Raw!BE45,Raw!BI45),SUM(Raw!AV45:AY45,Raw!BD45:BK45)*SUM(Raw!AV45,Raw!AX45,Raw!AY45,Raw!AZ45,Raw!BB45,Raw!BC45,Raw!BD45,Raw!BF45,Raw!BG45,Raw!BH45,Raw!BJ45,Raw!BK45))/CG45^2,"No Contingency Table"), "Not Included")</f>
        <v>0.504</v>
      </c>
      <c r="CK45" s="11">
        <f>IF(BX45, IF(COUNTIF(Raw!AV45:BK45, "&gt;=0") = 16,(CI45 - CJ45) / (1 - CJ45),"No Contingency Table"), "Not Included")</f>
        <v>0.13978494623655918</v>
      </c>
      <c r="CL45" s="11">
        <f>IF(BQ45, IFERROR(Raw!AV45/SUM(Raw!AV45:AY45), 0), "Not Included")</f>
        <v>0</v>
      </c>
      <c r="CM45" s="11">
        <f>IF(BQ45, IFERROR(Raw!BA45/SUM(Raw!AZ45:BC45), 0), "Not Included")</f>
        <v>0.57777777777777772</v>
      </c>
      <c r="CN45" s="11">
        <f>IF(BQ45, IFERROR(Raw!BF45/SUM(Raw!BD45:BG45), 0), "Not Included")</f>
        <v>0</v>
      </c>
      <c r="CO45" s="11">
        <f>IF(BQ45, IFERROR(Raw!BK45/SUM(Raw!BH45:BK45), 0), "Not Included")</f>
        <v>0.6</v>
      </c>
      <c r="CP45" s="11">
        <f>IF(BQ45, IFERROR(SUM(Raw!AV45,Raw!AX45,Raw!AY45,Raw!BD45,Raw!BF45,Raw!BG45,Raw!BH45,Raw!BJ45,Raw!BK45)/SUM(Raw!AV45,Raw!AW45,Raw!AX45,Raw!AY45,Raw!BD45,Raw!BE45,Raw!BF45,Raw!BG45,Raw!BH45,Raw!BI45,Raw!BJ45,Raw!BK45), 0), "Not Included")</f>
        <v>0.56666666666666665</v>
      </c>
      <c r="CQ45" s="11">
        <f>IF(BQ45, IFERROR(SUM(Raw!AV45:AX45,Raw!AZ45:BB45,Raw!BD45:BF45)/SUM(Raw!AV45:BF45), 0), "Not Included")</f>
        <v>0.61194029850746268</v>
      </c>
      <c r="CR45" s="11">
        <f>IF(BQ45, IFERROR(SUM(Raw!AV45:AY45), 0), "Not Included")</f>
        <v>18</v>
      </c>
      <c r="CS45" s="11">
        <f>IF(BQ45, IFERROR(SUM(Raw!AZ45:BC45), 0), "Not Included")</f>
        <v>45</v>
      </c>
      <c r="CT45" s="11">
        <f>IF(BQ45, IFERROR(SUM(Raw!BD45:BG45), 0), "Not Included")</f>
        <v>7</v>
      </c>
      <c r="CU45" s="11">
        <f>IF(BQ45, IFERROR(SUM(Raw!BH45:BK45), 0), "Not Included")</f>
        <v>5</v>
      </c>
      <c r="CV45" s="11">
        <f>IF(BQ45, IFERROR(SUM(Raw!AV45,Raw!AW45,Raw!AX45,Raw!AY45,Raw!BD45,Raw!BE45,Raw!BF45,Raw!BG45,Raw!BH45,Raw!BI45,Raw!BJ45,Raw!BK45), 0), "Not Included")</f>
        <v>30</v>
      </c>
      <c r="CW45" s="11">
        <f>IF(BQ45, IFERROR(SUM(Raw!AV45:BF45), 0), "Not Included")</f>
        <v>67</v>
      </c>
      <c r="CX45" s="11">
        <f>IF(BQ45, IFERROR((CR45*SUM(Raw!AV45,Raw!AZ45,Raw!BD45,Raw!BH45))/BS45/CR45, 0), "Not Included")</f>
        <v>2.6666666666666665E-2</v>
      </c>
      <c r="CY45" s="11">
        <f>IF(BX45, IFERROR((CS45*SUM(Raw!BA45,Raw!AW45,Raw!BE45,Raw!BI45))/CG45/CS45, 0), "Not Included")</f>
        <v>0.52</v>
      </c>
      <c r="CZ45" s="11">
        <f>IF(BX45, IFERROR((CT45*SUM(Raw!BF45,Raw!AX45,Raw!BB45,Raw!BJ45))/BZ45/CT45, 0), "Not Included")</f>
        <v>2.6666666666666668E-2</v>
      </c>
      <c r="DA45" s="11">
        <f>IF(AY45, IFERROR((CU45*SUM(Raw!AY45,Raw!BC45,Raw!BG45,Raw!BK45))/AT45/CU45, 0), "Not Included")</f>
        <v>0.42666666666666664</v>
      </c>
      <c r="DB45" s="11">
        <f>IF(BX45, IFERROR((CV45*SUM(Raw!AV45,Raw!AX45,Raw!AY45,Raw!AZ45,Raw!BB45,Raw!BC45,Raw!BD45,Raw!BF45,Raw!BG45,Raw!BH45,Raw!BJ45,Raw!BK45))/CG45/CV45,0), "Not Included")</f>
        <v>0.48000000000000004</v>
      </c>
      <c r="DC45" s="11">
        <f>IF(AY45, IFERROR((CW45*SUM(Raw!AV45,Raw!AW45,Raw!AX45,Raw!AZ45,Raw!BA45,Raw!BB45,Raw!BD45,Raw!BE45,Raw!BF45,Raw!BH45,Raw!BI45,Raw!BJ45))/AT45/CW45,0), "Not Included")</f>
        <v>0.57333333333333336</v>
      </c>
    </row>
    <row r="46" spans="1:107" ht="16.5" customHeight="1">
      <c r="A46" s="11">
        <f>Raw!D46</f>
        <v>30</v>
      </c>
      <c r="B46" s="11" t="str">
        <f>Raw!A46</f>
        <v>Rauh et al. (2000)</v>
      </c>
      <c r="C46" s="11">
        <f>Raw!G46</f>
        <v>5</v>
      </c>
      <c r="D46" s="11" t="str">
        <f>Raw!E46</f>
        <v>Main-Crittenden</v>
      </c>
      <c r="E46" s="11" t="str">
        <f>CONCATENATE(IF(Raw!I46&lt;='Interval Definitions'!$B$2, 'Interval Definitions'!$A$2, IF(Raw!I46&lt;='Interval Definitions'!$B$3, 'Interval Definitions'!$A$3, IF(Raw!I46&lt;='Interval Definitions'!$B$4, 'Interval Definitions'!$A$4, IF(Raw!I46&lt;='Interval Definitions'!$B$5, 'Interval Definitions'!$A$5, "None")))), " - ", IF(Raw!J46&lt;='Interval Definitions'!$B$2, 'Interval Definitions'!$A$2, IF(Raw!J46&lt;='Interval Definitions'!$B$3, 'Interval Definitions'!$A$3, IF(Raw!J46&lt;='Interval Definitions'!$B$4, 'Interval Definitions'!$A$4, IF(Raw!J46&lt;='Interval Definitions'!$B$5, 'Interval Definitions'!$A$5, "None")))))</f>
        <v>Infancy - Toddlerhood</v>
      </c>
      <c r="F46" s="11" t="b">
        <f>OR(NOT(ISBLANK(Raw!AF46)),NOT(ISBLANK(Raw!AG46)),NOT(ISBLANK(Raw!AH46)),NOT(ISBLANK(Raw!AI46)),COUNTIF(Raw!AA46:AD46, "&gt;=0") = 4)</f>
        <v>1</v>
      </c>
      <c r="G46" s="11" t="str">
        <f>IF(F46, IF(COUNTIF(Raw!AA46:AD46,"&gt;=0") = 4, "Contingency", IF(NOT(ISBLANK(Raw!AF46)), "Paper r", IF(NOT(ISBLANK(Raw!AG46)), "Pinquart", IF(NOT(ISBLANK(Raw!AH46)), "Fraley", "Paper chiSq")))), "Not Included")</f>
        <v>Contingency</v>
      </c>
      <c r="H46" s="15">
        <f>IF(F46,Raw!AE46,"Not Included")</f>
        <v>75</v>
      </c>
      <c r="I46" s="15">
        <f>IF(COUNTIF(Raw!AA46:AD46,"&gt;=0") = 4, SUM(Raw!AA46:AD46), "No Contingency Table")</f>
        <v>75</v>
      </c>
      <c r="J46" s="15">
        <f t="shared" si="0"/>
        <v>75</v>
      </c>
      <c r="K46" s="38">
        <f>IF(F46, IF(COUNTIF(Raw!AA46:AD46,"&gt;=0") = 4, IFERROR((I46*Raw!AA46 - SUM(Raw!AA46,Raw!AB46)*SUM(Raw!AA46,Raw!AD46)) / SQRT((I46*SUM(Raw!AA46,Raw!AB46) - SUM(Raw!AA46,Raw!AB46)^2) * (I46*SUM(Raw!AA46,Raw!AD46) - SUM(Raw!AA46,Raw!AD46)^2)), 0), "No Contingency Table"), "Not Included")</f>
        <v>0.28738945472629457</v>
      </c>
      <c r="L46" s="41">
        <f>IF(F46,IF(NOT(ISBLANK(Raw!AF46)), Raw!AF46, IF(NOT(ISBLANK(Raw!AG46)), Raw!AG46, IF(NOT(ISBLANK(Raw!AH46)), Raw!AH46, IF(NOT(ISBLANK(Raw!AI46)), SQRT(Raw!AI46/H46)*Raw!AJ46, "Not Reported")))),"Not Included")</f>
        <v>0.28699999999999998</v>
      </c>
      <c r="M46" s="43">
        <f t="shared" si="1"/>
        <v>0.28738945472629457</v>
      </c>
      <c r="N46" s="11">
        <f t="shared" si="2"/>
        <v>1</v>
      </c>
      <c r="O46" s="48" t="b">
        <f>OR(NOT(ISBLANK(Raw!AK46)), COUNTIF(Raw!AA46:AD46, "&gt;=0") = 4)</f>
        <v>1</v>
      </c>
      <c r="P46" s="24" t="str">
        <f>IF(O46,IF(COUNTIF(Raw!AA46:AD46,"&gt;=0") = 4,"Contingency", "Paper k"), "Not Included")</f>
        <v>Contingency</v>
      </c>
      <c r="Q46" s="48">
        <f>IF(O46, IF(COUNTIF(Raw!AA46:AD46,"&gt;=0") = 4,SUM(Raw!AA46,Raw!AC46)/H46,"No Contingency Table"), "Not Included")</f>
        <v>0.68</v>
      </c>
      <c r="R46" s="38">
        <f>IF(O46, IF(COUNTIF(Raw!AA46:AD46, "&gt;=0") = 4,SUM(SUM(Raw!AA46,Raw!AB46)*SUM(Raw!AA46,Raw!AD46),SUM(Raw!AC46,Raw!AD46)*SUM(Raw!AC46,Raw!AB46))/H46^2,"No Contingency Table"), "Not Included")</f>
        <v>0.57404444444444447</v>
      </c>
      <c r="S46" s="38">
        <f>IF(O46, IF(COUNTIF(Raw!AA46:AD46,"&gt;=0") = 4, IFERROR((Q46 - R46) / (1 - R46), "Could not calculate"), "No Contingency Table"), "Not Included")</f>
        <v>0.24874791318864781</v>
      </c>
      <c r="T46" s="52">
        <f>IF(O46,IF(NOT(ISBLANK(Raw!AK46)), Raw!AK46, "Not Reported"), "Not Included")</f>
        <v>0.249</v>
      </c>
      <c r="U46" s="38">
        <f t="shared" si="3"/>
        <v>0.24874791318864781</v>
      </c>
      <c r="V46" s="11">
        <f t="shared" si="4"/>
        <v>1</v>
      </c>
      <c r="W46" s="11" t="b">
        <f>OR(NOT(ISBLANK(Raw!AU46)),COUNTIF(Raw!AL46:AT46,"&gt;=0") = 9)</f>
        <v>0</v>
      </c>
      <c r="X46" s="11" t="str">
        <f>IF(W46, IF(COUNTIF(Raw!AL46:AT46,"&gt;=0") = 9, "Contingency", "Paper k"), "Not Included")</f>
        <v>Not Included</v>
      </c>
      <c r="Y46" s="11" t="str">
        <f>IF(W46,IF(COUNTIF(Raw!AL46:AT46,"&gt;=0") = 9,SUM(Raw!AL46:AT46),"No Contingency Table"),"Not Included")</f>
        <v>Not Included</v>
      </c>
      <c r="Z46" s="11" t="str">
        <f t="shared" si="5"/>
        <v>Not Included</v>
      </c>
      <c r="AA46" s="11" t="str">
        <f>IF(W46,IF(COUNTIF(Raw!AL46:AT46,"&gt;=0") = 9,SUM(Raw!AL46,Raw!AP46,Raw!AT46)/Y46,"No Contingency Table"), "Not Included")</f>
        <v>Not Included</v>
      </c>
      <c r="AB46" s="11" t="str">
        <f>IF(W46,IF(COUNTIF(Raw!AL46:AT46,"&gt;=0") = 9,SUM(SUM(Raw!AL46,Raw!AM46,Raw!AN46)*SUM(Raw!AL46,Raw!AO46,Raw!AR46),SUM(Raw!AO46,Raw!AP46,Raw!AQ46)*SUM(Raw!AM46,Raw!AP46,Raw!AS46),SUM(Raw!AR46,Raw!AS46,Raw!AT46)*SUM(Raw!AN46,Raw!AQ46,Raw!AT46))/Y46^2,"No Contingency Table"), "Not Included")</f>
        <v>Not Included</v>
      </c>
      <c r="AC46" s="11" t="str">
        <f>IF(W46,IF(COUNTIF(Raw!AL46:AT46,"&gt;=0") = 9,(AA46 - AB46) / (1 - AB46),"No Contingency Table"), "Not Included")</f>
        <v>Not Included</v>
      </c>
      <c r="AD46" s="11" t="str">
        <f>IF(W46, IF(NOT(ISBLANK(Raw!AU46)),Raw!AU46,"Not Reported"), "Not Included")</f>
        <v>Not Included</v>
      </c>
      <c r="AE46" s="11" t="str">
        <f t="shared" si="6"/>
        <v>Not Included</v>
      </c>
      <c r="AF46" s="11" t="str">
        <f t="shared" si="7"/>
        <v>Not Included</v>
      </c>
      <c r="AG46" s="11" t="b">
        <f>COUNTIF(Raw!AV46:BK46, "&gt;=0") = 16</f>
        <v>1</v>
      </c>
      <c r="AH46" s="11" t="str">
        <f>IF(AG46, IF(COUNTIF(Raw!AV46:BK46,"&gt;=0") = 16, "Contingency", "Paper k"), "Not Included")</f>
        <v>Contingency</v>
      </c>
      <c r="AI46" s="15">
        <f>IF(AG46,IF(COUNTIF(Raw!AV46:BK46,"&gt;=0") = 16,SUM(Raw!AV46:BK46),"No Contingency Table"),"Not Included")</f>
        <v>75</v>
      </c>
      <c r="AJ46" s="15">
        <f t="shared" si="8"/>
        <v>75</v>
      </c>
      <c r="AK46" s="11">
        <f>IF(AG46,IF(COUNTIF(Raw!AV46:BK46,"&gt;=0") = 16,SUM(Raw!AV46,Raw!BA46,Raw!BF46,Raw!BK46)/AI46,"No Contingency Table"), "Not Included")</f>
        <v>0.22666666666666666</v>
      </c>
      <c r="AL46" s="11">
        <f>IF(AG46,IF(COUNTIF(Raw!AV46:BK46,"&gt;=0") = 16,SUM(SUM(Raw!AV46,Raw!AW46,Raw!AX46,Raw!AY46)*SUM(Raw!AV46,Raw!AZ46,Raw!BD46,Raw!BH46),SUM(Raw!AZ46,Raw!BA46,Raw!BB46,Raw!BC46)*SUM(Raw!AW46,Raw!BA46,Raw!BE46,Raw!BI46),SUM(Raw!BD46,Raw!BE46,Raw!BF46,Raw!BG46)*SUM(Raw!AX46,Raw!BB46,Raw!BF46,Raw!BJ46),SUM(Raw!BH46,Raw!BI46,Raw!BJ46,Raw!BK46)*SUM(Raw!AY46,Raw!BC46,Raw!BG46,Raw!BK46))/AI46^2,"No Contingency Table"), "Not Included")</f>
        <v>0.18666666666666668</v>
      </c>
      <c r="AM46" s="11">
        <f>IF(AG46,IF(COUNTIF(Raw!AV46:BK46,"&gt;=0") = 16,(AK46 - AL46) / (1 - AL46),"No Contingency Table"), "Not Included")</f>
        <v>4.918032786885243E-2</v>
      </c>
      <c r="AN46" s="32">
        <f>IF(NOT(ISBLANK(Raw!BL46)),Raw!BL46,"Not Reported")</f>
        <v>3.9E-2</v>
      </c>
      <c r="AO46" s="11">
        <f t="shared" si="9"/>
        <v>4.918032786885243E-2</v>
      </c>
      <c r="AP46" s="11">
        <f t="shared" si="10"/>
        <v>0</v>
      </c>
      <c r="AQ46" s="11" t="b">
        <f t="shared" ref="AQ46:AR46" si="195">BQ46</f>
        <v>1</v>
      </c>
      <c r="AR46" s="11" t="str">
        <f t="shared" si="195"/>
        <v>Contingency</v>
      </c>
      <c r="AS46" s="15">
        <f t="shared" si="12"/>
        <v>75</v>
      </c>
      <c r="AT46" s="15">
        <f t="shared" si="13"/>
        <v>75</v>
      </c>
      <c r="AU46" s="11">
        <f>IF(AQ46, IF(COUNTIF(Raw!AV46:BK46, "&gt;=0") = 16, IFERROR((AT46*Raw!BK46 - SUM(Raw!BH46, Raw!BI46, Raw!BJ46, Raw!BK46)*SUM(Raw!AY46, Raw!BC46, Raw!BG46, Raw!BK46)) / SQRT((AT46*SUM(Raw!BH46, Raw!BI46, Raw!BJ46, Raw!BK46) - SUM(Raw!BH46, Raw!BI46, Raw!BJ46, Raw!BK46)^2) * (AT46*SUM(Raw!AY46, Raw!BC46, Raw!BG46, Raw!BK46) - SUM(Raw!AY46, Raw!BC46, Raw!BG46, Raw!BK46)^2)), 0), "No Contingency Table"), "Not Included")</f>
        <v>-5.0251890762960605E-2</v>
      </c>
      <c r="AV46" s="11" t="str">
        <f>IF(AQ46,IF(NOT(ISBLANK(Raw!BQ46)), Raw!BQ46, IF(NOT(ISBLANK(Raw!BR46)), Raw!BR46, "Not Reported")), "Not Included")</f>
        <v>Not Reported</v>
      </c>
      <c r="AW46" s="57">
        <f t="shared" si="14"/>
        <v>-5.0251890762960605E-2</v>
      </c>
      <c r="AX46" s="11" t="str">
        <f t="shared" si="15"/>
        <v>NA</v>
      </c>
      <c r="AY46" s="11" t="b">
        <f t="shared" ref="AY46:AZ46" si="196">AQ46</f>
        <v>1</v>
      </c>
      <c r="AZ46" s="11" t="str">
        <f t="shared" si="196"/>
        <v>Contingency</v>
      </c>
      <c r="BA46" s="11">
        <f>IF(AY46, IF(COUNTIF(Raw!AV46:BK46, "&gt;=0") = 16, SUM(Raw!AV46,Raw!AW46,Raw!AX46,Raw!AZ46,Raw!BA46,Raw!BB46,Raw!BD46,Raw!BE46,Raw!BF46,Raw!BK46)/SUM(Raw!AV46:BK46), "No Contingency Table"), "Not Included")</f>
        <v>0.56000000000000005</v>
      </c>
      <c r="BB46" s="11">
        <f>IF(AY46, IF(COUNTIF(Raw!AV46:BK46, "&gt;=0") = 16,SUM(SUM(Raw!BH46,Raw!BI46,Raw!BJ46,Raw!BK46)*SUM(Raw!AY46,Raw!BC46,Raw!BG46,Raw!BK46),SUM(Raw!AV46:BG46)*SUM(Raw!AV46,Raw!AW46,Raw!AX46,Raw!AZ46,Raw!BA46,Raw!BB46,Raw!BD46,Raw!BE46,Raw!BF46,Raw!BH46,Raw!BI46,Raw!BJ46))/AT46^2,"No Contingency Table"), "Not Included")</f>
        <v>0.57599999999999996</v>
      </c>
      <c r="BC46" s="11">
        <f>IF(AY46, IF(COUNTIF(Raw!AV46:BK46, "&gt;=0") = 16,(BA46-BB46) / (1 - BB46),"No Contingency Table"), "Not Included")</f>
        <v>-3.7735849056603543E-2</v>
      </c>
      <c r="BD46" s="11" t="str">
        <f>IF(AY46,IF(NOT(ISBLANK(Raw!BT67)),Raw!BT67,"Not Reported"),"Not Included")</f>
        <v>Not Reported</v>
      </c>
      <c r="BE46" s="11">
        <f t="shared" si="17"/>
        <v>-3.7735849056603543E-2</v>
      </c>
      <c r="BF46" s="11" t="str">
        <f t="shared" si="18"/>
        <v>NA</v>
      </c>
      <c r="BG46" s="11">
        <f>Raw!K46</f>
        <v>2000</v>
      </c>
      <c r="BH46" s="11" t="str">
        <f>IF(Raw!L46 = "USA","USA","Non-USA")</f>
        <v>Non-USA</v>
      </c>
      <c r="BI46" s="11" t="str">
        <f>Raw!M46</f>
        <v>Main-Cassidy/Crittenden</v>
      </c>
      <c r="BJ46" s="11">
        <f>Raw!N46</f>
        <v>1</v>
      </c>
      <c r="BK46" s="11">
        <f>Raw!P46</f>
        <v>0</v>
      </c>
      <c r="BL46" s="11">
        <f>Raw!Q46</f>
        <v>0</v>
      </c>
      <c r="BM46" s="11">
        <f>Raw!T46</f>
        <v>1</v>
      </c>
      <c r="BN46" s="11">
        <f>IFERROR(IF(AND(ISBLANK(Raw!U46), ISBLANK(Raw!V46), ISBLANK(Raw!W46), ISBLANK(Raw!X46)), "NA", IF(OR(NOT(ISBLANK(Raw!U46)), NOT(ISBLANK(Raw!W46))), AVERAGE(Raw!U46,Raw!W46), AVERAGE(Raw!V46,Raw!X46) + IF(Raw!Y46 = "2-way", R46, IF(Raw!Y46 = "3-way", AB46, IF(Raw!Y46 = "4-way", AL46, "NA")))*(1 - AVERAGE(Raw!V46,Raw!X46)))), "NA")</f>
        <v>0.94</v>
      </c>
      <c r="BO46" s="11">
        <f>Raw!O46</f>
        <v>0</v>
      </c>
      <c r="BP46" s="11" t="str">
        <f>Raw!F46</f>
        <v>Female</v>
      </c>
      <c r="BQ46" s="11" t="b">
        <f>COUNTIF(Raw!AV46:BK46, "&gt;=0") = 16</f>
        <v>1</v>
      </c>
      <c r="BR46" s="11" t="str">
        <f t="shared" si="19"/>
        <v>Contingency</v>
      </c>
      <c r="BS46" s="15">
        <f t="shared" si="20"/>
        <v>75</v>
      </c>
      <c r="BT46" s="11">
        <f>IF(BQ46, IF(COUNTIF(Raw!AV46:BK46, "&gt;=0") = 16, IFERROR((BS46*Raw!AV46 - SUM(Raw!AV46, Raw!AW46, Raw!AX46, Raw!AY46)*SUM(Raw!AV46, Raw!AZ46, Raw!BD46, Raw!BH46)) / SQRT((BS46*SUM(Raw!AV46, Raw!AW46, Raw!AX46, Raw!AY46) - SUM(Raw!AV46, Raw!AW46, Raw!AX46, Raw!AY46)^2) * (BS46*SUM(Raw!AV46, Raw!AZ46, Raw!BD46, Raw!BH46) - SUM(Raw!AV46, Raw!AZ46, Raw!BD46, Raw!BH46)^2)), 0), "No Contingency Table"), "Not Included")</f>
        <v>-3.0514489727144323E-2</v>
      </c>
      <c r="BU46" s="11">
        <f>IF(BQ46, IF(COUNTIF(Raw!AV46:BK46, "&gt;=0") = 16, SUM(Raw!BK46,Raw!BJ46,Raw!BI46,Raw!BG46,Raw!BF46,Raw!BE46,Raw!BC46,Raw!BB46,Raw!BA46,Raw!AV46)/SUM(Raw!AV46:BK46), "No Contingency Table"), "Not Included")</f>
        <v>0.62666666666666671</v>
      </c>
      <c r="BV46" s="11">
        <f>IF(BQ46, IF(COUNTIF(Raw!AV46:BK46, "&gt;=0") = 16,SUM(SUM(Raw!AV46,Raw!AW46,Raw!AX46,Raw!AY46)*SUM(Raw!AV46,Raw!AZ46,Raw!BD46,Raw!BH46),SUM(Raw!AZ46:BK46)*SUM(Raw!AW46,Raw!AX46,Raw!AY46,Raw!BA46,Raw!BB46,Raw!BC46,Raw!BE46,Raw!BF46,Raw!BG46,Raw!BI46,Raw!BJ46,Raw!BK46))/BS46^2,"No Contingency Table"), "Not Included")</f>
        <v>0.6366222222222222</v>
      </c>
      <c r="BW46" s="11">
        <f>IF(BQ46, IF(COUNTIF(Raw!AV46:BK46, "&gt;=0") = 16,(BU46-BV46) / (1 - BV46),"No Contingency Table"), "Not Included")</f>
        <v>-2.7397260273972435E-2</v>
      </c>
      <c r="BX46" s="11" t="b">
        <f t="shared" ref="BX46:BZ46" si="197">BQ46</f>
        <v>1</v>
      </c>
      <c r="BY46" s="11" t="str">
        <f t="shared" si="197"/>
        <v>Contingency</v>
      </c>
      <c r="BZ46" s="15">
        <f t="shared" si="197"/>
        <v>75</v>
      </c>
      <c r="CA46" s="11">
        <f>IF(BX46, IF(COUNTIF(Raw!AV46:BK46, "&gt;=0") = 16, IFERROR((BZ46*Raw!BF46 - SUM(Raw!BD46, Raw!BE46, Raw!BF46, Raw!BG46)*SUM(Raw!BF46, Raw!AX46, Raw!BB46, Raw!BJ46)) / SQRT((BZ46*SUM(Raw!BD46, Raw!BE46, Raw!BF46, Raw!BG46) - SUM(Raw!BD46, Raw!BE46, Raw!BF46, Raw!BG46)^2) * (BZ46*SUM(Raw!BF46, Raw!AX46, Raw!BB46, Raw!BJ46) - SUM(Raw!BF46, Raw!AX46, Raw!BB46, Raw!BJ46)^2)), 0), "No Contingency Table"), "Not Included")</f>
        <v>0</v>
      </c>
      <c r="CB46" s="11">
        <f>IF(BX46, IF(COUNTIF(Raw!AV46:BK46, "&gt;=0") = 16, SUM(Raw!AV46,Raw!AW46,Raw!AY46,Raw!AZ46,Raw!BA46,Raw!BC46,Raw!BF46,Raw!BH46,Raw!BI46,Raw!BK46) / SUM(Raw!AV46:BK46), "No Contingency Table"), "Not Included")</f>
        <v>0.58666666666666667</v>
      </c>
      <c r="CC46" s="11">
        <f>IF(BX46, IF(COUNTIF(Raw!AV46:BK46, "&gt;=0") = 16,SUM(SUM(Raw!BD46,Raw!BE46,Raw!BF46,Raw!BG46)*SUM(Raw!BF46,Raw!AX46,Raw!BB46,Raw!BJ46),SUM(Raw!AV46:BC46,Raw!BH46:BK46)*SUM(Raw!AV46,Raw!AW46,Raw!AY46,Raw!AZ46,Raw!BA46,Raw!BC46,Raw!BD46,Raw!BE46,Raw!BG46,Raw!BH46,Raw!BI46,Raw!BK46))/BZ46^2,"No Contingency Table"), "Not Included")</f>
        <v>0.58666666666666667</v>
      </c>
      <c r="CD46" s="11">
        <f>IF(BX46, IF(COUNTIF(Raw!AV46:BK46, "&gt;=0") = 16,(CB46 - CC46) / (1 - CC46+0.000001),"No Contingency Table"), "Not Included")</f>
        <v>0</v>
      </c>
      <c r="CE46" s="11" t="b">
        <f t="shared" ref="CE46:CG46" si="198">BQ46</f>
        <v>1</v>
      </c>
      <c r="CF46" s="11" t="str">
        <f t="shared" si="198"/>
        <v>Contingency</v>
      </c>
      <c r="CG46" s="15">
        <f t="shared" si="198"/>
        <v>75</v>
      </c>
      <c r="CH46" s="11">
        <f>IF(CE46, IF(COUNTIF(Raw!AV46:BK46, "&gt;=0") = 16, IFERROR((CG46*Raw!BA46 - SUM(Raw!BA46, Raw!AZ46, Raw!BB46, Raw!BC46)*SUM(Raw!BA46, Raw!AW46, Raw!BE46, Raw!BI46)) / SQRT((CG46*SUM(Raw!BA46, Raw!AZ46, Raw!BB46, Raw!BC46) - SUM(Raw!BA46, Raw!AZ46, Raw!BB46, Raw!BC46)^2) * (CG46*SUM(Raw!BA46, Raw!AW46, Raw!BE46, Raw!BI46) - SUM(Raw!BA46, Raw!AW46, Raw!BE46, Raw!BI46)^2)), 0), "No Contingency Table"), "Not Included")</f>
        <v>0.28738945472629457</v>
      </c>
      <c r="CI46" s="11">
        <f>IF(CE46, IF(COUNTIF(Raw!AV46:BK46, "&gt;=0") = 16, SUM(Raw!AV46,Raw!AX46,Raw!AY46,Raw!BA46,Raw!BD46,Raw!BF46,Raw!BG46,Raw!BH46,Raw!BJ46,Raw!BK46) / SUM(Raw!AV46:BK46), "No Contingency Table"), "Not Included")</f>
        <v>0.68</v>
      </c>
      <c r="CJ46" s="61">
        <f>IF(BX46, IF(COUNTIF(Raw!AV46:BK46, "&gt;=0") = 16,SUM(SUM(Raw!AZ46,Raw!BA46,Raw!BB46,Raw!BC46)*SUM(Raw!BA46,Raw!AW46,Raw!BE46,Raw!BI46),SUM(Raw!AV46:AY46,Raw!BD46:BK46)*SUM(Raw!AV46,Raw!AX46,Raw!AY46,Raw!AZ46,Raw!BB46,Raw!BC46,Raw!BD46,Raw!BF46,Raw!BG46,Raw!BH46,Raw!BJ46,Raw!BK46))/CG46^2,"No Contingency Table"), "Not Included")</f>
        <v>0.57404444444444447</v>
      </c>
      <c r="CK46" s="11">
        <f>IF(BX46, IF(COUNTIF(Raw!AV46:BK46, "&gt;=0") = 16,(CI46 - CJ46) / (1 - CJ46),"No Contingency Table"), "Not Included")</f>
        <v>0.24874791318864781</v>
      </c>
      <c r="CL46" s="11">
        <f>IF(BQ46, IFERROR(Raw!AV46/SUM(Raw!AV46:AY46), 0), "Not Included")</f>
        <v>0.27272727272727271</v>
      </c>
      <c r="CM46" s="11">
        <f>IF(BQ46, IFERROR(Raw!BA46/SUM(Raw!AZ46:BC46), 0), "Not Included")</f>
        <v>0.31034482758620691</v>
      </c>
      <c r="CN46" s="11">
        <f>IF(BQ46, IFERROR(Raw!BF46/SUM(Raw!BD46:BG46), 0), "Not Included")</f>
        <v>0.4</v>
      </c>
      <c r="CO46" s="11">
        <f>IF(BQ46, IFERROR(Raw!BK46/SUM(Raw!BH46:BK46), 0), "Not Included")</f>
        <v>0.1</v>
      </c>
      <c r="CP46" s="11">
        <f>IF(BQ46, IFERROR(SUM(Raw!AV46,Raw!AX46,Raw!AY46,Raw!BD46,Raw!BF46,Raw!BG46,Raw!BH46,Raw!BJ46,Raw!BK46)/SUM(Raw!AV46,Raw!AW46,Raw!AX46,Raw!AY46,Raw!BD46,Raw!BE46,Raw!BF46,Raw!BG46,Raw!BH46,Raw!BI46,Raw!BJ46,Raw!BK46), 0), "Not Included")</f>
        <v>0.91304347826086951</v>
      </c>
      <c r="CQ46" s="11">
        <f>IF(BQ46, IFERROR(SUM(Raw!AV46:AX46,Raw!AZ46:BB46,Raw!BD46:BF46)/SUM(Raw!AV46:BF46), 0), "Not Included")</f>
        <v>0.90697674418604646</v>
      </c>
      <c r="CR46" s="11">
        <f>IF(BQ46, IFERROR(SUM(Raw!AV46:AY46), 0), "Not Included")</f>
        <v>11</v>
      </c>
      <c r="CS46" s="11">
        <f>IF(BQ46, IFERROR(SUM(Raw!AZ46:BC46), 0), "Not Included")</f>
        <v>29</v>
      </c>
      <c r="CT46" s="11">
        <f>IF(BQ46, IFERROR(SUM(Raw!BD46:BG46), 0), "Not Included")</f>
        <v>5</v>
      </c>
      <c r="CU46" s="11">
        <f>IF(BQ46, IFERROR(SUM(Raw!BH46:BK46), 0), "Not Included")</f>
        <v>30</v>
      </c>
      <c r="CV46" s="11">
        <f>IF(BQ46, IFERROR(SUM(Raw!AV46,Raw!AW46,Raw!AX46,Raw!AY46,Raw!BD46,Raw!BE46,Raw!BF46,Raw!BG46,Raw!BH46,Raw!BI46,Raw!BJ46,Raw!BK46), 0), "Not Included")</f>
        <v>46</v>
      </c>
      <c r="CW46" s="11">
        <f>IF(BQ46, IFERROR(SUM(Raw!AV46:BF46), 0), "Not Included")</f>
        <v>43</v>
      </c>
      <c r="CX46" s="11">
        <f>IF(BQ46, IFERROR((CR46*SUM(Raw!AV46,Raw!AZ46,Raw!BD46,Raw!BH46))/BS46/CR46, 0), "Not Included")</f>
        <v>0.3066666666666667</v>
      </c>
      <c r="CY46" s="11">
        <f>IF(BX46, IFERROR((CS46*SUM(Raw!BA46,Raw!AW46,Raw!BE46,Raw!BI46))/CG46/CS46, 0), "Not Included")</f>
        <v>0.17333333333333331</v>
      </c>
      <c r="CZ46" s="11">
        <f>IF(BX46, IFERROR((CT46*SUM(Raw!BF46,Raw!AX46,Raw!BB46,Raw!BJ46))/BZ46/CT46, 0), "Not Included")</f>
        <v>0.4</v>
      </c>
      <c r="DA46" s="11">
        <f>IF(AY46, IFERROR((CU46*SUM(Raw!AY46,Raw!BC46,Raw!BG46,Raw!BK46))/AT46/CU46, 0), "Not Included")</f>
        <v>0.12000000000000001</v>
      </c>
      <c r="DB46" s="11">
        <f>IF(BX46, IFERROR((CV46*SUM(Raw!AV46,Raw!AX46,Raw!AY46,Raw!AZ46,Raw!BB46,Raw!BC46,Raw!BD46,Raw!BF46,Raw!BG46,Raw!BH46,Raw!BJ46,Raw!BK46))/CG46/CV46,0), "Not Included")</f>
        <v>0.82666666666666655</v>
      </c>
      <c r="DC46" s="11">
        <f>IF(AY46, IFERROR((CW46*SUM(Raw!AV46,Raw!AW46,Raw!AX46,Raw!AZ46,Raw!BA46,Raw!BB46,Raw!BD46,Raw!BE46,Raw!BF46,Raw!BH46,Raw!BI46,Raw!BJ46))/AT46/CW46,0), "Not Included")</f>
        <v>0.88000000000000012</v>
      </c>
    </row>
    <row r="47" spans="1:107" ht="12.75" customHeight="1">
      <c r="A47" s="11">
        <f>Raw!D47</f>
        <v>30</v>
      </c>
      <c r="B47" s="11" t="str">
        <f>Raw!A47</f>
        <v>Rauh et al. (2000)</v>
      </c>
      <c r="C47" s="11">
        <f>Raw!G47</f>
        <v>6</v>
      </c>
      <c r="D47" s="11" t="str">
        <f>Raw!E47</f>
        <v>Ainsworth-Crittenden</v>
      </c>
      <c r="E47" s="11" t="str">
        <f>CONCATENATE(IF(Raw!I47&lt;='Interval Definitions'!$B$2, 'Interval Definitions'!$A$2, IF(Raw!I47&lt;='Interval Definitions'!$B$3, 'Interval Definitions'!$A$3, IF(Raw!I47&lt;='Interval Definitions'!$B$4, 'Interval Definitions'!$A$4, IF(Raw!I47&lt;='Interval Definitions'!$B$5, 'Interval Definitions'!$A$5, "None")))), " - ", IF(Raw!J47&lt;='Interval Definitions'!$B$2, 'Interval Definitions'!$A$2, IF(Raw!J47&lt;='Interval Definitions'!$B$3, 'Interval Definitions'!$A$3, IF(Raw!J47&lt;='Interval Definitions'!$B$4, 'Interval Definitions'!$A$4, IF(Raw!J47&lt;='Interval Definitions'!$B$5, 'Interval Definitions'!$A$5, "None")))))</f>
        <v>Infancy - Toddlerhood</v>
      </c>
      <c r="F47" s="11" t="b">
        <f>OR(NOT(ISBLANK(Raw!AF47)),NOT(ISBLANK(Raw!AG47)),NOT(ISBLANK(Raw!AH47)),NOT(ISBLANK(Raw!AI47)),COUNTIF(Raw!AA47:AD47, "&gt;=0") = 4)</f>
        <v>1</v>
      </c>
      <c r="G47" s="11" t="str">
        <f>IF(F47, IF(COUNTIF(Raw!AA47:AD47,"&gt;=0") = 4, "Contingency", IF(NOT(ISBLANK(Raw!AF47)), "Paper r", IF(NOT(ISBLANK(Raw!AG47)), "Pinquart", IF(NOT(ISBLANK(Raw!AH47)), "Fraley", "Paper chiSq")))), "Not Included")</f>
        <v>Contingency</v>
      </c>
      <c r="H47" s="15">
        <f>IF(F47,Raw!AE47,"Not Included")</f>
        <v>75</v>
      </c>
      <c r="I47" s="15">
        <f>IF(COUNTIF(Raw!AA47:AD47,"&gt;=0") = 4, SUM(Raw!AA47:AD47), "No Contingency Table")</f>
        <v>75</v>
      </c>
      <c r="J47" s="15">
        <f t="shared" si="0"/>
        <v>75</v>
      </c>
      <c r="K47" s="38">
        <f>IF(F47, IF(COUNTIF(Raw!AA47:AD47,"&gt;=0") = 4, IFERROR((I47*Raw!AA47 - SUM(Raw!AA47,Raw!AB47)*SUM(Raw!AA47,Raw!AD47)) / SQRT((I47*SUM(Raw!AA47,Raw!AB47) - SUM(Raw!AA47,Raw!AB47)^2) * (I47*SUM(Raw!AA47,Raw!AD47) - SUM(Raw!AA47,Raw!AD47)^2)), 0), "No Contingency Table"), "Not Included")</f>
        <v>0.15817925984933898</v>
      </c>
      <c r="L47" s="41">
        <f>IF(F47,IF(NOT(ISBLANK(Raw!AF47)), Raw!AF47, IF(NOT(ISBLANK(Raw!AG47)), Raw!AG47, IF(NOT(ISBLANK(Raw!AH47)), Raw!AH47, IF(NOT(ISBLANK(Raw!AI47)), SQRT(Raw!AI47/H47)*Raw!AJ47, "Not Reported")))),"Not Included")</f>
        <v>0.158</v>
      </c>
      <c r="M47" s="43">
        <f t="shared" si="1"/>
        <v>0.15817925984933898</v>
      </c>
      <c r="N47" s="11">
        <f t="shared" si="2"/>
        <v>1</v>
      </c>
      <c r="O47" s="48" t="b">
        <f>OR(NOT(ISBLANK(Raw!AK47)), COUNTIF(Raw!AA47:AD47, "&gt;=0") = 4)</f>
        <v>1</v>
      </c>
      <c r="P47" s="24" t="str">
        <f>IF(O47,IF(COUNTIF(Raw!AA47:AD47,"&gt;=0") = 4,"Contingency", "Paper k"), "Not Included")</f>
        <v>Contingency</v>
      </c>
      <c r="Q47" s="48">
        <f>IF(O47, IF(COUNTIF(Raw!AA47:AD47,"&gt;=0") = 4,SUM(Raw!AA47,Raw!AC47)/H47,"No Contingency Table"), "Not Included")</f>
        <v>0.49333333333333335</v>
      </c>
      <c r="R47" s="38">
        <f>IF(O47, IF(COUNTIF(Raw!AA47:AD47, "&gt;=0") = 4,SUM(SUM(Raw!AA47,Raw!AB47)*SUM(Raw!AA47,Raw!AD47),SUM(Raw!AC47,Raw!AD47)*SUM(Raw!AC47,Raw!AB47))/H47^2,"No Contingency Table"), "Not Included")</f>
        <v>0.43466666666666665</v>
      </c>
      <c r="S47" s="38">
        <f>IF(O47, IF(COUNTIF(Raw!AA47:AD47,"&gt;=0") = 4, IFERROR((Q47 - R47) / (1 - R47), "Could not calculate"), "No Contingency Table"), "Not Included")</f>
        <v>0.10377358490566044</v>
      </c>
      <c r="T47" s="52">
        <f>IF(O47,IF(NOT(ISBLANK(Raw!AK47)), Raw!AK47, "Not Reported"), "Not Included")</f>
        <v>0.104</v>
      </c>
      <c r="U47" s="38">
        <f t="shared" si="3"/>
        <v>0.10377358490566044</v>
      </c>
      <c r="V47" s="11">
        <f t="shared" si="4"/>
        <v>1</v>
      </c>
      <c r="W47" s="11" t="b">
        <f>OR(NOT(ISBLANK(Raw!AU47)),COUNTIF(Raw!AL47:AT47,"&gt;=0") = 9)</f>
        <v>0</v>
      </c>
      <c r="X47" s="11" t="str">
        <f>IF(W47, IF(COUNTIF(Raw!AL47:AT47,"&gt;=0") = 9, "Contingency", "Paper k"), "Not Included")</f>
        <v>Not Included</v>
      </c>
      <c r="Y47" s="11" t="str">
        <f>IF(W47,IF(COUNTIF(Raw!AL47:AT47,"&gt;=0") = 9,SUM(Raw!AL47:AT47),"No Contingency Table"),"Not Included")</f>
        <v>Not Included</v>
      </c>
      <c r="Z47" s="11" t="str">
        <f t="shared" si="5"/>
        <v>Not Included</v>
      </c>
      <c r="AA47" s="11" t="str">
        <f>IF(W47,IF(COUNTIF(Raw!AL47:AT47,"&gt;=0") = 9,SUM(Raw!AL47,Raw!AP47,Raw!AT47)/Y47,"No Contingency Table"), "Not Included")</f>
        <v>Not Included</v>
      </c>
      <c r="AB47" s="11" t="str">
        <f>IF(W47,IF(COUNTIF(Raw!AL47:AT47,"&gt;=0") = 9,SUM(SUM(Raw!AL47,Raw!AM47,Raw!AN47)*SUM(Raw!AL47,Raw!AO47,Raw!AR47),SUM(Raw!AO47,Raw!AP47,Raw!AQ47)*SUM(Raw!AM47,Raw!AP47,Raw!AS47),SUM(Raw!AR47,Raw!AS47,Raw!AT47)*SUM(Raw!AN47,Raw!AQ47,Raw!AT47))/Y47^2,"No Contingency Table"), "Not Included")</f>
        <v>Not Included</v>
      </c>
      <c r="AC47" s="11" t="str">
        <f>IF(W47,IF(COUNTIF(Raw!AL47:AT47,"&gt;=0") = 9,(AA47 - AB47) / (1 - AB47),"No Contingency Table"), "Not Included")</f>
        <v>Not Included</v>
      </c>
      <c r="AD47" s="11" t="str">
        <f>IF(W47, IF(NOT(ISBLANK(Raw!AU47)),Raw!AU47,"Not Reported"), "Not Included")</f>
        <v>Not Included</v>
      </c>
      <c r="AE47" s="11" t="str">
        <f t="shared" si="6"/>
        <v>Not Included</v>
      </c>
      <c r="AF47" s="11" t="str">
        <f t="shared" si="7"/>
        <v>Not Included</v>
      </c>
      <c r="AG47" s="11" t="b">
        <f>COUNTIF(Raw!AV47:BK47, "&gt;=0") = 16</f>
        <v>1</v>
      </c>
      <c r="AH47" s="11" t="str">
        <f>IF(AG47, IF(COUNTIF(Raw!AV47:BK47,"&gt;=0") = 16, "Contingency", "Paper k"), "Not Included")</f>
        <v>Contingency</v>
      </c>
      <c r="AI47" s="15">
        <f>IF(AG47,IF(COUNTIF(Raw!AV47:BK47,"&gt;=0") = 16,SUM(Raw!AV47:BK47),"No Contingency Table"),"Not Included")</f>
        <v>75</v>
      </c>
      <c r="AJ47" s="15">
        <f t="shared" si="8"/>
        <v>75</v>
      </c>
      <c r="AK47" s="11">
        <f>IF(AG47,IF(COUNTIF(Raw!AV47:BK47,"&gt;=0") = 16,SUM(Raw!AV47,Raw!BA47,Raw!BF47,Raw!BK47)/AI47,"No Contingency Table"), "Not Included")</f>
        <v>0.26666666666666666</v>
      </c>
      <c r="AL47" s="11">
        <f>IF(AG47,IF(COUNTIF(Raw!AV47:BK47,"&gt;=0") = 16,SUM(SUM(Raw!AV47,Raw!AW47,Raw!AX47,Raw!AY47)*SUM(Raw!AV47,Raw!AZ47,Raw!BD47,Raw!BH47),SUM(Raw!AZ47,Raw!BA47,Raw!BB47,Raw!BC47)*SUM(Raw!AW47,Raw!BA47,Raw!BE47,Raw!BI47),SUM(Raw!BD47,Raw!BE47,Raw!BF47,Raw!BG47)*SUM(Raw!AX47,Raw!BB47,Raw!BF47,Raw!BJ47),SUM(Raw!BH47,Raw!BI47,Raw!BJ47,Raw!BK47)*SUM(Raw!AY47,Raw!BC47,Raw!BG47,Raw!BK47))/AI47^2,"No Contingency Table"), "Not Included")</f>
        <v>0.22293333333333334</v>
      </c>
      <c r="AM47" s="11">
        <f>IF(AG47,IF(COUNTIF(Raw!AV47:BK47,"&gt;=0") = 16,(AK47 - AL47) / (1 - AL47),"No Contingency Table"), "Not Included")</f>
        <v>5.6280027453671909E-2</v>
      </c>
      <c r="AN47" s="32">
        <f>IF(NOT(ISBLANK(Raw!BL47)),Raw!BL47,"Not Reported")</f>
        <v>0.04</v>
      </c>
      <c r="AO47" s="11">
        <f t="shared" si="9"/>
        <v>5.6280027453671909E-2</v>
      </c>
      <c r="AP47" s="11">
        <f t="shared" si="10"/>
        <v>0</v>
      </c>
      <c r="AQ47" s="11" t="b">
        <f t="shared" ref="AQ47:AR47" si="199">BQ47</f>
        <v>1</v>
      </c>
      <c r="AR47" s="11" t="str">
        <f t="shared" si="199"/>
        <v>Contingency</v>
      </c>
      <c r="AS47" s="15">
        <f t="shared" si="12"/>
        <v>75</v>
      </c>
      <c r="AT47" s="15">
        <f t="shared" si="13"/>
        <v>75</v>
      </c>
      <c r="AU47" s="11">
        <f>IF(AQ47, IF(COUNTIF(Raw!AV47:BK47, "&gt;=0") = 16, IFERROR((AT47*Raw!BK47 - SUM(Raw!BH47, Raw!BI47, Raw!BJ47, Raw!BK47)*SUM(Raw!AY47, Raw!BC47, Raw!BG47, Raw!BK47)) / SQRT((AT47*SUM(Raw!BH47, Raw!BI47, Raw!BJ47, Raw!BK47) - SUM(Raw!BH47, Raw!BI47, Raw!BJ47, Raw!BK47)^2) * (AT47*SUM(Raw!AY47, Raw!BC47, Raw!BG47, Raw!BK47) - SUM(Raw!AY47, Raw!BC47, Raw!BG47, Raw!BK47)^2)), 0), "No Contingency Table"), "Not Included")</f>
        <v>6.5795169495976899E-2</v>
      </c>
      <c r="AV47" s="11" t="str">
        <f>IF(AQ47,IF(NOT(ISBLANK(Raw!BQ47)), Raw!BQ47, IF(NOT(ISBLANK(Raw!BR47)), Raw!BR47, "Not Reported")), "Not Included")</f>
        <v>Not Reported</v>
      </c>
      <c r="AW47" s="57">
        <f t="shared" si="14"/>
        <v>6.5795169495976899E-2</v>
      </c>
      <c r="AX47" s="11" t="str">
        <f t="shared" si="15"/>
        <v>NA</v>
      </c>
      <c r="AY47" s="11" t="b">
        <f t="shared" ref="AY47:AZ47" si="200">AQ47</f>
        <v>1</v>
      </c>
      <c r="AZ47" s="11" t="str">
        <f t="shared" si="200"/>
        <v>Contingency</v>
      </c>
      <c r="BA47" s="11">
        <f>IF(AY47, IF(COUNTIF(Raw!AV47:BK47, "&gt;=0") = 16, SUM(Raw!AV47,Raw!AW47,Raw!AX47,Raw!AZ47,Raw!BA47,Raw!BB47,Raw!BD47,Raw!BE47,Raw!BF47,Raw!BK47)/SUM(Raw!AV47:BK47), "No Contingency Table"), "Not Included")</f>
        <v>0.84</v>
      </c>
      <c r="BB47" s="11">
        <f>IF(AY47, IF(COUNTIF(Raw!AV47:BK47, "&gt;=0") = 16,SUM(SUM(Raw!BH47,Raw!BI47,Raw!BJ47,Raw!BK47)*SUM(Raw!AY47,Raw!BC47,Raw!BG47,Raw!BK47),SUM(Raw!AV47:BG47)*SUM(Raw!AV47,Raw!AW47,Raw!AX47,Raw!AZ47,Raw!BA47,Raw!BB47,Raw!BD47,Raw!BE47,Raw!BF47,Raw!BH47,Raw!BI47,Raw!BJ47))/AT47^2,"No Contingency Table"), "Not Included")</f>
        <v>0.82933333333333337</v>
      </c>
      <c r="BC47" s="11">
        <f>IF(AY47, IF(COUNTIF(Raw!AV47:BK47, "&gt;=0") = 16,(BA47-BB47) / (1 - BB47),"No Contingency Table"), "Not Included")</f>
        <v>6.2499999999999632E-2</v>
      </c>
      <c r="BD47" s="11" t="str">
        <f>IF(AY47,IF(NOT(ISBLANK(Raw!BT68)),Raw!BT68,"Not Reported"),"Not Included")</f>
        <v>Not Reported</v>
      </c>
      <c r="BE47" s="11">
        <f t="shared" si="17"/>
        <v>6.2499999999999632E-2</v>
      </c>
      <c r="BF47" s="11" t="str">
        <f t="shared" si="18"/>
        <v>NA</v>
      </c>
      <c r="BG47" s="11">
        <f>Raw!K47</f>
        <v>2000</v>
      </c>
      <c r="BH47" s="11" t="str">
        <f>IF(Raw!L47 = "USA","USA","Non-USA")</f>
        <v>Non-USA</v>
      </c>
      <c r="BI47" s="11" t="str">
        <f>Raw!M47</f>
        <v>Ainsworth/Crittenden</v>
      </c>
      <c r="BJ47" s="11">
        <f>Raw!N47</f>
        <v>1</v>
      </c>
      <c r="BK47" s="11">
        <f>Raw!P47</f>
        <v>0</v>
      </c>
      <c r="BL47" s="11">
        <f>Raw!Q47</f>
        <v>0</v>
      </c>
      <c r="BM47" s="11">
        <f>Raw!T47</f>
        <v>1</v>
      </c>
      <c r="BN47" s="11">
        <f>IFERROR(IF(AND(ISBLANK(Raw!U47), ISBLANK(Raw!V47), ISBLANK(Raw!W47), ISBLANK(Raw!X47)), "NA", IF(OR(NOT(ISBLANK(Raw!U47)), NOT(ISBLANK(Raw!W47))), AVERAGE(Raw!U47,Raw!W47), AVERAGE(Raw!V47,Raw!X47) + IF(Raw!Y47 = "2-way", R47, IF(Raw!Y47 = "3-way", AB47, IF(Raw!Y47 = "4-way", AL47, "NA")))*(1 - AVERAGE(Raw!V47,Raw!X47)))), "NA")</f>
        <v>0.94</v>
      </c>
      <c r="BO47" s="11">
        <f>Raw!O47</f>
        <v>0</v>
      </c>
      <c r="BP47" s="11" t="str">
        <f>Raw!F47</f>
        <v>Female</v>
      </c>
      <c r="BQ47" s="11" t="b">
        <f>COUNTIF(Raw!AV47:BK47, "&gt;=0") = 16</f>
        <v>1</v>
      </c>
      <c r="BR47" s="11" t="str">
        <f t="shared" si="19"/>
        <v>Contingency</v>
      </c>
      <c r="BS47" s="15">
        <f t="shared" si="20"/>
        <v>75</v>
      </c>
      <c r="BT47" s="11">
        <f>IF(BQ47, IF(COUNTIF(Raw!AV47:BK47, "&gt;=0") = 16, IFERROR((BS47*Raw!AV47 - SUM(Raw!AV47, Raw!AW47, Raw!AX47, Raw!AY47)*SUM(Raw!AV47, Raw!AZ47, Raw!BD47, Raw!BH47)) / SQRT((BS47*SUM(Raw!AV47, Raw!AW47, Raw!AX47, Raw!AY47) - SUM(Raw!AV47, Raw!AW47, Raw!AX47, Raw!AY47)^2) * (BS47*SUM(Raw!AV47, Raw!AZ47, Raw!BD47, Raw!BH47) - SUM(Raw!AV47, Raw!AZ47, Raw!BD47, Raw!BH47)^2)), 0), "No Contingency Table"), "Not Included")</f>
        <v>-3.5206701393851861E-2</v>
      </c>
      <c r="BU47" s="11">
        <f>IF(BQ47, IF(COUNTIF(Raw!AV47:BK47, "&gt;=0") = 16, SUM(Raw!BK47,Raw!BJ47,Raw!BI47,Raw!BG47,Raw!BF47,Raw!BE47,Raw!BC47,Raw!BB47,Raw!BA47,Raw!AV47)/SUM(Raw!AV47:BK47), "No Contingency Table"), "Not Included")</f>
        <v>0.58666666666666667</v>
      </c>
      <c r="BV47" s="11">
        <f>IF(BQ47, IF(COUNTIF(Raw!AV47:BK47, "&gt;=0") = 16,SUM(SUM(Raw!AV47,Raw!AW47,Raw!AX47,Raw!AY47)*SUM(Raw!AV47,Raw!AZ47,Raw!BD47,Raw!BH47),SUM(Raw!AZ47:BK47)*SUM(Raw!AW47,Raw!AX47,Raw!AY47,Raw!BA47,Raw!BB47,Raw!BC47,Raw!BE47,Raw!BF47,Raw!BG47,Raw!BI47,Raw!BJ47,Raw!BK47))/BS47^2,"No Contingency Table"), "Not Included")</f>
        <v>0.60053333333333336</v>
      </c>
      <c r="BW47" s="11">
        <f>IF(BQ47, IF(COUNTIF(Raw!AV47:BK47, "&gt;=0") = 16,(BU47-BV47) / (1 - BV47),"No Contingency Table"), "Not Included")</f>
        <v>-3.4712950600801137E-2</v>
      </c>
      <c r="BX47" s="11" t="b">
        <f t="shared" ref="BX47:BZ47" si="201">BQ47</f>
        <v>1</v>
      </c>
      <c r="BY47" s="11" t="str">
        <f t="shared" si="201"/>
        <v>Contingency</v>
      </c>
      <c r="BZ47" s="15">
        <f t="shared" si="201"/>
        <v>75</v>
      </c>
      <c r="CA47" s="11">
        <f>IF(BX47, IF(COUNTIF(Raw!AV47:BK47, "&gt;=0") = 16, IFERROR((BZ47*Raw!BF47 - SUM(Raw!BD47, Raw!BE47, Raw!BF47, Raw!BG47)*SUM(Raw!BF47, Raw!AX47, Raw!BB47, Raw!BJ47)) / SQRT((BZ47*SUM(Raw!BD47, Raw!BE47, Raw!BF47, Raw!BG47) - SUM(Raw!BD47, Raw!BE47, Raw!BF47, Raw!BG47)^2) * (BZ47*SUM(Raw!BF47, Raw!AX47, Raw!BB47, Raw!BJ47) - SUM(Raw!BF47, Raw!AX47, Raw!BB47, Raw!BJ47)^2)), 0), "No Contingency Table"), "Not Included")</f>
        <v>0.11227217828476796</v>
      </c>
      <c r="CB47" s="11">
        <f>IF(BX47, IF(COUNTIF(Raw!AV47:BK47, "&gt;=0") = 16, SUM(Raw!AV47,Raw!AW47,Raw!AY47,Raw!AZ47,Raw!BA47,Raw!BC47,Raw!BF47,Raw!BH47,Raw!BI47,Raw!BK47) / SUM(Raw!AV47:BK47), "No Contingency Table"), "Not Included")</f>
        <v>0.61333333333333329</v>
      </c>
      <c r="CC47" s="11">
        <f>IF(BX47, IF(COUNTIF(Raw!AV47:BK47, "&gt;=0") = 16,SUM(SUM(Raw!BD47,Raw!BE47,Raw!BF47,Raw!BG47)*SUM(Raw!BF47,Raw!AX47,Raw!BB47,Raw!BJ47),SUM(Raw!AV47:BC47,Raw!BH47:BK47)*SUM(Raw!AV47,Raw!AW47,Raw!AY47,Raw!AZ47,Raw!BA47,Raw!BC47,Raw!BD47,Raw!BE47,Raw!BG47,Raw!BH47,Raw!BI47,Raw!BK47))/BZ47^2,"No Contingency Table"), "Not Included")</f>
        <v>0.58133333333333337</v>
      </c>
      <c r="CD47" s="11">
        <f>IF(BX47, IF(COUNTIF(Raw!AV47:BK47, "&gt;=0") = 16,(CB47 - CC47) / (1 - CC47+0.000001),"No Contingency Table"), "Not Included")</f>
        <v>7.6432938456357E-2</v>
      </c>
      <c r="CE47" s="11" t="b">
        <f t="shared" ref="CE47:CG47" si="202">BQ47</f>
        <v>1</v>
      </c>
      <c r="CF47" s="11" t="str">
        <f t="shared" si="202"/>
        <v>Contingency</v>
      </c>
      <c r="CG47" s="15">
        <f t="shared" si="202"/>
        <v>75</v>
      </c>
      <c r="CH47" s="11">
        <f>IF(CE47, IF(COUNTIF(Raw!AV47:BK47, "&gt;=0") = 16, IFERROR((CG47*Raw!BA47 - SUM(Raw!BA47, Raw!AZ47, Raw!BB47, Raw!BC47)*SUM(Raw!BA47, Raw!AW47, Raw!BE47, Raw!BI47)) / SQRT((CG47*SUM(Raw!BA47, Raw!AZ47, Raw!BB47, Raw!BC47) - SUM(Raw!BA47, Raw!AZ47, Raw!BB47, Raw!BC47)^2) * (CG47*SUM(Raw!BA47, Raw!AW47, Raw!BE47, Raw!BI47) - SUM(Raw!BA47, Raw!AW47, Raw!BE47, Raw!BI47)^2)), 0), "No Contingency Table"), "Not Included")</f>
        <v>0.15817925984933898</v>
      </c>
      <c r="CI47" s="11">
        <f>IF(CE47, IF(COUNTIF(Raw!AV47:BK47, "&gt;=0") = 16, SUM(Raw!AV47,Raw!AX47,Raw!AY47,Raw!BA47,Raw!BD47,Raw!BF47,Raw!BG47,Raw!BH47,Raw!BJ47,Raw!BK47) / SUM(Raw!AV47:BK47), "No Contingency Table"), "Not Included")</f>
        <v>0.49333333333333335</v>
      </c>
      <c r="CJ47" s="61">
        <f>IF(BX47, IF(COUNTIF(Raw!AV47:BK47, "&gt;=0") = 16,SUM(SUM(Raw!AZ47,Raw!BA47,Raw!BB47,Raw!BC47)*SUM(Raw!BA47,Raw!AW47,Raw!BE47,Raw!BI47),SUM(Raw!AV47:AY47,Raw!BD47:BK47)*SUM(Raw!AV47,Raw!AX47,Raw!AY47,Raw!AZ47,Raw!BB47,Raw!BC47,Raw!BD47,Raw!BF47,Raw!BG47,Raw!BH47,Raw!BJ47,Raw!BK47))/CG47^2,"No Contingency Table"), "Not Included")</f>
        <v>0.43466666666666665</v>
      </c>
      <c r="CK47" s="11">
        <f>IF(BX47, IF(COUNTIF(Raw!AV47:BK47, "&gt;=0") = 16,(CI47 - CJ47) / (1 - CJ47),"No Contingency Table"), "Not Included")</f>
        <v>0.10377358490566044</v>
      </c>
      <c r="CL47" s="11">
        <f>IF(BQ47, IFERROR(Raw!AV47/SUM(Raw!AV47:AY47), 0), "Not Included")</f>
        <v>0.27777777777777779</v>
      </c>
      <c r="CM47" s="11">
        <f>IF(BQ47, IFERROR(Raw!BA47/SUM(Raw!AZ47:BC47), 0), "Not Included")</f>
        <v>0.22222222222222221</v>
      </c>
      <c r="CN47" s="11">
        <f>IF(BQ47, IFERROR(Raw!BF47/SUM(Raw!BD47:BG47), 0), "Not Included")</f>
        <v>0.5714285714285714</v>
      </c>
      <c r="CO47" s="11">
        <f>IF(BQ47, IFERROR(Raw!BK47/SUM(Raw!BH47:BK47), 0), "Not Included")</f>
        <v>0.2</v>
      </c>
      <c r="CP47" s="11">
        <f>IF(BQ47, IFERROR(SUM(Raw!AV47,Raw!AX47,Raw!AY47,Raw!BD47,Raw!BF47,Raw!BG47,Raw!BH47,Raw!BJ47,Raw!BK47)/SUM(Raw!AV47,Raw!AW47,Raw!AX47,Raw!AY47,Raw!BD47,Raw!BE47,Raw!BF47,Raw!BG47,Raw!BH47,Raw!BI47,Raw!BJ47,Raw!BK47), 0), "Not Included")</f>
        <v>0.9</v>
      </c>
      <c r="CQ47" s="11">
        <f>IF(BQ47, IFERROR(SUM(Raw!AV47:AX47,Raw!AZ47:BB47,Raw!BD47:BF47)/SUM(Raw!AV47:BF47), 0), "Not Included")</f>
        <v>0.91176470588235292</v>
      </c>
      <c r="CR47" s="11">
        <f>IF(BQ47, IFERROR(SUM(Raw!AV47:AY47), 0), "Not Included")</f>
        <v>18</v>
      </c>
      <c r="CS47" s="11">
        <f>IF(BQ47, IFERROR(SUM(Raw!AZ47:BC47), 0), "Not Included")</f>
        <v>45</v>
      </c>
      <c r="CT47" s="11">
        <f>IF(BQ47, IFERROR(SUM(Raw!BD47:BG47), 0), "Not Included")</f>
        <v>7</v>
      </c>
      <c r="CU47" s="11">
        <f>IF(BQ47, IFERROR(SUM(Raw!BH47:BK47), 0), "Not Included")</f>
        <v>5</v>
      </c>
      <c r="CV47" s="11">
        <f>IF(BQ47, IFERROR(SUM(Raw!AV47,Raw!AW47,Raw!AX47,Raw!AY47,Raw!BD47,Raw!BE47,Raw!BF47,Raw!BG47,Raw!BH47,Raw!BI47,Raw!BJ47,Raw!BK47), 0), "Not Included")</f>
        <v>30</v>
      </c>
      <c r="CW47" s="11">
        <f>IF(BQ47, IFERROR(SUM(Raw!AV47:BF47), 0), "Not Included")</f>
        <v>68</v>
      </c>
      <c r="CX47" s="11">
        <f>IF(BQ47, IFERROR((CR47*SUM(Raw!AV47,Raw!AZ47,Raw!BD47,Raw!BH47))/BS47/CR47, 0), "Not Included")</f>
        <v>0.30666666666666664</v>
      </c>
      <c r="CY47" s="11">
        <f>IF(BX47, IFERROR((CS47*SUM(Raw!BA47,Raw!AW47,Raw!BE47,Raw!BI47))/CG47/CS47, 0), "Not Included")</f>
        <v>0.17333333333333334</v>
      </c>
      <c r="CZ47" s="11">
        <f>IF(BX47, IFERROR((CT47*SUM(Raw!BF47,Raw!AX47,Raw!BB47,Raw!BJ47))/BZ47/CT47, 0), "Not Included")</f>
        <v>0.39999999999999997</v>
      </c>
      <c r="DA47" s="11">
        <f>IF(AY47, IFERROR((CU47*SUM(Raw!AY47,Raw!BC47,Raw!BG47,Raw!BK47))/AT47/CU47, 0), "Not Included")</f>
        <v>0.12</v>
      </c>
      <c r="DB47" s="11">
        <f>IF(BX47, IFERROR((CV47*SUM(Raw!AV47,Raw!AX47,Raw!AY47,Raw!AZ47,Raw!BB47,Raw!BC47,Raw!BD47,Raw!BF47,Raw!BG47,Raw!BH47,Raw!BJ47,Raw!BK47))/CG47/CV47,0), "Not Included")</f>
        <v>0.82666666666666666</v>
      </c>
      <c r="DC47" s="11">
        <f>IF(AY47, IFERROR((CW47*SUM(Raw!AV47,Raw!AW47,Raw!AX47,Raw!AZ47,Raw!BA47,Raw!BB47,Raw!BD47,Raw!BE47,Raw!BF47,Raw!BH47,Raw!BI47,Raw!BJ47))/AT47/CW47,0), "Not Included")</f>
        <v>0.88</v>
      </c>
    </row>
    <row r="48" spans="1:107" ht="12.75" customHeight="1">
      <c r="A48" s="11">
        <f>Raw!D48</f>
        <v>31</v>
      </c>
      <c r="B48" s="11" t="str">
        <f>Raw!A48</f>
        <v xml:space="preserve">Seifer et al. (2004) </v>
      </c>
      <c r="C48" s="11">
        <f>Raw!G48</f>
        <v>1</v>
      </c>
      <c r="D48" s="11" t="str">
        <f>Raw!E48</f>
        <v>Single sample</v>
      </c>
      <c r="E48" s="11" t="str">
        <f>CONCATENATE(IF(Raw!I48&lt;='Interval Definitions'!$B$2, 'Interval Definitions'!$A$2, IF(Raw!I48&lt;='Interval Definitions'!$B$3, 'Interval Definitions'!$A$3, IF(Raw!I48&lt;='Interval Definitions'!$B$4, 'Interval Definitions'!$A$4, IF(Raw!I48&lt;='Interval Definitions'!$B$5, 'Interval Definitions'!$A$5, "None")))), " - ", IF(Raw!J48&lt;='Interval Definitions'!$B$2, 'Interval Definitions'!$A$2, IF(Raw!J48&lt;='Interval Definitions'!$B$3, 'Interval Definitions'!$A$3, IF(Raw!J48&lt;='Interval Definitions'!$B$4, 'Interval Definitions'!$A$4, IF(Raw!J48&lt;='Interval Definitions'!$B$5, 'Interval Definitions'!$A$5, "None")))))</f>
        <v>Infancy - Toddlerhood</v>
      </c>
      <c r="F48" s="11" t="b">
        <f>OR(NOT(ISBLANK(Raw!AF48)),NOT(ISBLANK(Raw!AG48)),NOT(ISBLANK(Raw!AH48)),NOT(ISBLANK(Raw!AI48)),COUNTIF(Raw!AA48:AD48, "&gt;=0") = 4)</f>
        <v>1</v>
      </c>
      <c r="G48" s="11" t="str">
        <f>IF(F48, IF(COUNTIF(Raw!AA48:AD48,"&gt;=0") = 4, "Contingency", IF(NOT(ISBLANK(Raw!AF48)), "Paper r", IF(NOT(ISBLANK(Raw!AG48)), "Pinquart", IF(NOT(ISBLANK(Raw!AH48)), "Fraley", "Paper chiSq")))), "Not Included")</f>
        <v>Contingency</v>
      </c>
      <c r="H48" s="15">
        <f>IF(F48,Raw!AE48,"Not Included")</f>
        <v>601</v>
      </c>
      <c r="I48" s="15">
        <f>IF(COUNTIF(Raw!AA48:AD48,"&gt;=0") = 4, SUM(Raw!AA48:AD48), "No Contingency Table")</f>
        <v>601</v>
      </c>
      <c r="J48" s="15">
        <f t="shared" si="0"/>
        <v>601</v>
      </c>
      <c r="K48" s="38">
        <f>IF(F48, IF(COUNTIF(Raw!AA48:AD48,"&gt;=0") = 4, IFERROR((I48*Raw!AA48 - SUM(Raw!AA48,Raw!AB48)*SUM(Raw!AA48,Raw!AD48)) / SQRT((I48*SUM(Raw!AA48,Raw!AB48) - SUM(Raw!AA48,Raw!AB48)^2) * (I48*SUM(Raw!AA48,Raw!AD48) - SUM(Raw!AA48,Raw!AD48)^2)), 0), "No Contingency Table"), "Not Included")</f>
        <v>7.9345894661464744E-2</v>
      </c>
      <c r="L48" s="41">
        <f>IF(F48,IF(NOT(ISBLANK(Raw!AF48)), Raw!AF48, IF(NOT(ISBLANK(Raw!AG48)), Raw!AG48, IF(NOT(ISBLANK(Raw!AH48)), Raw!AH48, IF(NOT(ISBLANK(Raw!AI48)), SQRT(Raw!AI48/H48)*Raw!AJ48, "Not Reported")))),"Not Included")</f>
        <v>0.08</v>
      </c>
      <c r="M48" s="43">
        <f t="shared" si="1"/>
        <v>7.9345894661464744E-2</v>
      </c>
      <c r="N48" s="11">
        <f t="shared" si="2"/>
        <v>1</v>
      </c>
      <c r="O48" s="48" t="b">
        <f>OR(NOT(ISBLANK(Raw!AK48)), COUNTIF(Raw!AA48:AD48, "&gt;=0") = 4)</f>
        <v>1</v>
      </c>
      <c r="P48" s="24" t="str">
        <f>IF(O48,IF(COUNTIF(Raw!AA48:AD48,"&gt;=0") = 4,"Contingency", "Paper k"), "Not Included")</f>
        <v>Contingency</v>
      </c>
      <c r="Q48" s="48">
        <f>IF(O48, IF(COUNTIF(Raw!AA48:AD48,"&gt;=0") = 4,SUM(Raw!AA48,Raw!AC48)/H48,"No Contingency Table"), "Not Included")</f>
        <v>0.60066555740432614</v>
      </c>
      <c r="R48" s="38">
        <f>IF(O48, IF(COUNTIF(Raw!AA48:AD48, "&gt;=0") = 4,SUM(SUM(Raw!AA48,Raw!AB48)*SUM(Raw!AA48,Raw!AD48),SUM(Raw!AC48,Raw!AD48)*SUM(Raw!AC48,Raw!AB48))/H48^2,"No Contingency Table"), "Not Included")</f>
        <v>0.56688934969726001</v>
      </c>
      <c r="S48" s="38">
        <f>IF(O48, IF(COUNTIF(Raw!AA48:AD48,"&gt;=0") = 4, IFERROR((Q48 - R48) / (1 - R48), "Could not calculate"), "No Contingency Table"), "Not Included")</f>
        <v>7.7985170033239543E-2</v>
      </c>
      <c r="T48" s="52" t="str">
        <f>IF(O48,IF(NOT(ISBLANK(Raw!AK48)), Raw!AK48, "Not Reported"), "Not Included")</f>
        <v>Not Reported</v>
      </c>
      <c r="U48" s="38">
        <f t="shared" si="3"/>
        <v>7.7985170033239543E-2</v>
      </c>
      <c r="V48" s="11" t="str">
        <f t="shared" si="4"/>
        <v>NA</v>
      </c>
      <c r="W48" s="11" t="b">
        <f>OR(NOT(ISBLANK(Raw!AU48)),COUNTIF(Raw!AL48:AT48,"&gt;=0") = 9)</f>
        <v>0</v>
      </c>
      <c r="X48" s="11" t="str">
        <f>IF(W48, IF(COUNTIF(Raw!AL48:AT48,"&gt;=0") = 9, "Contingency", "Paper k"), "Not Included")</f>
        <v>Not Included</v>
      </c>
      <c r="Y48" s="11" t="str">
        <f>IF(W48,IF(COUNTIF(Raw!AL48:AT48,"&gt;=0") = 9,SUM(Raw!AL48:AT48),"No Contingency Table"),"Not Included")</f>
        <v>Not Included</v>
      </c>
      <c r="Z48" s="11" t="str">
        <f t="shared" si="5"/>
        <v>Not Included</v>
      </c>
      <c r="AA48" s="11" t="str">
        <f>IF(W48,IF(COUNTIF(Raw!AL48:AT48,"&gt;=0") = 9,SUM(Raw!AL48,Raw!AP48,Raw!AT48)/Y48,"No Contingency Table"), "Not Included")</f>
        <v>Not Included</v>
      </c>
      <c r="AB48" s="11" t="str">
        <f>IF(W48,IF(COUNTIF(Raw!AL48:AT48,"&gt;=0") = 9,SUM(SUM(Raw!AL48,Raw!AM48,Raw!AN48)*SUM(Raw!AL48,Raw!AO48,Raw!AR48),SUM(Raw!AO48,Raw!AP48,Raw!AQ48)*SUM(Raw!AM48,Raw!AP48,Raw!AS48),SUM(Raw!AR48,Raw!AS48,Raw!AT48)*SUM(Raw!AN48,Raw!AQ48,Raw!AT48))/Y48^2,"No Contingency Table"), "Not Included")</f>
        <v>Not Included</v>
      </c>
      <c r="AC48" s="11" t="str">
        <f>IF(W48,IF(COUNTIF(Raw!AL48:AT48,"&gt;=0") = 9,(AA48 - AB48) / (1 - AB48),"No Contingency Table"), "Not Included")</f>
        <v>Not Included</v>
      </c>
      <c r="AD48" s="11" t="str">
        <f>IF(W48, IF(NOT(ISBLANK(Raw!AU48)),Raw!AU48,"Not Reported"), "Not Included")</f>
        <v>Not Included</v>
      </c>
      <c r="AE48" s="11" t="str">
        <f t="shared" si="6"/>
        <v>Not Included</v>
      </c>
      <c r="AF48" s="11" t="str">
        <f t="shared" si="7"/>
        <v>Not Included</v>
      </c>
      <c r="AG48" s="11" t="b">
        <f>COUNTIF(Raw!AV48:BK48, "&gt;=0") = 16</f>
        <v>1</v>
      </c>
      <c r="AH48" s="11" t="str">
        <f>IF(AG48, IF(COUNTIF(Raw!AV48:BK48,"&gt;=0") = 16, "Contingency", "Paper k"), "Not Included")</f>
        <v>Contingency</v>
      </c>
      <c r="AI48" s="15">
        <f>IF(AG48,IF(COUNTIF(Raw!AV48:BK48,"&gt;=0") = 16,SUM(Raw!AV48:BK48),"No Contingency Table"),"Not Included")</f>
        <v>601</v>
      </c>
      <c r="AJ48" s="15">
        <f t="shared" si="8"/>
        <v>601</v>
      </c>
      <c r="AK48" s="11">
        <f>IF(AG48,IF(COUNTIF(Raw!AV48:BK48,"&gt;=0") = 16,SUM(Raw!AV48,Raw!BA48,Raw!BF48,Raw!BK48)/AI48,"No Contingency Table"), "Not Included")</f>
        <v>0.53078202995008317</v>
      </c>
      <c r="AL48" s="11">
        <f>IF(AG48,IF(COUNTIF(Raw!AV48:BK48,"&gt;=0") = 16,SUM(SUM(Raw!AV48,Raw!AW48,Raw!AX48,Raw!AY48)*SUM(Raw!AV48,Raw!AZ48,Raw!BD48,Raw!BH48),SUM(Raw!AZ48,Raw!BA48,Raw!BB48,Raw!BC48)*SUM(Raw!AW48,Raw!BA48,Raw!BE48,Raw!BI48),SUM(Raw!BD48,Raw!BE48,Raw!BF48,Raw!BG48)*SUM(Raw!AX48,Raw!BB48,Raw!BF48,Raw!BJ48),SUM(Raw!BH48,Raw!BI48,Raw!BJ48,Raw!BK48)*SUM(Raw!AY48,Raw!BC48,Raw!BG48,Raw!BK48))/AI48^2,"No Contingency Table"), "Not Included")</f>
        <v>0.50122231112316962</v>
      </c>
      <c r="AM48" s="11">
        <f>IF(AG48,IF(COUNTIF(Raw!AV48:BK48,"&gt;=0") = 16,(AK48 - AL48) / (1 - AL48),"No Contingency Table"), "Not Included")</f>
        <v>5.9264316520406979E-2</v>
      </c>
      <c r="AN48" s="32">
        <f>IF(NOT(ISBLANK(Raw!BL48)),Raw!BL48,"Not Reported")</f>
        <v>0.06</v>
      </c>
      <c r="AO48" s="11">
        <f t="shared" si="9"/>
        <v>5.9264316520406979E-2</v>
      </c>
      <c r="AP48" s="11">
        <f t="shared" si="10"/>
        <v>1</v>
      </c>
      <c r="AQ48" s="11" t="b">
        <f t="shared" ref="AQ48:AR48" si="203">BQ48</f>
        <v>1</v>
      </c>
      <c r="AR48" s="11" t="str">
        <f t="shared" si="203"/>
        <v>Contingency</v>
      </c>
      <c r="AS48" s="15">
        <f t="shared" si="12"/>
        <v>601</v>
      </c>
      <c r="AT48" s="15">
        <f t="shared" si="13"/>
        <v>601</v>
      </c>
      <c r="AU48" s="11">
        <f>IF(AQ48, IF(COUNTIF(Raw!AV48:BK48, "&gt;=0") = 16, IFERROR((AT48*Raw!BK48 - SUM(Raw!BH48, Raw!BI48, Raw!BJ48, Raw!BK48)*SUM(Raw!AY48, Raw!BC48, Raw!BG48, Raw!BK48)) / SQRT((AT48*SUM(Raw!BH48, Raw!BI48, Raw!BJ48, Raw!BK48) - SUM(Raw!BH48, Raw!BI48, Raw!BJ48, Raw!BK48)^2) * (AT48*SUM(Raw!AY48, Raw!BC48, Raw!BG48, Raw!BK48) - SUM(Raw!AY48, Raw!BC48, Raw!BG48, Raw!BK48)^2)), 0), "No Contingency Table"), "Not Included")</f>
        <v>-6.0395148604014397E-2</v>
      </c>
      <c r="AV48" s="11" t="str">
        <f>IF(AQ48,IF(NOT(ISBLANK(Raw!BQ48)), Raw!BQ48, IF(NOT(ISBLANK(Raw!BR48)), Raw!BR48, "Not Reported")), "Not Included")</f>
        <v>Not Reported</v>
      </c>
      <c r="AW48" s="57">
        <f t="shared" si="14"/>
        <v>-6.0395148604014397E-2</v>
      </c>
      <c r="AX48" s="11" t="str">
        <f t="shared" si="15"/>
        <v>NA</v>
      </c>
      <c r="AY48" s="11" t="b">
        <f t="shared" ref="AY48:AZ48" si="204">AQ48</f>
        <v>1</v>
      </c>
      <c r="AZ48" s="11" t="str">
        <f t="shared" si="204"/>
        <v>Contingency</v>
      </c>
      <c r="BA48" s="11">
        <f>IF(AY48, IF(COUNTIF(Raw!AV48:BK48, "&gt;=0") = 16, SUM(Raw!AV48,Raw!AW48,Raw!AX48,Raw!AZ48,Raw!BA48,Raw!BB48,Raw!BD48,Raw!BE48,Raw!BF48,Raw!BK48)/SUM(Raw!AV48:BK48), "No Contingency Table"), "Not Included")</f>
        <v>0.80865224625623955</v>
      </c>
      <c r="BB48" s="11">
        <f>IF(AY48, IF(COUNTIF(Raw!AV48:BK48, "&gt;=0") = 16,SUM(SUM(Raw!BH48,Raw!BI48,Raw!BJ48,Raw!BK48)*SUM(Raw!AY48,Raw!BC48,Raw!BG48,Raw!BK48),SUM(Raw!AV48:BG48)*SUM(Raw!AV48,Raw!AW48,Raw!AX48,Raw!AZ48,Raw!BA48,Raw!BB48,Raw!BD48,Raw!BE48,Raw!BF48,Raw!BH48,Raw!BI48,Raw!BJ48))/AT48^2,"No Contingency Table"), "Not Included")</f>
        <v>0.81854147690621015</v>
      </c>
      <c r="BC48" s="11">
        <f>IF(AY48, IF(COUNTIF(Raw!AV48:BK48, "&gt;=0") = 16,(BA48-BB48) / (1 - BB48),"No Contingency Table"), "Not Included")</f>
        <v>-5.4498573455594536E-2</v>
      </c>
      <c r="BD48" s="11" t="str">
        <f>IF(AY48,IF(NOT(ISBLANK(Raw!BT69)),Raw!BT69,"Not Reported"),"Not Included")</f>
        <v>Not Reported</v>
      </c>
      <c r="BE48" s="11">
        <f t="shared" si="17"/>
        <v>-5.4498573455594536E-2</v>
      </c>
      <c r="BF48" s="11" t="str">
        <f t="shared" si="18"/>
        <v>NA</v>
      </c>
      <c r="BG48" s="11">
        <f>Raw!K48</f>
        <v>2004</v>
      </c>
      <c r="BH48" s="11" t="str">
        <f>IF(Raw!L48 = "USA","USA","Non-USA")</f>
        <v>USA</v>
      </c>
      <c r="BI48" s="11" t="str">
        <f>Raw!M48</f>
        <v>Ainsworth/Cassidy-Marvin</v>
      </c>
      <c r="BJ48" s="11">
        <f>Raw!N48</f>
        <v>1</v>
      </c>
      <c r="BK48" s="11">
        <f>Raw!P48</f>
        <v>1</v>
      </c>
      <c r="BL48" s="11">
        <f>Raw!Q48</f>
        <v>0</v>
      </c>
      <c r="BM48" s="11">
        <f>Raw!T48</f>
        <v>1</v>
      </c>
      <c r="BN48" s="11">
        <f>IFERROR(IF(AND(ISBLANK(Raw!U48), ISBLANK(Raw!V48), ISBLANK(Raw!W48), ISBLANK(Raw!X48)), "NA", IF(OR(NOT(ISBLANK(Raw!U48)), NOT(ISBLANK(Raw!W48))), AVERAGE(Raw!U48,Raw!W48), AVERAGE(Raw!V48,Raw!X48) + IF(Raw!Y48 = "2-way", R48, IF(Raw!Y48 = "3-way", AB48, IF(Raw!Y48 = "4-way", AL48, "NA")))*(1 - AVERAGE(Raw!V48,Raw!X48)))), "NA")</f>
        <v>0.90024446222463395</v>
      </c>
      <c r="BO48" s="11">
        <f>Raw!O48</f>
        <v>0</v>
      </c>
      <c r="BP48" s="11" t="str">
        <f>Raw!F48</f>
        <v>Female</v>
      </c>
      <c r="BQ48" s="11" t="b">
        <f>COUNTIF(Raw!AV48:BK48, "&gt;=0") = 16</f>
        <v>1</v>
      </c>
      <c r="BR48" s="11" t="str">
        <f t="shared" si="19"/>
        <v>Contingency</v>
      </c>
      <c r="BS48" s="15">
        <f t="shared" si="20"/>
        <v>601</v>
      </c>
      <c r="BT48" s="11">
        <f>IF(BQ48, IF(COUNTIF(Raw!AV48:BK48, "&gt;=0") = 16, IFERROR((BS48*Raw!AV48 - SUM(Raw!AV48, Raw!AW48, Raw!AX48, Raw!AY48)*SUM(Raw!AV48, Raw!AZ48, Raw!BD48, Raw!BH48)) / SQRT((BS48*SUM(Raw!AV48, Raw!AW48, Raw!AX48, Raw!AY48) - SUM(Raw!AV48, Raw!AW48, Raw!AX48, Raw!AY48)^2) * (BS48*SUM(Raw!AV48, Raw!AZ48, Raw!BD48, Raw!BH48) - SUM(Raw!AV48, Raw!AZ48, Raw!BD48, Raw!BH48)^2)), 0), "No Contingency Table"), "Not Included")</f>
        <v>0.10830356314923563</v>
      </c>
      <c r="BU48" s="11">
        <f>IF(BQ48, IF(COUNTIF(Raw!AV48:BK48, "&gt;=0") = 16, SUM(Raw!BK48,Raw!BJ48,Raw!BI48,Raw!BG48,Raw!BF48,Raw!BE48,Raw!BC48,Raw!BB48,Raw!BA48,Raw!AV48)/SUM(Raw!AV48:BK48), "No Contingency Table"), "Not Included")</f>
        <v>0.83527454242928456</v>
      </c>
      <c r="BV48" s="11">
        <f>IF(BQ48, IF(COUNTIF(Raw!AV48:BK48, "&gt;=0") = 16,SUM(SUM(Raw!AV48,Raw!AW48,Raw!AX48,Raw!AY48)*SUM(Raw!AV48,Raw!AZ48,Raw!BD48,Raw!BH48),SUM(Raw!AZ48:BK48)*SUM(Raw!AW48,Raw!AX48,Raw!AY48,Raw!BA48,Raw!BB48,Raw!BC48,Raw!BE48,Raw!BF48,Raw!BG48,Raw!BI48,Raw!BJ48,Raw!BK48))/BS48^2,"No Contingency Table"), "Not Included")</f>
        <v>0.81567326779272487</v>
      </c>
      <c r="BW48" s="11">
        <f>IF(BQ48, IF(COUNTIF(Raw!AV48:BK48, "&gt;=0") = 16,(BU48-BV48) / (1 - BV48),"No Contingency Table"), "Not Included")</f>
        <v>0.10633983688550444</v>
      </c>
      <c r="BX48" s="11" t="b">
        <f t="shared" ref="BX48:BZ48" si="205">BQ48</f>
        <v>1</v>
      </c>
      <c r="BY48" s="11" t="str">
        <f t="shared" si="205"/>
        <v>Contingency</v>
      </c>
      <c r="BZ48" s="15">
        <f t="shared" si="205"/>
        <v>601</v>
      </c>
      <c r="CA48" s="11">
        <f>IF(BX48, IF(COUNTIF(Raw!AV48:BK48, "&gt;=0") = 16, IFERROR((BZ48*Raw!BF48 - SUM(Raw!BD48, Raw!BE48, Raw!BF48, Raw!BG48)*SUM(Raw!BF48, Raw!AX48, Raw!BB48, Raw!BJ48)) / SQRT((BZ48*SUM(Raw!BD48, Raw!BE48, Raw!BF48, Raw!BG48) - SUM(Raw!BD48, Raw!BE48, Raw!BF48, Raw!BG48)^2) * (BZ48*SUM(Raw!BF48, Raw!AX48, Raw!BB48, Raw!BJ48) - SUM(Raw!BF48, Raw!AX48, Raw!BB48, Raw!BJ48)^2)), 0), "No Contingency Table"), "Not Included")</f>
        <v>7.9811044473528547E-2</v>
      </c>
      <c r="CB48" s="11">
        <f>IF(BX48, IF(COUNTIF(Raw!AV48:BK48, "&gt;=0") = 16, SUM(Raw!AV48,Raw!AW48,Raw!AY48,Raw!AZ48,Raw!BA48,Raw!BC48,Raw!BF48,Raw!BH48,Raw!BI48,Raw!BK48) / SUM(Raw!AV48:BK48), "No Contingency Table"), "Not Included")</f>
        <v>0.81697171381031619</v>
      </c>
      <c r="CC48" s="11">
        <f>IF(BX48, IF(COUNTIF(Raw!AV48:BK48, "&gt;=0") = 16,SUM(SUM(Raw!BD48,Raw!BE48,Raw!BF48,Raw!BG48)*SUM(Raw!BF48,Raw!AX48,Raw!BB48,Raw!BJ48),SUM(Raw!AV48:BC48,Raw!BH48:BK48)*SUM(Raw!AV48,Raw!AW48,Raw!AY48,Raw!AZ48,Raw!BA48,Raw!BC48,Raw!BD48,Raw!BE48,Raw!BG48,Raw!BH48,Raw!BI48,Raw!BK48))/BZ48^2,"No Contingency Table"), "Not Included")</f>
        <v>0.80134052785014442</v>
      </c>
      <c r="CD48" s="11">
        <f>IF(BX48, IF(COUNTIF(Raw!AV48:BK48, "&gt;=0") = 16,(CB48 - CC48) / (1 - CC48+0.000001),"No Contingency Table"), "Not Included")</f>
        <v>7.8682919611610974E-2</v>
      </c>
      <c r="CE48" s="11" t="b">
        <f t="shared" ref="CE48:CG48" si="206">BQ48</f>
        <v>1</v>
      </c>
      <c r="CF48" s="11" t="str">
        <f t="shared" si="206"/>
        <v>Contingency</v>
      </c>
      <c r="CG48" s="15">
        <f t="shared" si="206"/>
        <v>601</v>
      </c>
      <c r="CH48" s="11">
        <f>IF(CE48, IF(COUNTIF(Raw!AV48:BK48, "&gt;=0") = 16, IFERROR((CG48*Raw!BA48 - SUM(Raw!BA48, Raw!AZ48, Raw!BB48, Raw!BC48)*SUM(Raw!BA48, Raw!AW48, Raw!BE48, Raw!BI48)) / SQRT((CG48*SUM(Raw!BA48, Raw!AZ48, Raw!BB48, Raw!BC48) - SUM(Raw!BA48, Raw!AZ48, Raw!BB48, Raw!BC48)^2) * (CG48*SUM(Raw!BA48, Raw!AW48, Raw!BE48, Raw!BI48) - SUM(Raw!BA48, Raw!AW48, Raw!BE48, Raw!BI48)^2)), 0), "No Contingency Table"), "Not Included")</f>
        <v>7.9345894661464744E-2</v>
      </c>
      <c r="CI48" s="11">
        <f>IF(CE48, IF(COUNTIF(Raw!AV48:BK48, "&gt;=0") = 16, SUM(Raw!AV48,Raw!AX48,Raw!AY48,Raw!BA48,Raw!BD48,Raw!BF48,Raw!BG48,Raw!BH48,Raw!BJ48,Raw!BK48) / SUM(Raw!AV48:BK48), "No Contingency Table"), "Not Included")</f>
        <v>0.60066555740432614</v>
      </c>
      <c r="CJ48" s="61">
        <f>IF(BX48, IF(COUNTIF(Raw!AV48:BK48, "&gt;=0") = 16,SUM(SUM(Raw!AZ48,Raw!BA48,Raw!BB48,Raw!BC48)*SUM(Raw!BA48,Raw!AW48,Raw!BE48,Raw!BI48),SUM(Raw!AV48:AY48,Raw!BD48:BK48)*SUM(Raw!AV48,Raw!AX48,Raw!AY48,Raw!AZ48,Raw!BB48,Raw!BC48,Raw!BD48,Raw!BF48,Raw!BG48,Raw!BH48,Raw!BJ48,Raw!BK48))/CG48^2,"No Contingency Table"), "Not Included")</f>
        <v>0.56688934969726001</v>
      </c>
      <c r="CK48" s="11">
        <f>IF(BX48, IF(COUNTIF(Raw!AV48:BK48, "&gt;=0") = 16,(CI48 - CJ48) / (1 - CJ48),"No Contingency Table"), "Not Included")</f>
        <v>7.7985170033239543E-2</v>
      </c>
      <c r="CL48" s="11">
        <f>IF(BQ48, IFERROR(Raw!AV48/SUM(Raw!AV48:AY48), 0), "Not Included")</f>
        <v>0.16666666666666666</v>
      </c>
      <c r="CM48" s="11">
        <f>IF(BQ48, IFERROR(Raw!BA48/SUM(Raw!AZ48:BC48), 0), "Not Included")</f>
        <v>0.7532133676092545</v>
      </c>
      <c r="CN48" s="11">
        <f>IF(BQ48, IFERROR(Raw!BF48/SUM(Raw!BD48:BG48), 0), "Not Included")</f>
        <v>0.21052631578947367</v>
      </c>
      <c r="CO48" s="11">
        <f>IF(BQ48, IFERROR(Raw!BK48/SUM(Raw!BH48:BK48), 0), "Not Included")</f>
        <v>2.4096385542168676E-2</v>
      </c>
      <c r="CP48" s="11">
        <f>IF(BQ48, IFERROR(SUM(Raw!AV48,Raw!AX48,Raw!AY48,Raw!BD48,Raw!BF48,Raw!BG48,Raw!BH48,Raw!BJ48,Raw!BK48)/SUM(Raw!AV48,Raw!AW48,Raw!AX48,Raw!AY48,Raw!BD48,Raw!BE48,Raw!BF48,Raw!BG48,Raw!BH48,Raw!BI48,Raw!BJ48,Raw!BK48), 0), "Not Included")</f>
        <v>0.32075471698113206</v>
      </c>
      <c r="CQ48" s="11">
        <f>IF(BQ48, IFERROR(SUM(Raw!AV48:AX48,Raw!AZ48:BB48,Raw!BD48:BF48)/SUM(Raw!AV48:BF48), 0), "Not Included")</f>
        <v>0.94346978557504868</v>
      </c>
      <c r="CR48" s="11">
        <f>IF(BQ48, IFERROR(SUM(Raw!AV48:AY48), 0), "Not Included")</f>
        <v>72</v>
      </c>
      <c r="CS48" s="11">
        <f>IF(BQ48, IFERROR(SUM(Raw!AZ48:BC48), 0), "Not Included")</f>
        <v>389</v>
      </c>
      <c r="CT48" s="11">
        <f>IF(BQ48, IFERROR(SUM(Raw!BD48:BG48), 0), "Not Included")</f>
        <v>57</v>
      </c>
      <c r="CU48" s="11">
        <f>IF(BQ48, IFERROR(SUM(Raw!BH48:BK48), 0), "Not Included")</f>
        <v>83</v>
      </c>
      <c r="CV48" s="11">
        <f>IF(BQ48, IFERROR(SUM(Raw!AV48,Raw!AW48,Raw!AX48,Raw!AY48,Raw!BD48,Raw!BE48,Raw!BF48,Raw!BG48,Raw!BH48,Raw!BI48,Raw!BJ48,Raw!BK48), 0), "Not Included")</f>
        <v>212</v>
      </c>
      <c r="CW48" s="11">
        <f>IF(BQ48, IFERROR(SUM(Raw!AV48:BF48), 0), "Not Included")</f>
        <v>513</v>
      </c>
      <c r="CX48" s="11">
        <f>IF(BQ48, IFERROR((CR48*SUM(Raw!AV48,Raw!AZ48,Raw!BD48,Raw!BH48))/BS48/CR48, 0), "Not Included")</f>
        <v>8.4858569051580693E-2</v>
      </c>
      <c r="CY48" s="11">
        <f>IF(BX48, IFERROR((CS48*SUM(Raw!BA48,Raw!AW48,Raw!BE48,Raw!BI48))/CG48/CS48, 0), "Not Included")</f>
        <v>0.72712146422628954</v>
      </c>
      <c r="CZ48" s="11">
        <f>IF(BX48, IFERROR((CT48*SUM(Raw!BF48,Raw!AX48,Raw!BB48,Raw!BJ48))/BZ48/CT48, 0), "Not Included")</f>
        <v>0.1281198003327787</v>
      </c>
      <c r="DA48" s="11">
        <f>IF(AY48, IFERROR((CU48*SUM(Raw!AY48,Raw!BC48,Raw!BG48,Raw!BK48))/AT48/CU48, 0), "Not Included")</f>
        <v>5.9900166389351084E-2</v>
      </c>
      <c r="DB48" s="11">
        <f>IF(BX48, IFERROR((CV48*SUM(Raw!AV48,Raw!AX48,Raw!AY48,Raw!AZ48,Raw!BB48,Raw!BC48,Raw!BD48,Raw!BF48,Raw!BG48,Raw!BH48,Raw!BJ48,Raw!BK48))/CG48/CV48,0), "Not Included")</f>
        <v>0.27287853577371046</v>
      </c>
      <c r="DC48" s="11">
        <f>IF(AY48, IFERROR((CW48*SUM(Raw!AV48,Raw!AW48,Raw!AX48,Raw!AZ48,Raw!BA48,Raw!BB48,Raw!BD48,Raw!BE48,Raw!BF48,Raw!BH48,Raw!BI48,Raw!BJ48))/AT48/CW48,0), "Not Included")</f>
        <v>0.94009983361064897</v>
      </c>
    </row>
    <row r="49" spans="1:107" ht="12.75" customHeight="1">
      <c r="A49" s="11">
        <f>Raw!D49</f>
        <v>32</v>
      </c>
      <c r="B49" s="11" t="str">
        <f>Raw!A49</f>
        <v>Steele, Steele &amp; Fonagy (1996)</v>
      </c>
      <c r="C49" s="11">
        <f>Raw!G49</f>
        <v>1</v>
      </c>
      <c r="D49" s="11" t="str">
        <f>Raw!E49</f>
        <v>Mother-child</v>
      </c>
      <c r="E49" s="11" t="str">
        <f>CONCATENATE(IF(Raw!I49&lt;='Interval Definitions'!$B$2, 'Interval Definitions'!$A$2, IF(Raw!I49&lt;='Interval Definitions'!$B$3, 'Interval Definitions'!$A$3, IF(Raw!I49&lt;='Interval Definitions'!$B$4, 'Interval Definitions'!$A$4, IF(Raw!I49&lt;='Interval Definitions'!$B$5, 'Interval Definitions'!$A$5, "None")))), " - ", IF(Raw!J49&lt;='Interval Definitions'!$B$2, 'Interval Definitions'!$A$2, IF(Raw!J49&lt;='Interval Definitions'!$B$3, 'Interval Definitions'!$A$3, IF(Raw!J49&lt;='Interval Definitions'!$B$4, 'Interval Definitions'!$A$4, IF(Raw!J49&lt;='Interval Definitions'!$B$5, 'Interval Definitions'!$A$5, "None")))))</f>
        <v>Infancy - Preschool</v>
      </c>
      <c r="F49" s="11" t="b">
        <f>OR(NOT(ISBLANK(Raw!AF49)),NOT(ISBLANK(Raw!AG49)),NOT(ISBLANK(Raw!AH49)),NOT(ISBLANK(Raw!AI49)),COUNTIF(Raw!AA49:AD49, "&gt;=0") = 4)</f>
        <v>1</v>
      </c>
      <c r="G49" s="11" t="str">
        <f>IF(F49, IF(COUNTIF(Raw!AA49:AD49,"&gt;=0") = 4, "Contingency", IF(NOT(ISBLANK(Raw!AF49)), "Paper r", IF(NOT(ISBLANK(Raw!AG49)), "Pinquart", IF(NOT(ISBLANK(Raw!AH49)), "Fraley", "Paper chiSq")))), "Not Included")</f>
        <v>Contingency</v>
      </c>
      <c r="H49" s="15">
        <f>IF(F49,Raw!AE49,"Not Included")</f>
        <v>88</v>
      </c>
      <c r="I49" s="15">
        <f>IF(COUNTIF(Raw!AA49:AD49,"&gt;=0") = 4, SUM(Raw!AA49:AD49), "No Contingency Table")</f>
        <v>88</v>
      </c>
      <c r="J49" s="15">
        <f t="shared" si="0"/>
        <v>88</v>
      </c>
      <c r="K49" s="38">
        <f>IF(F49, IF(COUNTIF(Raw!AA49:AD49,"&gt;=0") = 4, IFERROR((I49*Raw!AA49 - SUM(Raw!AA49,Raw!AB49)*SUM(Raw!AA49,Raw!AD49)) / SQRT((I49*SUM(Raw!AA49,Raw!AB49) - SUM(Raw!AA49,Raw!AB49)^2) * (I49*SUM(Raw!AA49,Raw!AD49) - SUM(Raw!AA49,Raw!AD49)^2)), 0), "No Contingency Table"), "Not Included")</f>
        <v>6.9006555934235422E-2</v>
      </c>
      <c r="L49" s="41" t="str">
        <f>IF(F49,IF(NOT(ISBLANK(Raw!AF49)), Raw!AF49, IF(NOT(ISBLANK(Raw!AG49)), Raw!AG49, IF(NOT(ISBLANK(Raw!AH49)), Raw!AH49, IF(NOT(ISBLANK(Raw!AI49)), SQRT(Raw!AI49/H49)*Raw!AJ49, "Not Reported")))),"Not Included")</f>
        <v>Not Reported</v>
      </c>
      <c r="M49" s="43">
        <f t="shared" si="1"/>
        <v>6.9006555934235422E-2</v>
      </c>
      <c r="N49" s="11" t="str">
        <f t="shared" si="2"/>
        <v>NA</v>
      </c>
      <c r="O49" s="48" t="b">
        <f>OR(NOT(ISBLANK(Raw!AK49)), COUNTIF(Raw!AA49:AD49, "&gt;=0") = 4)</f>
        <v>1</v>
      </c>
      <c r="P49" s="24" t="str">
        <f>IF(O49,IF(COUNTIF(Raw!AA49:AD49,"&gt;=0") = 4,"Contingency", "Paper k"), "Not Included")</f>
        <v>Contingency</v>
      </c>
      <c r="Q49" s="48">
        <f>IF(O49, IF(COUNTIF(Raw!AA49:AD49,"&gt;=0") = 4,SUM(Raw!AA49,Raw!AC49)/H49,"No Contingency Table"), "Not Included")</f>
        <v>0.54545454545454541</v>
      </c>
      <c r="R49" s="38">
        <f>IF(O49, IF(COUNTIF(Raw!AA49:AD49, "&gt;=0") = 4,SUM(SUM(Raw!AA49,Raw!AB49)*SUM(Raw!AA49,Raw!AD49),SUM(Raw!AC49,Raw!AD49)*SUM(Raw!AC49,Raw!AB49))/H49^2,"No Contingency Table"), "Not Included")</f>
        <v>0.51239669421487599</v>
      </c>
      <c r="S49" s="38">
        <f>IF(O49, IF(COUNTIF(Raw!AA49:AD49,"&gt;=0") = 4, IFERROR((Q49 - R49) / (1 - R49), "Could not calculate"), "No Contingency Table"), "Not Included")</f>
        <v>6.7796610169491525E-2</v>
      </c>
      <c r="T49" s="52" t="str">
        <f>IF(O49,IF(NOT(ISBLANK(Raw!AK49)), Raw!AK49, "Not Reported"), "Not Included")</f>
        <v>Not Reported</v>
      </c>
      <c r="U49" s="38">
        <f t="shared" si="3"/>
        <v>6.7796610169491525E-2</v>
      </c>
      <c r="V49" s="11" t="str">
        <f t="shared" si="4"/>
        <v>NA</v>
      </c>
      <c r="W49" s="11" t="b">
        <f>OR(NOT(ISBLANK(Raw!AU49)),COUNTIF(Raw!AL49:AT49,"&gt;=0") = 9)</f>
        <v>0</v>
      </c>
      <c r="X49" s="11" t="str">
        <f>IF(W49, IF(COUNTIF(Raw!AL49:AT49,"&gt;=0") = 9, "Contingency", "Paper k"), "Not Included")</f>
        <v>Not Included</v>
      </c>
      <c r="Y49" s="11" t="str">
        <f>IF(W49,IF(COUNTIF(Raw!AL49:AT49,"&gt;=0") = 9,SUM(Raw!AL49:AT49),"No Contingency Table"),"Not Included")</f>
        <v>Not Included</v>
      </c>
      <c r="Z49" s="11" t="str">
        <f t="shared" si="5"/>
        <v>Not Included</v>
      </c>
      <c r="AA49" s="11" t="str">
        <f>IF(W49,IF(COUNTIF(Raw!AL49:AT49,"&gt;=0") = 9,SUM(Raw!AL49,Raw!AP49,Raw!AT49)/Y49,"No Contingency Table"), "Not Included")</f>
        <v>Not Included</v>
      </c>
      <c r="AB49" s="11" t="str">
        <f>IF(W49,IF(COUNTIF(Raw!AL49:AT49,"&gt;=0") = 9,SUM(SUM(Raw!AL49,Raw!AM49,Raw!AN49)*SUM(Raw!AL49,Raw!AO49,Raw!AR49),SUM(Raw!AO49,Raw!AP49,Raw!AQ49)*SUM(Raw!AM49,Raw!AP49,Raw!AS49),SUM(Raw!AR49,Raw!AS49,Raw!AT49)*SUM(Raw!AN49,Raw!AQ49,Raw!AT49))/Y49^2,"No Contingency Table"), "Not Included")</f>
        <v>Not Included</v>
      </c>
      <c r="AC49" s="11" t="str">
        <f>IF(W49,IF(COUNTIF(Raw!AL49:AT49,"&gt;=0") = 9,(AA49 - AB49) / (1 - AB49),"No Contingency Table"), "Not Included")</f>
        <v>Not Included</v>
      </c>
      <c r="AD49" s="11" t="str">
        <f>IF(W49, IF(NOT(ISBLANK(Raw!AU49)),Raw!AU49,"Not Reported"), "Not Included")</f>
        <v>Not Included</v>
      </c>
      <c r="AE49" s="11" t="str">
        <f t="shared" si="6"/>
        <v>Not Included</v>
      </c>
      <c r="AF49" s="11" t="str">
        <f t="shared" si="7"/>
        <v>Not Included</v>
      </c>
      <c r="AG49" s="11" t="b">
        <f>COUNTIF(Raw!AV49:BK49, "&gt;=0") = 16</f>
        <v>1</v>
      </c>
      <c r="AH49" s="11" t="str">
        <f>IF(AG49, IF(COUNTIF(Raw!AV49:BK49,"&gt;=0") = 16, "Contingency", "Paper k"), "Not Included")</f>
        <v>Contingency</v>
      </c>
      <c r="AI49" s="15">
        <f>IF(AG49,IF(COUNTIF(Raw!AV49:BK49,"&gt;=0") = 16,SUM(Raw!AV49:BK49),"No Contingency Table"),"Not Included")</f>
        <v>88</v>
      </c>
      <c r="AJ49" s="15">
        <f t="shared" si="8"/>
        <v>88</v>
      </c>
      <c r="AK49" s="11">
        <f>IF(AG49,IF(COUNTIF(Raw!AV49:BK49,"&gt;=0") = 16,SUM(Raw!AV49,Raw!BA49,Raw!BF49,Raw!BK49)/AI49,"No Contingency Table"), "Not Included")</f>
        <v>0.46590909090909088</v>
      </c>
      <c r="AL49" s="11">
        <f>IF(AG49,IF(COUNTIF(Raw!AV49:BK49,"&gt;=0") = 16,SUM(SUM(Raw!AV49,Raw!AW49,Raw!AX49,Raw!AY49)*SUM(Raw!AV49,Raw!AZ49,Raw!BD49,Raw!BH49),SUM(Raw!AZ49,Raw!BA49,Raw!BB49,Raw!BC49)*SUM(Raw!AW49,Raw!BA49,Raw!BE49,Raw!BI49),SUM(Raw!BD49,Raw!BE49,Raw!BF49,Raw!BG49)*SUM(Raw!AX49,Raw!BB49,Raw!BF49,Raw!BJ49),SUM(Raw!BH49,Raw!BI49,Raw!BJ49,Raw!BK49)*SUM(Raw!AY49,Raw!BC49,Raw!BG49,Raw!BK49))/AI49^2,"No Contingency Table"), "Not Included")</f>
        <v>0.42239152892561982</v>
      </c>
      <c r="AM49" s="11">
        <f>IF(AG49,IF(COUNTIF(Raw!AV49:BK49,"&gt;=0") = 16,(AK49 - AL49) / (1 - AL49),"No Contingency Table"), "Not Included")</f>
        <v>7.5340934495864056E-2</v>
      </c>
      <c r="AN49" s="32">
        <f>IF(NOT(ISBLANK(Raw!BL49)),Raw!BL49,"Not Reported")</f>
        <v>0.08</v>
      </c>
      <c r="AO49" s="11">
        <f t="shared" si="9"/>
        <v>7.5340934495864056E-2</v>
      </c>
      <c r="AP49" s="11">
        <f t="shared" si="10"/>
        <v>0</v>
      </c>
      <c r="AQ49" s="11" t="b">
        <f t="shared" ref="AQ49:AR49" si="207">BQ49</f>
        <v>1</v>
      </c>
      <c r="AR49" s="11" t="str">
        <f t="shared" si="207"/>
        <v>Contingency</v>
      </c>
      <c r="AS49" s="15">
        <f t="shared" si="12"/>
        <v>88</v>
      </c>
      <c r="AT49" s="15">
        <f t="shared" si="13"/>
        <v>88</v>
      </c>
      <c r="AU49" s="11">
        <f>IF(AQ49, IF(COUNTIF(Raw!AV49:BK49, "&gt;=0") = 16, IFERROR((AT49*Raw!BK49 - SUM(Raw!BH49, Raw!BI49, Raw!BJ49, Raw!BK49)*SUM(Raw!AY49, Raw!BC49, Raw!BG49, Raw!BK49)) / SQRT((AT49*SUM(Raw!BH49, Raw!BI49, Raw!BJ49, Raw!BK49) - SUM(Raw!BH49, Raw!BI49, Raw!BJ49, Raw!BK49)^2) * (AT49*SUM(Raw!AY49, Raw!BC49, Raw!BG49, Raw!BK49) - SUM(Raw!AY49, Raw!BC49, Raw!BG49, Raw!BK49)^2)), 0), "No Contingency Table"), "Not Included")</f>
        <v>0.20627304464133228</v>
      </c>
      <c r="AV49" s="11" t="str">
        <f>IF(AQ49,IF(NOT(ISBLANK(Raw!BQ49)), Raw!BQ49, IF(NOT(ISBLANK(Raw!BR49)), Raw!BR49, "Not Reported")), "Not Included")</f>
        <v>Not Reported</v>
      </c>
      <c r="AW49" s="57">
        <f t="shared" si="14"/>
        <v>0.20627304464133228</v>
      </c>
      <c r="AX49" s="11" t="str">
        <f t="shared" si="15"/>
        <v>NA</v>
      </c>
      <c r="AY49" s="11" t="b">
        <f t="shared" ref="AY49:AZ49" si="208">AQ49</f>
        <v>1</v>
      </c>
      <c r="AZ49" s="11" t="str">
        <f t="shared" si="208"/>
        <v>Contingency</v>
      </c>
      <c r="BA49" s="11">
        <f>IF(AY49, IF(COUNTIF(Raw!AV49:BK49, "&gt;=0") = 16, SUM(Raw!AV49,Raw!AW49,Raw!AX49,Raw!AZ49,Raw!BA49,Raw!BB49,Raw!BD49,Raw!BE49,Raw!BF49,Raw!BK49)/SUM(Raw!AV49:BK49), "No Contingency Table"), "Not Included")</f>
        <v>0.875</v>
      </c>
      <c r="BB49" s="11">
        <f>IF(AY49, IF(COUNTIF(Raw!AV49:BK49, "&gt;=0") = 16,SUM(SUM(Raw!BH49,Raw!BI49,Raw!BJ49,Raw!BK49)*SUM(Raw!AY49,Raw!BC49,Raw!BG49,Raw!BK49),SUM(Raw!AV49:BG49)*SUM(Raw!AV49,Raw!AW49,Raw!AX49,Raw!AZ49,Raw!BA49,Raw!BB49,Raw!BD49,Raw!BE49,Raw!BF49,Raw!BH49,Raw!BI49,Raw!BJ49))/AT49^2,"No Contingency Table"), "Not Included")</f>
        <v>0.84349173553719003</v>
      </c>
      <c r="BC49" s="11">
        <f>IF(AY49, IF(COUNTIF(Raw!AV49:BK49, "&gt;=0") = 16,(BA49-BB49) / (1 - BB49),"No Contingency Table"), "Not Included")</f>
        <v>0.20132013201320156</v>
      </c>
      <c r="BD49" s="11" t="str">
        <f>IF(AY49,IF(NOT(ISBLANK(Raw!BT70)),Raw!BT70,"Not Reported"),"Not Included")</f>
        <v>Not Reported</v>
      </c>
      <c r="BE49" s="11">
        <f t="shared" si="17"/>
        <v>0.20132013201320156</v>
      </c>
      <c r="BF49" s="11" t="str">
        <f t="shared" si="18"/>
        <v>NA</v>
      </c>
      <c r="BG49" s="11">
        <f>Raw!K49</f>
        <v>1996</v>
      </c>
      <c r="BH49" s="11" t="str">
        <f>IF(Raw!L49 = "USA","USA","Non-USA")</f>
        <v>Non-USA</v>
      </c>
      <c r="BI49" s="11" t="str">
        <f>Raw!M49</f>
        <v>Ainsworth/Cassidy-Marvin</v>
      </c>
      <c r="BJ49" s="11">
        <f>Raw!N49</f>
        <v>0</v>
      </c>
      <c r="BK49" s="11">
        <f>Raw!P49</f>
        <v>0</v>
      </c>
      <c r="BL49" s="11">
        <f>Raw!Q49</f>
        <v>0</v>
      </c>
      <c r="BM49" s="11">
        <f>Raw!T49</f>
        <v>0</v>
      </c>
      <c r="BN49" s="11">
        <f>IFERROR(IF(AND(ISBLANK(Raw!U49), ISBLANK(Raw!V49), ISBLANK(Raw!W49), ISBLANK(Raw!X49)), "NA", IF(OR(NOT(ISBLANK(Raw!U49)), NOT(ISBLANK(Raw!W49))), AVERAGE(Raw!U49,Raw!W49), AVERAGE(Raw!V49,Raw!X49) + IF(Raw!Y49 = "2-way", R49, IF(Raw!Y49 = "3-way", AB49, IF(Raw!Y49 = "4-way", AL49, "NA")))*(1 - AVERAGE(Raw!V49,Raw!X49)))), "NA")</f>
        <v>0.91</v>
      </c>
      <c r="BO49" s="11">
        <f>Raw!O49</f>
        <v>1</v>
      </c>
      <c r="BP49" s="11" t="str">
        <f>Raw!F49</f>
        <v>Female</v>
      </c>
      <c r="BQ49" s="11" t="b">
        <f>COUNTIF(Raw!AV49:BK49, "&gt;=0") = 16</f>
        <v>1</v>
      </c>
      <c r="BR49" s="11" t="str">
        <f t="shared" si="19"/>
        <v>Contingency</v>
      </c>
      <c r="BS49" s="15">
        <f t="shared" si="20"/>
        <v>88</v>
      </c>
      <c r="BT49" s="11">
        <f>IF(BQ49, IF(COUNTIF(Raw!AV49:BK49, "&gt;=0") = 16, IFERROR((BS49*Raw!AV49 - SUM(Raw!AV49, Raw!AW49, Raw!AX49, Raw!AY49)*SUM(Raw!AV49, Raw!AZ49, Raw!BD49, Raw!BH49)) / SQRT((BS49*SUM(Raw!AV49, Raw!AW49, Raw!AX49, Raw!AY49) - SUM(Raw!AV49, Raw!AW49, Raw!AX49, Raw!AY49)^2) * (BS49*SUM(Raw!AV49, Raw!AZ49, Raw!BD49, Raw!BH49) - SUM(Raw!AV49, Raw!AZ49, Raw!BD49, Raw!BH49)^2)), 0), "No Contingency Table"), "Not Included")</f>
        <v>8.3922027213813893E-2</v>
      </c>
      <c r="BU49" s="11">
        <f>IF(BQ49, IF(COUNTIF(Raw!AV49:BK49, "&gt;=0") = 16, SUM(Raw!BK49,Raw!BJ49,Raw!BI49,Raw!BG49,Raw!BF49,Raw!BE49,Raw!BC49,Raw!BB49,Raw!BA49,Raw!AV49)/SUM(Raw!AV49:BK49), "No Contingency Table"), "Not Included")</f>
        <v>0.64772727272727271</v>
      </c>
      <c r="BV49" s="11">
        <f>IF(BQ49, IF(COUNTIF(Raw!AV49:BK49, "&gt;=0") = 16,SUM(SUM(Raw!AV49,Raw!AW49,Raw!AX49,Raw!AY49)*SUM(Raw!AV49,Raw!AZ49,Raw!BD49,Raw!BH49),SUM(Raw!AZ49:BK49)*SUM(Raw!AW49,Raw!AX49,Raw!AY49,Raw!BA49,Raw!BB49,Raw!BC49,Raw!BE49,Raw!BF49,Raw!BG49,Raw!BI49,Raw!BJ49,Raw!BK49))/BS49^2,"No Contingency Table"), "Not Included")</f>
        <v>0.61621900826446285</v>
      </c>
      <c r="BW49" s="11">
        <f>IF(BQ49, IF(COUNTIF(Raw!AV49:BK49, "&gt;=0") = 16,(BU49-BV49) / (1 - BV49),"No Contingency Table"), "Not Included")</f>
        <v>8.2099596231493793E-2</v>
      </c>
      <c r="BX49" s="11" t="b">
        <f t="shared" ref="BX49:BZ49" si="209">BQ49</f>
        <v>1</v>
      </c>
      <c r="BY49" s="11" t="str">
        <f t="shared" si="209"/>
        <v>Contingency</v>
      </c>
      <c r="BZ49" s="15">
        <f t="shared" si="209"/>
        <v>88</v>
      </c>
      <c r="CA49" s="11">
        <f>IF(BX49, IF(COUNTIF(Raw!AV49:BK49, "&gt;=0") = 16, IFERROR((BZ49*Raw!BF49 - SUM(Raw!BD49, Raw!BE49, Raw!BF49, Raw!BG49)*SUM(Raw!BF49, Raw!AX49, Raw!BB49, Raw!BJ49)) / SQRT((BZ49*SUM(Raw!BD49, Raw!BE49, Raw!BF49, Raw!BG49) - SUM(Raw!BD49, Raw!BE49, Raw!BF49, Raw!BG49)^2) * (BZ49*SUM(Raw!BF49, Raw!AX49, Raw!BB49, Raw!BJ49) - SUM(Raw!BF49, Raw!AX49, Raw!BB49, Raw!BJ49)^2)), 0), "No Contingency Table"), "Not Included")</f>
        <v>-7.2152679936877462E-2</v>
      </c>
      <c r="CB49" s="11">
        <f>IF(BX49, IF(COUNTIF(Raw!AV49:BK49, "&gt;=0") = 16, SUM(Raw!AV49,Raw!AW49,Raw!AY49,Raw!AZ49,Raw!BA49,Raw!BC49,Raw!BF49,Raw!BH49,Raw!BI49,Raw!BK49) / SUM(Raw!AV49:BK49), "No Contingency Table"), "Not Included")</f>
        <v>0.86363636363636365</v>
      </c>
      <c r="CC49" s="11">
        <f>IF(BX49, IF(COUNTIF(Raw!AV49:BK49, "&gt;=0") = 16,SUM(SUM(Raw!BD49,Raw!BE49,Raw!BF49,Raw!BG49)*SUM(Raw!BF49,Raw!AX49,Raw!BB49,Raw!BJ49),SUM(Raw!AV49:BC49,Raw!BH49:BK49)*SUM(Raw!AV49,Raw!AW49,Raw!AY49,Raw!AZ49,Raw!BA49,Raw!BC49,Raw!BD49,Raw!BE49,Raw!BG49,Raw!BH49,Raw!BI49,Raw!BK49))/BZ49^2,"No Contingency Table"), "Not Included")</f>
        <v>0.87267561983471076</v>
      </c>
      <c r="CD49" s="11">
        <f>IF(BX49, IF(COUNTIF(Raw!AV49:BK49, "&gt;=0") = 16,(CB49 - CC49) / (1 - CC49+0.000001),"No Contingency Table"), "Not Included")</f>
        <v>-7.0993357228642667E-2</v>
      </c>
      <c r="CE49" s="11" t="b">
        <f t="shared" ref="CE49:CG49" si="210">BQ49</f>
        <v>1</v>
      </c>
      <c r="CF49" s="11" t="str">
        <f t="shared" si="210"/>
        <v>Contingency</v>
      </c>
      <c r="CG49" s="15">
        <f t="shared" si="210"/>
        <v>88</v>
      </c>
      <c r="CH49" s="11">
        <f>IF(CE49, IF(COUNTIF(Raw!AV49:BK49, "&gt;=0") = 16, IFERROR((CG49*Raw!BA49 - SUM(Raw!BA49, Raw!AZ49, Raw!BB49, Raw!BC49)*SUM(Raw!BA49, Raw!AW49, Raw!BE49, Raw!BI49)) / SQRT((CG49*SUM(Raw!BA49, Raw!AZ49, Raw!BB49, Raw!BC49) - SUM(Raw!BA49, Raw!AZ49, Raw!BB49, Raw!BC49)^2) * (CG49*SUM(Raw!BA49, Raw!AW49, Raw!BE49, Raw!BI49) - SUM(Raw!BA49, Raw!AW49, Raw!BE49, Raw!BI49)^2)), 0), "No Contingency Table"), "Not Included")</f>
        <v>6.9006555934235422E-2</v>
      </c>
      <c r="CI49" s="11">
        <f>IF(CE49, IF(COUNTIF(Raw!AV49:BK49, "&gt;=0") = 16, SUM(Raw!AV49,Raw!AX49,Raw!AY49,Raw!BA49,Raw!BD49,Raw!BF49,Raw!BG49,Raw!BH49,Raw!BJ49,Raw!BK49) / SUM(Raw!AV49:BK49), "No Contingency Table"), "Not Included")</f>
        <v>0.54545454545454541</v>
      </c>
      <c r="CJ49" s="61">
        <f>IF(BX49, IF(COUNTIF(Raw!AV49:BK49, "&gt;=0") = 16,SUM(SUM(Raw!AZ49,Raw!BA49,Raw!BB49,Raw!BC49)*SUM(Raw!BA49,Raw!AW49,Raw!BE49,Raw!BI49),SUM(Raw!AV49:AY49,Raw!BD49:BK49)*SUM(Raw!AV49,Raw!AX49,Raw!AY49,Raw!AZ49,Raw!BB49,Raw!BC49,Raw!BD49,Raw!BF49,Raw!BG49,Raw!BH49,Raw!BJ49,Raw!BK49))/CG49^2,"No Contingency Table"), "Not Included")</f>
        <v>0.51239669421487599</v>
      </c>
      <c r="CK49" s="11">
        <f>IF(BX49, IF(COUNTIF(Raw!AV49:BK49, "&gt;=0") = 16,(CI49 - CJ49) / (1 - CJ49),"No Contingency Table"), "Not Included")</f>
        <v>6.7796610169491525E-2</v>
      </c>
      <c r="CL49" s="11">
        <f>IF(BQ49, IFERROR(Raw!AV49/SUM(Raw!AV49:AY49), 0), "Not Included")</f>
        <v>0.26923076923076922</v>
      </c>
      <c r="CM49" s="11">
        <f>IF(BQ49, IFERROR(Raw!BA49/SUM(Raw!AZ49:BC49), 0), "Not Included")</f>
        <v>0.66666666666666663</v>
      </c>
      <c r="CN49" s="11">
        <f>IF(BQ49, IFERROR(Raw!BF49/SUM(Raw!BD49:BG49), 0), "Not Included")</f>
        <v>0</v>
      </c>
      <c r="CO49" s="11">
        <f>IF(BQ49, IFERROR(Raw!BK49/SUM(Raw!BH49:BK49), 0), "Not Included")</f>
        <v>0.22222222222222221</v>
      </c>
      <c r="CP49" s="11">
        <f>IF(BQ49, IFERROR(SUM(Raw!AV49,Raw!AX49,Raw!AY49,Raw!BD49,Raw!BF49,Raw!BG49,Raw!BH49,Raw!BJ49,Raw!BK49)/SUM(Raw!AV49,Raw!AW49,Raw!AX49,Raw!AY49,Raw!BD49,Raw!BE49,Raw!BF49,Raw!BG49,Raw!BH49,Raw!BI49,Raw!BJ49,Raw!BK49), 0), "Not Included")</f>
        <v>0.4</v>
      </c>
      <c r="CQ49" s="11">
        <f>IF(BQ49, IFERROR(SUM(Raw!AV49:AX49,Raw!AZ49:BB49,Raw!BD49:BF49)/SUM(Raw!AV49:BF49), 0), "Not Included")</f>
        <v>0.94936708860759489</v>
      </c>
      <c r="CR49" s="11">
        <f>IF(BQ49, IFERROR(SUM(Raw!AV49:AY49), 0), "Not Included")</f>
        <v>26</v>
      </c>
      <c r="CS49" s="11">
        <f>IF(BQ49, IFERROR(SUM(Raw!AZ49:BC49), 0), "Not Included")</f>
        <v>48</v>
      </c>
      <c r="CT49" s="11">
        <f>IF(BQ49, IFERROR(SUM(Raw!BD49:BG49), 0), "Not Included")</f>
        <v>5</v>
      </c>
      <c r="CU49" s="11">
        <f>IF(BQ49, IFERROR(SUM(Raw!BH49:BK49), 0), "Not Included")</f>
        <v>9</v>
      </c>
      <c r="CV49" s="11">
        <f>IF(BQ49, IFERROR(SUM(Raw!AV49,Raw!AW49,Raw!AX49,Raw!AY49,Raw!BD49,Raw!BE49,Raw!BF49,Raw!BG49,Raw!BH49,Raw!BI49,Raw!BJ49,Raw!BK49), 0), "Not Included")</f>
        <v>40</v>
      </c>
      <c r="CW49" s="11">
        <f>IF(BQ49, IFERROR(SUM(Raw!AV49:BF49), 0), "Not Included")</f>
        <v>79</v>
      </c>
      <c r="CX49" s="11">
        <f>IF(BQ49, IFERROR((CR49*SUM(Raw!AV49,Raw!AZ49,Raw!BD49,Raw!BH49))/BS49/CR49, 0), "Not Included")</f>
        <v>0.21590909090909088</v>
      </c>
      <c r="CY49" s="11">
        <f>IF(BX49, IFERROR((CS49*SUM(Raw!BA49,Raw!AW49,Raw!BE49,Raw!BI49))/CG49/CS49, 0), "Not Included")</f>
        <v>0.63636363636363635</v>
      </c>
      <c r="CZ49" s="11">
        <f>IF(BX49, IFERROR((CT49*SUM(Raw!BF49,Raw!AX49,Raw!BB49,Raw!BJ49))/BZ49/CT49, 0), "Not Included")</f>
        <v>7.9545454545454544E-2</v>
      </c>
      <c r="DA49" s="11">
        <f>IF(AY49, IFERROR((CU49*SUM(Raw!AY49,Raw!BC49,Raw!BG49,Raw!BK49))/AT49/CU49, 0), "Not Included")</f>
        <v>6.8181818181818177E-2</v>
      </c>
      <c r="DB49" s="11">
        <f>IF(BX49, IFERROR((CV49*SUM(Raw!AV49,Raw!AX49,Raw!AY49,Raw!AZ49,Raw!BB49,Raw!BC49,Raw!BD49,Raw!BF49,Raw!BG49,Raw!BH49,Raw!BJ49,Raw!BK49))/CG49/CV49,0), "Not Included")</f>
        <v>0.36363636363636365</v>
      </c>
      <c r="DC49" s="11">
        <f>IF(AY49, IFERROR((CW49*SUM(Raw!AV49,Raw!AW49,Raw!AX49,Raw!AZ49,Raw!BA49,Raw!BB49,Raw!BD49,Raw!BE49,Raw!BF49,Raw!BH49,Raw!BI49,Raw!BJ49))/AT49/CW49,0), "Not Included")</f>
        <v>0.93181818181818177</v>
      </c>
    </row>
    <row r="50" spans="1:107" ht="12.75" customHeight="1">
      <c r="A50" s="11">
        <f>Raw!D50</f>
        <v>32</v>
      </c>
      <c r="B50" s="11" t="str">
        <f>Raw!A50</f>
        <v>Steele, Steele &amp; Fonagy (1996)</v>
      </c>
      <c r="C50" s="11">
        <f>Raw!G50</f>
        <v>1</v>
      </c>
      <c r="D50" s="11" t="str">
        <f>Raw!E50</f>
        <v>Father-child</v>
      </c>
      <c r="E50" s="11" t="str">
        <f>CONCATENATE(IF(Raw!I50&lt;='Interval Definitions'!$B$2, 'Interval Definitions'!$A$2, IF(Raw!I50&lt;='Interval Definitions'!$B$3, 'Interval Definitions'!$A$3, IF(Raw!I50&lt;='Interval Definitions'!$B$4, 'Interval Definitions'!$A$4, IF(Raw!I50&lt;='Interval Definitions'!$B$5, 'Interval Definitions'!$A$5, "None")))), " - ", IF(Raw!J50&lt;='Interval Definitions'!$B$2, 'Interval Definitions'!$A$2, IF(Raw!J50&lt;='Interval Definitions'!$B$3, 'Interval Definitions'!$A$3, IF(Raw!J50&lt;='Interval Definitions'!$B$4, 'Interval Definitions'!$A$4, IF(Raw!J50&lt;='Interval Definitions'!$B$5, 'Interval Definitions'!$A$5, "None")))))</f>
        <v>Infancy - Preschool</v>
      </c>
      <c r="F50" s="11" t="b">
        <f>OR(NOT(ISBLANK(Raw!AF50)),NOT(ISBLANK(Raw!AG50)),NOT(ISBLANK(Raw!AH50)),NOT(ISBLANK(Raw!AI50)),COUNTIF(Raw!AA50:AD50, "&gt;=0") = 4)</f>
        <v>1</v>
      </c>
      <c r="G50" s="11" t="str">
        <f>IF(F50, IF(COUNTIF(Raw!AA50:AD50,"&gt;=0") = 4, "Contingency", IF(NOT(ISBLANK(Raw!AF50)), "Paper r", IF(NOT(ISBLANK(Raw!AG50)), "Pinquart", IF(NOT(ISBLANK(Raw!AH50)), "Fraley", "Paper chiSq")))), "Not Included")</f>
        <v>Contingency</v>
      </c>
      <c r="H50" s="15">
        <f>IF(F50,Raw!AE50,"Not Included")</f>
        <v>68</v>
      </c>
      <c r="I50" s="15">
        <f>IF(COUNTIF(Raw!AA50:AD50,"&gt;=0") = 4, SUM(Raw!AA50:AD50), "No Contingency Table")</f>
        <v>68</v>
      </c>
      <c r="J50" s="15">
        <f t="shared" si="0"/>
        <v>68</v>
      </c>
      <c r="K50" s="38">
        <f>IF(F50, IF(COUNTIF(Raw!AA50:AD50,"&gt;=0") = 4, IFERROR((I50*Raw!AA50 - SUM(Raw!AA50,Raw!AB50)*SUM(Raw!AA50,Raw!AD50)) / SQRT((I50*SUM(Raw!AA50,Raw!AB50) - SUM(Raw!AA50,Raw!AB50)^2) * (I50*SUM(Raw!AA50,Raw!AD50) - SUM(Raw!AA50,Raw!AD50)^2)), 0), "No Contingency Table"), "Not Included")</f>
        <v>0.27859304643013594</v>
      </c>
      <c r="L50" s="41" t="str">
        <f>IF(F50,IF(NOT(ISBLANK(Raw!AF50)), Raw!AF50, IF(NOT(ISBLANK(Raw!AG50)), Raw!AG50, IF(NOT(ISBLANK(Raw!AH50)), Raw!AH50, IF(NOT(ISBLANK(Raw!AI50)), SQRT(Raw!AI50/H50)*Raw!AJ50, "Not Reported")))),"Not Included")</f>
        <v>Not Reported</v>
      </c>
      <c r="M50" s="43">
        <f t="shared" si="1"/>
        <v>0.27859304643013594</v>
      </c>
      <c r="N50" s="11" t="str">
        <f t="shared" si="2"/>
        <v>NA</v>
      </c>
      <c r="O50" s="48" t="b">
        <f>OR(NOT(ISBLANK(Raw!AK50)), COUNTIF(Raw!AA50:AD50, "&gt;=0") = 4)</f>
        <v>1</v>
      </c>
      <c r="P50" s="24" t="str">
        <f>IF(O50,IF(COUNTIF(Raw!AA50:AD50,"&gt;=0") = 4,"Contingency", "Paper k"), "Not Included")</f>
        <v>Contingency</v>
      </c>
      <c r="Q50" s="48">
        <f>IF(O50, IF(COUNTIF(Raw!AA50:AD50,"&gt;=0") = 4,SUM(Raw!AA50,Raw!AC50)/H50,"No Contingency Table"), "Not Included")</f>
        <v>0.67647058823529416</v>
      </c>
      <c r="R50" s="38">
        <f>IF(O50, IF(COUNTIF(Raw!AA50:AD50, "&gt;=0") = 4,SUM(SUM(Raw!AA50,Raw!AB50)*SUM(Raw!AA50,Raw!AD50),SUM(Raw!AC50,Raw!AD50)*SUM(Raw!AC50,Raw!AB50))/H50^2,"No Contingency Table"), "Not Included")</f>
        <v>0.55190311418685123</v>
      </c>
      <c r="S50" s="38">
        <f>IF(O50, IF(COUNTIF(Raw!AA50:AD50,"&gt;=0") = 4, IFERROR((Q50 - R50) / (1 - R50), "Could not calculate"), "No Contingency Table"), "Not Included")</f>
        <v>0.27799227799227805</v>
      </c>
      <c r="T50" s="52" t="str">
        <f>IF(O50,IF(NOT(ISBLANK(Raw!AK50)), Raw!AK50, "Not Reported"), "Not Included")</f>
        <v>Not Reported</v>
      </c>
      <c r="U50" s="38">
        <f t="shared" si="3"/>
        <v>0.27799227799227805</v>
      </c>
      <c r="V50" s="11" t="str">
        <f t="shared" si="4"/>
        <v>NA</v>
      </c>
      <c r="W50" s="11" t="b">
        <f>OR(NOT(ISBLANK(Raw!AU50)),COUNTIF(Raw!AL50:AT50,"&gt;=0") = 9)</f>
        <v>0</v>
      </c>
      <c r="X50" s="11" t="str">
        <f>IF(W50, IF(COUNTIF(Raw!AL50:AT50,"&gt;=0") = 9, "Contingency", "Paper k"), "Not Included")</f>
        <v>Not Included</v>
      </c>
      <c r="Y50" s="11" t="str">
        <f>IF(W50,IF(COUNTIF(Raw!AL50:AT50,"&gt;=0") = 9,SUM(Raw!AL50:AT50),"No Contingency Table"),"Not Included")</f>
        <v>Not Included</v>
      </c>
      <c r="Z50" s="11" t="str">
        <f t="shared" si="5"/>
        <v>Not Included</v>
      </c>
      <c r="AA50" s="11" t="str">
        <f>IF(W50,IF(COUNTIF(Raw!AL50:AT50,"&gt;=0") = 9,SUM(Raw!AL50,Raw!AP50,Raw!AT50)/Y50,"No Contingency Table"), "Not Included")</f>
        <v>Not Included</v>
      </c>
      <c r="AB50" s="11" t="str">
        <f>IF(W50,IF(COUNTIF(Raw!AL50:AT50,"&gt;=0") = 9,SUM(SUM(Raw!AL50,Raw!AM50,Raw!AN50)*SUM(Raw!AL50,Raw!AO50,Raw!AR50),SUM(Raw!AO50,Raw!AP50,Raw!AQ50)*SUM(Raw!AM50,Raw!AP50,Raw!AS50),SUM(Raw!AR50,Raw!AS50,Raw!AT50)*SUM(Raw!AN50,Raw!AQ50,Raw!AT50))/Y50^2,"No Contingency Table"), "Not Included")</f>
        <v>Not Included</v>
      </c>
      <c r="AC50" s="11" t="str">
        <f>IF(W50,IF(COUNTIF(Raw!AL50:AT50,"&gt;=0") = 9,(AA50 - AB50) / (1 - AB50),"No Contingency Table"), "Not Included")</f>
        <v>Not Included</v>
      </c>
      <c r="AD50" s="11" t="str">
        <f>IF(W50, IF(NOT(ISBLANK(Raw!AU50)),Raw!AU50,"Not Reported"), "Not Included")</f>
        <v>Not Included</v>
      </c>
      <c r="AE50" s="11" t="str">
        <f t="shared" si="6"/>
        <v>Not Included</v>
      </c>
      <c r="AF50" s="11" t="str">
        <f t="shared" si="7"/>
        <v>Not Included</v>
      </c>
      <c r="AG50" s="11" t="b">
        <f>COUNTIF(Raw!AV50:BK50, "&gt;=0") = 16</f>
        <v>1</v>
      </c>
      <c r="AH50" s="11" t="str">
        <f>IF(AG50, IF(COUNTIF(Raw!AV50:BK50,"&gt;=0") = 16, "Contingency", "Paper k"), "Not Included")</f>
        <v>Contingency</v>
      </c>
      <c r="AI50" s="15">
        <f>IF(AG50,IF(COUNTIF(Raw!AV50:BK50,"&gt;=0") = 16,SUM(Raw!AV50:BK50),"No Contingency Table"),"Not Included")</f>
        <v>68</v>
      </c>
      <c r="AJ50" s="15">
        <f t="shared" si="8"/>
        <v>68</v>
      </c>
      <c r="AK50" s="11">
        <f>IF(AG50,IF(COUNTIF(Raw!AV50:BK50,"&gt;=0") = 16,SUM(Raw!AV50,Raw!BA50,Raw!BF50,Raw!BK50)/AI50,"No Contingency Table"), "Not Included")</f>
        <v>0.63235294117647056</v>
      </c>
      <c r="AL50" s="11">
        <f>IF(AG50,IF(COUNTIF(Raw!AV50:BK50,"&gt;=0") = 16,SUM(SUM(Raw!AV50,Raw!AW50,Raw!AX50,Raw!AY50)*SUM(Raw!AV50,Raw!AZ50,Raw!BD50,Raw!BH50),SUM(Raw!AZ50,Raw!BA50,Raw!BB50,Raw!BC50)*SUM(Raw!AW50,Raw!BA50,Raw!BE50,Raw!BI50),SUM(Raw!BD50,Raw!BE50,Raw!BF50,Raw!BG50)*SUM(Raw!AX50,Raw!BB50,Raw!BF50,Raw!BJ50),SUM(Raw!BH50,Raw!BI50,Raw!BJ50,Raw!BK50)*SUM(Raw!AY50,Raw!BC50,Raw!BG50,Raw!BK50))/AI50^2,"No Contingency Table"), "Not Included")</f>
        <v>0.51946366782006925</v>
      </c>
      <c r="AM50" s="11">
        <f>IF(AG50,IF(COUNTIF(Raw!AV50:BK50,"&gt;=0") = 16,(AK50 - AL50) / (1 - AL50),"No Contingency Table"), "Not Included")</f>
        <v>0.23492349234923479</v>
      </c>
      <c r="AN50" s="32">
        <f>IF(NOT(ISBLANK(Raw!BL50)),Raw!BL50,"Not Reported")</f>
        <v>0.24</v>
      </c>
      <c r="AO50" s="11">
        <f t="shared" si="9"/>
        <v>0.23492349234923479</v>
      </c>
      <c r="AP50" s="11">
        <f t="shared" si="10"/>
        <v>1</v>
      </c>
      <c r="AQ50" s="11" t="b">
        <f t="shared" ref="AQ50:AR50" si="211">BQ50</f>
        <v>1</v>
      </c>
      <c r="AR50" s="11" t="str">
        <f t="shared" si="211"/>
        <v>Contingency</v>
      </c>
      <c r="AS50" s="15">
        <f t="shared" si="12"/>
        <v>68</v>
      </c>
      <c r="AT50" s="15">
        <f t="shared" si="13"/>
        <v>68</v>
      </c>
      <c r="AU50" s="11">
        <f>IF(AQ50, IF(COUNTIF(Raw!AV50:BK50, "&gt;=0") = 16, IFERROR((AT50*Raw!BK50 - SUM(Raw!BH50, Raw!BI50, Raw!BJ50, Raw!BK50)*SUM(Raw!AY50, Raw!BC50, Raw!BG50, Raw!BK50)) / SQRT((AT50*SUM(Raw!BH50, Raw!BI50, Raw!BJ50, Raw!BK50) - SUM(Raw!BH50, Raw!BI50, Raw!BJ50, Raw!BK50)^2) * (AT50*SUM(Raw!AY50, Raw!BC50, Raw!BG50, Raw!BK50) - SUM(Raw!AY50, Raw!BC50, Raw!BG50, Raw!BK50)^2)), 0), "No Contingency Table"), "Not Included")</f>
        <v>0</v>
      </c>
      <c r="AV50" s="11" t="str">
        <f>IF(AQ50,IF(NOT(ISBLANK(Raw!BQ50)), Raw!BQ50, IF(NOT(ISBLANK(Raw!BR50)), Raw!BR50, "Not Reported")), "Not Included")</f>
        <v>Not Reported</v>
      </c>
      <c r="AW50" s="57">
        <f t="shared" si="14"/>
        <v>0</v>
      </c>
      <c r="AX50" s="11" t="str">
        <f t="shared" si="15"/>
        <v>NA</v>
      </c>
      <c r="AY50" s="11" t="b">
        <f t="shared" ref="AY50:AZ50" si="212">AQ50</f>
        <v>1</v>
      </c>
      <c r="AZ50" s="11" t="str">
        <f t="shared" si="212"/>
        <v>Contingency</v>
      </c>
      <c r="BA50" s="11">
        <f>IF(AY50, IF(COUNTIF(Raw!AV50:BK50, "&gt;=0") = 16, SUM(Raw!AV50,Raw!AW50,Raw!AX50,Raw!AZ50,Raw!BA50,Raw!BB50,Raw!BD50,Raw!BE50,Raw!BF50,Raw!BK50)/SUM(Raw!AV50:BK50), "No Contingency Table"), "Not Included")</f>
        <v>0.94117647058823528</v>
      </c>
      <c r="BB50" s="11">
        <f>IF(AY50, IF(COUNTIF(Raw!AV50:BK50, "&gt;=0") = 16,SUM(SUM(Raw!BH50,Raw!BI50,Raw!BJ50,Raw!BK50)*SUM(Raw!AY50,Raw!BC50,Raw!BG50,Raw!BK50),SUM(Raw!AV50:BG50)*SUM(Raw!AV50,Raw!AW50,Raw!AX50,Raw!AZ50,Raw!BA50,Raw!BB50,Raw!BD50,Raw!BE50,Raw!BF50,Raw!BH50,Raw!BI50,Raw!BJ50))/AT50^2,"No Contingency Table"), "Not Included")</f>
        <v>0.94117647058823528</v>
      </c>
      <c r="BC50" s="11">
        <f>IF(AY50, IF(COUNTIF(Raw!AV50:BK50, "&gt;=0") = 16,(BA50-BB50) / (1 - BB50),"No Contingency Table"), "Not Included")</f>
        <v>0</v>
      </c>
      <c r="BD50" s="11" t="str">
        <f>IF(AY50,IF(NOT(ISBLANK(Raw!BT71)),Raw!BT71,"Not Reported"),"Not Included")</f>
        <v>Not Reported</v>
      </c>
      <c r="BE50" s="11">
        <f t="shared" si="17"/>
        <v>0</v>
      </c>
      <c r="BF50" s="11" t="str">
        <f t="shared" si="18"/>
        <v>NA</v>
      </c>
      <c r="BG50" s="11">
        <f>Raw!K50</f>
        <v>1996</v>
      </c>
      <c r="BH50" s="11" t="str">
        <f>IF(Raw!L50 = "USA","USA","Non-USA")</f>
        <v>Non-USA</v>
      </c>
      <c r="BI50" s="11" t="str">
        <f>Raw!M50</f>
        <v>Ainsworth/Cassidy-Marvin</v>
      </c>
      <c r="BJ50" s="11">
        <f>Raw!N50</f>
        <v>0</v>
      </c>
      <c r="BK50" s="11">
        <f>Raw!P50</f>
        <v>0</v>
      </c>
      <c r="BL50" s="11">
        <f>Raw!Q50</f>
        <v>0</v>
      </c>
      <c r="BM50" s="11">
        <f>Raw!T50</f>
        <v>0</v>
      </c>
      <c r="BN50" s="11">
        <f>IFERROR(IF(AND(ISBLANK(Raw!U50), ISBLANK(Raw!V50), ISBLANK(Raw!W50), ISBLANK(Raw!X50)), "NA", IF(OR(NOT(ISBLANK(Raw!U50)), NOT(ISBLANK(Raw!W50))), AVERAGE(Raw!U50,Raw!W50), AVERAGE(Raw!V50,Raw!X50) + IF(Raw!Y50 = "2-way", R50, IF(Raw!Y50 = "3-way", AB50, IF(Raw!Y50 = "4-way", AL50, "NA")))*(1 - AVERAGE(Raw!V50,Raw!X50)))), "NA")</f>
        <v>0.91</v>
      </c>
      <c r="BO50" s="11">
        <f>Raw!O50</f>
        <v>1</v>
      </c>
      <c r="BP50" s="11" t="str">
        <f>Raw!F50</f>
        <v>Male</v>
      </c>
      <c r="BQ50" s="11" t="b">
        <f>COUNTIF(Raw!AV50:BK50, "&gt;=0") = 16</f>
        <v>1</v>
      </c>
      <c r="BR50" s="11" t="str">
        <f t="shared" si="19"/>
        <v>Contingency</v>
      </c>
      <c r="BS50" s="15">
        <f t="shared" si="20"/>
        <v>68</v>
      </c>
      <c r="BT50" s="11">
        <f>IF(BQ50, IF(COUNTIF(Raw!AV50:BK50, "&gt;=0") = 16, IFERROR((BS50*Raw!AV50 - SUM(Raw!AV50, Raw!AW50, Raw!AX50, Raw!AY50)*SUM(Raw!AV50, Raw!AZ50, Raw!BD50, Raw!BH50)) / SQRT((BS50*SUM(Raw!AV50, Raw!AW50, Raw!AX50, Raw!AY50) - SUM(Raw!AV50, Raw!AW50, Raw!AX50, Raw!AY50)^2) * (BS50*SUM(Raw!AV50, Raw!AZ50, Raw!BD50, Raw!BH50) - SUM(Raw!AV50, Raw!AZ50, Raw!BD50, Raw!BH50)^2)), 0), "No Contingency Table"), "Not Included")</f>
        <v>0.24827673549089982</v>
      </c>
      <c r="BU50" s="11">
        <f>IF(BQ50, IF(COUNTIF(Raw!AV50:BK50, "&gt;=0") = 16, SUM(Raw!BK50,Raw!BJ50,Raw!BI50,Raw!BG50,Raw!BF50,Raw!BE50,Raw!BC50,Raw!BB50,Raw!BA50,Raw!AV50)/SUM(Raw!AV50:BK50), "No Contingency Table"), "Not Included")</f>
        <v>0.69117647058823528</v>
      </c>
      <c r="BV50" s="11">
        <f>IF(BQ50, IF(COUNTIF(Raw!AV50:BK50, "&gt;=0") = 16,SUM(SUM(Raw!AV50,Raw!AW50,Raw!AX50,Raw!AY50)*SUM(Raw!AV50,Raw!AZ50,Raw!BD50,Raw!BH50),SUM(Raw!AZ50:BK50)*SUM(Raw!AW50,Raw!AX50,Raw!AY50,Raw!BA50,Raw!BB50,Raw!BC50,Raw!BE50,Raw!BF50,Raw!BG50,Raw!BI50,Raw!BJ50,Raw!BK50))/BS50^2,"No Contingency Table"), "Not Included")</f>
        <v>0.58996539792387548</v>
      </c>
      <c r="BW50" s="11">
        <f>IF(BQ50, IF(COUNTIF(Raw!AV50:BK50, "&gt;=0") = 16,(BU50-BV50) / (1 - BV50),"No Contingency Table"), "Not Included")</f>
        <v>0.24683544303797456</v>
      </c>
      <c r="BX50" s="11" t="b">
        <f t="shared" ref="BX50:BZ50" si="213">BQ50</f>
        <v>1</v>
      </c>
      <c r="BY50" s="11" t="str">
        <f t="shared" si="213"/>
        <v>Contingency</v>
      </c>
      <c r="BZ50" s="15">
        <f t="shared" si="213"/>
        <v>68</v>
      </c>
      <c r="CA50" s="11">
        <f>IF(BX50, IF(COUNTIF(Raw!AV50:BK50, "&gt;=0") = 16, IFERROR((BZ50*Raw!BF50 - SUM(Raw!BD50, Raw!BE50, Raw!BF50, Raw!BG50)*SUM(Raw!BF50, Raw!AX50, Raw!BB50, Raw!BJ50)) / SQRT((BZ50*SUM(Raw!BD50, Raw!BE50, Raw!BF50, Raw!BG50) - SUM(Raw!BD50, Raw!BE50, Raw!BF50, Raw!BG50)^2) * (BZ50*SUM(Raw!BF50, Raw!AX50, Raw!BB50, Raw!BJ50) - SUM(Raw!BF50, Raw!AX50, Raw!BB50, Raw!BJ50)^2)), 0), "No Contingency Table"), "Not Included")</f>
        <v>0</v>
      </c>
      <c r="CB50" s="11">
        <f>IF(BX50, IF(COUNTIF(Raw!AV50:BK50, "&gt;=0") = 16, SUM(Raw!AV50,Raw!AW50,Raw!AY50,Raw!AZ50,Raw!BA50,Raw!BC50,Raw!BF50,Raw!BH50,Raw!BI50,Raw!BK50) / SUM(Raw!AV50:BK50), "No Contingency Table"), "Not Included")</f>
        <v>0.95588235294117652</v>
      </c>
      <c r="CC50" s="11">
        <f>IF(BX50, IF(COUNTIF(Raw!AV50:BK50, "&gt;=0") = 16,SUM(SUM(Raw!BD50,Raw!BE50,Raw!BF50,Raw!BG50)*SUM(Raw!BF50,Raw!AX50,Raw!BB50,Raw!BJ50),SUM(Raw!AV50:BC50,Raw!BH50:BK50)*SUM(Raw!AV50,Raw!AW50,Raw!AY50,Raw!AZ50,Raw!BA50,Raw!BC50,Raw!BD50,Raw!BE50,Raw!BG50,Raw!BH50,Raw!BI50,Raw!BK50))/BZ50^2,"No Contingency Table"), "Not Included")</f>
        <v>0.95588235294117652</v>
      </c>
      <c r="CD50" s="11">
        <f>IF(BX50, IF(COUNTIF(Raw!AV50:BK50, "&gt;=0") = 16,(CB50 - CC50) / (1 - CC50+0.000001),"No Contingency Table"), "Not Included")</f>
        <v>0</v>
      </c>
      <c r="CE50" s="11" t="b">
        <f t="shared" ref="CE50:CG50" si="214">BQ50</f>
        <v>1</v>
      </c>
      <c r="CF50" s="11" t="str">
        <f t="shared" si="214"/>
        <v>Contingency</v>
      </c>
      <c r="CG50" s="15">
        <f t="shared" si="214"/>
        <v>68</v>
      </c>
      <c r="CH50" s="11">
        <f>IF(CE50, IF(COUNTIF(Raw!AV50:BK50, "&gt;=0") = 16, IFERROR((CG50*Raw!BA50 - SUM(Raw!BA50, Raw!AZ50, Raw!BB50, Raw!BC50)*SUM(Raw!BA50, Raw!AW50, Raw!BE50, Raw!BI50)) / SQRT((CG50*SUM(Raw!BA50, Raw!AZ50, Raw!BB50, Raw!BC50) - SUM(Raw!BA50, Raw!AZ50, Raw!BB50, Raw!BC50)^2) * (CG50*SUM(Raw!BA50, Raw!AW50, Raw!BE50, Raw!BI50) - SUM(Raw!BA50, Raw!AW50, Raw!BE50, Raw!BI50)^2)), 0), "No Contingency Table"), "Not Included")</f>
        <v>0.27859304643013594</v>
      </c>
      <c r="CI50" s="11">
        <f>IF(CE50, IF(COUNTIF(Raw!AV50:BK50, "&gt;=0") = 16, SUM(Raw!AV50,Raw!AX50,Raw!AY50,Raw!BA50,Raw!BD50,Raw!BF50,Raw!BG50,Raw!BH50,Raw!BJ50,Raw!BK50) / SUM(Raw!AV50:BK50), "No Contingency Table"), "Not Included")</f>
        <v>0.67647058823529416</v>
      </c>
      <c r="CJ50" s="61">
        <f>IF(BX50, IF(COUNTIF(Raw!AV50:BK50, "&gt;=0") = 16,SUM(SUM(Raw!AZ50,Raw!BA50,Raw!BB50,Raw!BC50)*SUM(Raw!BA50,Raw!AW50,Raw!BE50,Raw!BI50),SUM(Raw!AV50:AY50,Raw!BD50:BK50)*SUM(Raw!AV50,Raw!AX50,Raw!AY50,Raw!AZ50,Raw!BB50,Raw!BC50,Raw!BD50,Raw!BF50,Raw!BG50,Raw!BH50,Raw!BJ50,Raw!BK50))/CG50^2,"No Contingency Table"), "Not Included")</f>
        <v>0.55190311418685123</v>
      </c>
      <c r="CK50" s="11">
        <f>IF(BX50, IF(COUNTIF(Raw!AV50:BK50, "&gt;=0") = 16,(CI50 - CJ50) / (1 - CJ50),"No Contingency Table"), "Not Included")</f>
        <v>0.27799227799227805</v>
      </c>
      <c r="CL50" s="11">
        <f>IF(BQ50, IFERROR(Raw!AV50/SUM(Raw!AV50:AY50), 0), "Not Included")</f>
        <v>0.5</v>
      </c>
      <c r="CM50" s="11">
        <f>IF(BQ50, IFERROR(Raw!BA50/SUM(Raw!AZ50:BC50), 0), "Not Included")</f>
        <v>0.73913043478260865</v>
      </c>
      <c r="CN50" s="11">
        <f>IF(BQ50, IFERROR(Raw!BF50/SUM(Raw!BD50:BG50), 0), "Not Included")</f>
        <v>0</v>
      </c>
      <c r="CO50" s="11">
        <f>IF(BQ50, IFERROR(Raw!BK50/SUM(Raw!BH50:BK50), 0), "Not Included")</f>
        <v>0</v>
      </c>
      <c r="CP50" s="11">
        <f>IF(BQ50, IFERROR(SUM(Raw!AV50,Raw!AX50,Raw!AY50,Raw!BD50,Raw!BF50,Raw!BG50,Raw!BH50,Raw!BJ50,Raw!BK50)/SUM(Raw!AV50,Raw!AW50,Raw!AX50,Raw!AY50,Raw!BD50,Raw!BE50,Raw!BF50,Raw!BG50,Raw!BH50,Raw!BI50,Raw!BJ50,Raw!BK50), 0), "Not Included")</f>
        <v>0.54545454545454541</v>
      </c>
      <c r="CQ50" s="11">
        <f>IF(BQ50, IFERROR(SUM(Raw!AV50:AX50,Raw!AZ50:BB50,Raw!BD50:BF50)/SUM(Raw!AV50:BF50), 0), "Not Included")</f>
        <v>1</v>
      </c>
      <c r="CR50" s="11">
        <f>IF(BQ50, IFERROR(SUM(Raw!AV50:AY50), 0), "Not Included")</f>
        <v>18</v>
      </c>
      <c r="CS50" s="11">
        <f>IF(BQ50, IFERROR(SUM(Raw!AZ50:BC50), 0), "Not Included")</f>
        <v>46</v>
      </c>
      <c r="CT50" s="11">
        <f>IF(BQ50, IFERROR(SUM(Raw!BD50:BG50), 0), "Not Included")</f>
        <v>0</v>
      </c>
      <c r="CU50" s="11">
        <f>IF(BQ50, IFERROR(SUM(Raw!BH50:BK50), 0), "Not Included")</f>
        <v>4</v>
      </c>
      <c r="CV50" s="11">
        <f>IF(BQ50, IFERROR(SUM(Raw!AV50,Raw!AW50,Raw!AX50,Raw!AY50,Raw!BD50,Raw!BE50,Raw!BF50,Raw!BG50,Raw!BH50,Raw!BI50,Raw!BJ50,Raw!BK50), 0), "Not Included")</f>
        <v>22</v>
      </c>
      <c r="CW50" s="11">
        <f>IF(BQ50, IFERROR(SUM(Raw!AV50:BF50), 0), "Not Included")</f>
        <v>64</v>
      </c>
      <c r="CX50" s="11">
        <f>IF(BQ50, IFERROR((CR50*SUM(Raw!AV50,Raw!AZ50,Raw!BD50,Raw!BH50))/BS50/CR50, 0), "Not Included")</f>
        <v>0.30882352941176472</v>
      </c>
      <c r="CY50" s="11">
        <f>IF(BX50, IFERROR((CS50*SUM(Raw!BA50,Raw!AW50,Raw!BE50,Raw!BI50))/CG50/CS50, 0), "Not Included")</f>
        <v>0.6470588235294118</v>
      </c>
      <c r="CZ50" s="11">
        <f>IF(BX50, IFERROR((CT50*SUM(Raw!BF50,Raw!AX50,Raw!BB50,Raw!BJ50))/BZ50/CT50, 0), "Not Included")</f>
        <v>0</v>
      </c>
      <c r="DA50" s="11">
        <f>IF(AY50, IFERROR((CU50*SUM(Raw!AY50,Raw!BC50,Raw!BG50,Raw!BK50))/AT50/CU50, 0), "Not Included")</f>
        <v>0</v>
      </c>
      <c r="DB50" s="11">
        <f>IF(BX50, IFERROR((CV50*SUM(Raw!AV50,Raw!AX50,Raw!AY50,Raw!AZ50,Raw!BB50,Raw!BC50,Raw!BD50,Raw!BF50,Raw!BG50,Raw!BH50,Raw!BJ50,Raw!BK50))/CG50/CV50,0), "Not Included")</f>
        <v>0.35294117647058826</v>
      </c>
      <c r="DC50" s="11">
        <f>IF(AY50, IFERROR((CW50*SUM(Raw!AV50,Raw!AW50,Raw!AX50,Raw!AZ50,Raw!BA50,Raw!BB50,Raw!BD50,Raw!BE50,Raw!BF50,Raw!BH50,Raw!BI50,Raw!BJ50))/AT50/CW50,0), "Not Included")</f>
        <v>1</v>
      </c>
    </row>
    <row r="51" spans="1:107" ht="12.75" customHeight="1">
      <c r="A51" s="11">
        <f>Raw!D51</f>
        <v>33</v>
      </c>
      <c r="B51" s="11" t="str">
        <f>Raw!A51</f>
        <v>Stevenson-Hinde &amp; Shouldice (1990)</v>
      </c>
      <c r="C51" s="11">
        <f>Raw!G51</f>
        <v>1</v>
      </c>
      <c r="D51" s="11" t="str">
        <f>Raw!E51</f>
        <v>Single sample</v>
      </c>
      <c r="E51" s="11" t="str">
        <f>CONCATENATE(IF(Raw!I51&lt;='Interval Definitions'!$B$2, 'Interval Definitions'!$A$2, IF(Raw!I51&lt;='Interval Definitions'!$B$3, 'Interval Definitions'!$A$3, IF(Raw!I51&lt;='Interval Definitions'!$B$4, 'Interval Definitions'!$A$4, IF(Raw!I51&lt;='Interval Definitions'!$B$5, 'Interval Definitions'!$A$5, "None")))), " - ", IF(Raw!J51&lt;='Interval Definitions'!$B$2, 'Interval Definitions'!$A$2, IF(Raw!J51&lt;='Interval Definitions'!$B$3, 'Interval Definitions'!$A$3, IF(Raw!J51&lt;='Interval Definitions'!$B$4, 'Interval Definitions'!$A$4, IF(Raw!J51&lt;='Interval Definitions'!$B$5, 'Interval Definitions'!$A$5, "None")))))</f>
        <v>Toddlerhood - Preschool</v>
      </c>
      <c r="F51" s="11" t="b">
        <f>OR(NOT(ISBLANK(Raw!AF51)),NOT(ISBLANK(Raw!AG51)),NOT(ISBLANK(Raw!AH51)),NOT(ISBLANK(Raw!AI51)),COUNTIF(Raw!AA51:AD51, "&gt;=0") = 4)</f>
        <v>1</v>
      </c>
      <c r="G51" s="11" t="str">
        <f>IF(F51, IF(COUNTIF(Raw!AA51:AD51,"&gt;=0") = 4, "Contingency", IF(NOT(ISBLANK(Raw!AF51)), "Paper r", IF(NOT(ISBLANK(Raw!AG51)), "Pinquart", IF(NOT(ISBLANK(Raw!AH51)), "Fraley", "Paper chiSq")))), "Not Included")</f>
        <v>Contingency</v>
      </c>
      <c r="H51" s="15">
        <f>IF(F51,Raw!AE51,"Not Included")</f>
        <v>72</v>
      </c>
      <c r="I51" s="15">
        <f>IF(COUNTIF(Raw!AA51:AD51,"&gt;=0") = 4, SUM(Raw!AA51:AD51), "No Contingency Table")</f>
        <v>78</v>
      </c>
      <c r="J51" s="15">
        <f t="shared" si="0"/>
        <v>78</v>
      </c>
      <c r="K51" s="38">
        <f>IF(F51, IF(COUNTIF(Raw!AA51:AD51,"&gt;=0") = 4, IFERROR((I51*Raw!AA51 - SUM(Raw!AA51,Raw!AB51)*SUM(Raw!AA51,Raw!AD51)) / SQRT((I51*SUM(Raw!AA51,Raw!AB51) - SUM(Raw!AA51,Raw!AB51)^2) * (I51*SUM(Raw!AA51,Raw!AD51) - SUM(Raw!AA51,Raw!AD51)^2)), 0), "No Contingency Table"), "Not Included")</f>
        <v>0.45955823588461775</v>
      </c>
      <c r="L51" s="41">
        <f>IF(F51,IF(NOT(ISBLANK(Raw!AF51)), Raw!AF51, IF(NOT(ISBLANK(Raw!AG51)), Raw!AG51, IF(NOT(ISBLANK(Raw!AH51)), Raw!AH51, IF(NOT(ISBLANK(Raw!AI51)), SQRT(Raw!AI51/H51)*Raw!AJ51, "Not Reported")))),"Not Included")</f>
        <v>0.46</v>
      </c>
      <c r="M51" s="43">
        <f t="shared" si="1"/>
        <v>0.45955823588461775</v>
      </c>
      <c r="N51" s="11">
        <f t="shared" si="2"/>
        <v>1</v>
      </c>
      <c r="O51" s="48" t="b">
        <f>OR(NOT(ISBLANK(Raw!AK51)), COUNTIF(Raw!AA51:AD51, "&gt;=0") = 4)</f>
        <v>1</v>
      </c>
      <c r="P51" s="24" t="str">
        <f>IF(O51,IF(COUNTIF(Raw!AA51:AD51,"&gt;=0") = 4,"Contingency", "Paper k"), "Not Included")</f>
        <v>Contingency</v>
      </c>
      <c r="Q51" s="48">
        <f>IF(O51, IF(COUNTIF(Raw!AA51:AD51,"&gt;=0") = 4,SUM(Raw!AA51,Raw!AC51)/H51,"No Contingency Table"), "Not Included")</f>
        <v>0.79166666666666663</v>
      </c>
      <c r="R51" s="38">
        <f>IF(O51, IF(COUNTIF(Raw!AA51:AD51, "&gt;=0") = 4,SUM(SUM(Raw!AA51,Raw!AB51)*SUM(Raw!AA51,Raw!AD51),SUM(Raw!AC51,Raw!AD51)*SUM(Raw!AC51,Raw!AB51))/H51^2,"No Contingency Table"), "Not Included")</f>
        <v>0.58912037037037035</v>
      </c>
      <c r="S51" s="38">
        <f>IF(O51, IF(COUNTIF(Raw!AA51:AD51,"&gt;=0") = 4, IFERROR((Q51 - R51) / (1 - R51), "Could not calculate"), "No Contingency Table"), "Not Included")</f>
        <v>0.49295774647887319</v>
      </c>
      <c r="T51" s="52" t="str">
        <f>IF(O51,IF(NOT(ISBLANK(Raw!AK51)), Raw!AK51, "Not Reported"), "Not Included")</f>
        <v>Not Reported</v>
      </c>
      <c r="U51" s="38">
        <f t="shared" si="3"/>
        <v>0.49295774647887319</v>
      </c>
      <c r="V51" s="11" t="str">
        <f t="shared" si="4"/>
        <v>NA</v>
      </c>
      <c r="W51" s="11" t="b">
        <f>OR(NOT(ISBLANK(Raw!AU51)),COUNTIF(Raw!AL51:AT51,"&gt;=0") = 9)</f>
        <v>0</v>
      </c>
      <c r="X51" s="11" t="str">
        <f>IF(W51, IF(COUNTIF(Raw!AL51:AT51,"&gt;=0") = 9, "Contingency", "Paper k"), "Not Included")</f>
        <v>Not Included</v>
      </c>
      <c r="Y51" s="11" t="str">
        <f>IF(W51,IF(COUNTIF(Raw!AL51:AT51,"&gt;=0") = 9,SUM(Raw!AL51:AT51),"No Contingency Table"),"Not Included")</f>
        <v>Not Included</v>
      </c>
      <c r="Z51" s="11" t="str">
        <f t="shared" si="5"/>
        <v>Not Included</v>
      </c>
      <c r="AA51" s="11" t="str">
        <f>IF(W51,IF(COUNTIF(Raw!AL51:AT51,"&gt;=0") = 9,SUM(Raw!AL51,Raw!AP51,Raw!AT51)/Y51,"No Contingency Table"), "Not Included")</f>
        <v>Not Included</v>
      </c>
      <c r="AB51" s="11" t="str">
        <f>IF(W51,IF(COUNTIF(Raw!AL51:AT51,"&gt;=0") = 9,SUM(SUM(Raw!AL51,Raw!AM51,Raw!AN51)*SUM(Raw!AL51,Raw!AO51,Raw!AR51),SUM(Raw!AO51,Raw!AP51,Raw!AQ51)*SUM(Raw!AM51,Raw!AP51,Raw!AS51),SUM(Raw!AR51,Raw!AS51,Raw!AT51)*SUM(Raw!AN51,Raw!AQ51,Raw!AT51))/Y51^2,"No Contingency Table"), "Not Included")</f>
        <v>Not Included</v>
      </c>
      <c r="AC51" s="11" t="str">
        <f>IF(W51,IF(COUNTIF(Raw!AL51:AT51,"&gt;=0") = 9,(AA51 - AB51) / (1 - AB51),"No Contingency Table"), "Not Included")</f>
        <v>Not Included</v>
      </c>
      <c r="AD51" s="11" t="str">
        <f>IF(W51, IF(NOT(ISBLANK(Raw!AU51)),Raw!AU51,"Not Reported"), "Not Included")</f>
        <v>Not Included</v>
      </c>
      <c r="AE51" s="11" t="str">
        <f t="shared" si="6"/>
        <v>Not Included</v>
      </c>
      <c r="AF51" s="11" t="str">
        <f t="shared" si="7"/>
        <v>Not Included</v>
      </c>
      <c r="AG51" s="11" t="b">
        <f>COUNTIF(Raw!AV51:BK51, "&gt;=0") = 16</f>
        <v>1</v>
      </c>
      <c r="AH51" s="11" t="str">
        <f>IF(AG51, IF(COUNTIF(Raw!AV51:BK51,"&gt;=0") = 16, "Contingency", "Paper k"), "Not Included")</f>
        <v>Contingency</v>
      </c>
      <c r="AI51" s="15">
        <f>IF(AG51,IF(COUNTIF(Raw!AV51:BK51,"&gt;=0") = 16,SUM(Raw!AV51:BK51),"No Contingency Table"),"Not Included")</f>
        <v>78</v>
      </c>
      <c r="AJ51" s="15">
        <f t="shared" si="8"/>
        <v>78</v>
      </c>
      <c r="AK51" s="11">
        <f>IF(AG51,IF(COUNTIF(Raw!AV51:BK51,"&gt;=0") = 16,SUM(Raw!AV51,Raw!BA51,Raw!BF51,Raw!BK51)/AI51,"No Contingency Table"), "Not Included")</f>
        <v>0.60256410256410253</v>
      </c>
      <c r="AL51" s="11">
        <f>IF(AG51,IF(COUNTIF(Raw!AV51:BK51,"&gt;=0") = 16,SUM(SUM(Raw!AV51,Raw!AW51,Raw!AX51,Raw!AY51)*SUM(Raw!AV51,Raw!AZ51,Raw!BD51,Raw!BH51),SUM(Raw!AZ51,Raw!BA51,Raw!BB51,Raw!BC51)*SUM(Raw!AW51,Raw!BA51,Raw!BE51,Raw!BI51),SUM(Raw!BD51,Raw!BE51,Raw!BF51,Raw!BG51)*SUM(Raw!AX51,Raw!BB51,Raw!BF51,Raw!BJ51),SUM(Raw!BH51,Raw!BI51,Raw!BJ51,Raw!BK51)*SUM(Raw!AY51,Raw!BC51,Raw!BG51,Raw!BK51))/AI51^2,"No Contingency Table"), "Not Included")</f>
        <v>0.35831689677843526</v>
      </c>
      <c r="AM51" s="11">
        <f>IF(AG51,IF(COUNTIF(Raw!AV51:BK51,"&gt;=0") = 16,(AK51 - AL51) / (1 - AL51),"No Contingency Table"), "Not Included")</f>
        <v>0.38063524590163927</v>
      </c>
      <c r="AN51" s="32">
        <f>IF(NOT(ISBLANK(Raw!BL51)),Raw!BL51,"Not Reported")</f>
        <v>0.38</v>
      </c>
      <c r="AO51" s="11">
        <f t="shared" si="9"/>
        <v>0.38063524590163927</v>
      </c>
      <c r="AP51" s="11">
        <f t="shared" si="10"/>
        <v>1</v>
      </c>
      <c r="AQ51" s="11" t="b">
        <f t="shared" ref="AQ51:AR51" si="215">BQ51</f>
        <v>1</v>
      </c>
      <c r="AR51" s="11" t="str">
        <f t="shared" si="215"/>
        <v>Contingency</v>
      </c>
      <c r="AS51" s="15">
        <f t="shared" si="12"/>
        <v>78</v>
      </c>
      <c r="AT51" s="15">
        <f t="shared" si="13"/>
        <v>78</v>
      </c>
      <c r="AU51" s="11">
        <f>IF(AQ51, IF(COUNTIF(Raw!AV51:BK51, "&gt;=0") = 16, IFERROR((AT51*Raw!BK51 - SUM(Raw!BH51, Raw!BI51, Raw!BJ51, Raw!BK51)*SUM(Raw!AY51, Raw!BC51, Raw!BG51, Raw!BK51)) / SQRT((AT51*SUM(Raw!BH51, Raw!BI51, Raw!BJ51, Raw!BK51) - SUM(Raw!BH51, Raw!BI51, Raw!BJ51, Raw!BK51)^2) * (AT51*SUM(Raw!AY51, Raw!BC51, Raw!BG51, Raw!BK51) - SUM(Raw!AY51, Raw!BC51, Raw!BG51, Raw!BK51)^2)), 0), "No Contingency Table"), "Not Included")</f>
        <v>0.48136509748212652</v>
      </c>
      <c r="AV51" s="11" t="str">
        <f>IF(AQ51,IF(NOT(ISBLANK(Raw!BQ51)), Raw!BQ51, IF(NOT(ISBLANK(Raw!BR51)), Raw!BR51, "Not Reported")), "Not Included")</f>
        <v>Not Reported</v>
      </c>
      <c r="AW51" s="57">
        <f t="shared" si="14"/>
        <v>0.48136509748212652</v>
      </c>
      <c r="AX51" s="11" t="str">
        <f t="shared" si="15"/>
        <v>NA</v>
      </c>
      <c r="AY51" s="11" t="b">
        <f t="shared" ref="AY51:AZ51" si="216">AQ51</f>
        <v>1</v>
      </c>
      <c r="AZ51" s="11" t="str">
        <f t="shared" si="216"/>
        <v>Contingency</v>
      </c>
      <c r="BA51" s="11">
        <f>IF(AY51, IF(COUNTIF(Raw!AV51:BK51, "&gt;=0") = 16, SUM(Raw!AV51,Raw!AW51,Raw!AX51,Raw!AZ51,Raw!BA51,Raw!BB51,Raw!BD51,Raw!BE51,Raw!BF51,Raw!BK51)/SUM(Raw!AV51:BK51), "No Contingency Table"), "Not Included")</f>
        <v>0.83333333333333337</v>
      </c>
      <c r="BB51" s="11">
        <f>IF(AY51, IF(COUNTIF(Raw!AV51:BK51, "&gt;=0") = 16,SUM(SUM(Raw!BH51,Raw!BI51,Raw!BJ51,Raw!BK51)*SUM(Raw!AY51,Raw!BC51,Raw!BG51,Raw!BK51),SUM(Raw!AV51:BG51)*SUM(Raw!AV51,Raw!AW51,Raw!AX51,Raw!AZ51,Raw!BA51,Raw!BB51,Raw!BD51,Raw!BE51,Raw!BF51,Raw!BH51,Raw!BI51,Raw!BJ51))/AT51^2,"No Contingency Table"), "Not Included")</f>
        <v>0.68080210387902695</v>
      </c>
      <c r="BC51" s="11">
        <f>IF(AY51, IF(COUNTIF(Raw!AV51:BK51, "&gt;=0") = 16,(BA51-BB51) / (1 - BB51),"No Contingency Table"), "Not Included")</f>
        <v>0.47785787847579825</v>
      </c>
      <c r="BD51" s="11" t="str">
        <f>IF(AY51,IF(NOT(ISBLANK(Raw!BT72)),Raw!BT72,"Not Reported"),"Not Included")</f>
        <v>Not Reported</v>
      </c>
      <c r="BE51" s="11">
        <f t="shared" si="17"/>
        <v>0.47785787847579825</v>
      </c>
      <c r="BF51" s="11" t="str">
        <f t="shared" si="18"/>
        <v>NA</v>
      </c>
      <c r="BG51" s="11">
        <f>Raw!K51</f>
        <v>1990</v>
      </c>
      <c r="BH51" s="11" t="str">
        <f>IF(Raw!L51 = "USA","USA","Non-USA")</f>
        <v>Non-USA</v>
      </c>
      <c r="BI51" s="11" t="str">
        <f>Raw!M51</f>
        <v>Ainsworth/Cassidy-Marvin</v>
      </c>
      <c r="BJ51" s="11">
        <f>Raw!N51</f>
        <v>1</v>
      </c>
      <c r="BK51" s="11">
        <f>Raw!P51</f>
        <v>0</v>
      </c>
      <c r="BL51" s="11">
        <f>Raw!Q51</f>
        <v>0</v>
      </c>
      <c r="BM51" s="11">
        <f>Raw!T51</f>
        <v>1</v>
      </c>
      <c r="BN51" s="11">
        <f>IFERROR(IF(AND(ISBLANK(Raw!U51), ISBLANK(Raw!V51), ISBLANK(Raw!W51), ISBLANK(Raw!X51)), "NA", IF(OR(NOT(ISBLANK(Raw!U51)), NOT(ISBLANK(Raw!W51))), AVERAGE(Raw!U51,Raw!W51), AVERAGE(Raw!V51,Raw!X51) + IF(Raw!Y51 = "2-way", R51, IF(Raw!Y51 = "3-way", AB51, IF(Raw!Y51 = "4-way", AL51, "NA")))*(1 - AVERAGE(Raw!V51,Raw!X51)))), "NA")</f>
        <v>0.88</v>
      </c>
      <c r="BO51" s="11">
        <f>Raw!O51</f>
        <v>0</v>
      </c>
      <c r="BP51" s="11" t="str">
        <f>Raw!F51</f>
        <v>Female</v>
      </c>
      <c r="BQ51" s="11" t="b">
        <f>COUNTIF(Raw!AV51:BK51, "&gt;=0") = 16</f>
        <v>1</v>
      </c>
      <c r="BR51" s="11" t="str">
        <f t="shared" si="19"/>
        <v>Contingency</v>
      </c>
      <c r="BS51" s="15">
        <f t="shared" si="20"/>
        <v>78</v>
      </c>
      <c r="BT51" s="11">
        <f>IF(BQ51, IF(COUNTIF(Raw!AV51:BK51, "&gt;=0") = 16, IFERROR((BS51*Raw!AV51 - SUM(Raw!AV51, Raw!AW51, Raw!AX51, Raw!AY51)*SUM(Raw!AV51, Raw!AZ51, Raw!BD51, Raw!BH51)) / SQRT((BS51*SUM(Raw!AV51, Raw!AW51, Raw!AX51, Raw!AY51) - SUM(Raw!AV51, Raw!AW51, Raw!AX51, Raw!AY51)^2) * (BS51*SUM(Raw!AV51, Raw!AZ51, Raw!BD51, Raw!BH51) - SUM(Raw!AV51, Raw!AZ51, Raw!BD51, Raw!BH51)^2)), 0), "No Contingency Table"), "Not Included")</f>
        <v>0.22159616272633956</v>
      </c>
      <c r="BU51" s="11">
        <f>IF(BQ51, IF(COUNTIF(Raw!AV51:BK51, "&gt;=0") = 16, SUM(Raw!BK51,Raw!BJ51,Raw!BI51,Raw!BG51,Raw!BF51,Raw!BE51,Raw!BC51,Raw!BB51,Raw!BA51,Raw!AV51)/SUM(Raw!AV51:BK51), "No Contingency Table"), "Not Included")</f>
        <v>0.83333333333333337</v>
      </c>
      <c r="BV51" s="11">
        <f>IF(BQ51, IF(COUNTIF(Raw!AV51:BK51, "&gt;=0") = 16,SUM(SUM(Raw!AV51,Raw!AW51,Raw!AX51,Raw!AY51)*SUM(Raw!AV51,Raw!AZ51,Raw!BD51,Raw!BH51),SUM(Raw!AZ51:BK51)*SUM(Raw!AW51,Raw!AX51,Raw!AY51,Raw!BA51,Raw!BB51,Raw!BC51,Raw!BE51,Raw!BF51,Raw!BG51,Raw!BI51,Raw!BJ51,Raw!BK51))/BS51^2,"No Contingency Table"), "Not Included")</f>
        <v>0.78599605522682447</v>
      </c>
      <c r="BW51" s="11">
        <f>IF(BQ51, IF(COUNTIF(Raw!AV51:BK51, "&gt;=0") = 16,(BU51-BV51) / (1 - BV51),"No Contingency Table"), "Not Included")</f>
        <v>0.22119815668202775</v>
      </c>
      <c r="BX51" s="11" t="b">
        <f t="shared" ref="BX51:BZ51" si="217">BQ51</f>
        <v>1</v>
      </c>
      <c r="BY51" s="11" t="str">
        <f t="shared" si="217"/>
        <v>Contingency</v>
      </c>
      <c r="BZ51" s="15">
        <f t="shared" si="217"/>
        <v>78</v>
      </c>
      <c r="CA51" s="11">
        <f>IF(BX51, IF(COUNTIF(Raw!AV51:BK51, "&gt;=0") = 16, IFERROR((BZ51*Raw!BF51 - SUM(Raw!BD51, Raw!BE51, Raw!BF51, Raw!BG51)*SUM(Raw!BF51, Raw!AX51, Raw!BB51, Raw!BJ51)) / SQRT((BZ51*SUM(Raw!BD51, Raw!BE51, Raw!BF51, Raw!BG51) - SUM(Raw!BD51, Raw!BE51, Raw!BF51, Raw!BG51)^2) * (BZ51*SUM(Raw!BF51, Raw!AX51, Raw!BB51, Raw!BJ51) - SUM(Raw!BF51, Raw!AX51, Raw!BB51, Raw!BJ51)^2)), 0), "No Contingency Table"), "Not Included")</f>
        <v>0.24009801919951237</v>
      </c>
      <c r="CB51" s="11">
        <f>IF(BX51, IF(COUNTIF(Raw!AV51:BK51, "&gt;=0") = 16, SUM(Raw!AV51,Raw!AW51,Raw!AY51,Raw!AZ51,Raw!BA51,Raw!BC51,Raw!BF51,Raw!BH51,Raw!BI51,Raw!BK51) / SUM(Raw!AV51:BK51), "No Contingency Table"), "Not Included")</f>
        <v>0.80769230769230771</v>
      </c>
      <c r="CC51" s="11">
        <f>IF(BX51, IF(COUNTIF(Raw!AV51:BK51, "&gt;=0") = 16,SUM(SUM(Raw!BD51,Raw!BE51,Raw!BF51,Raw!BG51)*SUM(Raw!BF51,Raw!AX51,Raw!BB51,Raw!BJ51),SUM(Raw!AV51:BC51,Raw!BH51:BK51)*SUM(Raw!AV51,Raw!AW51,Raw!AY51,Raw!AZ51,Raw!BA51,Raw!BC51,Raw!BD51,Raw!BE51,Raw!BG51,Raw!BH51,Raw!BI51,Raw!BK51))/BZ51^2,"No Contingency Table"), "Not Included")</f>
        <v>0.74786324786324787</v>
      </c>
      <c r="CD51" s="11">
        <f>IF(BX51, IF(COUNTIF(Raw!AV51:BK51, "&gt;=0") = 16,(CB51 - CC51) / (1 - CC51+0.000001),"No Contingency Table"), "Not Included")</f>
        <v>0.23728719448807617</v>
      </c>
      <c r="CE51" s="11" t="b">
        <f t="shared" ref="CE51:CG51" si="218">BQ51</f>
        <v>1</v>
      </c>
      <c r="CF51" s="11" t="str">
        <f t="shared" si="218"/>
        <v>Contingency</v>
      </c>
      <c r="CG51" s="15">
        <f t="shared" si="218"/>
        <v>78</v>
      </c>
      <c r="CH51" s="11">
        <f>IF(CE51, IF(COUNTIF(Raw!AV51:BK51, "&gt;=0") = 16, IFERROR((CG51*Raw!BA51 - SUM(Raw!BA51, Raw!AZ51, Raw!BB51, Raw!BC51)*SUM(Raw!BA51, Raw!AW51, Raw!BE51, Raw!BI51)) / SQRT((CG51*SUM(Raw!BA51, Raw!AZ51, Raw!BB51, Raw!BC51) - SUM(Raw!BA51, Raw!AZ51, Raw!BB51, Raw!BC51)^2) * (CG51*SUM(Raw!BA51, Raw!AW51, Raw!BE51, Raw!BI51) - SUM(Raw!BA51, Raw!AW51, Raw!BE51, Raw!BI51)^2)), 0), "No Contingency Table"), "Not Included")</f>
        <v>0.45955823588461775</v>
      </c>
      <c r="CI51" s="11">
        <f>IF(CE51, IF(COUNTIF(Raw!AV51:BK51, "&gt;=0") = 16, SUM(Raw!AV51,Raw!AX51,Raw!AY51,Raw!BA51,Raw!BD51,Raw!BF51,Raw!BG51,Raw!BH51,Raw!BJ51,Raw!BK51) / SUM(Raw!AV51:BK51), "No Contingency Table"), "Not Included")</f>
        <v>0.73076923076923073</v>
      </c>
      <c r="CJ51" s="61">
        <f>IF(BX51, IF(COUNTIF(Raw!AV51:BK51, "&gt;=0") = 16,SUM(SUM(Raw!AZ51,Raw!BA51,Raw!BB51,Raw!BC51)*SUM(Raw!BA51,Raw!AW51,Raw!BE51,Raw!BI51),SUM(Raw!AV51:AY51,Raw!BD51:BK51)*SUM(Raw!AV51,Raw!AX51,Raw!AY51,Raw!AZ51,Raw!BB51,Raw!BC51,Raw!BD51,Raw!BF51,Raw!BG51,Raw!BH51,Raw!BJ51,Raw!BK51))/CG51^2,"No Contingency Table"), "Not Included")</f>
        <v>0.50197238658777121</v>
      </c>
      <c r="CK51" s="11">
        <f>IF(BX51, IF(COUNTIF(Raw!AV51:BK51, "&gt;=0") = 16,(CI51 - CJ51) / (1 - CJ51),"No Contingency Table"), "Not Included")</f>
        <v>0.45940594059405931</v>
      </c>
      <c r="CL51" s="11">
        <f>IF(BQ51, IFERROR(Raw!AV51/SUM(Raw!AV51:AY51), 0), "Not Included")</f>
        <v>0.33333333333333331</v>
      </c>
      <c r="CM51" s="11">
        <f>IF(BQ51, IFERROR(Raw!BA51/SUM(Raw!AZ51:BC51), 0), "Not Included")</f>
        <v>0.73809523809523814</v>
      </c>
      <c r="CN51" s="11">
        <f>IF(BQ51, IFERROR(Raw!BF51/SUM(Raw!BD51:BG51), 0), "Not Included")</f>
        <v>0.30769230769230771</v>
      </c>
      <c r="CO51" s="11">
        <f>IF(BQ51, IFERROR(Raw!BK51/SUM(Raw!BH51:BK51), 0), "Not Included")</f>
        <v>0.6428571428571429</v>
      </c>
      <c r="CP51" s="11">
        <f>IF(BQ51, IFERROR(SUM(Raw!AV51,Raw!AX51,Raw!AY51,Raw!BD51,Raw!BF51,Raw!BG51,Raw!BH51,Raw!BJ51,Raw!BK51)/SUM(Raw!AV51,Raw!AW51,Raw!AX51,Raw!AY51,Raw!BD51,Raw!BE51,Raw!BF51,Raw!BG51,Raw!BH51,Raw!BI51,Raw!BJ51,Raw!BK51), 0), "Not Included")</f>
        <v>0.72222222222222221</v>
      </c>
      <c r="CQ51" s="11">
        <f>IF(BQ51, IFERROR(SUM(Raw!AV51:AX51,Raw!AZ51:BB51,Raw!BD51:BF51)/SUM(Raw!AV51:BF51), 0), "Not Included")</f>
        <v>0.91803278688524592</v>
      </c>
      <c r="CR51" s="11">
        <f>IF(BQ51, IFERROR(SUM(Raw!AV51:AY51), 0), "Not Included")</f>
        <v>9</v>
      </c>
      <c r="CS51" s="11">
        <f>IF(BQ51, IFERROR(SUM(Raw!AZ51:BC51), 0), "Not Included")</f>
        <v>42</v>
      </c>
      <c r="CT51" s="11">
        <f>IF(BQ51, IFERROR(SUM(Raw!BD51:BG51), 0), "Not Included")</f>
        <v>13</v>
      </c>
      <c r="CU51" s="11">
        <f>IF(BQ51, IFERROR(SUM(Raw!BH51:BK51), 0), "Not Included")</f>
        <v>14</v>
      </c>
      <c r="CV51" s="11">
        <f>IF(BQ51, IFERROR(SUM(Raw!AV51,Raw!AW51,Raw!AX51,Raw!AY51,Raw!BD51,Raw!BE51,Raw!BF51,Raw!BG51,Raw!BH51,Raw!BI51,Raw!BJ51,Raw!BK51), 0), "Not Included")</f>
        <v>36</v>
      </c>
      <c r="CW51" s="11">
        <f>IF(BQ51, IFERROR(SUM(Raw!AV51:BF51), 0), "Not Included")</f>
        <v>61</v>
      </c>
      <c r="CX51" s="11">
        <f>IF(BQ51, IFERROR((CR51*SUM(Raw!AV51,Raw!AZ51,Raw!BD51,Raw!BH51))/BS51/CR51, 0), "Not Included")</f>
        <v>0.12820512820512819</v>
      </c>
      <c r="CY51" s="11">
        <f>IF(BX51, IFERROR((CS51*SUM(Raw!BA51,Raw!AW51,Raw!BE51,Raw!BI51))/CG51/CS51, 0), "Not Included")</f>
        <v>0.52564102564102566</v>
      </c>
      <c r="CZ51" s="11">
        <f>IF(BX51, IFERROR((CT51*SUM(Raw!BF51,Raw!AX51,Raw!BB51,Raw!BJ51))/BZ51/CT51, 0), "Not Included")</f>
        <v>0.12820512820512822</v>
      </c>
      <c r="DA51" s="11">
        <f>IF(AY51, IFERROR((CU51*SUM(Raw!AY51,Raw!BC51,Raw!BG51,Raw!BK51))/AT51/CU51, 0), "Not Included")</f>
        <v>0.21794871794871792</v>
      </c>
      <c r="DB51" s="11">
        <f>IF(BX51, IFERROR((CV51*SUM(Raw!AV51,Raw!AX51,Raw!AY51,Raw!AZ51,Raw!BB51,Raw!BC51,Raw!BD51,Raw!BF51,Raw!BG51,Raw!BH51,Raw!BJ51,Raw!BK51))/CG51/CV51,0), "Not Included")</f>
        <v>0.47435897435897434</v>
      </c>
      <c r="DC51" s="11">
        <f>IF(AY51, IFERROR((CW51*SUM(Raw!AV51,Raw!AW51,Raw!AX51,Raw!AZ51,Raw!BA51,Raw!BB51,Raw!BD51,Raw!BE51,Raw!BF51,Raw!BH51,Raw!BI51,Raw!BJ51))/AT51/CW51,0), "Not Included")</f>
        <v>0.78205128205128205</v>
      </c>
    </row>
    <row r="52" spans="1:107" ht="12.75" customHeight="1">
      <c r="A52" s="11">
        <f>Raw!D52</f>
        <v>34</v>
      </c>
      <c r="B52" s="11" t="str">
        <f>Raw!A52</f>
        <v xml:space="preserve">Takahashi (1990) </v>
      </c>
      <c r="C52" s="11">
        <f>Raw!G52</f>
        <v>1</v>
      </c>
      <c r="D52" s="11" t="str">
        <f>Raw!E52</f>
        <v>Single sample</v>
      </c>
      <c r="E52" s="11" t="str">
        <f>CONCATENATE(IF(Raw!I52&lt;='Interval Definitions'!$B$2, 'Interval Definitions'!$A$2, IF(Raw!I52&lt;='Interval Definitions'!$B$3, 'Interval Definitions'!$A$3, IF(Raw!I52&lt;='Interval Definitions'!$B$4, 'Interval Definitions'!$A$4, IF(Raw!I52&lt;='Interval Definitions'!$B$5, 'Interval Definitions'!$A$5, "None")))), " - ", IF(Raw!J52&lt;='Interval Definitions'!$B$2, 'Interval Definitions'!$A$2, IF(Raw!J52&lt;='Interval Definitions'!$B$3, 'Interval Definitions'!$A$3, IF(Raw!J52&lt;='Interval Definitions'!$B$4, 'Interval Definitions'!$A$4, IF(Raw!J52&lt;='Interval Definitions'!$B$5, 'Interval Definitions'!$A$5, "None")))))</f>
        <v>Infancy - Toddlerhood</v>
      </c>
      <c r="F52" s="11" t="b">
        <f>OR(NOT(ISBLANK(Raw!AF52)),NOT(ISBLANK(Raw!AG52)),NOT(ISBLANK(Raw!AH52)),NOT(ISBLANK(Raw!AI52)),COUNTIF(Raw!AA52:AD52, "&gt;=0") = 4)</f>
        <v>1</v>
      </c>
      <c r="G52" s="11" t="str">
        <f>IF(F52, IF(COUNTIF(Raw!AA52:AD52,"&gt;=0") = 4, "Contingency", IF(NOT(ISBLANK(Raw!AF52)), "Paper r", IF(NOT(ISBLANK(Raw!AG52)), "Pinquart", IF(NOT(ISBLANK(Raw!AH52)), "Fraley", "Paper chiSq")))), "Not Included")</f>
        <v>Paper r</v>
      </c>
      <c r="H52" s="15">
        <f>IF(F52,Raw!AE52,"Not Included")</f>
        <v>60</v>
      </c>
      <c r="I52" s="15" t="str">
        <f>IF(COUNTIF(Raw!AA52:AD52,"&gt;=0") = 4, SUM(Raw!AA52:AD52), "No Contingency Table")</f>
        <v>No Contingency Table</v>
      </c>
      <c r="J52" s="15">
        <f t="shared" si="0"/>
        <v>60</v>
      </c>
      <c r="K52" s="38" t="str">
        <f>IF(F52, IF(COUNTIF(Raw!AA52:AD52,"&gt;=0") = 4, IFERROR((I52*Raw!AA52 - SUM(Raw!AA52,Raw!AB52)*SUM(Raw!AA52,Raw!AD52)) / SQRT((I52*SUM(Raw!AA52,Raw!AB52) - SUM(Raw!AA52,Raw!AB52)^2) * (I52*SUM(Raw!AA52,Raw!AD52) - SUM(Raw!AA52,Raw!AD52)^2)), 0), "No Contingency Table"), "Not Included")</f>
        <v>No Contingency Table</v>
      </c>
      <c r="L52" s="41">
        <f>IF(F52,IF(NOT(ISBLANK(Raw!AF52)), Raw!AF52, IF(NOT(ISBLANK(Raw!AG52)), Raw!AG52, IF(NOT(ISBLANK(Raw!AH52)), Raw!AH52, IF(NOT(ISBLANK(Raw!AI52)), SQRT(Raw!AI52/H52)*Raw!AJ52, "Not Reported")))),"Not Included")</f>
        <v>0.18</v>
      </c>
      <c r="M52" s="43">
        <f t="shared" si="1"/>
        <v>0.18</v>
      </c>
      <c r="N52" s="11" t="str">
        <f t="shared" si="2"/>
        <v>NA</v>
      </c>
      <c r="O52" s="48" t="b">
        <f>OR(NOT(ISBLANK(Raw!AK52)), COUNTIF(Raw!AA52:AD52, "&gt;=0") = 4)</f>
        <v>0</v>
      </c>
      <c r="P52" s="24" t="str">
        <f>IF(O52,IF(COUNTIF(Raw!AA52:AD52,"&gt;=0") = 4,"Contingency", "Paper k"), "Not Included")</f>
        <v>Not Included</v>
      </c>
      <c r="Q52" s="48" t="str">
        <f>IF(O52, IF(COUNTIF(Raw!AA52:AD52,"&gt;=0") = 4,SUM(Raw!AA52,Raw!AC52)/H52,"No Contingency Table"), "Not Included")</f>
        <v>Not Included</v>
      </c>
      <c r="R52" s="38" t="str">
        <f>IF(O52, IF(COUNTIF(Raw!AA52:AD52, "&gt;=0") = 4,SUM(SUM(Raw!AA52,Raw!AB52)*SUM(Raw!AA52,Raw!AD52),SUM(Raw!AC52,Raw!AD52)*SUM(Raw!AC52,Raw!AB52))/H52^2,"No Contingency Table"), "Not Included")</f>
        <v>Not Included</v>
      </c>
      <c r="S52" s="38" t="str">
        <f>IF(O52, IF(COUNTIF(Raw!AA52:AD52,"&gt;=0") = 4, IFERROR((Q52 - R52) / (1 - R52), "Could not calculate"), "No Contingency Table"), "Not Included")</f>
        <v>Not Included</v>
      </c>
      <c r="T52" s="52" t="str">
        <f>IF(O52,IF(NOT(ISBLANK(Raw!AK52)), Raw!AK52, "Not Reported"), "Not Included")</f>
        <v>Not Included</v>
      </c>
      <c r="U52" s="11" t="str">
        <f t="shared" si="3"/>
        <v>Not Included</v>
      </c>
      <c r="V52" s="11" t="str">
        <f t="shared" si="4"/>
        <v>Not Included</v>
      </c>
      <c r="W52" s="11" t="b">
        <f>OR(NOT(ISBLANK(Raw!AU52)),COUNTIF(Raw!AL52:AT52,"&gt;=0") = 9)</f>
        <v>0</v>
      </c>
      <c r="X52" s="11" t="str">
        <f>IF(W52, IF(COUNTIF(Raw!AL52:AT52,"&gt;=0") = 9, "Contingency", "Paper k"), "Not Included")</f>
        <v>Not Included</v>
      </c>
      <c r="Y52" s="11" t="str">
        <f>IF(W52,IF(COUNTIF(Raw!AL52:AT52,"&gt;=0") = 9,SUM(Raw!AL52:AT52),"No Contingency Table"),"Not Included")</f>
        <v>Not Included</v>
      </c>
      <c r="Z52" s="11" t="str">
        <f t="shared" si="5"/>
        <v>Not Included</v>
      </c>
      <c r="AA52" s="11" t="str">
        <f>IF(W52,IF(COUNTIF(Raw!AL52:AT52,"&gt;=0") = 9,SUM(Raw!AL52,Raw!AP52,Raw!AT52)/Y52,"No Contingency Table"), "Not Included")</f>
        <v>Not Included</v>
      </c>
      <c r="AB52" s="11" t="str">
        <f>IF(W52,IF(COUNTIF(Raw!AL52:AT52,"&gt;=0") = 9,SUM(SUM(Raw!AL52,Raw!AM52,Raw!AN52)*SUM(Raw!AL52,Raw!AO52,Raw!AR52),SUM(Raw!AO52,Raw!AP52,Raw!AQ52)*SUM(Raw!AM52,Raw!AP52,Raw!AS52),SUM(Raw!AR52,Raw!AS52,Raw!AT52)*SUM(Raw!AN52,Raw!AQ52,Raw!AT52))/Y52^2,"No Contingency Table"), "Not Included")</f>
        <v>Not Included</v>
      </c>
      <c r="AC52" s="11" t="str">
        <f>IF(W52,IF(COUNTIF(Raw!AL52:AT52,"&gt;=0") = 9,(AA52 - AB52) / (1 - AB52),"No Contingency Table"), "Not Included")</f>
        <v>Not Included</v>
      </c>
      <c r="AD52" s="11" t="str">
        <f>IF(W52, IF(NOT(ISBLANK(Raw!AU52)),Raw!AU52,"Not Reported"), "Not Included")</f>
        <v>Not Included</v>
      </c>
      <c r="AE52" s="11" t="str">
        <f t="shared" si="6"/>
        <v>Not Included</v>
      </c>
      <c r="AF52" s="11" t="str">
        <f t="shared" si="7"/>
        <v>Not Included</v>
      </c>
      <c r="AG52" s="11" t="b">
        <f>COUNTIF(Raw!AV52:BK52, "&gt;=0") = 16</f>
        <v>0</v>
      </c>
      <c r="AH52" s="11" t="str">
        <f>IF(AG52, IF(COUNTIF(Raw!AV52:BK52,"&gt;=0") = 16, "Contingency", "Paper k"), "Not Included")</f>
        <v>Not Included</v>
      </c>
      <c r="AI52" s="11" t="str">
        <f>IF(AG52,IF(COUNTIF(Raw!AV52:BK52,"&gt;=0") = 16,SUM(Raw!AV52:BK52),"No Contingency Table"),"Not Included")</f>
        <v>Not Included</v>
      </c>
      <c r="AJ52" s="15">
        <f t="shared" si="8"/>
        <v>60</v>
      </c>
      <c r="AK52" s="11" t="str">
        <f>IF(AG52,IF(COUNTIF(Raw!AV52:BK52,"&gt;=0") = 16,SUM(Raw!AV52,Raw!BA52,Raw!BF52,Raw!BK52)/AI52,"No Contingency Table"), "Not Included")</f>
        <v>Not Included</v>
      </c>
      <c r="AL52" s="11" t="str">
        <f>IF(AG52,IF(COUNTIF(Raw!AV52:BK52,"&gt;=0") = 16,SUM(SUM(Raw!AV52,Raw!AW52,Raw!AX52,Raw!AY52)*SUM(Raw!AV52,Raw!AZ52,Raw!BD52,Raw!BH52),SUM(Raw!AZ52,Raw!BA52,Raw!BB52,Raw!BC52)*SUM(Raw!AW52,Raw!BA52,Raw!BE52,Raw!BI52),SUM(Raw!BD52,Raw!BE52,Raw!BF52,Raw!BG52)*SUM(Raw!AX52,Raw!BB52,Raw!BF52,Raw!BJ52),SUM(Raw!BH52,Raw!BI52,Raw!BJ52,Raw!BK52)*SUM(Raw!AY52,Raw!BC52,Raw!BG52,Raw!BK52))/AI52^2,"No Contingency Table"), "Not Included")</f>
        <v>Not Included</v>
      </c>
      <c r="AM52" s="11" t="str">
        <f>IF(AG52,IF(COUNTIF(Raw!AV52:BK52,"&gt;=0") = 16,(AK52 - AL52) / (1 - AL52),"No Contingency Table"), "Not Included")</f>
        <v>Not Included</v>
      </c>
      <c r="AN52" s="11" t="str">
        <f>IF(NOT(ISBLANK(Raw!BL52)),Raw!BL52,"Not Reported")</f>
        <v>Not Reported</v>
      </c>
      <c r="AO52" s="11" t="str">
        <f t="shared" si="9"/>
        <v>Not Reported</v>
      </c>
      <c r="AP52" s="11" t="str">
        <f t="shared" si="10"/>
        <v>Not Included</v>
      </c>
      <c r="AQ52" s="11" t="b">
        <f t="shared" ref="AQ52:AR52" si="219">BQ52</f>
        <v>0</v>
      </c>
      <c r="AR52" s="11" t="str">
        <f t="shared" si="219"/>
        <v>Not Included</v>
      </c>
      <c r="AS52" s="11" t="str">
        <f t="shared" si="12"/>
        <v>Not Included</v>
      </c>
      <c r="AT52" s="11" t="str">
        <f t="shared" si="13"/>
        <v>Not Included</v>
      </c>
      <c r="AU52" s="11" t="str">
        <f>IF(AQ52, IF(COUNTIF(Raw!AV52:BK52, "&gt;=0") = 16, IFERROR((AT52*Raw!BK52 - SUM(Raw!BH52, Raw!BI52, Raw!BJ52, Raw!BK52)*SUM(Raw!AY52, Raw!BC52, Raw!BG52, Raw!BK52)) / SQRT((AT52*SUM(Raw!BH52, Raw!BI52, Raw!BJ52, Raw!BK52) - SUM(Raw!BH52, Raw!BI52, Raw!BJ52, Raw!BK52)^2) * (AT52*SUM(Raw!AY52, Raw!BC52, Raw!BG52, Raw!BK52) - SUM(Raw!AY52, Raw!BC52, Raw!BG52, Raw!BK52)^2)), 0), "No Contingency Table"), "Not Included")</f>
        <v>Not Included</v>
      </c>
      <c r="AV52" s="11" t="str">
        <f>IF(AQ52,IF(NOT(ISBLANK(Raw!BQ52)), Raw!BQ52, IF(NOT(ISBLANK(Raw!BR52)), Raw!BR52, "Not Reported")), "Not Included")</f>
        <v>Not Included</v>
      </c>
      <c r="AW52" s="57" t="str">
        <f t="shared" si="14"/>
        <v>Not Included</v>
      </c>
      <c r="AX52" s="11" t="str">
        <f t="shared" si="15"/>
        <v>Not Included</v>
      </c>
      <c r="AY52" s="11" t="b">
        <f t="shared" ref="AY52:AZ52" si="220">AQ52</f>
        <v>0</v>
      </c>
      <c r="AZ52" s="11" t="str">
        <f t="shared" si="220"/>
        <v>Not Included</v>
      </c>
      <c r="BA52" s="11" t="str">
        <f>IF(AY52, IF(COUNTIF(Raw!AV52:BK52, "&gt;=0") = 16, SUM(Raw!AV52,Raw!AW52,Raw!AX52,Raw!AZ52,Raw!BA52,Raw!BB52,Raw!BD52,Raw!BE52,Raw!BF52,Raw!BK52)/SUM(Raw!AV52:BK52), "No Contingency Table"), "Not Included")</f>
        <v>Not Included</v>
      </c>
      <c r="BB52" s="11" t="str">
        <f>IF(AY52, IF(COUNTIF(Raw!AV52:BK52, "&gt;=0") = 16,SUM(SUM(Raw!BH52,Raw!BI52,Raw!BJ52,Raw!BK52)*SUM(Raw!AY52,Raw!BC52,Raw!BG52,Raw!BK52),SUM(Raw!AV52:BG52)*SUM(Raw!AV52,Raw!AW52,Raw!AX52,Raw!AZ52,Raw!BA52,Raw!BB52,Raw!BD52,Raw!BE52,Raw!BF52,Raw!BH52,Raw!BI52,Raw!BJ52))/AT52^2,"No Contingency Table"), "Not Included")</f>
        <v>Not Included</v>
      </c>
      <c r="BC52" s="11" t="str">
        <f>IF(AY52, IF(COUNTIF(Raw!AV52:BK52, "&gt;=0") = 16,(BA52-BB52) / (1 - BB52),"No Contingency Table"), "Not Included")</f>
        <v>Not Included</v>
      </c>
      <c r="BD52" s="11" t="str">
        <f>IF(AY52,IF(NOT(ISBLANK(Raw!BT73)),Raw!BT73,"Not Reported"),"Not Included")</f>
        <v>Not Included</v>
      </c>
      <c r="BE52" s="11" t="str">
        <f t="shared" si="17"/>
        <v>Not Included</v>
      </c>
      <c r="BF52" s="11" t="str">
        <f t="shared" si="18"/>
        <v>Not Included</v>
      </c>
      <c r="BG52" s="11">
        <f>Raw!K52</f>
        <v>1990</v>
      </c>
      <c r="BH52" s="11" t="str">
        <f>IF(Raw!L52 = "USA","USA","Non-USA")</f>
        <v>Non-USA</v>
      </c>
      <c r="BI52" s="11" t="str">
        <f>Raw!M52</f>
        <v>Ainsworth/Ainsworth</v>
      </c>
      <c r="BJ52" s="11">
        <f>Raw!N52</f>
        <v>1</v>
      </c>
      <c r="BK52" s="11">
        <f>Raw!P52</f>
        <v>0</v>
      </c>
      <c r="BL52" s="11">
        <f>Raw!Q52</f>
        <v>0</v>
      </c>
      <c r="BM52" s="11">
        <f>Raw!T52</f>
        <v>1</v>
      </c>
      <c r="BN52" s="11" t="str">
        <f>IFERROR(IF(AND(ISBLANK(Raw!U52), ISBLANK(Raw!V52), ISBLANK(Raw!W52), ISBLANK(Raw!X52)), "NA", IF(OR(NOT(ISBLANK(Raw!U52)), NOT(ISBLANK(Raw!W52))), AVERAGE(Raw!U52,Raw!W52), AVERAGE(Raw!V52,Raw!X52) + IF(Raw!Y52 = "2-way", R52, IF(Raw!Y52 = "3-way", AB52, IF(Raw!Y52 = "4-way", AL52, "NA")))*(1 - AVERAGE(Raw!V52,Raw!X52)))), "NA")</f>
        <v>NA</v>
      </c>
      <c r="BO52" s="11">
        <f>Raw!O52</f>
        <v>0</v>
      </c>
      <c r="BP52" s="11" t="str">
        <f>Raw!F52</f>
        <v>Female</v>
      </c>
      <c r="BQ52" s="11" t="b">
        <f>COUNTIF(Raw!AV52:BK52, "&gt;=0") = 16</f>
        <v>0</v>
      </c>
      <c r="BR52" s="11" t="str">
        <f t="shared" si="19"/>
        <v>Not Included</v>
      </c>
      <c r="BS52" s="11" t="str">
        <f t="shared" si="20"/>
        <v>Not Included</v>
      </c>
      <c r="BT52" s="11" t="str">
        <f>IF(BQ52, IF(COUNTIF(Raw!AV52:BK52, "&gt;=0") = 16, IFERROR((BS52*Raw!AV52 - SUM(Raw!AV52, Raw!AW52, Raw!AX52, Raw!AY52)*SUM(Raw!AV52, Raw!AZ52, Raw!BD52, Raw!BH52)) / SQRT((BS52*SUM(Raw!AV52, Raw!AW52, Raw!AX52, Raw!AY52) - SUM(Raw!AV52, Raw!AW52, Raw!AX52, Raw!AY52)^2) * (BS52*SUM(Raw!AV52, Raw!AZ52, Raw!BD52, Raw!BH52) - SUM(Raw!AV52, Raw!AZ52, Raw!BD52, Raw!BH52)^2)), 0), "No Contingency Table"), "Not Included")</f>
        <v>Not Included</v>
      </c>
      <c r="BU52" s="11" t="str">
        <f>IF(BQ52, IF(COUNTIF(Raw!AV52:BK52, "&gt;=0") = 16, SUM(Raw!BK52,Raw!BJ52,Raw!BI52,Raw!BG52,Raw!BF52,Raw!BE52,Raw!BC52,Raw!BB52,Raw!BA52,Raw!AV52)/SUM(Raw!AV52:BK52), "No Contingency Table"), "Not Included")</f>
        <v>Not Included</v>
      </c>
      <c r="BV52" s="11" t="str">
        <f>IF(BQ52, IF(COUNTIF(Raw!AV52:BK52, "&gt;=0") = 16,SUM(SUM(Raw!AV52,Raw!AW52,Raw!AX52,Raw!AY52)*SUM(Raw!AV52,Raw!AZ52,Raw!BD52,Raw!BH52),SUM(Raw!AZ52:BK52)*SUM(Raw!AW52,Raw!AX52,Raw!AY52,Raw!BA52,Raw!BB52,Raw!BC52,Raw!BE52,Raw!BF52,Raw!BG52,Raw!BI52,Raw!BJ52,Raw!BK52))/BS52^2,"No Contingency Table"), "Not Included")</f>
        <v>Not Included</v>
      </c>
      <c r="BW52" s="11" t="str">
        <f>IF(BQ52, IF(COUNTIF(Raw!AV52:BK52, "&gt;=0") = 16,(BU52-BV52) / (1 - BV52),"No Contingency Table"), "Not Included")</f>
        <v>Not Included</v>
      </c>
      <c r="BX52" s="11" t="b">
        <f t="shared" ref="BX52:BZ52" si="221">BQ52</f>
        <v>0</v>
      </c>
      <c r="BY52" s="11" t="str">
        <f t="shared" si="221"/>
        <v>Not Included</v>
      </c>
      <c r="BZ52" s="11" t="str">
        <f t="shared" si="221"/>
        <v>Not Included</v>
      </c>
      <c r="CA52" s="11" t="str">
        <f>IF(BX52, IF(COUNTIF(Raw!AV52:BK52, "&gt;=0") = 16, IFERROR((BZ52*Raw!BF52 - SUM(Raw!BD52, Raw!BE52, Raw!BF52, Raw!BG52)*SUM(Raw!BF52, Raw!AX52, Raw!BB52, Raw!BJ52)) / SQRT((BZ52*SUM(Raw!BD52, Raw!BE52, Raw!BF52, Raw!BG52) - SUM(Raw!BD52, Raw!BE52, Raw!BF52, Raw!BG52)^2) * (BZ52*SUM(Raw!BF52, Raw!AX52, Raw!BB52, Raw!BJ52) - SUM(Raw!BF52, Raw!AX52, Raw!BB52, Raw!BJ52)^2)), 0), "No Contingency Table"), "Not Included")</f>
        <v>Not Included</v>
      </c>
      <c r="CB52" s="11" t="str">
        <f>IF(BX52, IF(COUNTIF(Raw!AV52:BK52, "&gt;=0") = 16, SUM(Raw!AV52,Raw!AW52,Raw!AY52,Raw!AZ52,Raw!BA52,Raw!BC52,Raw!BF52,Raw!BH52,Raw!BI52,Raw!BK52) / SUM(Raw!AV52:BK52), "No Contingency Table"), "Not Included")</f>
        <v>Not Included</v>
      </c>
      <c r="CC52" s="11" t="str">
        <f>IF(BX52, IF(COUNTIF(Raw!AV52:BK52, "&gt;=0") = 16,SUM(SUM(Raw!BD52,Raw!BE52,Raw!BF52,Raw!BG52)*SUM(Raw!BF52,Raw!AX52,Raw!BB52,Raw!BJ52),SUM(Raw!AV52:BC52,Raw!BH52:BK52)*SUM(Raw!AV52,Raw!AW52,Raw!AY52,Raw!AZ52,Raw!BA52,Raw!BC52,Raw!BD52,Raw!BE52,Raw!BG52,Raw!BH52,Raw!BI52,Raw!BK52))/BZ52^2,"No Contingency Table"), "Not Included")</f>
        <v>Not Included</v>
      </c>
      <c r="CD52" s="11" t="str">
        <f>IF(BX52, IF(COUNTIF(Raw!AV52:BK52, "&gt;=0") = 16,(CB52 - CC52) / (1 - CC52+0.000001),"No Contingency Table"), "Not Included")</f>
        <v>Not Included</v>
      </c>
      <c r="CE52" s="11" t="b">
        <f t="shared" ref="CE52:CG52" si="222">BQ52</f>
        <v>0</v>
      </c>
      <c r="CF52" s="11" t="str">
        <f t="shared" si="222"/>
        <v>Not Included</v>
      </c>
      <c r="CG52" s="11" t="str">
        <f t="shared" si="222"/>
        <v>Not Included</v>
      </c>
      <c r="CH52" s="11" t="str">
        <f>IF(CE52, IF(COUNTIF(Raw!AV52:BK52, "&gt;=0") = 16, IFERROR((CG52*Raw!BA52 - SUM(Raw!BA52, Raw!AZ52, Raw!BB52, Raw!BC52)*SUM(Raw!BA52, Raw!AW52, Raw!BE52, Raw!BI52)) / SQRT((CG52*SUM(Raw!BA52, Raw!AZ52, Raw!BB52, Raw!BC52) - SUM(Raw!BA52, Raw!AZ52, Raw!BB52, Raw!BC52)^2) * (CG52*SUM(Raw!BA52, Raw!AW52, Raw!BE52, Raw!BI52) - SUM(Raw!BA52, Raw!AW52, Raw!BE52, Raw!BI52)^2)), 0), "No Contingency Table"), "Not Included")</f>
        <v>Not Included</v>
      </c>
      <c r="CI52" s="11" t="str">
        <f>IF(CE52, IF(COUNTIF(Raw!AV52:BK52, "&gt;=0") = 16, SUM(Raw!AV52,Raw!AX52,Raw!AY52,Raw!BA52,Raw!BD52,Raw!BF52,Raw!BG52,Raw!BH52,Raw!BJ52,Raw!BK52) / SUM(Raw!AV52:BK52), "No Contingency Table"), "Not Included")</f>
        <v>Not Included</v>
      </c>
      <c r="CJ52" s="61" t="str">
        <f>IF(BX52, IF(COUNTIF(Raw!AV52:BK52, "&gt;=0") = 16,SUM(SUM(Raw!AZ52,Raw!BA52,Raw!BB52,Raw!BC52)*SUM(Raw!BA52,Raw!AW52,Raw!BE52,Raw!BI52),SUM(Raw!AV52:AY52,Raw!BD52:BK52)*SUM(Raw!AV52,Raw!AX52,Raw!AY52,Raw!AZ52,Raw!BB52,Raw!BC52,Raw!BD52,Raw!BF52,Raw!BG52,Raw!BH52,Raw!BJ52,Raw!BK52))/CG52^2,"No Contingency Table"), "Not Included")</f>
        <v>Not Included</v>
      </c>
      <c r="CK52" s="11" t="str">
        <f>IF(BX52, IF(COUNTIF(Raw!AV52:BK52, "&gt;=0") = 16,(CI52 - CJ52) / (1 - CJ52),"No Contingency Table"), "Not Included")</f>
        <v>Not Included</v>
      </c>
      <c r="CL52" s="11" t="str">
        <f>IF(BQ52, IFERROR(Raw!AV52/SUM(Raw!AV52:AY52), 0), "Not Included")</f>
        <v>Not Included</v>
      </c>
      <c r="CM52" s="11" t="str">
        <f>IF(BQ52, IFERROR(Raw!BA52/SUM(Raw!AZ52:BC52), 0), "Not Included")</f>
        <v>Not Included</v>
      </c>
      <c r="CN52" s="11" t="str">
        <f>IF(BQ52, IFERROR(Raw!BF52/SUM(Raw!BD52:BG52), 0), "Not Included")</f>
        <v>Not Included</v>
      </c>
      <c r="CO52" s="11" t="str">
        <f>IF(BQ52, IFERROR(Raw!BK52/SUM(Raw!BH52:BK52), 0), "Not Included")</f>
        <v>Not Included</v>
      </c>
      <c r="CP52" s="11" t="str">
        <f>IF(BQ52, IFERROR(SUM(Raw!AV52,Raw!AX52,Raw!AY52,Raw!BD52,Raw!BF52,Raw!BG52,Raw!BH52,Raw!BJ52,Raw!BK52)/SUM(Raw!AV52,Raw!AW52,Raw!AX52,Raw!AY52,Raw!BD52,Raw!BE52,Raw!BF52,Raw!BG52,Raw!BH52,Raw!BI52,Raw!BJ52,Raw!BK52), 0), "Not Included")</f>
        <v>Not Included</v>
      </c>
      <c r="CQ52" s="11" t="str">
        <f>IF(BQ52, IFERROR(SUM(Raw!AV52:AX52,Raw!AZ52:BB52,Raw!BD52:BF52)/SUM(Raw!AV52:BF52), 0), "Not Included")</f>
        <v>Not Included</v>
      </c>
      <c r="CR52" s="11" t="str">
        <f>IF(BQ52, IFERROR(SUM(Raw!AV52:AY52), 0), "Not Included")</f>
        <v>Not Included</v>
      </c>
      <c r="CS52" s="11" t="str">
        <f>IF(BQ52, IFERROR(SUM(Raw!AZ52:BC52), 0), "Not Included")</f>
        <v>Not Included</v>
      </c>
      <c r="CT52" s="11" t="str">
        <f>IF(BQ52, IFERROR(SUM(Raw!BD52:BG52), 0), "Not Included")</f>
        <v>Not Included</v>
      </c>
      <c r="CU52" s="11" t="str">
        <f>IF(BQ52, IFERROR(SUM(Raw!BH52:BK52), 0), "Not Included")</f>
        <v>Not Included</v>
      </c>
      <c r="CV52" s="11" t="str">
        <f>IF(BQ52, IFERROR(SUM(Raw!AV52,Raw!AW52,Raw!AX52,Raw!AY52,Raw!BD52,Raw!BE52,Raw!BF52,Raw!BG52,Raw!BH52,Raw!BI52,Raw!BJ52,Raw!BK52), 0), "Not Included")</f>
        <v>Not Included</v>
      </c>
      <c r="CW52" s="11" t="str">
        <f>IF(BQ52, IFERROR(SUM(Raw!AV52:BF52), 0), "Not Included")</f>
        <v>Not Included</v>
      </c>
      <c r="CX52" s="11" t="str">
        <f>IF(BQ52, IFERROR((CR52*SUM(Raw!AV52,Raw!AZ52,Raw!BD52,Raw!BH52))/BS52/CR52, 0), "Not Included")</f>
        <v>Not Included</v>
      </c>
      <c r="CY52" s="11" t="str">
        <f>IF(BX52, IFERROR((CS52*SUM(Raw!BA52,Raw!AW52,Raw!BE52,Raw!BI52))/CG52/CS52, 0), "Not Included")</f>
        <v>Not Included</v>
      </c>
      <c r="CZ52" s="11" t="str">
        <f>IF(BX52, IFERROR((CT52*SUM(Raw!BF52,Raw!AX52,Raw!BB52,Raw!BJ52))/BZ52/CT52, 0), "Not Included")</f>
        <v>Not Included</v>
      </c>
      <c r="DA52" s="11" t="str">
        <f>IF(AY52, IFERROR((CU52*SUM(Raw!AY52,Raw!BC52,Raw!BG52,Raw!BK52))/AT52/CU52, 0), "Not Included")</f>
        <v>Not Included</v>
      </c>
      <c r="DB52" s="11" t="str">
        <f>IF(BX52, IFERROR((CV52*SUM(Raw!AV52,Raw!AX52,Raw!AY52,Raw!AZ52,Raw!BB52,Raw!BC52,Raw!BD52,Raw!BF52,Raw!BG52,Raw!BH52,Raw!BJ52,Raw!BK52))/CG52/CV52,0), "Not Included")</f>
        <v>Not Included</v>
      </c>
      <c r="DC52" s="11" t="str">
        <f>IF(AY52, IFERROR((CW52*SUM(Raw!AV52,Raw!AW52,Raw!AX52,Raw!AZ52,Raw!BA52,Raw!BB52,Raw!BD52,Raw!BE52,Raw!BF52,Raw!BH52,Raw!BI52,Raw!BJ52))/AT52/CW52,0), "Not Included")</f>
        <v>Not Included</v>
      </c>
    </row>
    <row r="53" spans="1:107" ht="12.75" customHeight="1">
      <c r="A53" s="11">
        <f>Raw!D53</f>
        <v>35</v>
      </c>
      <c r="B53" s="11" t="str">
        <f>Raw!A53</f>
        <v xml:space="preserve">Wartner et al. (1994) </v>
      </c>
      <c r="C53" s="11">
        <f>Raw!G53</f>
        <v>1</v>
      </c>
      <c r="D53" s="11" t="str">
        <f>Raw!E53</f>
        <v>Single sample</v>
      </c>
      <c r="E53" s="11" t="str">
        <f>CONCATENATE(IF(Raw!I53&lt;='Interval Definitions'!$B$2, 'Interval Definitions'!$A$2, IF(Raw!I53&lt;='Interval Definitions'!$B$3, 'Interval Definitions'!$A$3, IF(Raw!I53&lt;='Interval Definitions'!$B$4, 'Interval Definitions'!$A$4, IF(Raw!I53&lt;='Interval Definitions'!$B$5, 'Interval Definitions'!$A$5, "None")))), " - ", IF(Raw!J53&lt;='Interval Definitions'!$B$2, 'Interval Definitions'!$A$2, IF(Raw!J53&lt;='Interval Definitions'!$B$3, 'Interval Definitions'!$A$3, IF(Raw!J53&lt;='Interval Definitions'!$B$4, 'Interval Definitions'!$A$4, IF(Raw!J53&lt;='Interval Definitions'!$B$5, 'Interval Definitions'!$A$5, "None")))))</f>
        <v>Infancy - Preschool</v>
      </c>
      <c r="F53" s="11" t="b">
        <f>OR(NOT(ISBLANK(Raw!AF53)),NOT(ISBLANK(Raw!AG53)),NOT(ISBLANK(Raw!AH53)),NOT(ISBLANK(Raw!AI53)),COUNTIF(Raw!AA53:AD53, "&gt;=0") = 4)</f>
        <v>1</v>
      </c>
      <c r="G53" s="11" t="str">
        <f>IF(F53, IF(COUNTIF(Raw!AA53:AD53,"&gt;=0") = 4, "Contingency", IF(NOT(ISBLANK(Raw!AF53)), "Paper r", IF(NOT(ISBLANK(Raw!AG53)), "Pinquart", IF(NOT(ISBLANK(Raw!AH53)), "Fraley", "Paper chiSq")))), "Not Included")</f>
        <v>Contingency</v>
      </c>
      <c r="H53" s="15">
        <f>IF(F53,Raw!AE53,"Not Included")</f>
        <v>39</v>
      </c>
      <c r="I53" s="15">
        <f>IF(COUNTIF(Raw!AA53:AD53,"&gt;=0") = 4, SUM(Raw!AA53:AD53), "No Contingency Table")</f>
        <v>39</v>
      </c>
      <c r="J53" s="15">
        <f t="shared" si="0"/>
        <v>39</v>
      </c>
      <c r="K53" s="38">
        <f>IF(F53, IF(COUNTIF(Raw!AA53:AD53,"&gt;=0") = 4, IFERROR((I53*Raw!AA53 - SUM(Raw!AA53,Raw!AB53)*SUM(Raw!AA53,Raw!AD53)) / SQRT((I53*SUM(Raw!AA53,Raw!AB53) - SUM(Raw!AA53,Raw!AB53)^2) * (I53*SUM(Raw!AA53,Raw!AD53) - SUM(Raw!AA53,Raw!AD53)^2)), 0), "No Contingency Table"), "Not Included")</f>
        <v>0.79473684210526319</v>
      </c>
      <c r="L53" s="41">
        <f>IF(F53,IF(NOT(ISBLANK(Raw!AF53)), Raw!AF53, IF(NOT(ISBLANK(Raw!AG53)), Raw!AG53, IF(NOT(ISBLANK(Raw!AH53)), Raw!AH53, IF(NOT(ISBLANK(Raw!AI53)), SQRT(Raw!AI53/H53)*Raw!AJ53, "Not Reported")))),"Not Included")</f>
        <v>0.79</v>
      </c>
      <c r="M53" s="43">
        <f t="shared" si="1"/>
        <v>0.79473684210526319</v>
      </c>
      <c r="N53" s="11">
        <f t="shared" si="2"/>
        <v>1</v>
      </c>
      <c r="O53" s="48" t="b">
        <f>OR(NOT(ISBLANK(Raw!AK53)), COUNTIF(Raw!AA53:AD53, "&gt;=0") = 4)</f>
        <v>1</v>
      </c>
      <c r="P53" s="24" t="str">
        <f>IF(O53,IF(COUNTIF(Raw!AA53:AD53,"&gt;=0") = 4,"Contingency", "Paper k"), "Not Included")</f>
        <v>Contingency</v>
      </c>
      <c r="Q53" s="48">
        <f>IF(O53, IF(COUNTIF(Raw!AA53:AD53,"&gt;=0") = 4,SUM(Raw!AA53,Raw!AC53)/H53,"No Contingency Table"), "Not Included")</f>
        <v>0.89743589743589747</v>
      </c>
      <c r="R53" s="38">
        <f>IF(O53, IF(COUNTIF(Raw!AA53:AD53, "&gt;=0") = 4,SUM(SUM(Raw!AA53,Raw!AB53)*SUM(Raw!AA53,Raw!AD53),SUM(Raw!AC53,Raw!AD53)*SUM(Raw!AC53,Raw!AB53))/H53^2,"No Contingency Table"), "Not Included")</f>
        <v>0.50032873109796183</v>
      </c>
      <c r="S53" s="38">
        <f>IF(O53, IF(COUNTIF(Raw!AA53:AD53,"&gt;=0") = 4, IFERROR((Q53 - R53) / (1 - R53), "Could not calculate"), "No Contingency Table"), "Not Included")</f>
        <v>0.79473684210526319</v>
      </c>
      <c r="T53" s="52" t="str">
        <f>IF(O53,IF(NOT(ISBLANK(Raw!AK53)), Raw!AK53, "Not Reported"), "Not Included")</f>
        <v>Not Reported</v>
      </c>
      <c r="U53" s="38">
        <f t="shared" si="3"/>
        <v>0.79473684210526319</v>
      </c>
      <c r="V53" s="11" t="str">
        <f t="shared" si="4"/>
        <v>NA</v>
      </c>
      <c r="W53" s="11" t="b">
        <f>OR(NOT(ISBLANK(Raw!AU53)),COUNTIF(Raw!AL53:AT53,"&gt;=0") = 9)</f>
        <v>1</v>
      </c>
      <c r="X53" s="11" t="str">
        <f>IF(W53, IF(COUNTIF(Raw!AL53:AT53,"&gt;=0") = 9, "Contingency", "Paper k"), "Not Included")</f>
        <v>Contingency</v>
      </c>
      <c r="Y53" s="15">
        <f>IF(W53,IF(COUNTIF(Raw!AL53:AT53,"&gt;=0") = 9,SUM(Raw!AL53:AT53),"No Contingency Table"),"Not Included")</f>
        <v>40</v>
      </c>
      <c r="Z53" s="15">
        <f t="shared" si="5"/>
        <v>40</v>
      </c>
      <c r="AA53" s="11">
        <f>IF(W53,IF(COUNTIF(Raw!AL53:AT53,"&gt;=0") = 9,SUM(Raw!AL53,Raw!AP53,Raw!AT53)/Y53,"No Contingency Table"), "Not Included")</f>
        <v>0.875</v>
      </c>
      <c r="AB53" s="11">
        <f>IF(W53,IF(COUNTIF(Raw!AL53:AT53,"&gt;=0") = 9,SUM(SUM(Raw!AL53,Raw!AM53,Raw!AN53)*SUM(Raw!AL53,Raw!AO53,Raw!AR53),SUM(Raw!AO53,Raw!AP53,Raw!AQ53)*SUM(Raw!AM53,Raw!AP53,Raw!AS53),SUM(Raw!AR53,Raw!AS53,Raw!AT53)*SUM(Raw!AN53,Raw!AQ53,Raw!AT53))/Y53^2,"No Contingency Table"), "Not Included")</f>
        <v>0.52812499999999996</v>
      </c>
      <c r="AC53" s="11">
        <f>IF(W53,IF(COUNTIF(Raw!AL53:AT53,"&gt;=0") = 9,(AA53 - AB53) / (1 - AB53),"No Contingency Table"), "Not Included")</f>
        <v>0.73509933774834435</v>
      </c>
      <c r="AD53" s="32">
        <f>IF(W53, IF(NOT(ISBLANK(Raw!AU53)),Raw!AU53,"Not Reported"), "Not Included")</f>
        <v>0.73499999999999999</v>
      </c>
      <c r="AE53" s="11">
        <f t="shared" si="6"/>
        <v>0.73509933774834435</v>
      </c>
      <c r="AF53" s="11">
        <f t="shared" si="7"/>
        <v>1</v>
      </c>
      <c r="AG53" s="11" t="b">
        <f>COUNTIF(Raw!AV53:BK53, "&gt;=0") = 16</f>
        <v>1</v>
      </c>
      <c r="AH53" s="11" t="str">
        <f>IF(AG53, IF(COUNTIF(Raw!AV53:BK53,"&gt;=0") = 16, "Contingency", "Paper k"), "Not Included")</f>
        <v>Contingency</v>
      </c>
      <c r="AI53" s="15">
        <f>IF(AG53,IF(COUNTIF(Raw!AV53:BK53,"&gt;=0") = 16,SUM(Raw!AV53:BK53),"No Contingency Table"),"Not Included")</f>
        <v>39</v>
      </c>
      <c r="AJ53" s="15">
        <f t="shared" si="8"/>
        <v>39</v>
      </c>
      <c r="AK53" s="11">
        <f>IF(AG53,IF(COUNTIF(Raw!AV53:BK53,"&gt;=0") = 16,SUM(Raw!AV53,Raw!BA53,Raw!BF53,Raw!BK53)/AI53,"No Contingency Table"), "Not Included")</f>
        <v>0.82051282051282048</v>
      </c>
      <c r="AL53" s="11">
        <f>IF(AG53,IF(COUNTIF(Raw!AV53:BK53,"&gt;=0") = 16,SUM(SUM(Raw!AV53,Raw!AW53,Raw!AX53,Raw!AY53)*SUM(Raw!AV53,Raw!AZ53,Raw!BD53,Raw!BH53),SUM(Raw!AZ53,Raw!BA53,Raw!BB53,Raw!BC53)*SUM(Raw!AW53,Raw!BA53,Raw!BE53,Raw!BI53),SUM(Raw!BD53,Raw!BE53,Raw!BF53,Raw!BG53)*SUM(Raw!AX53,Raw!BB53,Raw!BF53,Raw!BJ53),SUM(Raw!BH53,Raw!BI53,Raw!BJ53,Raw!BK53)*SUM(Raw!AY53,Raw!BC53,Raw!BG53,Raw!BK53))/AI53^2,"No Contingency Table"), "Not Included")</f>
        <v>0.36817882971729127</v>
      </c>
      <c r="AM53" s="11">
        <f>IF(AG53,IF(COUNTIF(Raw!AV53:BK53,"&gt;=0") = 16,(AK53 - AL53) / (1 - AL53),"No Contingency Table"), "Not Included")</f>
        <v>0.71592091571279903</v>
      </c>
      <c r="AN53" s="32">
        <f>IF(NOT(ISBLANK(Raw!BL53)),Raw!BL53,"Not Reported")</f>
        <v>0.72299999999999998</v>
      </c>
      <c r="AO53" s="11">
        <f t="shared" si="9"/>
        <v>0.71592091571279903</v>
      </c>
      <c r="AP53" s="11">
        <f t="shared" si="10"/>
        <v>1</v>
      </c>
      <c r="AQ53" s="11" t="b">
        <f t="shared" ref="AQ53:AR53" si="223">BQ53</f>
        <v>1</v>
      </c>
      <c r="AR53" s="11" t="str">
        <f t="shared" si="223"/>
        <v>Contingency</v>
      </c>
      <c r="AS53" s="15">
        <f t="shared" si="12"/>
        <v>39</v>
      </c>
      <c r="AT53" s="15">
        <f t="shared" si="13"/>
        <v>39</v>
      </c>
      <c r="AU53" s="11">
        <f>IF(AQ53, IF(COUNTIF(Raw!AV53:BK53, "&gt;=0") = 16, IFERROR((AT53*Raw!BK53 - SUM(Raw!BH53, Raw!BI53, Raw!BJ53, Raw!BK53)*SUM(Raw!AY53, Raw!BC53, Raw!BG53, Raw!BK53)) / SQRT((AT53*SUM(Raw!BH53, Raw!BI53, Raw!BJ53, Raw!BK53) - SUM(Raw!BH53, Raw!BI53, Raw!BJ53, Raw!BK53)^2) * (AT53*SUM(Raw!AY53, Raw!BC53, Raw!BG53, Raw!BK53) - SUM(Raw!AY53, Raw!BC53, Raw!BG53, Raw!BK53)^2)), 0), "No Contingency Table"), "Not Included")</f>
        <v>0.58925565098878963</v>
      </c>
      <c r="AV53" s="11" t="str">
        <f>IF(AQ53,IF(NOT(ISBLANK(Raw!BQ53)), Raw!BQ53, IF(NOT(ISBLANK(Raw!BR53)), Raw!BR53, "Not Reported")), "Not Included")</f>
        <v>Not Reported</v>
      </c>
      <c r="AW53" s="57">
        <f t="shared" si="14"/>
        <v>0.58925565098878963</v>
      </c>
      <c r="AX53" s="11" t="str">
        <f t="shared" si="15"/>
        <v>NA</v>
      </c>
      <c r="AY53" s="11" t="b">
        <f t="shared" ref="AY53:AZ53" si="224">AQ53</f>
        <v>1</v>
      </c>
      <c r="AZ53" s="11" t="str">
        <f t="shared" si="224"/>
        <v>Contingency</v>
      </c>
      <c r="BA53" s="11">
        <f>IF(AY53, IF(COUNTIF(Raw!AV53:BK53, "&gt;=0") = 16, SUM(Raw!AV53,Raw!AW53,Raw!AX53,Raw!AZ53,Raw!BA53,Raw!BB53,Raw!BD53,Raw!BE53,Raw!BF53,Raw!BK53)/SUM(Raw!AV53:BK53), "No Contingency Table"), "Not Included")</f>
        <v>0.82051282051282048</v>
      </c>
      <c r="BB53" s="11">
        <f>IF(AY53, IF(COUNTIF(Raw!AV53:BK53, "&gt;=0") = 16,SUM(SUM(Raw!BH53,Raw!BI53,Raw!BJ53,Raw!BK53)*SUM(Raw!AY53,Raw!BC53,Raw!BG53,Raw!BK53),SUM(Raw!AV53:BG53)*SUM(Raw!AV53,Raw!AW53,Raw!AX53,Raw!AZ53,Raw!BA53,Raw!BB53,Raw!BD53,Raw!BE53,Raw!BF53,Raw!BH53,Raw!BI53,Raw!BJ53))/AT53^2,"No Contingency Table"), "Not Included")</f>
        <v>0.5641025641025641</v>
      </c>
      <c r="BC53" s="11">
        <f>IF(AY53, IF(COUNTIF(Raw!AV53:BK53, "&gt;=0") = 16,(BA53-BB53) / (1 - BB53),"No Contingency Table"), "Not Included")</f>
        <v>0.58823529411764697</v>
      </c>
      <c r="BD53" s="11" t="str">
        <f>IF(AY53,IF(NOT(ISBLANK(Raw!BT74)),Raw!BT74,"Not Reported"),"Not Included")</f>
        <v>Not Reported</v>
      </c>
      <c r="BE53" s="11">
        <f t="shared" si="17"/>
        <v>0.58823529411764697</v>
      </c>
      <c r="BF53" s="11" t="str">
        <f t="shared" si="18"/>
        <v>NA</v>
      </c>
      <c r="BG53" s="11">
        <f>Raw!K53</f>
        <v>1994</v>
      </c>
      <c r="BH53" s="11" t="str">
        <f>IF(Raw!L53 = "USA","USA","Non-USA")</f>
        <v>Non-USA</v>
      </c>
      <c r="BI53" s="11" t="str">
        <f>Raw!M53</f>
        <v>Ainsworth/Main-Cassidy</v>
      </c>
      <c r="BJ53" s="11">
        <f>Raw!N53</f>
        <v>0</v>
      </c>
      <c r="BK53" s="11">
        <f>Raw!P53</f>
        <v>0</v>
      </c>
      <c r="BL53" s="11">
        <f>Raw!Q53</f>
        <v>0</v>
      </c>
      <c r="BM53" s="11">
        <f>Raw!T53</f>
        <v>1</v>
      </c>
      <c r="BN53" s="11">
        <f>IFERROR(IF(AND(ISBLANK(Raw!U53), ISBLANK(Raw!V53), ISBLANK(Raw!W53), ISBLANK(Raw!X53)), "NA", IF(OR(NOT(ISBLANK(Raw!U53)), NOT(ISBLANK(Raw!W53))), AVERAGE(Raw!U53,Raw!W53), AVERAGE(Raw!V53,Raw!X53) + IF(Raw!Y53 = "2-way", R53, IF(Raw!Y53 = "3-way", AB53, IF(Raw!Y53 = "4-way", AL53, "NA")))*(1 - AVERAGE(Raw!V53,Raw!X53)))), "NA")</f>
        <v>0.97</v>
      </c>
      <c r="BO53" s="11">
        <f>Raw!O53</f>
        <v>1</v>
      </c>
      <c r="BP53" s="11" t="str">
        <f>Raw!F53</f>
        <v>Female</v>
      </c>
      <c r="BQ53" s="11" t="b">
        <f>COUNTIF(Raw!AV53:BK53, "&gt;=0") = 16</f>
        <v>1</v>
      </c>
      <c r="BR53" s="11" t="str">
        <f t="shared" si="19"/>
        <v>Contingency</v>
      </c>
      <c r="BS53" s="15">
        <f t="shared" si="20"/>
        <v>39</v>
      </c>
      <c r="BT53" s="11">
        <f>IF(BQ53, IF(COUNTIF(Raw!AV53:BK53, "&gt;=0") = 16, IFERROR((BS53*Raw!AV53 - SUM(Raw!AV53, Raw!AW53, Raw!AX53, Raw!AY53)*SUM(Raw!AV53, Raw!AZ53, Raw!BD53, Raw!BH53)) / SQRT((BS53*SUM(Raw!AV53, Raw!AW53, Raw!AX53, Raw!AY53) - SUM(Raw!AV53, Raw!AW53, Raw!AX53, Raw!AY53)^2) * (BS53*SUM(Raw!AV53, Raw!AZ53, Raw!BD53, Raw!BH53) - SUM(Raw!AV53, Raw!AZ53, Raw!BD53, Raw!BH53)^2)), 0), "No Contingency Table"), "Not Included")</f>
        <v>0.72649867493019193</v>
      </c>
      <c r="BU53" s="11">
        <f>IF(BQ53, IF(COUNTIF(Raw!AV53:BK53, "&gt;=0") = 16, SUM(Raw!BK53,Raw!BJ53,Raw!BI53,Raw!BG53,Raw!BF53,Raw!BE53,Raw!BC53,Raw!BB53,Raw!BA53,Raw!AV53)/SUM(Raw!AV53:BK53), "No Contingency Table"), "Not Included")</f>
        <v>0.92307692307692313</v>
      </c>
      <c r="BV53" s="11">
        <f>IF(BQ53, IF(COUNTIF(Raw!AV53:BK53, "&gt;=0") = 16,SUM(SUM(Raw!AV53,Raw!AW53,Raw!AX53,Raw!AY53)*SUM(Raw!AV53,Raw!AZ53,Raw!BD53,Raw!BH53),SUM(Raw!AZ53:BK53)*SUM(Raw!AW53,Raw!AX53,Raw!AY53,Raw!BA53,Raw!BB53,Raw!BC53,Raw!BE53,Raw!BF53,Raw!BG53,Raw!BI53,Raw!BJ53,Raw!BK53))/BS53^2,"No Contingency Table"), "Not Included")</f>
        <v>0.72189349112426038</v>
      </c>
      <c r="BW53" s="11">
        <f>IF(BQ53, IF(COUNTIF(Raw!AV53:BK53, "&gt;=0") = 16,(BU53-BV53) / (1 - BV53),"No Contingency Table"), "Not Included")</f>
        <v>0.72340425531914909</v>
      </c>
      <c r="BX53" s="11" t="b">
        <f t="shared" ref="BX53:BZ53" si="225">BQ53</f>
        <v>1</v>
      </c>
      <c r="BY53" s="11" t="str">
        <f t="shared" si="225"/>
        <v>Contingency</v>
      </c>
      <c r="BZ53" s="15">
        <f t="shared" si="225"/>
        <v>39</v>
      </c>
      <c r="CA53" s="11">
        <f>IF(BX53, IF(COUNTIF(Raw!AV53:BK53, "&gt;=0") = 16, IFERROR((BZ53*Raw!BF53 - SUM(Raw!BD53, Raw!BE53, Raw!BF53, Raw!BG53)*SUM(Raw!BF53, Raw!AX53, Raw!BB53, Raw!BJ53)) / SQRT((BZ53*SUM(Raw!BD53, Raw!BE53, Raw!BF53, Raw!BG53) - SUM(Raw!BD53, Raw!BE53, Raw!BF53, Raw!BG53)^2) * (BZ53*SUM(Raw!BF53, Raw!AX53, Raw!BB53, Raw!BJ53) - SUM(Raw!BF53, Raw!AX53, Raw!BB53, Raw!BJ53)^2)), 0), "No Contingency Table"), "Not Included")</f>
        <v>1</v>
      </c>
      <c r="CB53" s="11">
        <f>IF(BX53, IF(COUNTIF(Raw!AV53:BK53, "&gt;=0") = 16, SUM(Raw!AV53,Raw!AW53,Raw!AY53,Raw!AZ53,Raw!BA53,Raw!BC53,Raw!BF53,Raw!BH53,Raw!BI53,Raw!BK53) / SUM(Raw!AV53:BK53), "No Contingency Table"), "Not Included")</f>
        <v>1</v>
      </c>
      <c r="CC53" s="11">
        <f>IF(BX53, IF(COUNTIF(Raw!AV53:BK53, "&gt;=0") = 16,SUM(SUM(Raw!BD53,Raw!BE53,Raw!BF53,Raw!BG53)*SUM(Raw!BF53,Raw!AX53,Raw!BB53,Raw!BJ53),SUM(Raw!AV53:BC53,Raw!BH53:BK53)*SUM(Raw!AV53,Raw!AW53,Raw!AY53,Raw!AZ53,Raw!BA53,Raw!BC53,Raw!BD53,Raw!BE53,Raw!BG53,Raw!BH53,Raw!BI53,Raw!BK53))/BZ53^2,"No Contingency Table"), "Not Included")</f>
        <v>0.95003287310979623</v>
      </c>
      <c r="CD53" s="11">
        <f>IF(BX53, IF(COUNTIF(Raw!AV53:BK53, "&gt;=0") = 16,(CB53 - CC53) / (1 - CC53+0.000001),"No Contingency Table"), "Not Included")</f>
        <v>0.99997998724262371</v>
      </c>
      <c r="CE53" s="11" t="b">
        <f t="shared" ref="CE53:CG53" si="226">BQ53</f>
        <v>1</v>
      </c>
      <c r="CF53" s="11" t="str">
        <f t="shared" si="226"/>
        <v>Contingency</v>
      </c>
      <c r="CG53" s="15">
        <f t="shared" si="226"/>
        <v>39</v>
      </c>
      <c r="CH53" s="11">
        <f>IF(CE53, IF(COUNTIF(Raw!AV53:BK53, "&gt;=0") = 16, IFERROR((CG53*Raw!BA53 - SUM(Raw!BA53, Raw!AZ53, Raw!BB53, Raw!BC53)*SUM(Raw!BA53, Raw!AW53, Raw!BE53, Raw!BI53)) / SQRT((CG53*SUM(Raw!BA53, Raw!AZ53, Raw!BB53, Raw!BC53) - SUM(Raw!BA53, Raw!AZ53, Raw!BB53, Raw!BC53)^2) * (CG53*SUM(Raw!BA53, Raw!AW53, Raw!BE53, Raw!BI53) - SUM(Raw!BA53, Raw!AW53, Raw!BE53, Raw!BI53)^2)), 0), "No Contingency Table"), "Not Included")</f>
        <v>0.79473684210526319</v>
      </c>
      <c r="CI53" s="11">
        <f>IF(CE53, IF(COUNTIF(Raw!AV53:BK53, "&gt;=0") = 16, SUM(Raw!AV53,Raw!AX53,Raw!AY53,Raw!BA53,Raw!BD53,Raw!BF53,Raw!BG53,Raw!BH53,Raw!BJ53,Raw!BK53) / SUM(Raw!AV53:BK53), "No Contingency Table"), "Not Included")</f>
        <v>0.89743589743589747</v>
      </c>
      <c r="CJ53" s="61">
        <f>IF(BX53, IF(COUNTIF(Raw!AV53:BK53, "&gt;=0") = 16,SUM(SUM(Raw!AZ53,Raw!BA53,Raw!BB53,Raw!BC53)*SUM(Raw!BA53,Raw!AW53,Raw!BE53,Raw!BI53),SUM(Raw!AV53:AY53,Raw!BD53:BK53)*SUM(Raw!AV53,Raw!AX53,Raw!AY53,Raw!AZ53,Raw!BB53,Raw!BC53,Raw!BD53,Raw!BF53,Raw!BG53,Raw!BH53,Raw!BJ53,Raw!BK53))/CG53^2,"No Contingency Table"), "Not Included")</f>
        <v>0.50032873109796183</v>
      </c>
      <c r="CK53" s="11">
        <f>IF(BX53, IF(COUNTIF(Raw!AV53:BK53, "&gt;=0") = 16,(CI53 - CJ53) / (1 - CJ53),"No Contingency Table"), "Not Included")</f>
        <v>0.79473684210526319</v>
      </c>
      <c r="CL53" s="11">
        <f>IF(BQ53, IFERROR(Raw!AV53/SUM(Raw!AV53:AY53), 0), "Not Included")</f>
        <v>0.83333333333333337</v>
      </c>
      <c r="CM53" s="11">
        <f>IF(BQ53, IFERROR(Raw!BA53/SUM(Raw!AZ53:BC53), 0), "Not Included")</f>
        <v>0.89473684210526316</v>
      </c>
      <c r="CN53" s="11">
        <f>IF(BQ53, IFERROR(Raw!BF53/SUM(Raw!BD53:BG53), 0), "Not Included")</f>
        <v>1</v>
      </c>
      <c r="CO53" s="11">
        <f>IF(BQ53, IFERROR(Raw!BK53/SUM(Raw!BH53:BK53), 0), "Not Included")</f>
        <v>0.69230769230769229</v>
      </c>
      <c r="CP53" s="11">
        <f>IF(BQ53, IFERROR(SUM(Raw!AV53,Raw!AX53,Raw!AY53,Raw!BD53,Raw!BF53,Raw!BG53,Raw!BH53,Raw!BJ53,Raw!BK53)/SUM(Raw!AV53,Raw!AW53,Raw!AX53,Raw!AY53,Raw!BD53,Raw!BE53,Raw!BF53,Raw!BG53,Raw!BH53,Raw!BI53,Raw!BJ53,Raw!BK53), 0), "Not Included")</f>
        <v>0.9</v>
      </c>
      <c r="CQ53" s="11">
        <f>IF(BQ53, IFERROR(SUM(Raw!AV53:AX53,Raw!AZ53:BB53,Raw!BD53:BF53)/SUM(Raw!AV53:BF53), 0), "Not Included")</f>
        <v>0.88461538461538458</v>
      </c>
      <c r="CR53" s="11">
        <f>IF(BQ53, IFERROR(SUM(Raw!AV53:AY53), 0), "Not Included")</f>
        <v>6</v>
      </c>
      <c r="CS53" s="11">
        <f>IF(BQ53, IFERROR(SUM(Raw!AZ53:BC53), 0), "Not Included")</f>
        <v>19</v>
      </c>
      <c r="CT53" s="11">
        <f>IF(BQ53, IFERROR(SUM(Raw!BD53:BG53), 0), "Not Included")</f>
        <v>1</v>
      </c>
      <c r="CU53" s="11">
        <f>IF(BQ53, IFERROR(SUM(Raw!BH53:BK53), 0), "Not Included")</f>
        <v>13</v>
      </c>
      <c r="CV53" s="11">
        <f>IF(BQ53, IFERROR(SUM(Raw!AV53,Raw!AW53,Raw!AX53,Raw!AY53,Raw!BD53,Raw!BE53,Raw!BF53,Raw!BG53,Raw!BH53,Raw!BI53,Raw!BJ53,Raw!BK53), 0), "Not Included")</f>
        <v>20</v>
      </c>
      <c r="CW53" s="11">
        <f>IF(BQ53, IFERROR(SUM(Raw!AV53:BF53), 0), "Not Included")</f>
        <v>26</v>
      </c>
      <c r="CX53" s="11">
        <f>IF(BQ53, IFERROR((CR53*SUM(Raw!AV53,Raw!AZ53,Raw!BD53,Raw!BH53))/BS53/CR53, 0), "Not Included")</f>
        <v>0.17948717948717949</v>
      </c>
      <c r="CY53" s="11">
        <f>IF(BX53, IFERROR((CS53*SUM(Raw!BA53,Raw!AW53,Raw!BE53,Raw!BI53))/CG53/CS53, 0), "Not Included")</f>
        <v>0.48717948717948723</v>
      </c>
      <c r="CZ53" s="11">
        <f>IF(BX53, IFERROR((CT53*SUM(Raw!BF53,Raw!AX53,Raw!BB53,Raw!BJ53))/BZ53/CT53, 0), "Not Included")</f>
        <v>2.564102564102564E-2</v>
      </c>
      <c r="DA53" s="11">
        <f>IF(AY53, IFERROR((CU53*SUM(Raw!AY53,Raw!BC53,Raw!BG53,Raw!BK53))/AT53/CU53, 0), "Not Included")</f>
        <v>0.30769230769230771</v>
      </c>
      <c r="DB53" s="11">
        <f>IF(BX53, IFERROR((CV53*SUM(Raw!AV53,Raw!AX53,Raw!AY53,Raw!AZ53,Raw!BB53,Raw!BC53,Raw!BD53,Raw!BF53,Raw!BG53,Raw!BH53,Raw!BJ53,Raw!BK53))/CG53/CV53,0), "Not Included")</f>
        <v>0.51282051282051289</v>
      </c>
      <c r="DC53" s="11">
        <f>IF(AY53, IFERROR((CW53*SUM(Raw!AV53,Raw!AW53,Raw!AX53,Raw!AZ53,Raw!BA53,Raw!BB53,Raw!BD53,Raw!BE53,Raw!BF53,Raw!BH53,Raw!BI53,Raw!BJ53))/AT53/CW53,0), "Not Included")</f>
        <v>0.69230769230769229</v>
      </c>
    </row>
    <row r="54" spans="1:107" ht="12.75" customHeight="1">
      <c r="A54" s="11">
        <f>Raw!D54</f>
        <v>36</v>
      </c>
      <c r="B54" s="11" t="str">
        <f>Raw!A54</f>
        <v>Waters &amp; Valenzuela (1999)</v>
      </c>
      <c r="C54" s="11">
        <f>Raw!G54</f>
        <v>1</v>
      </c>
      <c r="D54" s="11" t="str">
        <f>Raw!E54</f>
        <v>Well nourished</v>
      </c>
      <c r="E54" s="11" t="str">
        <f>CONCATENATE(IF(Raw!I54&lt;='Interval Definitions'!$B$2, 'Interval Definitions'!$A$2, IF(Raw!I54&lt;='Interval Definitions'!$B$3, 'Interval Definitions'!$A$3, IF(Raw!I54&lt;='Interval Definitions'!$B$4, 'Interval Definitions'!$A$4, IF(Raw!I54&lt;='Interval Definitions'!$B$5, 'Interval Definitions'!$A$5, "None")))), " - ", IF(Raw!J54&lt;='Interval Definitions'!$B$2, 'Interval Definitions'!$A$2, IF(Raw!J54&lt;='Interval Definitions'!$B$3, 'Interval Definitions'!$A$3, IF(Raw!J54&lt;='Interval Definitions'!$B$4, 'Interval Definitions'!$A$4, IF(Raw!J54&lt;='Interval Definitions'!$B$5, 'Interval Definitions'!$A$5, "None")))))</f>
        <v>Infancy - Toddlerhood</v>
      </c>
      <c r="F54" s="11" t="b">
        <f>OR(NOT(ISBLANK(Raw!AF54)),NOT(ISBLANK(Raw!AG54)),NOT(ISBLANK(Raw!AH54)),NOT(ISBLANK(Raw!AI54)),COUNTIF(Raw!AA54:AD54, "&gt;=0") = 4)</f>
        <v>1</v>
      </c>
      <c r="G54" s="11" t="str">
        <f>IF(F54, IF(COUNTIF(Raw!AA54:AD54,"&gt;=0") = 4, "Contingency", IF(NOT(ISBLANK(Raw!AF54)), "Paper r", IF(NOT(ISBLANK(Raw!AG54)), "Pinquart", IF(NOT(ISBLANK(Raw!AH54)), "Fraley", "Paper chiSq")))), "Not Included")</f>
        <v>Contingency</v>
      </c>
      <c r="H54" s="15">
        <f>IF(F54,Raw!AE54,"Not Included")</f>
        <v>34</v>
      </c>
      <c r="I54" s="15">
        <f>IF(COUNTIF(Raw!AA54:AD54,"&gt;=0") = 4, SUM(Raw!AA54:AD54), "No Contingency Table")</f>
        <v>34</v>
      </c>
      <c r="J54" s="15">
        <f t="shared" si="0"/>
        <v>34</v>
      </c>
      <c r="K54" s="38">
        <f>IF(F54, IF(COUNTIF(Raw!AA54:AD54,"&gt;=0") = 4, IFERROR((I54*Raw!AA54 - SUM(Raw!AA54,Raw!AB54)*SUM(Raw!AA54,Raw!AD54)) / SQRT((I54*SUM(Raw!AA54,Raw!AB54) - SUM(Raw!AA54,Raw!AB54)^2) * (I54*SUM(Raw!AA54,Raw!AD54) - SUM(Raw!AA54,Raw!AD54)^2)), 0), "No Contingency Table"), "Not Included")</f>
        <v>0.31434730673096578</v>
      </c>
      <c r="L54" s="41" t="str">
        <f>IF(F54,IF(NOT(ISBLANK(Raw!AF54)), Raw!AF54, IF(NOT(ISBLANK(Raw!AG54)), Raw!AG54, IF(NOT(ISBLANK(Raw!AH54)), Raw!AH54, IF(NOT(ISBLANK(Raw!AI54)), SQRT(Raw!AI54/H54)*Raw!AJ54, "Not Reported")))),"Not Included")</f>
        <v>Not Reported</v>
      </c>
      <c r="M54" s="43">
        <f t="shared" si="1"/>
        <v>0.31434730673096578</v>
      </c>
      <c r="N54" s="11" t="str">
        <f t="shared" si="2"/>
        <v>NA</v>
      </c>
      <c r="O54" s="48" t="b">
        <f>OR(NOT(ISBLANK(Raw!AK54)), COUNTIF(Raw!AA54:AD54, "&gt;=0") = 4)</f>
        <v>1</v>
      </c>
      <c r="P54" s="24" t="str">
        <f>IF(O54,IF(COUNTIF(Raw!AA54:AD54,"&gt;=0") = 4,"Contingency", "Paper k"), "Not Included")</f>
        <v>Contingency</v>
      </c>
      <c r="Q54" s="48">
        <f>IF(O54, IF(COUNTIF(Raw!AA54:AD54,"&gt;=0") = 4,SUM(Raw!AA54,Raw!AC54)/H54,"No Contingency Table"), "Not Included")</f>
        <v>0.6470588235294118</v>
      </c>
      <c r="R54" s="38">
        <f>IF(O54, IF(COUNTIF(Raw!AA54:AD54, "&gt;=0") = 4,SUM(SUM(Raw!AA54,Raw!AB54)*SUM(Raw!AA54,Raw!AD54),SUM(Raw!AC54,Raw!AD54)*SUM(Raw!AC54,Raw!AB54))/H54^2,"No Contingency Table"), "Not Included")</f>
        <v>0.5</v>
      </c>
      <c r="S54" s="38">
        <f>IF(O54, IF(COUNTIF(Raw!AA54:AD54,"&gt;=0") = 4, IFERROR((Q54 - R54) / (1 - R54), "Could not calculate"), "No Contingency Table"), "Not Included")</f>
        <v>0.29411764705882359</v>
      </c>
      <c r="T54" s="52">
        <f>IF(O54,IF(NOT(ISBLANK(Raw!AK54)), Raw!AK54, "Not Reported"), "Not Included")</f>
        <v>0.24</v>
      </c>
      <c r="U54" s="38">
        <f t="shared" si="3"/>
        <v>0.29411764705882359</v>
      </c>
      <c r="V54" s="11">
        <f t="shared" si="4"/>
        <v>0</v>
      </c>
      <c r="W54" s="11" t="b">
        <f>OR(NOT(ISBLANK(Raw!AU54)),COUNTIF(Raw!AL54:AT54,"&gt;=0") = 9)</f>
        <v>0</v>
      </c>
      <c r="X54" s="11" t="str">
        <f>IF(W54, IF(COUNTIF(Raw!AL54:AT54,"&gt;=0") = 9, "Contingency", "Paper k"), "Not Included")</f>
        <v>Not Included</v>
      </c>
      <c r="Y54" s="11" t="str">
        <f>IF(W54,IF(COUNTIF(Raw!AL54:AT54,"&gt;=0") = 9,SUM(Raw!AL54:AT54),"No Contingency Table"),"Not Included")</f>
        <v>Not Included</v>
      </c>
      <c r="Z54" s="11" t="str">
        <f t="shared" si="5"/>
        <v>Not Included</v>
      </c>
      <c r="AA54" s="11" t="str">
        <f>IF(W54,IF(COUNTIF(Raw!AL54:AT54,"&gt;=0") = 9,SUM(Raw!AL54,Raw!AP54,Raw!AT54)/Y54,"No Contingency Table"), "Not Included")</f>
        <v>Not Included</v>
      </c>
      <c r="AB54" s="11" t="str">
        <f>IF(W54,IF(COUNTIF(Raw!AL54:AT54,"&gt;=0") = 9,SUM(SUM(Raw!AL54,Raw!AM54,Raw!AN54)*SUM(Raw!AL54,Raw!AO54,Raw!AR54),SUM(Raw!AO54,Raw!AP54,Raw!AQ54)*SUM(Raw!AM54,Raw!AP54,Raw!AS54),SUM(Raw!AR54,Raw!AS54,Raw!AT54)*SUM(Raw!AN54,Raw!AQ54,Raw!AT54))/Y54^2,"No Contingency Table"), "Not Included")</f>
        <v>Not Included</v>
      </c>
      <c r="AC54" s="11" t="str">
        <f>IF(W54,IF(COUNTIF(Raw!AL54:AT54,"&gt;=0") = 9,(AA54 - AB54) / (1 - AB54),"No Contingency Table"), "Not Included")</f>
        <v>Not Included</v>
      </c>
      <c r="AD54" s="11" t="str">
        <f>IF(W54, IF(NOT(ISBLANK(Raw!AU54)),Raw!AU54,"Not Reported"), "Not Included")</f>
        <v>Not Included</v>
      </c>
      <c r="AE54" s="11" t="str">
        <f t="shared" si="6"/>
        <v>Not Included</v>
      </c>
      <c r="AF54" s="11" t="str">
        <f t="shared" si="7"/>
        <v>Not Included</v>
      </c>
      <c r="AG54" s="11" t="b">
        <f>COUNTIF(Raw!AV54:BK54, "&gt;=0") = 16</f>
        <v>1</v>
      </c>
      <c r="AH54" s="11" t="str">
        <f>IF(AG54, IF(COUNTIF(Raw!AV54:BK54,"&gt;=0") = 16, "Contingency", "Paper k"), "Not Included")</f>
        <v>Contingency</v>
      </c>
      <c r="AI54" s="15">
        <f>IF(AG54,IF(COUNTIF(Raw!AV54:BK54,"&gt;=0") = 16,SUM(Raw!AV54:BK54),"No Contingency Table"),"Not Included")</f>
        <v>34</v>
      </c>
      <c r="AJ54" s="15">
        <f t="shared" si="8"/>
        <v>34</v>
      </c>
      <c r="AK54" s="11">
        <f>IF(AG54,IF(COUNTIF(Raw!AV54:BK54,"&gt;=0") = 16,SUM(Raw!AV54,Raw!BA54,Raw!BF54,Raw!BK54)/AI54,"No Contingency Table"), "Not Included")</f>
        <v>0.61764705882352944</v>
      </c>
      <c r="AL54" s="11">
        <f>IF(AG54,IF(COUNTIF(Raw!AV54:BK54,"&gt;=0") = 16,SUM(SUM(Raw!AV54,Raw!AW54,Raw!AX54,Raw!AY54)*SUM(Raw!AV54,Raw!AZ54,Raw!BD54,Raw!BH54),SUM(Raw!AZ54,Raw!BA54,Raw!BB54,Raw!BC54)*SUM(Raw!AW54,Raw!BA54,Raw!BE54,Raw!BI54),SUM(Raw!BD54,Raw!BE54,Raw!BF54,Raw!BG54)*SUM(Raw!AX54,Raw!BB54,Raw!BF54,Raw!BJ54),SUM(Raw!BH54,Raw!BI54,Raw!BJ54,Raw!BK54)*SUM(Raw!AY54,Raw!BC54,Raw!BG54,Raw!BK54))/AI54^2,"No Contingency Table"), "Not Included")</f>
        <v>0.3944636678200692</v>
      </c>
      <c r="AM54" s="11">
        <f>IF(AG54,IF(COUNTIF(Raw!AV54:BK54,"&gt;=0") = 16,(AK54 - AL54) / (1 - AL54),"No Contingency Table"), "Not Included")</f>
        <v>0.36857142857142866</v>
      </c>
      <c r="AN54" s="32">
        <f>IF(NOT(ISBLANK(Raw!BL54)),Raw!BL54,"Not Reported")</f>
        <v>0.37</v>
      </c>
      <c r="AO54" s="11">
        <f t="shared" si="9"/>
        <v>0.36857142857142866</v>
      </c>
      <c r="AP54" s="11">
        <f t="shared" si="10"/>
        <v>1</v>
      </c>
      <c r="AQ54" s="11" t="b">
        <f t="shared" ref="AQ54:AR54" si="227">BQ54</f>
        <v>1</v>
      </c>
      <c r="AR54" s="11" t="str">
        <f t="shared" si="227"/>
        <v>Contingency</v>
      </c>
      <c r="AS54" s="15">
        <f t="shared" si="12"/>
        <v>34</v>
      </c>
      <c r="AT54" s="15">
        <f t="shared" si="13"/>
        <v>34</v>
      </c>
      <c r="AU54" s="11">
        <f>IF(AQ54, IF(COUNTIF(Raw!AV54:BK54, "&gt;=0") = 16, IFERROR((AT54*Raw!BK54 - SUM(Raw!BH54, Raw!BI54, Raw!BJ54, Raw!BK54)*SUM(Raw!AY54, Raw!BC54, Raw!BG54, Raw!BK54)) / SQRT((AT54*SUM(Raw!BH54, Raw!BI54, Raw!BJ54, Raw!BK54) - SUM(Raw!BH54, Raw!BI54, Raw!BJ54, Raw!BK54)^2) * (AT54*SUM(Raw!AY54, Raw!BC54, Raw!BG54, Raw!BK54) - SUM(Raw!AY54, Raw!BC54, Raw!BG54, Raw!BK54)^2)), 0), "No Contingency Table"), "Not Included")</f>
        <v>-7.2281812353275909E-2</v>
      </c>
      <c r="AV54" s="11" t="str">
        <f>IF(AQ54,IF(NOT(ISBLANK(Raw!BQ54)), Raw!BQ54, IF(NOT(ISBLANK(Raw!BR54)), Raw!BR54, "Not Reported")), "Not Included")</f>
        <v>Not Reported</v>
      </c>
      <c r="AW54" s="57">
        <f t="shared" si="14"/>
        <v>-7.2281812353275909E-2</v>
      </c>
      <c r="AX54" s="11" t="str">
        <f t="shared" si="15"/>
        <v>NA</v>
      </c>
      <c r="AY54" s="11" t="b">
        <f t="shared" ref="AY54:AZ54" si="228">AQ54</f>
        <v>1</v>
      </c>
      <c r="AZ54" s="11" t="str">
        <f t="shared" si="228"/>
        <v>Contingency</v>
      </c>
      <c r="BA54" s="11">
        <f>IF(AY54, IF(COUNTIF(Raw!AV54:BK54, "&gt;=0") = 16, SUM(Raw!AV54,Raw!AW54,Raw!AX54,Raw!AZ54,Raw!BA54,Raw!BB54,Raw!BD54,Raw!BE54,Raw!BF54,Raw!BK54)/SUM(Raw!AV54:BK54), "No Contingency Table"), "Not Included")</f>
        <v>0.82352941176470584</v>
      </c>
      <c r="BB54" s="11">
        <f>IF(AY54, IF(COUNTIF(Raw!AV54:BK54, "&gt;=0") = 16,SUM(SUM(Raw!BH54,Raw!BI54,Raw!BJ54,Raw!BK54)*SUM(Raw!AY54,Raw!BC54,Raw!BG54,Raw!BK54),SUM(Raw!AV54:BG54)*SUM(Raw!AV54,Raw!AW54,Raw!AX54,Raw!AZ54,Raw!BA54,Raw!BB54,Raw!BD54,Raw!BE54,Raw!BF54,Raw!BH54,Raw!BI54,Raw!BJ54))/AT54^2,"No Contingency Table"), "Not Included")</f>
        <v>0.83217993079584773</v>
      </c>
      <c r="BC54" s="11">
        <f>IF(AY54, IF(COUNTIF(Raw!AV54:BK54, "&gt;=0") = 16,(BA54-BB54) / (1 - BB54),"No Contingency Table"), "Not Included")</f>
        <v>-5.1546391752577442E-2</v>
      </c>
      <c r="BD54" s="11" t="str">
        <f>IF(AY54,IF(NOT(ISBLANK(Raw!BT75)),Raw!BT75,"Not Reported"),"Not Included")</f>
        <v>Not Reported</v>
      </c>
      <c r="BE54" s="11">
        <f t="shared" si="17"/>
        <v>-5.1546391752577442E-2</v>
      </c>
      <c r="BF54" s="11" t="str">
        <f t="shared" si="18"/>
        <v>NA</v>
      </c>
      <c r="BG54" s="11">
        <f>Raw!K54</f>
        <v>1999</v>
      </c>
      <c r="BH54" s="11" t="str">
        <f>IF(Raw!L54 = "USA","USA","Non-USA")</f>
        <v>Non-USA</v>
      </c>
      <c r="BI54" s="11" t="str">
        <f>Raw!M54</f>
        <v>Ainsworth/Ainsworth</v>
      </c>
      <c r="BJ54" s="11">
        <f>Raw!N54</f>
        <v>0</v>
      </c>
      <c r="BK54" s="11">
        <f>Raw!P54</f>
        <v>1</v>
      </c>
      <c r="BL54" s="11">
        <f>Raw!Q54</f>
        <v>0</v>
      </c>
      <c r="BM54" s="11">
        <f>Raw!T54</f>
        <v>1</v>
      </c>
      <c r="BN54" s="11">
        <f>IFERROR(IF(AND(ISBLANK(Raw!U54), ISBLANK(Raw!V54), ISBLANK(Raw!W54), ISBLANK(Raw!X54)), "NA", IF(OR(NOT(ISBLANK(Raw!U54)), NOT(ISBLANK(Raw!W54))), AVERAGE(Raw!U54,Raw!W54), AVERAGE(Raw!V54,Raw!X54) + IF(Raw!Y54 = "2-way", R54, IF(Raw!Y54 = "3-way", AB54, IF(Raw!Y54 = "4-way", AL54, "NA")))*(1 - AVERAGE(Raw!V54,Raw!X54)))), "NA")</f>
        <v>0.85949999999999993</v>
      </c>
      <c r="BO54" s="11">
        <f>Raw!O54</f>
        <v>0</v>
      </c>
      <c r="BP54" s="11" t="str">
        <f>Raw!F54</f>
        <v>Female</v>
      </c>
      <c r="BQ54" s="11" t="b">
        <f>COUNTIF(Raw!AV54:BK54, "&gt;=0") = 16</f>
        <v>1</v>
      </c>
      <c r="BR54" s="11" t="str">
        <f t="shared" si="19"/>
        <v>Contingency</v>
      </c>
      <c r="BS54" s="15">
        <f t="shared" si="20"/>
        <v>34</v>
      </c>
      <c r="BT54" s="11">
        <f>IF(BQ54, IF(COUNTIF(Raw!AV54:BK54, "&gt;=0") = 16, IFERROR((BS54*Raw!AV54 - SUM(Raw!AV54, Raw!AW54, Raw!AX54, Raw!AY54)*SUM(Raw!AV54, Raw!AZ54, Raw!BD54, Raw!BH54)) / SQRT((BS54*SUM(Raw!AV54, Raw!AW54, Raw!AX54, Raw!AY54) - SUM(Raw!AV54, Raw!AW54, Raw!AX54, Raw!AY54)^2) * (BS54*SUM(Raw!AV54, Raw!AZ54, Raw!BD54, Raw!BH54) - SUM(Raw!AV54, Raw!AZ54, Raw!BD54, Raw!BH54)^2)), 0), "No Contingency Table"), "Not Included")</f>
        <v>0.59523809523809523</v>
      </c>
      <c r="BU54" s="11">
        <f>IF(BQ54, IF(COUNTIF(Raw!AV54:BK54, "&gt;=0") = 16, SUM(Raw!BK54,Raw!BJ54,Raw!BI54,Raw!BG54,Raw!BF54,Raw!BE54,Raw!BC54,Raw!BB54,Raw!BA54,Raw!AV54)/SUM(Raw!AV54:BK54), "No Contingency Table"), "Not Included")</f>
        <v>0.88235294117647056</v>
      </c>
      <c r="BV54" s="11">
        <f>IF(BQ54, IF(COUNTIF(Raw!AV54:BK54, "&gt;=0") = 16,SUM(SUM(Raw!AV54,Raw!AW54,Raw!AX54,Raw!AY54)*SUM(Raw!AV54,Raw!AZ54,Raw!BD54,Raw!BH54),SUM(Raw!AZ54:BK54)*SUM(Raw!AW54,Raw!AX54,Raw!AY54,Raw!BA54,Raw!BB54,Raw!BC54,Raw!BE54,Raw!BF54,Raw!BG54,Raw!BI54,Raw!BJ54,Raw!BK54))/BS54^2,"No Contingency Table"), "Not Included")</f>
        <v>0.70934256055363321</v>
      </c>
      <c r="BW54" s="11">
        <f>IF(BQ54, IF(COUNTIF(Raw!AV54:BK54, "&gt;=0") = 16,(BU54-BV54) / (1 - BV54),"No Contingency Table"), "Not Included")</f>
        <v>0.59523809523809512</v>
      </c>
      <c r="BX54" s="11" t="b">
        <f t="shared" ref="BX54:BZ54" si="229">BQ54</f>
        <v>1</v>
      </c>
      <c r="BY54" s="11" t="str">
        <f t="shared" si="229"/>
        <v>Contingency</v>
      </c>
      <c r="BZ54" s="15">
        <f t="shared" si="229"/>
        <v>34</v>
      </c>
      <c r="CA54" s="11">
        <f>IF(BX54, IF(COUNTIF(Raw!AV54:BK54, "&gt;=0") = 16, IFERROR((BZ54*Raw!BF54 - SUM(Raw!BD54, Raw!BE54, Raw!BF54, Raw!BG54)*SUM(Raw!BF54, Raw!AX54, Raw!BB54, Raw!BJ54)) / SQRT((BZ54*SUM(Raw!BD54, Raw!BE54, Raw!BF54, Raw!BG54) - SUM(Raw!BD54, Raw!BE54, Raw!BF54, Raw!BG54)^2) * (BZ54*SUM(Raw!BF54, Raw!AX54, Raw!BB54, Raw!BJ54) - SUM(Raw!BF54, Raw!AX54, Raw!BB54, Raw!BJ54)^2)), 0), "No Contingency Table"), "Not Included")</f>
        <v>0.54935026557353572</v>
      </c>
      <c r="CB54" s="11">
        <f>IF(BX54, IF(COUNTIF(Raw!AV54:BK54, "&gt;=0") = 16, SUM(Raw!AV54,Raw!AW54,Raw!AY54,Raw!AZ54,Raw!BA54,Raw!BC54,Raw!BF54,Raw!BH54,Raw!BI54,Raw!BK54) / SUM(Raw!AV54:BK54), "No Contingency Table"), "Not Included")</f>
        <v>0.88235294117647056</v>
      </c>
      <c r="CC54" s="11">
        <f>IF(BX54, IF(COUNTIF(Raw!AV54:BK54, "&gt;=0") = 16,SUM(SUM(Raw!BD54,Raw!BE54,Raw!BF54,Raw!BG54)*SUM(Raw!BF54,Raw!AX54,Raw!BB54,Raw!BJ54),SUM(Raw!AV54:BC54,Raw!BH54:BK54)*SUM(Raw!AV54,Raw!AW54,Raw!AY54,Raw!AZ54,Raw!BA54,Raw!BC54,Raw!BD54,Raw!BE54,Raw!BG54,Raw!BH54,Raw!BI54,Raw!BK54))/BZ54^2,"No Contingency Table"), "Not Included")</f>
        <v>0.74740484429065746</v>
      </c>
      <c r="CD54" s="11">
        <f>IF(BX54, IF(COUNTIF(Raw!AV54:BK54, "&gt;=0") = 16,(CB54 - CC54) / (1 - CC54+0.000001),"No Contingency Table"), "Not Included")</f>
        <v>0.53424446031987616</v>
      </c>
      <c r="CE54" s="11" t="b">
        <f t="shared" ref="CE54:CG54" si="230">BQ54</f>
        <v>1</v>
      </c>
      <c r="CF54" s="11" t="str">
        <f t="shared" si="230"/>
        <v>Contingency</v>
      </c>
      <c r="CG54" s="15">
        <f t="shared" si="230"/>
        <v>34</v>
      </c>
      <c r="CH54" s="11">
        <f>IF(CE54, IF(COUNTIF(Raw!AV54:BK54, "&gt;=0") = 16, IFERROR((CG54*Raw!BA54 - SUM(Raw!BA54, Raw!AZ54, Raw!BB54, Raw!BC54)*SUM(Raw!BA54, Raw!AW54, Raw!BE54, Raw!BI54)) / SQRT((CG54*SUM(Raw!BA54, Raw!AZ54, Raw!BB54, Raw!BC54) - SUM(Raw!BA54, Raw!AZ54, Raw!BB54, Raw!BC54)^2) * (CG54*SUM(Raw!BA54, Raw!AW54, Raw!BE54, Raw!BI54) - SUM(Raw!BA54, Raw!AW54, Raw!BE54, Raw!BI54)^2)), 0), "No Contingency Table"), "Not Included")</f>
        <v>0.31434730673096578</v>
      </c>
      <c r="CI54" s="11">
        <f>IF(CE54, IF(COUNTIF(Raw!AV54:BK54, "&gt;=0") = 16, SUM(Raw!AV54,Raw!AX54,Raw!AY54,Raw!BA54,Raw!BD54,Raw!BF54,Raw!BG54,Raw!BH54,Raw!BJ54,Raw!BK54) / SUM(Raw!AV54:BK54), "No Contingency Table"), "Not Included")</f>
        <v>0.6470588235294118</v>
      </c>
      <c r="CJ54" s="61">
        <f>IF(BX54, IF(COUNTIF(Raw!AV54:BK54, "&gt;=0") = 16,SUM(SUM(Raw!AZ54,Raw!BA54,Raw!BB54,Raw!BC54)*SUM(Raw!BA54,Raw!AW54,Raw!BE54,Raw!BI54),SUM(Raw!AV54:AY54,Raw!BD54:BK54)*SUM(Raw!AV54,Raw!AX54,Raw!AY54,Raw!AZ54,Raw!BB54,Raw!BC54,Raw!BD54,Raw!BF54,Raw!BG54,Raw!BH54,Raw!BJ54,Raw!BK54))/CG54^2,"No Contingency Table"), "Not Included")</f>
        <v>0.5</v>
      </c>
      <c r="CK54" s="11">
        <f>IF(BX54, IF(COUNTIF(Raw!AV54:BK54, "&gt;=0") = 16,(CI54 - CJ54) / (1 - CJ54),"No Contingency Table"), "Not Included")</f>
        <v>0.29411764705882359</v>
      </c>
      <c r="CL54" s="11">
        <f>IF(BQ54, IFERROR(Raw!AV54/SUM(Raw!AV54:AY54), 0), "Not Included")</f>
        <v>0.66666666666666663</v>
      </c>
      <c r="CM54" s="11">
        <f>IF(BQ54, IFERROR(Raw!BA54/SUM(Raw!AZ54:BC54), 0), "Not Included")</f>
        <v>0.82352941176470584</v>
      </c>
      <c r="CN54" s="11">
        <f>IF(BQ54, IFERROR(Raw!BF54/SUM(Raw!BD54:BG54), 0), "Not Included")</f>
        <v>0.5</v>
      </c>
      <c r="CO54" s="11">
        <f>IF(BQ54, IFERROR(Raw!BK54/SUM(Raw!BH54:BK54), 0), "Not Included")</f>
        <v>0</v>
      </c>
      <c r="CP54" s="11">
        <f>IF(BQ54, IFERROR(SUM(Raw!AV54,Raw!AX54,Raw!AY54,Raw!BD54,Raw!BF54,Raw!BG54,Raw!BH54,Raw!BJ54,Raw!BK54)/SUM(Raw!AV54,Raw!AW54,Raw!AX54,Raw!AY54,Raw!BD54,Raw!BE54,Raw!BF54,Raw!BG54,Raw!BH54,Raw!BI54,Raw!BJ54,Raw!BK54), 0), "Not Included")</f>
        <v>0.47058823529411764</v>
      </c>
      <c r="CQ54" s="11">
        <f>IF(BQ54, IFERROR(SUM(Raw!AV54:AX54,Raw!AZ54:BB54,Raw!BD54:BF54)/SUM(Raw!AV54:BF54), 0), "Not Included")</f>
        <v>0.96551724137931039</v>
      </c>
      <c r="CR54" s="11">
        <f>IF(BQ54, IFERROR(SUM(Raw!AV54:AY54), 0), "Not Included")</f>
        <v>6</v>
      </c>
      <c r="CS54" s="11">
        <f>IF(BQ54, IFERROR(SUM(Raw!AZ54:BC54), 0), "Not Included")</f>
        <v>17</v>
      </c>
      <c r="CT54" s="11">
        <f>IF(BQ54, IFERROR(SUM(Raw!BD54:BG54), 0), "Not Included")</f>
        <v>6</v>
      </c>
      <c r="CU54" s="11">
        <f>IF(BQ54, IFERROR(SUM(Raw!BH54:BK54), 0), "Not Included")</f>
        <v>5</v>
      </c>
      <c r="CV54" s="11">
        <f>IF(BQ54, IFERROR(SUM(Raw!AV54,Raw!AW54,Raw!AX54,Raw!AY54,Raw!BD54,Raw!BE54,Raw!BF54,Raw!BG54,Raw!BH54,Raw!BI54,Raw!BJ54,Raw!BK54), 0), "Not Included")</f>
        <v>17</v>
      </c>
      <c r="CW54" s="11">
        <f>IF(BQ54, IFERROR(SUM(Raw!AV54:BF54), 0), "Not Included")</f>
        <v>29</v>
      </c>
      <c r="CX54" s="11">
        <f>IF(BQ54, IFERROR((CR54*SUM(Raw!AV54,Raw!AZ54,Raw!BD54,Raw!BH54))/BS54/CR54, 0), "Not Included")</f>
        <v>0.17647058823529413</v>
      </c>
      <c r="CY54" s="11">
        <f>IF(BX54, IFERROR((CS54*SUM(Raw!BA54,Raw!AW54,Raw!BE54,Raw!BI54))/CG54/CS54, 0), "Not Included")</f>
        <v>0.67647058823529416</v>
      </c>
      <c r="CZ54" s="11">
        <f>IF(BX54, IFERROR((CT54*SUM(Raw!BF54,Raw!AX54,Raw!BB54,Raw!BJ54))/BZ54/CT54, 0), "Not Included")</f>
        <v>0.11764705882352942</v>
      </c>
      <c r="DA54" s="11">
        <f>IF(AY54, IFERROR((CU54*SUM(Raw!AY54,Raw!BC54,Raw!BG54,Raw!BK54))/AT54/CU54, 0), "Not Included")</f>
        <v>2.9411764705882353E-2</v>
      </c>
      <c r="DB54" s="11">
        <f>IF(BX54, IFERROR((CV54*SUM(Raw!AV54,Raw!AX54,Raw!AY54,Raw!AZ54,Raw!BB54,Raw!BC54,Raw!BD54,Raw!BF54,Raw!BG54,Raw!BH54,Raw!BJ54,Raw!BK54))/CG54/CV54,0), "Not Included")</f>
        <v>0.3235294117647059</v>
      </c>
      <c r="DC54" s="11">
        <f>IF(AY54, IFERROR((CW54*SUM(Raw!AV54,Raw!AW54,Raw!AX54,Raw!AZ54,Raw!BA54,Raw!BB54,Raw!BD54,Raw!BE54,Raw!BF54,Raw!BH54,Raw!BI54,Raw!BJ54))/AT54/CW54,0), "Not Included")</f>
        <v>0.97058823529411764</v>
      </c>
    </row>
    <row r="55" spans="1:107" ht="12.75" customHeight="1">
      <c r="A55" s="11">
        <f>Raw!D55</f>
        <v>37</v>
      </c>
      <c r="B55" s="11" t="str">
        <f>Raw!A55</f>
        <v>Waters &amp; Valenzuela (1999)</v>
      </c>
      <c r="C55" s="11">
        <f>Raw!G55</f>
        <v>1</v>
      </c>
      <c r="D55" s="11" t="str">
        <f>Raw!E55</f>
        <v>Undernourished</v>
      </c>
      <c r="E55" s="11" t="str">
        <f>CONCATENATE(IF(Raw!I55&lt;='Interval Definitions'!$B$2, 'Interval Definitions'!$A$2, IF(Raw!I55&lt;='Interval Definitions'!$B$3, 'Interval Definitions'!$A$3, IF(Raw!I55&lt;='Interval Definitions'!$B$4, 'Interval Definitions'!$A$4, IF(Raw!I55&lt;='Interval Definitions'!$B$5, 'Interval Definitions'!$A$5, "None")))), " - ", IF(Raw!J55&lt;='Interval Definitions'!$B$2, 'Interval Definitions'!$A$2, IF(Raw!J55&lt;='Interval Definitions'!$B$3, 'Interval Definitions'!$A$3, IF(Raw!J55&lt;='Interval Definitions'!$B$4, 'Interval Definitions'!$A$4, IF(Raw!J55&lt;='Interval Definitions'!$B$5, 'Interval Definitions'!$A$5, "None")))))</f>
        <v>Infancy - Toddlerhood</v>
      </c>
      <c r="F55" s="11" t="b">
        <f>OR(NOT(ISBLANK(Raw!AF55)),NOT(ISBLANK(Raw!AG55)),NOT(ISBLANK(Raw!AH55)),NOT(ISBLANK(Raw!AI55)),COUNTIF(Raw!AA55:AD55, "&gt;=0") = 4)</f>
        <v>1</v>
      </c>
      <c r="G55" s="11" t="str">
        <f>IF(F55, IF(COUNTIF(Raw!AA55:AD55,"&gt;=0") = 4, "Contingency", IF(NOT(ISBLANK(Raw!AF55)), "Paper r", IF(NOT(ISBLANK(Raw!AG55)), "Pinquart", IF(NOT(ISBLANK(Raw!AH55)), "Fraley", "Paper chiSq")))), "Not Included")</f>
        <v>Contingency</v>
      </c>
      <c r="H55" s="15">
        <f>IF(F55,Raw!AE55,"Not Included")</f>
        <v>37</v>
      </c>
      <c r="I55" s="15">
        <f>IF(COUNTIF(Raw!AA55:AD55,"&gt;=0") = 4, SUM(Raw!AA55:AD55), "No Contingency Table")</f>
        <v>37</v>
      </c>
      <c r="J55" s="15">
        <f t="shared" si="0"/>
        <v>37</v>
      </c>
      <c r="K55" s="38">
        <f>IF(F55, IF(COUNTIF(Raw!AA55:AD55,"&gt;=0") = 4, IFERROR((I55*Raw!AA55 - SUM(Raw!AA55,Raw!AB55)*SUM(Raw!AA55,Raw!AD55)) / SQRT((I55*SUM(Raw!AA55,Raw!AB55) - SUM(Raw!AA55,Raw!AB55)^2) * (I55*SUM(Raw!AA55,Raw!AD55) - SUM(Raw!AA55,Raw!AD55)^2)), 0), "No Contingency Table"), "Not Included")</f>
        <v>-0.18077538151554681</v>
      </c>
      <c r="L55" s="41" t="str">
        <f>IF(F55,IF(NOT(ISBLANK(Raw!AF55)), Raw!AF55, IF(NOT(ISBLANK(Raw!AG55)), Raw!AG55, IF(NOT(ISBLANK(Raw!AH55)), Raw!AH55, IF(NOT(ISBLANK(Raw!AI55)), SQRT(Raw!AI55/H55)*Raw!AJ55, "Not Reported")))),"Not Included")</f>
        <v>Not Reported</v>
      </c>
      <c r="M55" s="43">
        <f t="shared" si="1"/>
        <v>-0.18077538151554681</v>
      </c>
      <c r="N55" s="11" t="str">
        <f t="shared" si="2"/>
        <v>NA</v>
      </c>
      <c r="O55" s="48" t="b">
        <f>OR(NOT(ISBLANK(Raw!AK55)), COUNTIF(Raw!AA55:AD55, "&gt;=0") = 4)</f>
        <v>1</v>
      </c>
      <c r="P55" s="24" t="str">
        <f>IF(O55,IF(COUNTIF(Raw!AA55:AD55,"&gt;=0") = 4,"Contingency", "Paper k"), "Not Included")</f>
        <v>Contingency</v>
      </c>
      <c r="Q55" s="48">
        <f>IF(O55, IF(COUNTIF(Raw!AA55:AD55,"&gt;=0") = 4,SUM(Raw!AA55,Raw!AC55)/H55,"No Contingency Table"), "Not Included")</f>
        <v>0.64864864864864868</v>
      </c>
      <c r="R55" s="38">
        <f>IF(O55, IF(COUNTIF(Raw!AA55:AD55, "&gt;=0") = 4,SUM(SUM(Raw!AA55,Raw!AB55)*SUM(Raw!AA55,Raw!AD55),SUM(Raw!AC55,Raw!AD55)*SUM(Raw!AC55,Raw!AB55))/H55^2,"No Contingency Table"), "Not Included")</f>
        <v>0.69247626004382756</v>
      </c>
      <c r="S55" s="38">
        <f>IF(O55, IF(COUNTIF(Raw!AA55:AD55,"&gt;=0") = 4, IFERROR((Q55 - R55) / (1 - R55), "Could not calculate"), "No Contingency Table"), "Not Included")</f>
        <v>-0.14251781472684055</v>
      </c>
      <c r="T55" s="52">
        <f>IF(O55,IF(NOT(ISBLANK(Raw!AK55)), Raw!AK55, "Not Reported"), "Not Included")</f>
        <v>-0.14000000000000001</v>
      </c>
      <c r="U55" s="38">
        <f t="shared" si="3"/>
        <v>-0.14251781472684055</v>
      </c>
      <c r="V55" s="11">
        <f t="shared" si="4"/>
        <v>1</v>
      </c>
      <c r="W55" s="11" t="b">
        <f>OR(NOT(ISBLANK(Raw!AU55)),COUNTIF(Raw!AL55:AT55,"&gt;=0") = 9)</f>
        <v>0</v>
      </c>
      <c r="X55" s="11" t="str">
        <f>IF(W55, IF(COUNTIF(Raw!AL55:AT55,"&gt;=0") = 9, "Contingency", "Paper k"), "Not Included")</f>
        <v>Not Included</v>
      </c>
      <c r="Y55" s="11" t="str">
        <f>IF(W55,IF(COUNTIF(Raw!AL55:AT55,"&gt;=0") = 9,SUM(Raw!AL55:AT55),"No Contingency Table"),"Not Included")</f>
        <v>Not Included</v>
      </c>
      <c r="Z55" s="11" t="str">
        <f t="shared" si="5"/>
        <v>Not Included</v>
      </c>
      <c r="AA55" s="11" t="str">
        <f>IF(W55,IF(COUNTIF(Raw!AL55:AT55,"&gt;=0") = 9,SUM(Raw!AL55,Raw!AP55,Raw!AT55)/Y55,"No Contingency Table"), "Not Included")</f>
        <v>Not Included</v>
      </c>
      <c r="AB55" s="11" t="str">
        <f>IF(W55,IF(COUNTIF(Raw!AL55:AT55,"&gt;=0") = 9,SUM(SUM(Raw!AL55,Raw!AM55,Raw!AN55)*SUM(Raw!AL55,Raw!AO55,Raw!AR55),SUM(Raw!AO55,Raw!AP55,Raw!AQ55)*SUM(Raw!AM55,Raw!AP55,Raw!AS55),SUM(Raw!AR55,Raw!AS55,Raw!AT55)*SUM(Raw!AN55,Raw!AQ55,Raw!AT55))/Y55^2,"No Contingency Table"), "Not Included")</f>
        <v>Not Included</v>
      </c>
      <c r="AC55" s="11" t="str">
        <f>IF(W55,IF(COUNTIF(Raw!AL55:AT55,"&gt;=0") = 9,(AA55 - AB55) / (1 - AB55),"No Contingency Table"), "Not Included")</f>
        <v>Not Included</v>
      </c>
      <c r="AD55" s="11" t="str">
        <f>IF(W55, IF(NOT(ISBLANK(Raw!AU55)),Raw!AU55,"Not Reported"), "Not Included")</f>
        <v>Not Included</v>
      </c>
      <c r="AE55" s="11" t="str">
        <f t="shared" si="6"/>
        <v>Not Included</v>
      </c>
      <c r="AF55" s="11" t="str">
        <f t="shared" si="7"/>
        <v>Not Included</v>
      </c>
      <c r="AG55" s="11" t="b">
        <f>COUNTIF(Raw!AV55:BK55, "&gt;=0") = 16</f>
        <v>1</v>
      </c>
      <c r="AH55" s="11" t="str">
        <f>IF(AG55, IF(COUNTIF(Raw!AV55:BK55,"&gt;=0") = 16, "Contingency", "Paper k"), "Not Included")</f>
        <v>Contingency</v>
      </c>
      <c r="AI55" s="15">
        <f>IF(AG55,IF(COUNTIF(Raw!AV55:BK55,"&gt;=0") = 16,SUM(Raw!AV55:BK55),"No Contingency Table"),"Not Included")</f>
        <v>37</v>
      </c>
      <c r="AJ55" s="15">
        <f t="shared" si="8"/>
        <v>37</v>
      </c>
      <c r="AK55" s="11">
        <f>IF(AG55,IF(COUNTIF(Raw!AV55:BK55,"&gt;=0") = 16,SUM(Raw!AV55,Raw!BA55,Raw!BF55,Raw!BK55)/AI55,"No Contingency Table"), "Not Included")</f>
        <v>0.32432432432432434</v>
      </c>
      <c r="AL55" s="11">
        <f>IF(AG55,IF(COUNTIF(Raw!AV55:BK55,"&gt;=0") = 16,SUM(SUM(Raw!AV55,Raw!AW55,Raw!AX55,Raw!AY55)*SUM(Raw!AV55,Raw!AZ55,Raw!BD55,Raw!BH55),SUM(Raw!AZ55,Raw!BA55,Raw!BB55,Raw!BC55)*SUM(Raw!AW55,Raw!BA55,Raw!BE55,Raw!BI55),SUM(Raw!BD55,Raw!BE55,Raw!BF55,Raw!BG55)*SUM(Raw!AX55,Raw!BB55,Raw!BF55,Raw!BJ55),SUM(Raw!BH55,Raw!BI55,Raw!BJ55,Raw!BK55)*SUM(Raw!AY55,Raw!BC55,Raw!BG55,Raw!BK55))/AI55^2,"No Contingency Table"), "Not Included")</f>
        <v>0.22352081811541272</v>
      </c>
      <c r="AM55" s="11">
        <f>IF(AG55,IF(COUNTIF(Raw!AV55:BK55,"&gt;=0") = 16,(AK55 - AL55) / (1 - AL55),"No Contingency Table"), "Not Included")</f>
        <v>0.12982126058325494</v>
      </c>
      <c r="AN55" s="32">
        <f>IF(NOT(ISBLANK(Raw!BL55)),Raw!BL55,"Not Reported")</f>
        <v>0.13</v>
      </c>
      <c r="AO55" s="11">
        <f t="shared" si="9"/>
        <v>0.12982126058325494</v>
      </c>
      <c r="AP55" s="11">
        <f t="shared" si="10"/>
        <v>1</v>
      </c>
      <c r="AQ55" s="11" t="b">
        <f t="shared" ref="AQ55:AR55" si="231">BQ55</f>
        <v>1</v>
      </c>
      <c r="AR55" s="11" t="str">
        <f t="shared" si="231"/>
        <v>Contingency</v>
      </c>
      <c r="AS55" s="15">
        <f t="shared" si="12"/>
        <v>37</v>
      </c>
      <c r="AT55" s="15">
        <f t="shared" si="13"/>
        <v>37</v>
      </c>
      <c r="AU55" s="11">
        <f>IF(AQ55, IF(COUNTIF(Raw!AV55:BK55, "&gt;=0") = 16, IFERROR((AT55*Raw!BK55 - SUM(Raw!BH55, Raw!BI55, Raw!BJ55, Raw!BK55)*SUM(Raw!AY55, Raw!BC55, Raw!BG55, Raw!BK55)) / SQRT((AT55*SUM(Raw!BH55, Raw!BI55, Raw!BJ55, Raw!BK55) - SUM(Raw!BH55, Raw!BI55, Raw!BJ55, Raw!BK55)^2) * (AT55*SUM(Raw!AY55, Raw!BC55, Raw!BG55, Raw!BK55) - SUM(Raw!AY55, Raw!BC55, Raw!BG55, Raw!BK55)^2)), 0), "No Contingency Table"), "Not Included")</f>
        <v>3.7646162621052135E-3</v>
      </c>
      <c r="AV55" s="11" t="str">
        <f>IF(AQ55,IF(NOT(ISBLANK(Raw!BQ55)), Raw!BQ55, IF(NOT(ISBLANK(Raw!BR55)), Raw!BR55, "Not Reported")), "Not Included")</f>
        <v>Not Reported</v>
      </c>
      <c r="AW55" s="57">
        <f t="shared" si="14"/>
        <v>3.7646162621052135E-3</v>
      </c>
      <c r="AX55" s="11" t="str">
        <f t="shared" si="15"/>
        <v>NA</v>
      </c>
      <c r="AY55" s="11" t="b">
        <f t="shared" ref="AY55:AZ55" si="232">AQ55</f>
        <v>1</v>
      </c>
      <c r="AZ55" s="11" t="str">
        <f t="shared" si="232"/>
        <v>Contingency</v>
      </c>
      <c r="BA55" s="11">
        <f>IF(AY55, IF(COUNTIF(Raw!AV55:BK55, "&gt;=0") = 16, SUM(Raw!AV55,Raw!AW55,Raw!AX55,Raw!AZ55,Raw!BA55,Raw!BB55,Raw!BD55,Raw!BE55,Raw!BF55,Raw!BK55)/SUM(Raw!AV55:BK55), "No Contingency Table"), "Not Included")</f>
        <v>0.45945945945945948</v>
      </c>
      <c r="BB55" s="11">
        <f>IF(AY55, IF(COUNTIF(Raw!AV55:BK55, "&gt;=0") = 16,SUM(SUM(Raw!BH55,Raw!BI55,Raw!BJ55,Raw!BK55)*SUM(Raw!AY55,Raw!BC55,Raw!BG55,Raw!BK55),SUM(Raw!AV55:BG55)*SUM(Raw!AV55,Raw!AW55,Raw!AX55,Raw!AZ55,Raw!BA55,Raw!BB55,Raw!BD55,Raw!BE55,Raw!BF55,Raw!BH55,Raw!BI55,Raw!BJ55))/AT55^2,"No Contingency Table"), "Not Included")</f>
        <v>0.45799853907962018</v>
      </c>
      <c r="BC55" s="11">
        <f>IF(AY55, IF(COUNTIF(Raw!AV55:BK55, "&gt;=0") = 16,(BA55-BB55) / (1 - BB55),"No Contingency Table"), "Not Included")</f>
        <v>2.6954177897574208E-3</v>
      </c>
      <c r="BD55" s="11" t="str">
        <f>IF(AY55,IF(NOT(ISBLANK(Raw!BT76)),Raw!BT76,"Not Reported"),"Not Included")</f>
        <v>Not Reported</v>
      </c>
      <c r="BE55" s="11">
        <f t="shared" si="17"/>
        <v>2.6954177897574208E-3</v>
      </c>
      <c r="BF55" s="11" t="str">
        <f t="shared" si="18"/>
        <v>NA</v>
      </c>
      <c r="BG55" s="11">
        <f>Raw!K55</f>
        <v>1999</v>
      </c>
      <c r="BH55" s="11" t="str">
        <f>IF(Raw!L55 = "USA","USA","Non-USA")</f>
        <v>Non-USA</v>
      </c>
      <c r="BI55" s="11" t="str">
        <f>Raw!M55</f>
        <v>Ainsworth/Ainsworth</v>
      </c>
      <c r="BJ55" s="11">
        <f>Raw!N55</f>
        <v>0</v>
      </c>
      <c r="BK55" s="11">
        <f>Raw!P55</f>
        <v>1</v>
      </c>
      <c r="BL55" s="11">
        <f>Raw!Q55</f>
        <v>1</v>
      </c>
      <c r="BM55" s="11">
        <f>Raw!T55</f>
        <v>1</v>
      </c>
      <c r="BN55" s="11">
        <f>IFERROR(IF(AND(ISBLANK(Raw!U55), ISBLANK(Raw!V55), ISBLANK(Raw!W55), ISBLANK(Raw!X55)), "NA", IF(OR(NOT(ISBLANK(Raw!U55)), NOT(ISBLANK(Raw!W55))), AVERAGE(Raw!U55,Raw!W55), AVERAGE(Raw!V55,Raw!X55) + IF(Raw!Y55 = "2-way", R55, IF(Raw!Y55 = "3-way", AB55, IF(Raw!Y55 = "4-way", AL55, "NA")))*(1 - AVERAGE(Raw!V55,Raw!X55)))), "NA")</f>
        <v>0.85949999999999993</v>
      </c>
      <c r="BO55" s="11">
        <f>Raw!O55</f>
        <v>0</v>
      </c>
      <c r="BP55" s="11" t="str">
        <f>Raw!F55</f>
        <v>Female</v>
      </c>
      <c r="BQ55" s="11" t="b">
        <f>COUNTIF(Raw!AV55:BK55, "&gt;=0") = 16</f>
        <v>1</v>
      </c>
      <c r="BR55" s="11" t="str">
        <f t="shared" si="19"/>
        <v>Contingency</v>
      </c>
      <c r="BS55" s="15">
        <f t="shared" si="20"/>
        <v>37</v>
      </c>
      <c r="BT55" s="11">
        <f>IF(BQ55, IF(COUNTIF(Raw!AV55:BK55, "&gt;=0") = 16, IFERROR((BS55*Raw!AV55 - SUM(Raw!AV55, Raw!AW55, Raw!AX55, Raw!AY55)*SUM(Raw!AV55, Raw!AZ55, Raw!BD55, Raw!BH55)) / SQRT((BS55*SUM(Raw!AV55, Raw!AW55, Raw!AX55, Raw!AY55) - SUM(Raw!AV55, Raw!AW55, Raw!AX55, Raw!AY55)^2) * (BS55*SUM(Raw!AV55, Raw!AZ55, Raw!BD55, Raw!BH55) - SUM(Raw!AV55, Raw!AZ55, Raw!BD55, Raw!BH55)^2)), 0), "No Contingency Table"), "Not Included")</f>
        <v>0.35552845348746831</v>
      </c>
      <c r="BU55" s="11">
        <f>IF(BQ55, IF(COUNTIF(Raw!AV55:BK55, "&gt;=0") = 16, SUM(Raw!BK55,Raw!BJ55,Raw!BI55,Raw!BG55,Raw!BF55,Raw!BE55,Raw!BC55,Raw!BB55,Raw!BA55,Raw!AV55)/SUM(Raw!AV55:BK55), "No Contingency Table"), "Not Included")</f>
        <v>0.7567567567567568</v>
      </c>
      <c r="BV55" s="11">
        <f>IF(BQ55, IF(COUNTIF(Raw!AV55:BK55, "&gt;=0") = 16,SUM(SUM(Raw!AV55,Raw!AW55,Raw!AX55,Raw!AY55)*SUM(Raw!AV55,Raw!AZ55,Raw!BD55,Raw!BH55),SUM(Raw!AZ55:BK55)*SUM(Raw!AW55,Raw!AX55,Raw!AY55,Raw!BA55,Raw!BB55,Raw!BC55,Raw!BE55,Raw!BF55,Raw!BG55,Raw!BI55,Raw!BJ55,Raw!BK55))/BS55^2,"No Contingency Table"), "Not Included")</f>
        <v>0.63696128560993426</v>
      </c>
      <c r="BW55" s="11">
        <f>IF(BQ55, IF(COUNTIF(Raw!AV55:BK55, "&gt;=0") = 16,(BU55-BV55) / (1 - BV55),"No Contingency Table"), "Not Included")</f>
        <v>0.32997987927565403</v>
      </c>
      <c r="BX55" s="11" t="b">
        <f t="shared" ref="BX55:BZ55" si="233">BQ55</f>
        <v>1</v>
      </c>
      <c r="BY55" s="11" t="str">
        <f t="shared" si="233"/>
        <v>Contingency</v>
      </c>
      <c r="BZ55" s="15">
        <f t="shared" si="233"/>
        <v>37</v>
      </c>
      <c r="CA55" s="11">
        <f>IF(BX55, IF(COUNTIF(Raw!AV55:BK55, "&gt;=0") = 16, IFERROR((BZ55*Raw!BF55 - SUM(Raw!BD55, Raw!BE55, Raw!BF55, Raw!BG55)*SUM(Raw!BF55, Raw!AX55, Raw!BB55, Raw!BJ55)) / SQRT((BZ55*SUM(Raw!BD55, Raw!BE55, Raw!BF55, Raw!BG55) - SUM(Raw!BD55, Raw!BE55, Raw!BF55, Raw!BG55)^2) * (BZ55*SUM(Raw!BF55, Raw!AX55, Raw!BB55, Raw!BJ55) - SUM(Raw!BF55, Raw!AX55, Raw!BB55, Raw!BJ55)^2)), 0), "No Contingency Table"), "Not Included")</f>
        <v>0.36949537609475491</v>
      </c>
      <c r="CB55" s="11">
        <f>IF(BX55, IF(COUNTIF(Raw!AV55:BK55, "&gt;=0") = 16, SUM(Raw!AV55,Raw!AW55,Raw!AY55,Raw!AZ55,Raw!BA55,Raw!BC55,Raw!BF55,Raw!BH55,Raw!BI55,Raw!BK55) / SUM(Raw!AV55:BK55), "No Contingency Table"), "Not Included")</f>
        <v>0.78378378378378377</v>
      </c>
      <c r="CC55" s="11">
        <f>IF(BX55, IF(COUNTIF(Raw!AV55:BK55, "&gt;=0") = 16,SUM(SUM(Raw!BD55,Raw!BE55,Raw!BF55,Raw!BG55)*SUM(Raw!BF55,Raw!AX55,Raw!BB55,Raw!BJ55),SUM(Raw!AV55:BC55,Raw!BH55:BK55)*SUM(Raw!AV55,Raw!AW55,Raw!AY55,Raw!AZ55,Raw!BA55,Raw!BC55,Raw!BD55,Raw!BE55,Raw!BG55,Raw!BH55,Raw!BI55,Raw!BK55))/BZ55^2,"No Contingency Table"), "Not Included")</f>
        <v>0.65960555149744338</v>
      </c>
      <c r="CD55" s="11">
        <f>IF(BX55, IF(COUNTIF(Raw!AV55:BK55, "&gt;=0") = 16,(CB55 - CC55) / (1 - CC55+0.000001),"No Contingency Table"), "Not Included")</f>
        <v>0.36480579523791057</v>
      </c>
      <c r="CE55" s="11" t="b">
        <f t="shared" ref="CE55:CG55" si="234">BQ55</f>
        <v>1</v>
      </c>
      <c r="CF55" s="11" t="str">
        <f t="shared" si="234"/>
        <v>Contingency</v>
      </c>
      <c r="CG55" s="15">
        <f t="shared" si="234"/>
        <v>37</v>
      </c>
      <c r="CH55" s="11">
        <f>IF(CE55, IF(COUNTIF(Raw!AV55:BK55, "&gt;=0") = 16, IFERROR((CG55*Raw!BA55 - SUM(Raw!BA55, Raw!AZ55, Raw!BB55, Raw!BC55)*SUM(Raw!BA55, Raw!AW55, Raw!BE55, Raw!BI55)) / SQRT((CG55*SUM(Raw!BA55, Raw!AZ55, Raw!BB55, Raw!BC55) - SUM(Raw!BA55, Raw!AZ55, Raw!BB55, Raw!BC55)^2) * (CG55*SUM(Raw!BA55, Raw!AW55, Raw!BE55, Raw!BI55) - SUM(Raw!BA55, Raw!AW55, Raw!BE55, Raw!BI55)^2)), 0), "No Contingency Table"), "Not Included")</f>
        <v>-0.18077538151554681</v>
      </c>
      <c r="CI55" s="11">
        <f>IF(CE55, IF(COUNTIF(Raw!AV55:BK55, "&gt;=0") = 16, SUM(Raw!AV55,Raw!AX55,Raw!AY55,Raw!BA55,Raw!BD55,Raw!BF55,Raw!BG55,Raw!BH55,Raw!BJ55,Raw!BK55) / SUM(Raw!AV55:BK55), "No Contingency Table"), "Not Included")</f>
        <v>0.64864864864864868</v>
      </c>
      <c r="CJ55" s="61">
        <f>IF(BX55, IF(COUNTIF(Raw!AV55:BK55, "&gt;=0") = 16,SUM(SUM(Raw!AZ55,Raw!BA55,Raw!BB55,Raw!BC55)*SUM(Raw!BA55,Raw!AW55,Raw!BE55,Raw!BI55),SUM(Raw!AV55:AY55,Raw!BD55:BK55)*SUM(Raw!AV55,Raw!AX55,Raw!AY55,Raw!AZ55,Raw!BB55,Raw!BC55,Raw!BD55,Raw!BF55,Raw!BG55,Raw!BH55,Raw!BJ55,Raw!BK55))/CG55^2,"No Contingency Table"), "Not Included")</f>
        <v>0.69247626004382756</v>
      </c>
      <c r="CK55" s="11">
        <f>IF(BX55, IF(COUNTIF(Raw!AV55:BK55, "&gt;=0") = 16,(CI55 - CJ55) / (1 - CJ55),"No Contingency Table"), "Not Included")</f>
        <v>-0.14251781472684055</v>
      </c>
      <c r="CL55" s="11">
        <f>IF(BQ55, IFERROR(Raw!AV55/SUM(Raw!AV55:AY55), 0), "Not Included")</f>
        <v>0.66666666666666663</v>
      </c>
      <c r="CM55" s="11">
        <f>IF(BQ55, IFERROR(Raw!BA55/SUM(Raw!AZ55:BC55), 0), "Not Included")</f>
        <v>0</v>
      </c>
      <c r="CN55" s="11">
        <f>IF(BQ55, IFERROR(Raw!BF55/SUM(Raw!BD55:BG55), 0), "Not Included")</f>
        <v>0.5714285714285714</v>
      </c>
      <c r="CO55" s="11">
        <f>IF(BQ55, IFERROR(Raw!BK55/SUM(Raw!BH55:BK55), 0), "Not Included")</f>
        <v>0.19047619047619047</v>
      </c>
      <c r="CP55" s="11">
        <f>IF(BQ55, IFERROR(SUM(Raw!AV55,Raw!AX55,Raw!AY55,Raw!BD55,Raw!BF55,Raw!BG55,Raw!BH55,Raw!BJ55,Raw!BK55)/SUM(Raw!AV55,Raw!AW55,Raw!AX55,Raw!AY55,Raw!BD55,Raw!BE55,Raw!BF55,Raw!BG55,Raw!BH55,Raw!BI55,Raw!BJ55,Raw!BK55), 0), "Not Included")</f>
        <v>0.70588235294117652</v>
      </c>
      <c r="CQ55" s="11">
        <f>IF(BQ55, IFERROR(SUM(Raw!AV55:AX55,Raw!AZ55:BB55,Raw!BD55:BF55)/SUM(Raw!AV55:BF55), 0), "Not Included")</f>
        <v>0.9285714285714286</v>
      </c>
      <c r="CR55" s="11">
        <f>IF(BQ55, IFERROR(SUM(Raw!AV55:AY55), 0), "Not Included")</f>
        <v>6</v>
      </c>
      <c r="CS55" s="11">
        <f>IF(BQ55, IFERROR(SUM(Raw!AZ55:BC55), 0), "Not Included")</f>
        <v>3</v>
      </c>
      <c r="CT55" s="11">
        <f>IF(BQ55, IFERROR(SUM(Raw!BD55:BG55), 0), "Not Included")</f>
        <v>7</v>
      </c>
      <c r="CU55" s="11">
        <f>IF(BQ55, IFERROR(SUM(Raw!BH55:BK55), 0), "Not Included")</f>
        <v>21</v>
      </c>
      <c r="CV55" s="11">
        <f>IF(BQ55, IFERROR(SUM(Raw!AV55,Raw!AW55,Raw!AX55,Raw!AY55,Raw!BD55,Raw!BE55,Raw!BF55,Raw!BG55,Raw!BH55,Raw!BI55,Raw!BJ55,Raw!BK55), 0), "Not Included")</f>
        <v>34</v>
      </c>
      <c r="CW55" s="11">
        <f>IF(BQ55, IFERROR(SUM(Raw!AV55:BF55), 0), "Not Included")</f>
        <v>14</v>
      </c>
      <c r="CX55" s="11">
        <f>IF(BQ55, IFERROR((CR55*SUM(Raw!AV55,Raw!AZ55,Raw!BD55,Raw!BH55))/BS55/CR55, 0), "Not Included")</f>
        <v>0.29729729729729731</v>
      </c>
      <c r="CY55" s="11">
        <f>IF(BX55, IFERROR((CS55*SUM(Raw!BA55,Raw!AW55,Raw!BE55,Raw!BI55))/CG55/CS55, 0), "Not Included")</f>
        <v>0.27027027027027029</v>
      </c>
      <c r="CZ55" s="11">
        <f>IF(BX55, IFERROR((CT55*SUM(Raw!BF55,Raw!AX55,Raw!BB55,Raw!BJ55))/BZ55/CT55, 0), "Not Included")</f>
        <v>0.24324324324324323</v>
      </c>
      <c r="DA55" s="11">
        <f>IF(AY55, IFERROR((CU55*SUM(Raw!AY55,Raw!BC55,Raw!BG55,Raw!BK55))/AT55/CU55, 0), "Not Included")</f>
        <v>0.18918918918918917</v>
      </c>
      <c r="DB55" s="11">
        <f>IF(BX55, IFERROR((CV55*SUM(Raw!AV55,Raw!AX55,Raw!AY55,Raw!AZ55,Raw!BB55,Raw!BC55,Raw!BD55,Raw!BF55,Raw!BG55,Raw!BH55,Raw!BJ55,Raw!BK55))/CG55/CV55,0), "Not Included")</f>
        <v>0.72972972972972971</v>
      </c>
      <c r="DC55" s="11">
        <f>IF(AY55, IFERROR((CW55*SUM(Raw!AV55,Raw!AW55,Raw!AX55,Raw!AZ55,Raw!BA55,Raw!BB55,Raw!BD55,Raw!BE55,Raw!BF55,Raw!BH55,Raw!BI55,Raw!BJ55))/AT55/CW55,0), "Not Included")</f>
        <v>0.81081081081081074</v>
      </c>
    </row>
    <row r="56" spans="1:107" ht="12.75" customHeight="1">
      <c r="A56" s="11">
        <f>Raw!D56</f>
        <v>38</v>
      </c>
      <c r="B56" s="11" t="str">
        <f>Raw!A56</f>
        <v>Vondra et al. (2001)</v>
      </c>
      <c r="C56" s="11">
        <f>Raw!G56</f>
        <v>1</v>
      </c>
      <c r="D56" s="11" t="str">
        <f>Raw!E56</f>
        <v>12/24 months (12 month interval)</v>
      </c>
      <c r="E56" s="11" t="str">
        <f>CONCATENATE(IF(Raw!I56&lt;='Interval Definitions'!$B$2, 'Interval Definitions'!$A$2, IF(Raw!I56&lt;='Interval Definitions'!$B$3, 'Interval Definitions'!$A$3, IF(Raw!I56&lt;='Interval Definitions'!$B$4, 'Interval Definitions'!$A$4, IF(Raw!I56&lt;='Interval Definitions'!$B$5, 'Interval Definitions'!$A$5, "None")))), " - ", IF(Raw!J56&lt;='Interval Definitions'!$B$2, 'Interval Definitions'!$A$2, IF(Raw!J56&lt;='Interval Definitions'!$B$3, 'Interval Definitions'!$A$3, IF(Raw!J56&lt;='Interval Definitions'!$B$4, 'Interval Definitions'!$A$4, IF(Raw!J56&lt;='Interval Definitions'!$B$5, 'Interval Definitions'!$A$5, "None")))))</f>
        <v>Infancy - Toddlerhood</v>
      </c>
      <c r="F56" s="11" t="b">
        <f>OR(NOT(ISBLANK(Raw!AF56)),NOT(ISBLANK(Raw!AG56)),NOT(ISBLANK(Raw!AH56)),NOT(ISBLANK(Raw!AI56)),COUNTIF(Raw!AA56:AD56, "&gt;=0") = 4)</f>
        <v>1</v>
      </c>
      <c r="G56" s="11" t="str">
        <f>IF(F56, IF(COUNTIF(Raw!AA56:AD56,"&gt;=0") = 4, "Contingency", IF(NOT(ISBLANK(Raw!AF56)), "Paper r", IF(NOT(ISBLANK(Raw!AG56)), "Pinquart", IF(NOT(ISBLANK(Raw!AH56)), "Fraley", "Paper chiSq")))), "Not Included")</f>
        <v>Contingency</v>
      </c>
      <c r="H56" s="15">
        <f>IF(F56,Raw!AE56,"Not Included")</f>
        <v>198</v>
      </c>
      <c r="I56" s="15">
        <f>IF(COUNTIF(Raw!AA56:AD56,"&gt;=0") = 4, SUM(Raw!AA56:AD56), "No Contingency Table")</f>
        <v>198</v>
      </c>
      <c r="J56" s="15">
        <f t="shared" si="0"/>
        <v>198</v>
      </c>
      <c r="K56" s="38">
        <f>IF(F56, IF(COUNTIF(Raw!AA56:AD56,"&gt;=0") = 4, IFERROR((I56*Raw!AA56 - SUM(Raw!AA56,Raw!AB56)*SUM(Raw!AA56,Raw!AD56)) / SQRT((I56*SUM(Raw!AA56,Raw!AB56) - SUM(Raw!AA56,Raw!AB56)^2) * (I56*SUM(Raw!AA56,Raw!AD56) - SUM(Raw!AA56,Raw!AD56)^2)), 0), "No Contingency Table"), "Not Included")</f>
        <v>0.16584125364432675</v>
      </c>
      <c r="L56" s="41" t="str">
        <f>IF(F56,IF(NOT(ISBLANK(Raw!AF56)), Raw!AF56, IF(NOT(ISBLANK(Raw!AG56)), Raw!AG56, IF(NOT(ISBLANK(Raw!AH56)), Raw!AH56, IF(NOT(ISBLANK(Raw!AI56)), SQRT(Raw!AI56/H56)*Raw!AJ56, "Not Reported")))),"Not Included")</f>
        <v>Not Reported</v>
      </c>
      <c r="M56" s="43">
        <f t="shared" si="1"/>
        <v>0.16584125364432675</v>
      </c>
      <c r="N56" s="11" t="str">
        <f t="shared" si="2"/>
        <v>NA</v>
      </c>
      <c r="O56" s="48" t="b">
        <f>OR(NOT(ISBLANK(Raw!AK56)), COUNTIF(Raw!AA56:AD56, "&gt;=0") = 4)</f>
        <v>1</v>
      </c>
      <c r="P56" s="24" t="str">
        <f>IF(O56,IF(COUNTIF(Raw!AA56:AD56,"&gt;=0") = 4,"Contingency", "Paper k"), "Not Included")</f>
        <v>Contingency</v>
      </c>
      <c r="Q56" s="48">
        <f>IF(O56, IF(COUNTIF(Raw!AA56:AD56,"&gt;=0") = 4,SUM(Raw!AA56,Raw!AC56)/H56,"No Contingency Table"), "Not Included")</f>
        <v>0.56060606060606055</v>
      </c>
      <c r="R56" s="38">
        <f>IF(O56, IF(COUNTIF(Raw!AA56:AD56, "&gt;=0") = 4,SUM(SUM(Raw!AA56,Raw!AB56)*SUM(Raw!AA56,Raw!AD56),SUM(Raw!AC56,Raw!AD56)*SUM(Raw!AC56,Raw!AB56))/H56^2,"No Contingency Table"), "Not Included")</f>
        <v>0.48959289868380779</v>
      </c>
      <c r="S56" s="38">
        <f>IF(O56, IF(COUNTIF(Raw!AA56:AD56,"&gt;=0") = 4, IFERROR((Q56 - R56) / (1 - R56), "Could not calculate"), "No Contingency Table"), "Not Included")</f>
        <v>0.13913043478260859</v>
      </c>
      <c r="T56" s="52" t="str">
        <f>IF(O56,IF(NOT(ISBLANK(Raw!AK56)), Raw!AK56, "Not Reported"), "Not Included")</f>
        <v>Not Reported</v>
      </c>
      <c r="U56" s="38">
        <f t="shared" si="3"/>
        <v>0.13913043478260859</v>
      </c>
      <c r="V56" s="11" t="str">
        <f t="shared" si="4"/>
        <v>NA</v>
      </c>
      <c r="W56" s="11" t="b">
        <f>OR(NOT(ISBLANK(Raw!AU56)),COUNTIF(Raw!AL56:AT56,"&gt;=0") = 9)</f>
        <v>0</v>
      </c>
      <c r="X56" s="11" t="str">
        <f>IF(W56, IF(COUNTIF(Raw!AL56:AT56,"&gt;=0") = 9, "Contingency", "Paper k"), "Not Included")</f>
        <v>Not Included</v>
      </c>
      <c r="Y56" s="11" t="str">
        <f>IF(W56,IF(COUNTIF(Raw!AL56:AT56,"&gt;=0") = 9,SUM(Raw!AL56:AT56),"No Contingency Table"),"Not Included")</f>
        <v>Not Included</v>
      </c>
      <c r="Z56" s="11" t="str">
        <f t="shared" si="5"/>
        <v>Not Included</v>
      </c>
      <c r="AA56" s="11" t="str">
        <f>IF(W56,IF(COUNTIF(Raw!AL56:AT56,"&gt;=0") = 9,SUM(Raw!AL56,Raw!AP56,Raw!AT56)/Y56,"No Contingency Table"), "Not Included")</f>
        <v>Not Included</v>
      </c>
      <c r="AB56" s="11" t="str">
        <f>IF(W56,IF(COUNTIF(Raw!AL56:AT56,"&gt;=0") = 9,SUM(SUM(Raw!AL56,Raw!AM56,Raw!AN56)*SUM(Raw!AL56,Raw!AO56,Raw!AR56),SUM(Raw!AO56,Raw!AP56,Raw!AQ56)*SUM(Raw!AM56,Raw!AP56,Raw!AS56),SUM(Raw!AR56,Raw!AS56,Raw!AT56)*SUM(Raw!AN56,Raw!AQ56,Raw!AT56))/Y56^2,"No Contingency Table"), "Not Included")</f>
        <v>Not Included</v>
      </c>
      <c r="AC56" s="11" t="str">
        <f>IF(W56,IF(COUNTIF(Raw!AL56:AT56,"&gt;=0") = 9,(AA56 - AB56) / (1 - AB56),"No Contingency Table"), "Not Included")</f>
        <v>Not Included</v>
      </c>
      <c r="AD56" s="11" t="str">
        <f>IF(W56, IF(NOT(ISBLANK(Raw!AU56)),Raw!AU56,"Not Reported"), "Not Included")</f>
        <v>Not Included</v>
      </c>
      <c r="AE56" s="11" t="str">
        <f t="shared" si="6"/>
        <v>Not Included</v>
      </c>
      <c r="AF56" s="11" t="str">
        <f t="shared" si="7"/>
        <v>Not Included</v>
      </c>
      <c r="AG56" s="11" t="b">
        <f>COUNTIF(Raw!AV56:BK56, "&gt;=0") = 16</f>
        <v>1</v>
      </c>
      <c r="AH56" s="11" t="str">
        <f>IF(AG56, IF(COUNTIF(Raw!AV56:BK56,"&gt;=0") = 16, "Contingency", "Paper k"), "Not Included")</f>
        <v>Contingency</v>
      </c>
      <c r="AI56" s="15">
        <f>IF(AG56,IF(COUNTIF(Raw!AV56:BK56,"&gt;=0") = 16,SUM(Raw!AV56:BK56),"No Contingency Table"),"Not Included")</f>
        <v>198</v>
      </c>
      <c r="AJ56" s="15">
        <f t="shared" si="8"/>
        <v>198</v>
      </c>
      <c r="AK56" s="11">
        <f>IF(AG56,IF(COUNTIF(Raw!AV56:BK56,"&gt;=0") = 16,SUM(Raw!AV56,Raw!BA56,Raw!BF56,Raw!BK56)/AI56,"No Contingency Table"), "Not Included")</f>
        <v>0.32323232323232326</v>
      </c>
      <c r="AL56" s="11">
        <f>IF(AG56,IF(COUNTIF(Raw!AV56:BK56,"&gt;=0") = 16,SUM(SUM(Raw!AV56,Raw!AW56,Raw!AX56,Raw!AY56)*SUM(Raw!AV56,Raw!AZ56,Raw!BD56,Raw!BH56),SUM(Raw!AZ56,Raw!BA56,Raw!BB56,Raw!BC56)*SUM(Raw!AW56,Raw!BA56,Raw!BE56,Raw!BI56),SUM(Raw!BD56,Raw!BE56,Raw!BF56,Raw!BG56)*SUM(Raw!AX56,Raw!BB56,Raw!BF56,Raw!BJ56),SUM(Raw!BH56,Raw!BI56,Raw!BJ56,Raw!BK56)*SUM(Raw!AY56,Raw!BC56,Raw!BG56,Raw!BK56))/AI56^2,"No Contingency Table"), "Not Included")</f>
        <v>0.26453933272115088</v>
      </c>
      <c r="AM56" s="11">
        <f>IF(AG56,IF(COUNTIF(Raw!AV56:BK56,"&gt;=0") = 16,(AK56 - AL56) / (1 - AL56),"No Contingency Table"), "Not Included")</f>
        <v>7.9804390802205888E-2</v>
      </c>
      <c r="AN56" s="11" t="str">
        <f>IF(NOT(ISBLANK(Raw!BL56)),Raw!BL56,"Not Reported")</f>
        <v>Not Reported</v>
      </c>
      <c r="AO56" s="11">
        <f t="shared" si="9"/>
        <v>7.9804390802205888E-2</v>
      </c>
      <c r="AP56" s="11" t="str">
        <f t="shared" si="10"/>
        <v>NA</v>
      </c>
      <c r="AQ56" s="11" t="b">
        <f t="shared" ref="AQ56:AR56" si="235">BQ56</f>
        <v>1</v>
      </c>
      <c r="AR56" s="11" t="str">
        <f t="shared" si="235"/>
        <v>Contingency</v>
      </c>
      <c r="AS56" s="15">
        <f t="shared" si="12"/>
        <v>198</v>
      </c>
      <c r="AT56" s="15">
        <f t="shared" si="13"/>
        <v>198</v>
      </c>
      <c r="AU56" s="11">
        <f>IF(AQ56, IF(COUNTIF(Raw!AV56:BK56, "&gt;=0") = 16, IFERROR((AT56*Raw!BK56 - SUM(Raw!BH56, Raw!BI56, Raw!BJ56, Raw!BK56)*SUM(Raw!AY56, Raw!BC56, Raw!BG56, Raw!BK56)) / SQRT((AT56*SUM(Raw!BH56, Raw!BI56, Raw!BJ56, Raw!BK56) - SUM(Raw!BH56, Raw!BI56, Raw!BJ56, Raw!BK56)^2) * (AT56*SUM(Raw!AY56, Raw!BC56, Raw!BG56, Raw!BK56) - SUM(Raw!AY56, Raw!BC56, Raw!BG56, Raw!BK56)^2)), 0), "No Contingency Table"), "Not Included")</f>
        <v>8.7705801930702917E-2</v>
      </c>
      <c r="AV56" s="11" t="str">
        <f>IF(AQ56,IF(NOT(ISBLANK(Raw!BQ56)), Raw!BQ56, IF(NOT(ISBLANK(Raw!BR56)), Raw!BR56, "Not Reported")), "Not Included")</f>
        <v>Not Reported</v>
      </c>
      <c r="AW56" s="57">
        <f t="shared" si="14"/>
        <v>8.7705801930702917E-2</v>
      </c>
      <c r="AX56" s="11" t="str">
        <f t="shared" si="15"/>
        <v>NA</v>
      </c>
      <c r="AY56" s="11" t="b">
        <f t="shared" ref="AY56:AZ56" si="236">AQ56</f>
        <v>1</v>
      </c>
      <c r="AZ56" s="11" t="str">
        <f t="shared" si="236"/>
        <v>Contingency</v>
      </c>
      <c r="BA56" s="11">
        <f>IF(AY56, IF(COUNTIF(Raw!AV56:BK56, "&gt;=0") = 16, SUM(Raw!AV56,Raw!AW56,Raw!AX56,Raw!AZ56,Raw!BA56,Raw!BB56,Raw!BD56,Raw!BE56,Raw!BF56,Raw!BK56)/SUM(Raw!AV56:BK56), "No Contingency Table"), "Not Included")</f>
        <v>0.88383838383838387</v>
      </c>
      <c r="BB56" s="11">
        <f>IF(AY56, IF(COUNTIF(Raw!AV56:BK56, "&gt;=0") = 16,SUM(SUM(Raw!BH56,Raw!BI56,Raw!BJ56,Raw!BK56)*SUM(Raw!AY56,Raw!BC56,Raw!BG56,Raw!BK56),SUM(Raw!AV56:BG56)*SUM(Raw!AV56,Raw!AW56,Raw!AX56,Raw!AZ56,Raw!BA56,Raw!BB56,Raw!BD56,Raw!BE56,Raw!BF56,Raw!BH56,Raw!BI56,Raw!BJ56))/AT56^2,"No Contingency Table"), "Not Included")</f>
        <v>0.87710437710437705</v>
      </c>
      <c r="BC56" s="11">
        <f>IF(AY56, IF(COUNTIF(Raw!AV56:BK56, "&gt;=0") = 16,(BA56-BB56) / (1 - BB56),"No Contingency Table"), "Not Included")</f>
        <v>5.4794520547945834E-2</v>
      </c>
      <c r="BD56" s="11" t="str">
        <f>IF(AY56,IF(NOT(ISBLANK(Raw!BT77)),Raw!BT77,"Not Reported"),"Not Included")</f>
        <v>Not Reported</v>
      </c>
      <c r="BE56" s="11">
        <f t="shared" si="17"/>
        <v>5.4794520547945834E-2</v>
      </c>
      <c r="BF56" s="11" t="str">
        <f t="shared" si="18"/>
        <v>NA</v>
      </c>
      <c r="BG56" s="11">
        <f>Raw!K56</f>
        <v>2001</v>
      </c>
      <c r="BH56" s="11" t="str">
        <f>IF(Raw!L56 = "USA","USA","Non-USA")</f>
        <v>USA</v>
      </c>
      <c r="BI56" s="11" t="str">
        <f>Raw!M56</f>
        <v>Ainsworth/Crittenden</v>
      </c>
      <c r="BJ56" s="11">
        <f>Raw!N56</f>
        <v>0</v>
      </c>
      <c r="BK56" s="11">
        <f>Raw!P56</f>
        <v>1</v>
      </c>
      <c r="BL56" s="11">
        <f>Raw!Q56</f>
        <v>0</v>
      </c>
      <c r="BM56" s="11">
        <f>Raw!T56</f>
        <v>1</v>
      </c>
      <c r="BN56" s="11">
        <f>IFERROR(IF(AND(ISBLANK(Raw!U56), ISBLANK(Raw!V56), ISBLANK(Raw!W56), ISBLANK(Raw!X56)), "NA", IF(OR(NOT(ISBLANK(Raw!U56)), NOT(ISBLANK(Raw!W56))), AVERAGE(Raw!U56,Raw!W56), AVERAGE(Raw!V56,Raw!X56) + IF(Raw!Y56 = "2-way", R56, IF(Raw!Y56 = "3-way", AB56, IF(Raw!Y56 = "4-way", AL56, "NA")))*(1 - AVERAGE(Raw!V56,Raw!X56)))), "NA")</f>
        <v>0.69500000000000006</v>
      </c>
      <c r="BO56" s="11">
        <f>Raw!O56</f>
        <v>0</v>
      </c>
      <c r="BP56" s="11" t="str">
        <f>Raw!F56</f>
        <v>Female</v>
      </c>
      <c r="BQ56" s="11" t="b">
        <f>COUNTIF(Raw!AV56:BK56, "&gt;=0") = 16</f>
        <v>1</v>
      </c>
      <c r="BR56" s="11" t="str">
        <f t="shared" si="19"/>
        <v>Contingency</v>
      </c>
      <c r="BS56" s="15">
        <f t="shared" si="20"/>
        <v>198</v>
      </c>
      <c r="BT56" s="11">
        <f>IF(BQ56, IF(COUNTIF(Raw!AV56:BK56, "&gt;=0") = 16, IFERROR((BS56*Raw!AV56 - SUM(Raw!AV56, Raw!AW56, Raw!AX56, Raw!AY56)*SUM(Raw!AV56, Raw!AZ56, Raw!BD56, Raw!BH56)) / SQRT((BS56*SUM(Raw!AV56, Raw!AW56, Raw!AX56, Raw!AY56) - SUM(Raw!AV56, Raw!AW56, Raw!AX56, Raw!AY56)^2) * (BS56*SUM(Raw!AV56, Raw!AZ56, Raw!BD56, Raw!BH56) - SUM(Raw!AV56, Raw!AZ56, Raw!BD56, Raw!BH56)^2)), 0), "No Contingency Table"), "Not Included")</f>
        <v>0.11148771805986293</v>
      </c>
      <c r="BU56" s="11">
        <f>IF(BQ56, IF(COUNTIF(Raw!AV56:BK56, "&gt;=0") = 16, SUM(Raw!BK56,Raw!BJ56,Raw!BI56,Raw!BG56,Raw!BF56,Raw!BE56,Raw!BC56,Raw!BB56,Raw!BA56,Raw!AV56)/SUM(Raw!AV56:BK56), "No Contingency Table"), "Not Included")</f>
        <v>0.6262626262626263</v>
      </c>
      <c r="BV56" s="11">
        <f>IF(BQ56, IF(COUNTIF(Raw!AV56:BK56, "&gt;=0") = 16,SUM(SUM(Raw!AV56,Raw!AW56,Raw!AX56,Raw!AY56)*SUM(Raw!AV56,Raw!AZ56,Raw!BD56,Raw!BH56),SUM(Raw!AZ56:BK56)*SUM(Raw!AW56,Raw!AX56,Raw!AY56,Raw!BA56,Raw!BB56,Raw!BC56,Raw!BE56,Raw!BF56,Raw!BG56,Raw!BI56,Raw!BJ56,Raw!BK56))/BS56^2,"No Contingency Table"), "Not Included")</f>
        <v>0.58402203856749313</v>
      </c>
      <c r="BW56" s="11">
        <f>IF(BQ56, IF(COUNTIF(Raw!AV56:BK56, "&gt;=0") = 16,(BU56-BV56) / (1 - BV56),"No Contingency Table"), "Not Included")</f>
        <v>0.1015452538631347</v>
      </c>
      <c r="BX56" s="11" t="b">
        <f t="shared" ref="BX56:BZ56" si="237">BQ56</f>
        <v>1</v>
      </c>
      <c r="BY56" s="11" t="str">
        <f t="shared" si="237"/>
        <v>Contingency</v>
      </c>
      <c r="BZ56" s="15">
        <f t="shared" si="237"/>
        <v>198</v>
      </c>
      <c r="CA56" s="11">
        <f>IF(BX56, IF(COUNTIF(Raw!AV56:BK56, "&gt;=0") = 16, IFERROR((BZ56*Raw!BF56 - SUM(Raw!BD56, Raw!BE56, Raw!BF56, Raw!BG56)*SUM(Raw!BF56, Raw!AX56, Raw!BB56, Raw!BJ56)) / SQRT((BZ56*SUM(Raw!BD56, Raw!BE56, Raw!BF56, Raw!BG56) - SUM(Raw!BD56, Raw!BE56, Raw!BF56, Raw!BG56)^2) * (BZ56*SUM(Raw!BF56, Raw!AX56, Raw!BB56, Raw!BJ56) - SUM(Raw!BF56, Raw!AX56, Raw!BB56, Raw!BJ56)^2)), 0), "No Contingency Table"), "Not Included")</f>
        <v>-7.0300621474532043E-3</v>
      </c>
      <c r="CB56" s="11">
        <f>IF(BX56, IF(COUNTIF(Raw!AV56:BK56, "&gt;=0") = 16, SUM(Raw!AV56,Raw!AW56,Raw!AY56,Raw!AZ56,Raw!BA56,Raw!BC56,Raw!BF56,Raw!BH56,Raw!BI56,Raw!BK56) / SUM(Raw!AV56:BK56), "No Contingency Table"), "Not Included")</f>
        <v>0.5757575757575758</v>
      </c>
      <c r="CC56" s="11">
        <f>IF(BX56, IF(COUNTIF(Raw!AV56:BK56, "&gt;=0") = 16,SUM(SUM(Raw!BD56,Raw!BE56,Raw!BF56,Raw!BG56)*SUM(Raw!BF56,Raw!AX56,Raw!BB56,Raw!BJ56),SUM(Raw!AV56:BC56,Raw!BH56:BK56)*SUM(Raw!AV56,Raw!AW56,Raw!AY56,Raw!AZ56,Raw!BA56,Raw!BC56,Raw!BD56,Raw!BE56,Raw!BG56,Raw!BH56,Raw!BI56,Raw!BK56))/BZ56^2,"No Contingency Table"), "Not Included")</f>
        <v>0.57835935108662384</v>
      </c>
      <c r="CD56" s="11">
        <f>IF(BX56, IF(COUNTIF(Raw!AV56:BK56, "&gt;=0") = 16,(CB56 - CC56) / (1 - CC56+0.000001),"No Contingency Table"), "Not Included")</f>
        <v>-6.1705842763710456E-3</v>
      </c>
      <c r="CE56" s="11" t="b">
        <f t="shared" ref="CE56:CG56" si="238">BQ56</f>
        <v>1</v>
      </c>
      <c r="CF56" s="11" t="str">
        <f t="shared" si="238"/>
        <v>Contingency</v>
      </c>
      <c r="CG56" s="15">
        <f t="shared" si="238"/>
        <v>198</v>
      </c>
      <c r="CH56" s="11">
        <f>IF(CE56, IF(COUNTIF(Raw!AV56:BK56, "&gt;=0") = 16, IFERROR((CG56*Raw!BA56 - SUM(Raw!BA56, Raw!AZ56, Raw!BB56, Raw!BC56)*SUM(Raw!BA56, Raw!AW56, Raw!BE56, Raw!BI56)) / SQRT((CG56*SUM(Raw!BA56, Raw!AZ56, Raw!BB56, Raw!BC56) - SUM(Raw!BA56, Raw!AZ56, Raw!BB56, Raw!BC56)^2) * (CG56*SUM(Raw!BA56, Raw!AW56, Raw!BE56, Raw!BI56) - SUM(Raw!BA56, Raw!AW56, Raw!BE56, Raw!BI56)^2)), 0), "No Contingency Table"), "Not Included")</f>
        <v>0.16584125364432675</v>
      </c>
      <c r="CI56" s="11">
        <f>IF(CE56, IF(COUNTIF(Raw!AV56:BK56, "&gt;=0") = 16, SUM(Raw!AV56,Raw!AX56,Raw!AY56,Raw!BA56,Raw!BD56,Raw!BF56,Raw!BG56,Raw!BH56,Raw!BJ56,Raw!BK56) / SUM(Raw!AV56:BK56), "No Contingency Table"), "Not Included")</f>
        <v>0.56060606060606055</v>
      </c>
      <c r="CJ56" s="61">
        <f>IF(BX56, IF(COUNTIF(Raw!AV56:BK56, "&gt;=0") = 16,SUM(SUM(Raw!AZ56,Raw!BA56,Raw!BB56,Raw!BC56)*SUM(Raw!BA56,Raw!AW56,Raw!BE56,Raw!BI56),SUM(Raw!AV56:AY56,Raw!BD56:BK56)*SUM(Raw!AV56,Raw!AX56,Raw!AY56,Raw!AZ56,Raw!BB56,Raw!BC56,Raw!BD56,Raw!BF56,Raw!BG56,Raw!BH56,Raw!BJ56,Raw!BK56))/CG56^2,"No Contingency Table"), "Not Included")</f>
        <v>0.48959289868380779</v>
      </c>
      <c r="CK56" s="11">
        <f>IF(BX56, IF(COUNTIF(Raw!AV56:BK56, "&gt;=0") = 16,(CI56 - CJ56) / (1 - CJ56),"No Contingency Table"), "Not Included")</f>
        <v>0.13913043478260859</v>
      </c>
      <c r="CL56" s="11">
        <f>IF(BQ56, IFERROR(Raw!AV56/SUM(Raw!AV56:AY56), 0), "Not Included")</f>
        <v>0.47368421052631576</v>
      </c>
      <c r="CM56" s="11">
        <f>IF(BQ56, IFERROR(Raw!BA56/SUM(Raw!AZ56:BC56), 0), "Not Included")</f>
        <v>0.31067961165048541</v>
      </c>
      <c r="CN56" s="11">
        <f>IF(BQ56, IFERROR(Raw!BF56/SUM(Raw!BD56:BG56), 0), "Not Included")</f>
        <v>0.37142857142857144</v>
      </c>
      <c r="CO56" s="11">
        <f>IF(BQ56, IFERROR(Raw!BK56/SUM(Raw!BH56:BK56), 0), "Not Included")</f>
        <v>4.5454545454545456E-2</v>
      </c>
      <c r="CP56" s="11">
        <f>IF(BQ56, IFERROR(SUM(Raw!AV56,Raw!AX56,Raw!AY56,Raw!BD56,Raw!BF56,Raw!BG56,Raw!BH56,Raw!BJ56,Raw!BK56)/SUM(Raw!AV56,Raw!AW56,Raw!AX56,Raw!AY56,Raw!BD56,Raw!BE56,Raw!BF56,Raw!BG56,Raw!BH56,Raw!BI56,Raw!BJ56,Raw!BK56), 0), "Not Included")</f>
        <v>0.83157894736842108</v>
      </c>
      <c r="CQ56" s="11">
        <f>IF(BQ56, IFERROR(SUM(Raw!AV56:AX56,Raw!AZ56:BB56,Raw!BD56:BF56)/SUM(Raw!AV56:BF56), 0), "Not Included")</f>
        <v>0.99428571428571433</v>
      </c>
      <c r="CR56" s="11">
        <f>IF(BQ56, IFERROR(SUM(Raw!AV56:AY56), 0), "Not Included")</f>
        <v>38</v>
      </c>
      <c r="CS56" s="11">
        <f>IF(BQ56, IFERROR(SUM(Raw!AZ56:BC56), 0), "Not Included")</f>
        <v>103</v>
      </c>
      <c r="CT56" s="11">
        <f>IF(BQ56, IFERROR(SUM(Raw!BD56:BG56), 0), "Not Included")</f>
        <v>35</v>
      </c>
      <c r="CU56" s="11">
        <f>IF(BQ56, IFERROR(SUM(Raw!BH56:BK56), 0), "Not Included")</f>
        <v>22</v>
      </c>
      <c r="CV56" s="11">
        <f>IF(BQ56, IFERROR(SUM(Raw!AV56,Raw!AW56,Raw!AX56,Raw!AY56,Raw!BD56,Raw!BE56,Raw!BF56,Raw!BG56,Raw!BH56,Raw!BI56,Raw!BJ56,Raw!BK56), 0), "Not Included")</f>
        <v>95</v>
      </c>
      <c r="CW56" s="11">
        <f>IF(BQ56, IFERROR(SUM(Raw!AV56:BF56), 0), "Not Included")</f>
        <v>175</v>
      </c>
      <c r="CX56" s="11">
        <f>IF(BQ56, IFERROR((CR56*SUM(Raw!AV56,Raw!AZ56,Raw!BD56,Raw!BH56))/BS56/CR56, 0), "Not Included")</f>
        <v>0.36363636363636365</v>
      </c>
      <c r="CY56" s="11">
        <f>IF(BX56, IFERROR((CS56*SUM(Raw!BA56,Raw!AW56,Raw!BE56,Raw!BI56))/CG56/CS56, 0), "Not Included")</f>
        <v>0.2424242424242424</v>
      </c>
      <c r="CZ56" s="11">
        <f>IF(BX56, IFERROR((CT56*SUM(Raw!BF56,Raw!AX56,Raw!BB56,Raw!BJ56))/BZ56/CT56, 0), "Not Included")</f>
        <v>0.37878787878787878</v>
      </c>
      <c r="DA56" s="11">
        <f>IF(AY56, IFERROR((CU56*SUM(Raw!AY56,Raw!BC56,Raw!BG56,Raw!BK56))/AT56/CU56, 0), "Not Included")</f>
        <v>1.515151515151515E-2</v>
      </c>
      <c r="DB56" s="11">
        <f>IF(BX56, IFERROR((CV56*SUM(Raw!AV56,Raw!AX56,Raw!AY56,Raw!AZ56,Raw!BB56,Raw!BC56,Raw!BD56,Raw!BF56,Raw!BG56,Raw!BH56,Raw!BJ56,Raw!BK56))/CG56/CV56,0), "Not Included")</f>
        <v>0.75757575757575757</v>
      </c>
      <c r="DC56" s="11">
        <f>IF(AY56, IFERROR((CW56*SUM(Raw!AV56,Raw!AW56,Raw!AX56,Raw!AZ56,Raw!BA56,Raw!BB56,Raw!BD56,Raw!BE56,Raw!BF56,Raw!BH56,Raw!BI56,Raw!BJ56))/AT56/CW56,0), "Not Included")</f>
        <v>0.98484848484848486</v>
      </c>
    </row>
    <row r="57" spans="1:107" ht="12.75" customHeight="1">
      <c r="A57" s="11">
        <f>Raw!D57</f>
        <v>38</v>
      </c>
      <c r="B57" s="11" t="str">
        <f>Raw!A57</f>
        <v>Vondra et al. (2001)</v>
      </c>
      <c r="C57" s="11">
        <f>Raw!G57</f>
        <v>2</v>
      </c>
      <c r="D57" s="11" t="str">
        <f>Raw!E57</f>
        <v>12/18 months (6 month interval)</v>
      </c>
      <c r="E57" s="11" t="str">
        <f>CONCATENATE(IF(Raw!I57&lt;='Interval Definitions'!$B$2, 'Interval Definitions'!$A$2, IF(Raw!I57&lt;='Interval Definitions'!$B$3, 'Interval Definitions'!$A$3, IF(Raw!I57&lt;='Interval Definitions'!$B$4, 'Interval Definitions'!$A$4, IF(Raw!I57&lt;='Interval Definitions'!$B$5, 'Interval Definitions'!$A$5, "None")))), " - ", IF(Raw!J57&lt;='Interval Definitions'!$B$2, 'Interval Definitions'!$A$2, IF(Raw!J57&lt;='Interval Definitions'!$B$3, 'Interval Definitions'!$A$3, IF(Raw!J57&lt;='Interval Definitions'!$B$4, 'Interval Definitions'!$A$4, IF(Raw!J57&lt;='Interval Definitions'!$B$5, 'Interval Definitions'!$A$5, "None")))))</f>
        <v>Infancy - Infancy</v>
      </c>
      <c r="F57" s="11" t="b">
        <f>OR(NOT(ISBLANK(Raw!AF57)),NOT(ISBLANK(Raw!AG57)),NOT(ISBLANK(Raw!AH57)),NOT(ISBLANK(Raw!AI57)),COUNTIF(Raw!AA57:AD57, "&gt;=0") = 4)</f>
        <v>1</v>
      </c>
      <c r="G57" s="11" t="str">
        <f>IF(F57, IF(COUNTIF(Raw!AA57:AD57,"&gt;=0") = 4, "Contingency", IF(NOT(ISBLANK(Raw!AF57)), "Paper r", IF(NOT(ISBLANK(Raw!AG57)), "Pinquart", IF(NOT(ISBLANK(Raw!AH57)), "Fraley", "Paper chiSq")))), "Not Included")</f>
        <v>Contingency</v>
      </c>
      <c r="H57" s="15">
        <f>IF(F57,Raw!AE57,"Not Included")</f>
        <v>195</v>
      </c>
      <c r="I57" s="15">
        <f>IF(COUNTIF(Raw!AA57:AD57,"&gt;=0") = 4, SUM(Raw!AA57:AD57), "No Contingency Table")</f>
        <v>195</v>
      </c>
      <c r="J57" s="15">
        <f t="shared" si="0"/>
        <v>195</v>
      </c>
      <c r="K57" s="38">
        <f>IF(F57, IF(COUNTIF(Raw!AA57:AD57,"&gt;=0") = 4, IFERROR((I57*Raw!AA57 - SUM(Raw!AA57,Raw!AB57)*SUM(Raw!AA57,Raw!AD57)) / SQRT((I57*SUM(Raw!AA57,Raw!AB57) - SUM(Raw!AA57,Raw!AB57)^2) * (I57*SUM(Raw!AA57,Raw!AD57) - SUM(Raw!AA57,Raw!AD57)^2)), 0), "No Contingency Table"), "Not Included")</f>
        <v>0.22002131423461141</v>
      </c>
      <c r="L57" s="41">
        <f>IF(F57,IF(NOT(ISBLANK(Raw!AF57)), Raw!AF57, IF(NOT(ISBLANK(Raw!AG57)), Raw!AG57, IF(NOT(ISBLANK(Raw!AH57)), Raw!AH57, IF(NOT(ISBLANK(Raw!AI57)), SQRT(Raw!AI57/H57)*Raw!AJ57, "Not Reported")))),"Not Included")</f>
        <v>0.31</v>
      </c>
      <c r="M57" s="43">
        <f t="shared" si="1"/>
        <v>0.22002131423461141</v>
      </c>
      <c r="N57" s="11">
        <f t="shared" si="2"/>
        <v>0</v>
      </c>
      <c r="O57" s="48" t="b">
        <f>OR(NOT(ISBLANK(Raw!AK57)), COUNTIF(Raw!AA57:AD57, "&gt;=0") = 4)</f>
        <v>1</v>
      </c>
      <c r="P57" s="24" t="str">
        <f>IF(O57,IF(COUNTIF(Raw!AA57:AD57,"&gt;=0") = 4,"Contingency", "Paper k"), "Not Included")</f>
        <v>Contingency</v>
      </c>
      <c r="Q57" s="48">
        <f>IF(O57, IF(COUNTIF(Raw!AA57:AD57,"&gt;=0") = 4,SUM(Raw!AA57,Raw!AC57)/H57,"No Contingency Table"), "Not Included")</f>
        <v>0.61025641025641031</v>
      </c>
      <c r="R57" s="38">
        <f>IF(O57, IF(COUNTIF(Raw!AA57:AD57, "&gt;=0") = 4,SUM(SUM(Raw!AA57,Raw!AB57)*SUM(Raw!AA57,Raw!AD57),SUM(Raw!AC57,Raw!AD57)*SUM(Raw!AC57,Raw!AB57))/H57^2,"No Contingency Table"), "Not Included")</f>
        <v>0.50043392504930961</v>
      </c>
      <c r="S57" s="38">
        <f>IF(O57, IF(COUNTIF(Raw!AA57:AD57,"&gt;=0") = 4, IFERROR((Q57 - R57) / (1 - R57), "Could not calculate"), "No Contingency Table"), "Not Included")</f>
        <v>0.2198357548957677</v>
      </c>
      <c r="T57" s="52" t="str">
        <f>IF(O57,IF(NOT(ISBLANK(Raw!AK57)), Raw!AK57, "Not Reported"), "Not Included")</f>
        <v>Not Reported</v>
      </c>
      <c r="U57" s="38">
        <f t="shared" si="3"/>
        <v>0.2198357548957677</v>
      </c>
      <c r="V57" s="11" t="str">
        <f t="shared" si="4"/>
        <v>NA</v>
      </c>
      <c r="W57" s="11" t="b">
        <f>OR(NOT(ISBLANK(Raw!AU57)),COUNTIF(Raw!AL57:AT57,"&gt;=0") = 9)</f>
        <v>0</v>
      </c>
      <c r="X57" s="11" t="str">
        <f>IF(W57, IF(COUNTIF(Raw!AL57:AT57,"&gt;=0") = 9, "Contingency", "Paper k"), "Not Included")</f>
        <v>Not Included</v>
      </c>
      <c r="Y57" s="11" t="str">
        <f>IF(W57,IF(COUNTIF(Raw!AL57:AT57,"&gt;=0") = 9,SUM(Raw!AL57:AT57),"No Contingency Table"),"Not Included")</f>
        <v>Not Included</v>
      </c>
      <c r="Z57" s="11" t="str">
        <f t="shared" si="5"/>
        <v>Not Included</v>
      </c>
      <c r="AA57" s="11" t="str">
        <f>IF(W57,IF(COUNTIF(Raw!AL57:AT57,"&gt;=0") = 9,SUM(Raw!AL57,Raw!AP57,Raw!AT57)/Y57,"No Contingency Table"), "Not Included")</f>
        <v>Not Included</v>
      </c>
      <c r="AB57" s="11" t="str">
        <f>IF(W57,IF(COUNTIF(Raw!AL57:AT57,"&gt;=0") = 9,SUM(SUM(Raw!AL57,Raw!AM57,Raw!AN57)*SUM(Raw!AL57,Raw!AO57,Raw!AR57),SUM(Raw!AO57,Raw!AP57,Raw!AQ57)*SUM(Raw!AM57,Raw!AP57,Raw!AS57),SUM(Raw!AR57,Raw!AS57,Raw!AT57)*SUM(Raw!AN57,Raw!AQ57,Raw!AT57))/Y57^2,"No Contingency Table"), "Not Included")</f>
        <v>Not Included</v>
      </c>
      <c r="AC57" s="11" t="str">
        <f>IF(W57,IF(COUNTIF(Raw!AL57:AT57,"&gt;=0") = 9,(AA57 - AB57) / (1 - AB57),"No Contingency Table"), "Not Included")</f>
        <v>Not Included</v>
      </c>
      <c r="AD57" s="11" t="str">
        <f>IF(W57, IF(NOT(ISBLANK(Raw!AU57)),Raw!AU57,"Not Reported"), "Not Included")</f>
        <v>Not Included</v>
      </c>
      <c r="AE57" s="11" t="str">
        <f t="shared" si="6"/>
        <v>Not Included</v>
      </c>
      <c r="AF57" s="11" t="str">
        <f t="shared" si="7"/>
        <v>Not Included</v>
      </c>
      <c r="AG57" s="11" t="b">
        <f>COUNTIF(Raw!AV57:BK57, "&gt;=0") = 16</f>
        <v>1</v>
      </c>
      <c r="AH57" s="11" t="str">
        <f>IF(AG57, IF(COUNTIF(Raw!AV57:BK57,"&gt;=0") = 16, "Contingency", "Paper k"), "Not Included")</f>
        <v>Contingency</v>
      </c>
      <c r="AI57" s="15">
        <f>IF(AG57,IF(COUNTIF(Raw!AV57:BK57,"&gt;=0") = 16,SUM(Raw!AV57:BK57),"No Contingency Table"),"Not Included")</f>
        <v>195</v>
      </c>
      <c r="AJ57" s="15">
        <f t="shared" si="8"/>
        <v>195</v>
      </c>
      <c r="AK57" s="11">
        <f>IF(AG57,IF(COUNTIF(Raw!AV57:BK57,"&gt;=0") = 16,SUM(Raw!AV57,Raw!BA57,Raw!BF57,Raw!BK57)/AI57,"No Contingency Table"), "Not Included")</f>
        <v>0.44615384615384618</v>
      </c>
      <c r="AL57" s="11">
        <f>IF(AG57,IF(COUNTIF(Raw!AV57:BK57,"&gt;=0") = 16,SUM(SUM(Raw!AV57,Raw!AW57,Raw!AX57,Raw!AY57)*SUM(Raw!AV57,Raw!AZ57,Raw!BD57,Raw!BH57),SUM(Raw!AZ57,Raw!BA57,Raw!BB57,Raw!BC57)*SUM(Raw!AW57,Raw!BA57,Raw!BE57,Raw!BI57),SUM(Raw!BD57,Raw!BE57,Raw!BF57,Raw!BG57)*SUM(Raw!AX57,Raw!BB57,Raw!BF57,Raw!BJ57),SUM(Raw!BH57,Raw!BI57,Raw!BJ57,Raw!BK57)*SUM(Raw!AY57,Raw!BC57,Raw!BG57,Raw!BK57))/AI57^2,"No Contingency Table"), "Not Included")</f>
        <v>0.32213017751479289</v>
      </c>
      <c r="AM57" s="11">
        <f>IF(AG57,IF(COUNTIF(Raw!AV57:BK57,"&gt;=0") = 16,(AK57 - AL57) / (1 - AL57),"No Contingency Table"), "Not Included")</f>
        <v>0.18296089385474865</v>
      </c>
      <c r="AN57" s="11" t="str">
        <f>IF(NOT(ISBLANK(Raw!BL57)),Raw!BL57,"Not Reported")</f>
        <v>Not Reported</v>
      </c>
      <c r="AO57" s="11">
        <f t="shared" si="9"/>
        <v>0.18296089385474865</v>
      </c>
      <c r="AP57" s="11" t="str">
        <f t="shared" si="10"/>
        <v>NA</v>
      </c>
      <c r="AQ57" s="11" t="b">
        <f t="shared" ref="AQ57:AR57" si="239">BQ57</f>
        <v>1</v>
      </c>
      <c r="AR57" s="11" t="str">
        <f t="shared" si="239"/>
        <v>Contingency</v>
      </c>
      <c r="AS57" s="15">
        <f t="shared" si="12"/>
        <v>195</v>
      </c>
      <c r="AT57" s="15">
        <f t="shared" si="13"/>
        <v>195</v>
      </c>
      <c r="AU57" s="11">
        <f>IF(AQ57, IF(COUNTIF(Raw!AV57:BK57, "&gt;=0") = 16, IFERROR((AT57*Raw!BK57 - SUM(Raw!BH57, Raw!BI57, Raw!BJ57, Raw!BK57)*SUM(Raw!AY57, Raw!BC57, Raw!BG57, Raw!BK57)) / SQRT((AT57*SUM(Raw!BH57, Raw!BI57, Raw!BJ57, Raw!BK57) - SUM(Raw!BH57, Raw!BI57, Raw!BJ57, Raw!BK57)^2) * (AT57*SUM(Raw!AY57, Raw!BC57, Raw!BG57, Raw!BK57) - SUM(Raw!AY57, Raw!BC57, Raw!BG57, Raw!BK57)^2)), 0), "No Contingency Table"), "Not Included")</f>
        <v>0.31137995761748233</v>
      </c>
      <c r="AV57" s="11" t="str">
        <f>IF(AQ57,IF(NOT(ISBLANK(Raw!BQ57)), Raw!BQ57, IF(NOT(ISBLANK(Raw!BR57)), Raw!BR57, "Not Reported")), "Not Included")</f>
        <v>Not Reported</v>
      </c>
      <c r="AW57" s="57">
        <f t="shared" si="14"/>
        <v>0.31137995761748233</v>
      </c>
      <c r="AX57" s="11" t="str">
        <f t="shared" si="15"/>
        <v>NA</v>
      </c>
      <c r="AY57" s="11" t="b">
        <f t="shared" ref="AY57:AZ57" si="240">AQ57</f>
        <v>1</v>
      </c>
      <c r="AZ57" s="11" t="str">
        <f t="shared" si="240"/>
        <v>Contingency</v>
      </c>
      <c r="BA57" s="11">
        <f>IF(AY57, IF(COUNTIF(Raw!AV57:BK57, "&gt;=0") = 16, SUM(Raw!AV57,Raw!AW57,Raw!AX57,Raw!AZ57,Raw!BA57,Raw!BB57,Raw!BD57,Raw!BE57,Raw!BF57,Raw!BK57)/SUM(Raw!AV57:BK57), "No Contingency Table"), "Not Included")</f>
        <v>0.79487179487179482</v>
      </c>
      <c r="BB57" s="11">
        <f>IF(AY57, IF(COUNTIF(Raw!AV57:BK57, "&gt;=0") = 16,SUM(SUM(Raw!BH57,Raw!BI57,Raw!BJ57,Raw!BK57)*SUM(Raw!AY57,Raw!BC57,Raw!BG57,Raw!BK57),SUM(Raw!AV57:BG57)*SUM(Raw!AV57,Raw!AW57,Raw!AX57,Raw!AZ57,Raw!BA57,Raw!BB57,Raw!BD57,Raw!BE57,Raw!BF57,Raw!BH57,Raw!BI57,Raw!BJ57))/AT57^2,"No Contingency Table"), "Not Included")</f>
        <v>0.70414201183431957</v>
      </c>
      <c r="BC57" s="11">
        <f>IF(AY57, IF(COUNTIF(Raw!AV57:BK57, "&gt;=0") = 16,(BA57-BB57) / (1 - BB57),"No Contingency Table"), "Not Included")</f>
        <v>0.30666666666666642</v>
      </c>
      <c r="BD57" s="11" t="str">
        <f>IF(AY57,IF(NOT(ISBLANK(Raw!BT78)),Raw!BT78,"Not Reported"),"Not Included")</f>
        <v>Not Reported</v>
      </c>
      <c r="BE57" s="11">
        <f t="shared" si="17"/>
        <v>0.30666666666666642</v>
      </c>
      <c r="BF57" s="11" t="str">
        <f t="shared" si="18"/>
        <v>NA</v>
      </c>
      <c r="BG57" s="11">
        <f>Raw!K57</f>
        <v>2001</v>
      </c>
      <c r="BH57" s="11" t="str">
        <f>IF(Raw!L57 = "USA","USA","Non-USA")</f>
        <v>USA</v>
      </c>
      <c r="BI57" s="11" t="str">
        <f>Raw!M57</f>
        <v>Ainsworth/Ainsworth</v>
      </c>
      <c r="BJ57" s="11">
        <f>Raw!N57</f>
        <v>1</v>
      </c>
      <c r="BK57" s="11">
        <f>Raw!P57</f>
        <v>1</v>
      </c>
      <c r="BL57" s="11">
        <f>Raw!Q57</f>
        <v>0</v>
      </c>
      <c r="BM57" s="11">
        <f>Raw!T57</f>
        <v>1</v>
      </c>
      <c r="BN57" s="11">
        <f>IFERROR(IF(AND(ISBLANK(Raw!U57), ISBLANK(Raw!V57), ISBLANK(Raw!W57), ISBLANK(Raw!X57)), "NA", IF(OR(NOT(ISBLANK(Raw!U57)), NOT(ISBLANK(Raw!W57))), AVERAGE(Raw!U57,Raw!W57), AVERAGE(Raw!V57,Raw!X57) + IF(Raw!Y57 = "2-way", R57, IF(Raw!Y57 = "3-way", AB57, IF(Raw!Y57 = "4-way", AL57, "NA")))*(1 - AVERAGE(Raw!V57,Raw!X57)))), "NA")</f>
        <v>0.77</v>
      </c>
      <c r="BO57" s="11">
        <f>Raw!O57</f>
        <v>0</v>
      </c>
      <c r="BP57" s="11" t="str">
        <f>Raw!F57</f>
        <v>Female</v>
      </c>
      <c r="BQ57" s="11" t="b">
        <f>COUNTIF(Raw!AV57:BK57, "&gt;=0") = 16</f>
        <v>1</v>
      </c>
      <c r="BR57" s="11" t="str">
        <f t="shared" si="19"/>
        <v>Contingency</v>
      </c>
      <c r="BS57" s="15">
        <f t="shared" si="20"/>
        <v>195</v>
      </c>
      <c r="BT57" s="11">
        <f>IF(BQ57, IF(COUNTIF(Raw!AV57:BK57, "&gt;=0") = 16, IFERROR((BS57*Raw!AV57 - SUM(Raw!AV57, Raw!AW57, Raw!AX57, Raw!AY57)*SUM(Raw!AV57, Raw!AZ57, Raw!BD57, Raw!BH57)) / SQRT((BS57*SUM(Raw!AV57, Raw!AW57, Raw!AX57, Raw!AY57) - SUM(Raw!AV57, Raw!AW57, Raw!AX57, Raw!AY57)^2) * (BS57*SUM(Raw!AV57, Raw!AZ57, Raw!BD57, Raw!BH57) - SUM(Raw!AV57, Raw!AZ57, Raw!BD57, Raw!BH57)^2)), 0), "No Contingency Table"), "Not Included")</f>
        <v>0.10920291696079548</v>
      </c>
      <c r="BU57" s="11">
        <f>IF(BQ57, IF(COUNTIF(Raw!AV57:BK57, "&gt;=0") = 16, SUM(Raw!BK57,Raw!BJ57,Raw!BI57,Raw!BG57,Raw!BF57,Raw!BE57,Raw!BC57,Raw!BB57,Raw!BA57,Raw!AV57)/SUM(Raw!AV57:BK57), "No Contingency Table"), "Not Included")</f>
        <v>0.70256410256410251</v>
      </c>
      <c r="BV57" s="11">
        <f>IF(BQ57, IF(COUNTIF(Raw!AV57:BK57, "&gt;=0") = 16,SUM(SUM(Raw!AV57,Raw!AW57,Raw!AX57,Raw!AY57)*SUM(Raw!AV57,Raw!AZ57,Raw!BD57,Raw!BH57),SUM(Raw!AZ57:BK57)*SUM(Raw!AW57,Raw!AX57,Raw!AY57,Raw!BA57,Raw!BB57,Raw!BC57,Raw!BE57,Raw!BF57,Raw!BG57,Raw!BI57,Raw!BJ57,Raw!BK57))/BS57^2,"No Contingency Table"), "Not Included")</f>
        <v>0.66658777120315582</v>
      </c>
      <c r="BW57" s="11">
        <f>IF(BQ57, IF(COUNTIF(Raw!AV57:BK57, "&gt;=0") = 16,(BU57-BV57) / (1 - BV57),"No Contingency Table"), "Not Included")</f>
        <v>0.10790345480359662</v>
      </c>
      <c r="BX57" s="11" t="b">
        <f t="shared" ref="BX57:BZ57" si="241">BQ57</f>
        <v>1</v>
      </c>
      <c r="BY57" s="11" t="str">
        <f t="shared" si="241"/>
        <v>Contingency</v>
      </c>
      <c r="BZ57" s="15">
        <f t="shared" si="241"/>
        <v>195</v>
      </c>
      <c r="CA57" s="11">
        <f>IF(BX57, IF(COUNTIF(Raw!AV57:BK57, "&gt;=0") = 16, IFERROR((BZ57*Raw!BF57 - SUM(Raw!BD57, Raw!BE57, Raw!BF57, Raw!BG57)*SUM(Raw!BF57, Raw!AX57, Raw!BB57, Raw!BJ57)) / SQRT((BZ57*SUM(Raw!BD57, Raw!BE57, Raw!BF57, Raw!BG57) - SUM(Raw!BD57, Raw!BE57, Raw!BF57, Raw!BG57)^2) * (BZ57*SUM(Raw!BF57, Raw!AX57, Raw!BB57, Raw!BJ57) - SUM(Raw!BF57, Raw!AX57, Raw!BB57, Raw!BJ57)^2)), 0), "No Contingency Table"), "Not Included")</f>
        <v>5.4449660445200609E-2</v>
      </c>
      <c r="CB57" s="11">
        <f>IF(BX57, IF(COUNTIF(Raw!AV57:BK57, "&gt;=0") = 16, SUM(Raw!AV57,Raw!AW57,Raw!AY57,Raw!AZ57,Raw!BA57,Raw!BC57,Raw!BF57,Raw!BH57,Raw!BI57,Raw!BK57) / SUM(Raw!AV57:BK57), "No Contingency Table"), "Not Included")</f>
        <v>0.7846153846153846</v>
      </c>
      <c r="CC57" s="11">
        <f>IF(BX57, IF(COUNTIF(Raw!AV57:BK57, "&gt;=0") = 16,SUM(SUM(Raw!BD57,Raw!BE57,Raw!BF57,Raw!BG57)*SUM(Raw!BF57,Raw!AX57,Raw!BB57,Raw!BJ57),SUM(Raw!AV57:BC57,Raw!BH57:BK57)*SUM(Raw!AV57,Raw!AW57,Raw!AY57,Raw!AZ57,Raw!BA57,Raw!BC57,Raw!BD57,Raw!BE57,Raw!BG57,Raw!BH57,Raw!BI57,Raw!BK57))/BZ57^2,"No Contingency Table"), "Not Included")</f>
        <v>0.77309664694280078</v>
      </c>
      <c r="CD57" s="11">
        <f>IF(BX57, IF(COUNTIF(Raw!AV57:BK57, "&gt;=0") = 16,(CB57 - CC57) / (1 - CC57+0.000001),"No Contingency Table"), "Not Included")</f>
        <v>5.0764727592864295E-2</v>
      </c>
      <c r="CE57" s="11" t="b">
        <f t="shared" ref="CE57:CG57" si="242">BQ57</f>
        <v>1</v>
      </c>
      <c r="CF57" s="11" t="str">
        <f t="shared" si="242"/>
        <v>Contingency</v>
      </c>
      <c r="CG57" s="15">
        <f t="shared" si="242"/>
        <v>195</v>
      </c>
      <c r="CH57" s="11">
        <f>IF(CE57, IF(COUNTIF(Raw!AV57:BK57, "&gt;=0") = 16, IFERROR((CG57*Raw!BA57 - SUM(Raw!BA57, Raw!AZ57, Raw!BB57, Raw!BC57)*SUM(Raw!BA57, Raw!AW57, Raw!BE57, Raw!BI57)) / SQRT((CG57*SUM(Raw!BA57, Raw!AZ57, Raw!BB57, Raw!BC57) - SUM(Raw!BA57, Raw!AZ57, Raw!BB57, Raw!BC57)^2) * (CG57*SUM(Raw!BA57, Raw!AW57, Raw!BE57, Raw!BI57) - SUM(Raw!BA57, Raw!AW57, Raw!BE57, Raw!BI57)^2)), 0), "No Contingency Table"), "Not Included")</f>
        <v>0.22002131423461141</v>
      </c>
      <c r="CI57" s="11">
        <f>IF(CE57, IF(COUNTIF(Raw!AV57:BK57, "&gt;=0") = 16, SUM(Raw!AV57,Raw!AX57,Raw!AY57,Raw!BA57,Raw!BD57,Raw!BF57,Raw!BG57,Raw!BH57,Raw!BJ57,Raw!BK57) / SUM(Raw!AV57:BK57), "No Contingency Table"), "Not Included")</f>
        <v>0.61025641025641031</v>
      </c>
      <c r="CJ57" s="61">
        <f>IF(BX57, IF(COUNTIF(Raw!AV57:BK57, "&gt;=0") = 16,SUM(SUM(Raw!AZ57,Raw!BA57,Raw!BB57,Raw!BC57)*SUM(Raw!BA57,Raw!AW57,Raw!BE57,Raw!BI57),SUM(Raw!AV57:AY57,Raw!BD57:BK57)*SUM(Raw!AV57,Raw!AX57,Raw!AY57,Raw!AZ57,Raw!BB57,Raw!BC57,Raw!BD57,Raw!BF57,Raw!BG57,Raw!BH57,Raw!BJ57,Raw!BK57))/CG57^2,"No Contingency Table"), "Not Included")</f>
        <v>0.50043392504930961</v>
      </c>
      <c r="CK57" s="11">
        <f>IF(BX57, IF(COUNTIF(Raw!AV57:BK57, "&gt;=0") = 16,(CI57 - CJ57) / (1 - CJ57),"No Contingency Table"), "Not Included")</f>
        <v>0.2198357548957677</v>
      </c>
      <c r="CL57" s="11">
        <f>IF(BQ57, IFERROR(Raw!AV57/SUM(Raw!AV57:AY57), 0), "Not Included")</f>
        <v>0.33333333333333331</v>
      </c>
      <c r="CM57" s="11">
        <f>IF(BQ57, IFERROR(Raw!BA57/SUM(Raw!AZ57:BC57), 0), "Not Included")</f>
        <v>0.58333333333333337</v>
      </c>
      <c r="CN57" s="11">
        <f>IF(BQ57, IFERROR(Raw!BF57/SUM(Raw!BD57:BG57), 0), "Not Included")</f>
        <v>0.12121212121212122</v>
      </c>
      <c r="CO57" s="11">
        <f>IF(BQ57, IFERROR(Raw!BK57/SUM(Raw!BH57:BK57), 0), "Not Included")</f>
        <v>0.5</v>
      </c>
      <c r="CP57" s="11">
        <f>IF(BQ57, IFERROR(SUM(Raw!AV57,Raw!AX57,Raw!AY57,Raw!BD57,Raw!BF57,Raw!BG57,Raw!BH57,Raw!BJ57,Raw!BK57)/SUM(Raw!AV57,Raw!AW57,Raw!AX57,Raw!AY57,Raw!BD57,Raw!BE57,Raw!BF57,Raw!BG57,Raw!BH57,Raw!BI57,Raw!BJ57,Raw!BK57), 0), "Not Included")</f>
        <v>0.63636363636363635</v>
      </c>
      <c r="CQ57" s="11">
        <f>IF(BQ57, IFERROR(SUM(Raw!AV57:AX57,Raw!AZ57:BB57,Raw!BD57:BF57)/SUM(Raw!AV57:BF57), 0), "Not Included")</f>
        <v>0.89171974522292996</v>
      </c>
      <c r="CR57" s="11">
        <f>IF(BQ57, IFERROR(SUM(Raw!AV57:AY57), 0), "Not Included")</f>
        <v>36</v>
      </c>
      <c r="CS57" s="11">
        <f>IF(BQ57, IFERROR(SUM(Raw!AZ57:BC57), 0), "Not Included")</f>
        <v>96</v>
      </c>
      <c r="CT57" s="11">
        <f>IF(BQ57, IFERROR(SUM(Raw!BD57:BG57), 0), "Not Included")</f>
        <v>33</v>
      </c>
      <c r="CU57" s="11">
        <f>IF(BQ57, IFERROR(SUM(Raw!BH57:BK57), 0), "Not Included")</f>
        <v>30</v>
      </c>
      <c r="CV57" s="11">
        <f>IF(BQ57, IFERROR(SUM(Raw!AV57,Raw!AW57,Raw!AX57,Raw!AY57,Raw!BD57,Raw!BE57,Raw!BF57,Raw!BG57,Raw!BH57,Raw!BI57,Raw!BJ57,Raw!BK57), 0), "Not Included")</f>
        <v>99</v>
      </c>
      <c r="CW57" s="11">
        <f>IF(BQ57, IFERROR(SUM(Raw!AV57:BF57), 0), "Not Included")</f>
        <v>157</v>
      </c>
      <c r="CX57" s="11">
        <f>IF(BQ57, IFERROR((CR57*SUM(Raw!AV57,Raw!AZ57,Raw!BD57,Raw!BH57))/BS57/CR57, 0), "Not Included")</f>
        <v>0.23589743589743589</v>
      </c>
      <c r="CY57" s="11">
        <f>IF(BX57, IFERROR((CS57*SUM(Raw!BA57,Raw!AW57,Raw!BE57,Raw!BI57))/CG57/CS57, 0), "Not Included")</f>
        <v>0.47179487179487184</v>
      </c>
      <c r="CZ57" s="11">
        <f>IF(BX57, IFERROR((CT57*SUM(Raw!BF57,Raw!AX57,Raw!BB57,Raw!BJ57))/BZ57/CT57, 0), "Not Included")</f>
        <v>8.7179487179487175E-2</v>
      </c>
      <c r="DA57" s="11">
        <f>IF(AY57, IFERROR((CU57*SUM(Raw!AY57,Raw!BC57,Raw!BG57,Raw!BK57))/AT57/CU57, 0), "Not Included")</f>
        <v>0.20512820512820515</v>
      </c>
      <c r="DB57" s="11">
        <f>IF(BX57, IFERROR((CV57*SUM(Raw!AV57,Raw!AX57,Raw!AY57,Raw!AZ57,Raw!BB57,Raw!BC57,Raw!BD57,Raw!BF57,Raw!BG57,Raw!BH57,Raw!BJ57,Raw!BK57))/CG57/CV57,0), "Not Included")</f>
        <v>0.52820512820512822</v>
      </c>
      <c r="DC57" s="11">
        <f>IF(AY57, IFERROR((CW57*SUM(Raw!AV57,Raw!AW57,Raw!AX57,Raw!AZ57,Raw!BA57,Raw!BB57,Raw!BD57,Raw!BE57,Raw!BF57,Raw!BH57,Raw!BI57,Raw!BJ57))/AT57/CW57,0), "Not Included")</f>
        <v>0.79487179487179482</v>
      </c>
    </row>
    <row r="58" spans="1:107" ht="12.75" customHeight="1">
      <c r="A58" s="11">
        <f>Raw!D58</f>
        <v>39</v>
      </c>
      <c r="B58" s="11" t="str">
        <f>Raw!A58</f>
        <v>Xue (2010)</v>
      </c>
      <c r="C58" s="11">
        <f>Raw!G58</f>
        <v>1</v>
      </c>
      <c r="D58" s="11" t="str">
        <f>Raw!E58</f>
        <v>13/42 months (29 month interval)</v>
      </c>
      <c r="E58" s="11" t="str">
        <f>CONCATENATE(IF(Raw!I58&lt;='Interval Definitions'!$B$2, 'Interval Definitions'!$A$2, IF(Raw!I58&lt;='Interval Definitions'!$B$3, 'Interval Definitions'!$A$3, IF(Raw!I58&lt;='Interval Definitions'!$B$4, 'Interval Definitions'!$A$4, IF(Raw!I58&lt;='Interval Definitions'!$B$5, 'Interval Definitions'!$A$5, "None")))), " - ", IF(Raw!J58&lt;='Interval Definitions'!$B$2, 'Interval Definitions'!$A$2, IF(Raw!J58&lt;='Interval Definitions'!$B$3, 'Interval Definitions'!$A$3, IF(Raw!J58&lt;='Interval Definitions'!$B$4, 'Interval Definitions'!$A$4, IF(Raw!J58&lt;='Interval Definitions'!$B$5, 'Interval Definitions'!$A$5, "None")))))</f>
        <v>Infancy - Preschool</v>
      </c>
      <c r="F58" s="11" t="b">
        <f>OR(NOT(ISBLANK(Raw!AF58)),NOT(ISBLANK(Raw!AG58)),NOT(ISBLANK(Raw!AH58)),NOT(ISBLANK(Raw!AI58)),COUNTIF(Raw!AA58:AD58, "&gt;=0") = 4)</f>
        <v>1</v>
      </c>
      <c r="G58" s="11" t="str">
        <f>IF(F58, IF(COUNTIF(Raw!AA58:AD58,"&gt;=0") = 4, "Contingency", IF(NOT(ISBLANK(Raw!AF58)), "Paper r", IF(NOT(ISBLANK(Raw!AG58)), "Pinquart", IF(NOT(ISBLANK(Raw!AH58)), "Fraley", "Paper chiSq")))), "Not Included")</f>
        <v>Contingency</v>
      </c>
      <c r="H58" s="15">
        <f>IF(F58,Raw!AE58,"Not Included")</f>
        <v>61</v>
      </c>
      <c r="I58" s="15">
        <f>IF(COUNTIF(Raw!AA58:AD58,"&gt;=0") = 4, SUM(Raw!AA58:AD58), "No Contingency Table")</f>
        <v>46</v>
      </c>
      <c r="J58" s="15">
        <f t="shared" si="0"/>
        <v>46</v>
      </c>
      <c r="K58" s="38">
        <f>IF(F58, IF(COUNTIF(Raw!AA58:AD58,"&gt;=0") = 4, IFERROR((I58*Raw!AA58 - SUM(Raw!AA58,Raw!AB58)*SUM(Raw!AA58,Raw!AD58)) / SQRT((I58*SUM(Raw!AA58,Raw!AB58) - SUM(Raw!AA58,Raw!AB58)^2) * (I58*SUM(Raw!AA58,Raw!AD58) - SUM(Raw!AA58,Raw!AD58)^2)), 0), "No Contingency Table"), "Not Included")</f>
        <v>0.15921423979160779</v>
      </c>
      <c r="L58" s="41">
        <f>IF(F58,IF(NOT(ISBLANK(Raw!AF58)), Raw!AF58, IF(NOT(ISBLANK(Raw!AG58)), Raw!AG58, IF(NOT(ISBLANK(Raw!AH58)), Raw!AH58, IF(NOT(ISBLANK(Raw!AI58)), SQRT(Raw!AI58/H58)*Raw!AJ58, "Not Reported")))),"Not Included")</f>
        <v>0.16</v>
      </c>
      <c r="M58" s="43">
        <f t="shared" si="1"/>
        <v>0.15921423979160779</v>
      </c>
      <c r="N58" s="11">
        <f t="shared" si="2"/>
        <v>1</v>
      </c>
      <c r="O58" s="48" t="b">
        <f>OR(NOT(ISBLANK(Raw!AK58)), COUNTIF(Raw!AA58:AD58, "&gt;=0") = 4)</f>
        <v>1</v>
      </c>
      <c r="P58" s="24" t="str">
        <f>IF(O58,IF(COUNTIF(Raw!AA58:AD58,"&gt;=0") = 4,"Contingency", "Paper k"), "Not Included")</f>
        <v>Contingency</v>
      </c>
      <c r="Q58" s="48">
        <f>IF(O58, IF(COUNTIF(Raw!AA58:AD58,"&gt;=0") = 4,SUM(Raw!AA58,Raw!AC58)/H58,"No Contingency Table"), "Not Included")</f>
        <v>0.42622950819672129</v>
      </c>
      <c r="R58" s="38">
        <f>IF(O58, IF(COUNTIF(Raw!AA58:AD58, "&gt;=0") = 4,SUM(SUM(Raw!AA58,Raw!AB58)*SUM(Raw!AA58,Raw!AD58),SUM(Raw!AC58,Raw!AD58)*SUM(Raw!AC58,Raw!AB58))/H58^2,"No Contingency Table"), "Not Included")</f>
        <v>0.27788228970706802</v>
      </c>
      <c r="S58" s="38">
        <f>IF(O58, IF(COUNTIF(Raw!AA58:AD58,"&gt;=0") = 4, IFERROR((Q58 - R58) / (1 - R58), "Could not calculate"), "No Contingency Table"), "Not Included")</f>
        <v>0.20543356903609969</v>
      </c>
      <c r="T58" s="52" t="str">
        <f>IF(O58,IF(NOT(ISBLANK(Raw!AK58)), Raw!AK58, "Not Reported"), "Not Included")</f>
        <v>Not Reported</v>
      </c>
      <c r="U58" s="38">
        <f t="shared" si="3"/>
        <v>0.20543356903609969</v>
      </c>
      <c r="V58" s="11" t="str">
        <f t="shared" si="4"/>
        <v>NA</v>
      </c>
      <c r="W58" s="11" t="b">
        <f>OR(NOT(ISBLANK(Raw!AU58)),COUNTIF(Raw!AL58:AT58,"&gt;=0") = 9)</f>
        <v>0</v>
      </c>
      <c r="X58" s="11" t="str">
        <f>IF(W58, IF(COUNTIF(Raw!AL58:AT58,"&gt;=0") = 9, "Contingency", "Paper k"), "Not Included")</f>
        <v>Not Included</v>
      </c>
      <c r="Y58" s="11" t="str">
        <f>IF(W58,IF(COUNTIF(Raw!AL58:AT58,"&gt;=0") = 9,SUM(Raw!AL58:AT58),"No Contingency Table"),"Not Included")</f>
        <v>Not Included</v>
      </c>
      <c r="Z58" s="11" t="str">
        <f t="shared" si="5"/>
        <v>Not Included</v>
      </c>
      <c r="AA58" s="11" t="str">
        <f>IF(W58,IF(COUNTIF(Raw!AL58:AT58,"&gt;=0") = 9,SUM(Raw!AL58,Raw!AP58,Raw!AT58)/Y58,"No Contingency Table"), "Not Included")</f>
        <v>Not Included</v>
      </c>
      <c r="AB58" s="11" t="str">
        <f>IF(W58,IF(COUNTIF(Raw!AL58:AT58,"&gt;=0") = 9,SUM(SUM(Raw!AL58,Raw!AM58,Raw!AN58)*SUM(Raw!AL58,Raw!AO58,Raw!AR58),SUM(Raw!AO58,Raw!AP58,Raw!AQ58)*SUM(Raw!AM58,Raw!AP58,Raw!AS58),SUM(Raw!AR58,Raw!AS58,Raw!AT58)*SUM(Raw!AN58,Raw!AQ58,Raw!AT58))/Y58^2,"No Contingency Table"), "Not Included")</f>
        <v>Not Included</v>
      </c>
      <c r="AC58" s="11" t="str">
        <f>IF(W58,IF(COUNTIF(Raw!AL58:AT58,"&gt;=0") = 9,(AA58 - AB58) / (1 - AB58),"No Contingency Table"), "Not Included")</f>
        <v>Not Included</v>
      </c>
      <c r="AD58" s="11" t="str">
        <f>IF(W58, IF(NOT(ISBLANK(Raw!AU58)),Raw!AU58,"Not Reported"), "Not Included")</f>
        <v>Not Included</v>
      </c>
      <c r="AE58" s="11" t="str">
        <f t="shared" si="6"/>
        <v>Not Included</v>
      </c>
      <c r="AF58" s="11" t="str">
        <f t="shared" si="7"/>
        <v>Not Included</v>
      </c>
      <c r="AG58" s="11" t="b">
        <f>COUNTIF(Raw!AV58:BK58, "&gt;=0") = 16</f>
        <v>1</v>
      </c>
      <c r="AH58" s="11" t="str">
        <f>IF(AG58, IF(COUNTIF(Raw!AV58:BK58,"&gt;=0") = 16, "Contingency", "Paper k"), "Not Included")</f>
        <v>Contingency</v>
      </c>
      <c r="AI58" s="15">
        <f>IF(AG58,IF(COUNTIF(Raw!AV58:BK58,"&gt;=0") = 16,SUM(Raw!AV58:BK58),"No Contingency Table"),"Not Included")</f>
        <v>46</v>
      </c>
      <c r="AJ58" s="15">
        <f t="shared" si="8"/>
        <v>46</v>
      </c>
      <c r="AK58" s="11">
        <f>IF(AG58,IF(COUNTIF(Raw!AV58:BK58,"&gt;=0") = 16,SUM(Raw!AV58,Raw!BA58,Raw!BF58,Raw!BK58)/AI58,"No Contingency Table"), "Not Included")</f>
        <v>0.41304347826086957</v>
      </c>
      <c r="AL58" s="11">
        <f>IF(AG58,IF(COUNTIF(Raw!AV58:BK58,"&gt;=0") = 16,SUM(SUM(Raw!AV58,Raw!AW58,Raw!AX58,Raw!AY58)*SUM(Raw!AV58,Raw!AZ58,Raw!BD58,Raw!BH58),SUM(Raw!AZ58,Raw!BA58,Raw!BB58,Raw!BC58)*SUM(Raw!AW58,Raw!BA58,Raw!BE58,Raw!BI58),SUM(Raw!BD58,Raw!BE58,Raw!BF58,Raw!BG58)*SUM(Raw!AX58,Raw!BB58,Raw!BF58,Raw!BJ58),SUM(Raw!BH58,Raw!BI58,Raw!BJ58,Raw!BK58)*SUM(Raw!AY58,Raw!BC58,Raw!BG58,Raw!BK58))/AI58^2,"No Contingency Table"), "Not Included")</f>
        <v>0.38421550094517959</v>
      </c>
      <c r="AM58" s="11">
        <f>IF(AG58,IF(COUNTIF(Raw!AV58:BK58,"&gt;=0") = 16,(AK58 - AL58) / (1 - AL58),"No Contingency Table"), "Not Included")</f>
        <v>4.6815042210283951E-2</v>
      </c>
      <c r="AN58" s="32">
        <f>IF(NOT(ISBLANK(Raw!BL58)),Raw!BL58,"Not Reported")</f>
        <v>0.05</v>
      </c>
      <c r="AO58" s="11">
        <f t="shared" si="9"/>
        <v>4.6815042210283951E-2</v>
      </c>
      <c r="AP58" s="11">
        <f t="shared" si="10"/>
        <v>0</v>
      </c>
      <c r="AQ58" s="11" t="b">
        <f t="shared" ref="AQ58:AR58" si="243">BQ58</f>
        <v>1</v>
      </c>
      <c r="AR58" s="11" t="str">
        <f t="shared" si="243"/>
        <v>Contingency</v>
      </c>
      <c r="AS58" s="15">
        <f t="shared" si="12"/>
        <v>46</v>
      </c>
      <c r="AT58" s="15">
        <f t="shared" si="13"/>
        <v>46</v>
      </c>
      <c r="AU58" s="11">
        <f>IF(AQ58, IF(COUNTIF(Raw!AV58:BK58, "&gt;=0") = 16, IFERROR((AT58*Raw!BK58 - SUM(Raw!BH58, Raw!BI58, Raw!BJ58, Raw!BK58)*SUM(Raw!AY58, Raw!BC58, Raw!BG58, Raw!BK58)) / SQRT((AT58*SUM(Raw!BH58, Raw!BI58, Raw!BJ58, Raw!BK58) - SUM(Raw!BH58, Raw!BI58, Raw!BJ58, Raw!BK58)^2) * (AT58*SUM(Raw!AY58, Raw!BC58, Raw!BG58, Raw!BK58) - SUM(Raw!AY58, Raw!BC58, Raw!BG58, Raw!BK58)^2)), 0), "No Contingency Table"), "Not Included")</f>
        <v>-3.1782086308186408E-2</v>
      </c>
      <c r="AV58" s="11" t="str">
        <f>IF(AQ58,IF(NOT(ISBLANK(Raw!BQ58)), Raw!BQ58, IF(NOT(ISBLANK(Raw!BR58)), Raw!BR58, "Not Reported")), "Not Included")</f>
        <v>Not Reported</v>
      </c>
      <c r="AW58" s="57">
        <f t="shared" si="14"/>
        <v>-3.1782086308186408E-2</v>
      </c>
      <c r="AX58" s="11" t="str">
        <f t="shared" si="15"/>
        <v>NA</v>
      </c>
      <c r="AY58" s="11" t="b">
        <f t="shared" ref="AY58:AZ58" si="244">AQ58</f>
        <v>1</v>
      </c>
      <c r="AZ58" s="11" t="str">
        <f t="shared" si="244"/>
        <v>Contingency</v>
      </c>
      <c r="BA58" s="11">
        <f>IF(AY58, IF(COUNTIF(Raw!AV58:BK58, "&gt;=0") = 16, SUM(Raw!AV58,Raw!AW58,Raw!AX58,Raw!AZ58,Raw!BA58,Raw!BB58,Raw!BD58,Raw!BE58,Raw!BF58,Raw!BK58)/SUM(Raw!AV58:BK58), "No Contingency Table"), "Not Included")</f>
        <v>0.54347826086956519</v>
      </c>
      <c r="BB58" s="11">
        <f>IF(AY58, IF(COUNTIF(Raw!AV58:BK58, "&gt;=0") = 16,SUM(SUM(Raw!BH58,Raw!BI58,Raw!BJ58,Raw!BK58)*SUM(Raw!AY58,Raw!BC58,Raw!BG58,Raw!BK58),SUM(Raw!AV58:BG58)*SUM(Raw!AV58,Raw!AW58,Raw!AX58,Raw!AZ58,Raw!BA58,Raw!BB58,Raw!BD58,Raw!BE58,Raw!BF58,Raw!BH58,Raw!BI58,Raw!BJ58))/AT58^2,"No Contingency Table"), "Not Included")</f>
        <v>0.55671077504725897</v>
      </c>
      <c r="BC58" s="11">
        <f>IF(AY58, IF(COUNTIF(Raw!AV58:BK58, "&gt;=0") = 16,(BA58-BB58) / (1 - BB58),"No Contingency Table"), "Not Included")</f>
        <v>-2.9850746268656751E-2</v>
      </c>
      <c r="BD58" s="11" t="str">
        <f>IF(AY58,IF(NOT(ISBLANK(Raw!BT79)),Raw!BT79,"Not Reported"),"Not Included")</f>
        <v>Not Reported</v>
      </c>
      <c r="BE58" s="11">
        <f t="shared" si="17"/>
        <v>-2.9850746268656751E-2</v>
      </c>
      <c r="BF58" s="11" t="str">
        <f t="shared" si="18"/>
        <v>NA</v>
      </c>
      <c r="BG58" s="11">
        <f>Raw!K58</f>
        <v>2010</v>
      </c>
      <c r="BH58" s="11" t="str">
        <f>IF(Raw!L58 = "USA","USA","Non-USA")</f>
        <v>Non-USA</v>
      </c>
      <c r="BI58" s="11" t="str">
        <f>Raw!M58</f>
        <v>Ainsworth/Cassidy-Marvin</v>
      </c>
      <c r="BJ58" s="11">
        <f>Raw!N58</f>
        <v>0</v>
      </c>
      <c r="BK58" s="11">
        <f>Raw!P58</f>
        <v>0</v>
      </c>
      <c r="BL58" s="11">
        <f>Raw!Q58</f>
        <v>0</v>
      </c>
      <c r="BM58" s="11">
        <f>Raw!T58</f>
        <v>0</v>
      </c>
      <c r="BN58" s="11">
        <f>IFERROR(IF(AND(ISBLANK(Raw!U58), ISBLANK(Raw!V58), ISBLANK(Raw!W58), ISBLANK(Raw!X58)), "NA", IF(OR(NOT(ISBLANK(Raw!U58)), NOT(ISBLANK(Raw!W58))), AVERAGE(Raw!U58,Raw!W58), AVERAGE(Raw!V58,Raw!X58) + IF(Raw!Y58 = "2-way", R58, IF(Raw!Y58 = "3-way", AB58, IF(Raw!Y58 = "4-way", AL58, "NA")))*(1 - AVERAGE(Raw!V58,Raw!X58)))), "NA")</f>
        <v>0.89</v>
      </c>
      <c r="BO58" s="11">
        <f>Raw!O58</f>
        <v>0</v>
      </c>
      <c r="BP58" s="11" t="str">
        <f>Raw!F58</f>
        <v>Female</v>
      </c>
      <c r="BQ58" s="11" t="b">
        <f>COUNTIF(Raw!AV58:BK58, "&gt;=0") = 16</f>
        <v>1</v>
      </c>
      <c r="BR58" s="11" t="str">
        <f t="shared" si="19"/>
        <v>Contingency</v>
      </c>
      <c r="BS58" s="15">
        <f t="shared" si="20"/>
        <v>46</v>
      </c>
      <c r="BT58" s="11">
        <f>IF(BQ58, IF(COUNTIF(Raw!AV58:BK58, "&gt;=0") = 16, IFERROR((BS58*Raw!AV58 - SUM(Raw!AV58, Raw!AW58, Raw!AX58, Raw!AY58)*SUM(Raw!AV58, Raw!AZ58, Raw!BD58, Raw!BH58)) / SQRT((BS58*SUM(Raw!AV58, Raw!AW58, Raw!AX58, Raw!AY58) - SUM(Raw!AV58, Raw!AW58, Raw!AX58, Raw!AY58)^2) * (BS58*SUM(Raw!AV58, Raw!AZ58, Raw!BD58, Raw!BH58) - SUM(Raw!AV58, Raw!AZ58, Raw!BD58, Raw!BH58)^2)), 0), "No Contingency Table"), "Not Included")</f>
        <v>0</v>
      </c>
      <c r="BU58" s="11">
        <f>IF(BQ58, IF(COUNTIF(Raw!AV58:BK58, "&gt;=0") = 16, SUM(Raw!BK58,Raw!BJ58,Raw!BI58,Raw!BG58,Raw!BF58,Raw!BE58,Raw!BC58,Raw!BB58,Raw!BA58,Raw!AV58)/SUM(Raw!AV58:BK58), "No Contingency Table"), "Not Included")</f>
        <v>0.86956521739130432</v>
      </c>
      <c r="BV58" s="11">
        <f>IF(BQ58, IF(COUNTIF(Raw!AV58:BK58, "&gt;=0") = 16,SUM(SUM(Raw!AV58,Raw!AW58,Raw!AX58,Raw!AY58)*SUM(Raw!AV58,Raw!AZ58,Raw!BD58,Raw!BH58),SUM(Raw!AZ58:BK58)*SUM(Raw!AW58,Raw!AX58,Raw!AY58,Raw!BA58,Raw!BB58,Raw!BC58,Raw!BE58,Raw!BF58,Raw!BG58,Raw!BI58,Raw!BJ58,Raw!BK58))/BS58^2,"No Contingency Table"), "Not Included")</f>
        <v>0.86956521739130432</v>
      </c>
      <c r="BW58" s="11">
        <f>IF(BQ58, IF(COUNTIF(Raw!AV58:BK58, "&gt;=0") = 16,(BU58-BV58) / (1 - BV58),"No Contingency Table"), "Not Included")</f>
        <v>0</v>
      </c>
      <c r="BX58" s="11" t="b">
        <f t="shared" ref="BX58:BZ58" si="245">BQ58</f>
        <v>1</v>
      </c>
      <c r="BY58" s="11" t="str">
        <f t="shared" si="245"/>
        <v>Contingency</v>
      </c>
      <c r="BZ58" s="15">
        <f t="shared" si="245"/>
        <v>46</v>
      </c>
      <c r="CA58" s="11">
        <f>IF(BX58, IF(COUNTIF(Raw!AV58:BK58, "&gt;=0") = 16, IFERROR((BZ58*Raw!BF58 - SUM(Raw!BD58, Raw!BE58, Raw!BF58, Raw!BG58)*SUM(Raw!BF58, Raw!AX58, Raw!BB58, Raw!BJ58)) / SQRT((BZ58*SUM(Raw!BD58, Raw!BE58, Raw!BF58, Raw!BG58) - SUM(Raw!BD58, Raw!BE58, Raw!BF58, Raw!BG58)^2) * (BZ58*SUM(Raw!BF58, Raw!AX58, Raw!BB58, Raw!BJ58) - SUM(Raw!BF58, Raw!AX58, Raw!BB58, Raw!BJ58)^2)), 0), "No Contingency Table"), "Not Included")</f>
        <v>-5.7735026918962574E-2</v>
      </c>
      <c r="CB58" s="11">
        <f>IF(BX58, IF(COUNTIF(Raw!AV58:BK58, "&gt;=0") = 16, SUM(Raw!AV58,Raw!AW58,Raw!AY58,Raw!AZ58,Raw!BA58,Raw!BC58,Raw!BF58,Raw!BH58,Raw!BI58,Raw!BK58) / SUM(Raw!AV58:BK58), "No Contingency Table"), "Not Included")</f>
        <v>0.84782608695652173</v>
      </c>
      <c r="CC58" s="11">
        <f>IF(BX58, IF(COUNTIF(Raw!AV58:BK58, "&gt;=0") = 16,SUM(SUM(Raw!BD58,Raw!BE58,Raw!BF58,Raw!BG58)*SUM(Raw!BF58,Raw!AX58,Raw!BB58,Raw!BJ58),SUM(Raw!AV58:BC58,Raw!BH58:BK58)*SUM(Raw!AV58,Raw!AW58,Raw!AY58,Raw!AZ58,Raw!BA58,Raw!BC58,Raw!BD58,Raw!BE58,Raw!BG58,Raw!BH58,Raw!BI58,Raw!BK58))/BZ58^2,"No Contingency Table"), "Not Included")</f>
        <v>0.85349716446124768</v>
      </c>
      <c r="CD58" s="11">
        <f>IF(BX58, IF(COUNTIF(Raw!AV58:BK58, "&gt;=0") = 16,(CB58 - CC58) / (1 - CC58+0.000001),"No Contingency Table"), "Not Included")</f>
        <v>-3.8709413196392886E-2</v>
      </c>
      <c r="CE58" s="11" t="b">
        <f t="shared" ref="CE58:CG58" si="246">BQ58</f>
        <v>1</v>
      </c>
      <c r="CF58" s="11" t="str">
        <f t="shared" si="246"/>
        <v>Contingency</v>
      </c>
      <c r="CG58" s="15">
        <f t="shared" si="246"/>
        <v>46</v>
      </c>
      <c r="CH58" s="11">
        <f>IF(CE58, IF(COUNTIF(Raw!AV58:BK58, "&gt;=0") = 16, IFERROR((CG58*Raw!BA58 - SUM(Raw!BA58, Raw!AZ58, Raw!BB58, Raw!BC58)*SUM(Raw!BA58, Raw!AW58, Raw!BE58, Raw!BI58)) / SQRT((CG58*SUM(Raw!BA58, Raw!AZ58, Raw!BB58, Raw!BC58) - SUM(Raw!BA58, Raw!AZ58, Raw!BB58, Raw!BC58)^2) * (CG58*SUM(Raw!BA58, Raw!AW58, Raw!BE58, Raw!BI58) - SUM(Raw!BA58, Raw!AW58, Raw!BE58, Raw!BI58)^2)), 0), "No Contingency Table"), "Not Included")</f>
        <v>0.15921423979160779</v>
      </c>
      <c r="CI58" s="11">
        <f>IF(CE58, IF(COUNTIF(Raw!AV58:BK58, "&gt;=0") = 16, SUM(Raw!AV58,Raw!AX58,Raw!AY58,Raw!BA58,Raw!BD58,Raw!BF58,Raw!BG58,Raw!BH58,Raw!BJ58,Raw!BK58) / SUM(Raw!AV58:BK58), "No Contingency Table"), "Not Included")</f>
        <v>0.56521739130434778</v>
      </c>
      <c r="CJ58" s="61">
        <f>IF(BX58, IF(COUNTIF(Raw!AV58:BK58, "&gt;=0") = 16,SUM(SUM(Raw!AZ58,Raw!BA58,Raw!BB58,Raw!BC58)*SUM(Raw!BA58,Raw!AW58,Raw!BE58,Raw!BI58),SUM(Raw!AV58:AY58,Raw!BD58:BK58)*SUM(Raw!AV58,Raw!AX58,Raw!AY58,Raw!AZ58,Raw!BB58,Raw!BC58,Raw!BD58,Raw!BF58,Raw!BG58,Raw!BH58,Raw!BJ58,Raw!BK58))/CG58^2,"No Contingency Table"), "Not Included")</f>
        <v>0.48865784499054821</v>
      </c>
      <c r="CK58" s="11">
        <f>IF(BX58, IF(COUNTIF(Raw!AV58:BK58, "&gt;=0") = 16,(CI58 - CJ58) / (1 - CJ58),"No Contingency Table"), "Not Included")</f>
        <v>0.14972273567467645</v>
      </c>
      <c r="CL58" s="11">
        <f>IF(BQ58, IFERROR(Raw!AV58/SUM(Raw!AV58:AY58), 0), "Not Included")</f>
        <v>0</v>
      </c>
      <c r="CM58" s="11">
        <f>IF(BQ58, IFERROR(Raw!BA58/SUM(Raw!AZ58:BC58), 0), "Not Included")</f>
        <v>0.7142857142857143</v>
      </c>
      <c r="CN58" s="11">
        <f>IF(BQ58, IFERROR(Raw!BF58/SUM(Raw!BD58:BG58), 0), "Not Included")</f>
        <v>0</v>
      </c>
      <c r="CO58" s="11">
        <f>IF(BQ58, IFERROR(Raw!BK58/SUM(Raw!BH58:BK58), 0), "Not Included")</f>
        <v>0.22222222222222221</v>
      </c>
      <c r="CP58" s="11">
        <f>IF(BQ58, IFERROR(SUM(Raw!AV58,Raw!AX58,Raw!AY58,Raw!BD58,Raw!BF58,Raw!BG58,Raw!BH58,Raw!BJ58,Raw!BK58)/SUM(Raw!AV58,Raw!AW58,Raw!AX58,Raw!AY58,Raw!BD58,Raw!BE58,Raw!BF58,Raw!BG58,Raw!BH58,Raw!BI58,Raw!BJ58,Raw!BK58), 0), "Not Included")</f>
        <v>0.44</v>
      </c>
      <c r="CQ58" s="11">
        <f>IF(BQ58, IFERROR(SUM(Raw!AV58:AX58,Raw!AZ58:BB58,Raw!BD58:BF58)/SUM(Raw!AV58:BF58), 0), "Not Included")</f>
        <v>0.75</v>
      </c>
      <c r="CR58" s="11">
        <f>IF(BQ58, IFERROR(SUM(Raw!AV58:AY58), 0), "Not Included")</f>
        <v>6</v>
      </c>
      <c r="CS58" s="11">
        <f>IF(BQ58, IFERROR(SUM(Raw!AZ58:BC58), 0), "Not Included")</f>
        <v>21</v>
      </c>
      <c r="CT58" s="11">
        <f>IF(BQ58, IFERROR(SUM(Raw!BD58:BG58), 0), "Not Included")</f>
        <v>1</v>
      </c>
      <c r="CU58" s="11">
        <f>IF(BQ58, IFERROR(SUM(Raw!BH58:BK58), 0), "Not Included")</f>
        <v>18</v>
      </c>
      <c r="CV58" s="11">
        <f>IF(BQ58, IFERROR(SUM(Raw!AV58,Raw!AW58,Raw!AX58,Raw!AY58,Raw!BD58,Raw!BE58,Raw!BF58,Raw!BG58,Raw!BH58,Raw!BI58,Raw!BJ58,Raw!BK58), 0), "Not Included")</f>
        <v>25</v>
      </c>
      <c r="CW58" s="11">
        <f>IF(BQ58, IFERROR(SUM(Raw!AV58:BF58), 0), "Not Included")</f>
        <v>28</v>
      </c>
      <c r="CX58" s="11">
        <f>IF(BQ58, IFERROR((CR58*SUM(Raw!AV58,Raw!AZ58,Raw!BD58,Raw!BH58))/BS58/CR58, 0), "Not Included")</f>
        <v>0</v>
      </c>
      <c r="CY58" s="11">
        <f>IF(BX58, IFERROR((CS58*SUM(Raw!BA58,Raw!AW58,Raw!BE58,Raw!BI58))/CG58/CS58, 0), "Not Included")</f>
        <v>0.63043478260869568</v>
      </c>
      <c r="CZ58" s="11">
        <f>IF(BX58, IFERROR((CT58*SUM(Raw!BF58,Raw!AX58,Raw!BB58,Raw!BJ58))/BZ58/CT58, 0), "Not Included")</f>
        <v>0.13043478260869565</v>
      </c>
      <c r="DA58" s="11">
        <f>IF(AY58, IFERROR((CU58*SUM(Raw!AY58,Raw!BC58,Raw!BG58,Raw!BK58))/AT58/CU58, 0), "Not Included")</f>
        <v>0.23913043478260868</v>
      </c>
      <c r="DB58" s="11">
        <f>IF(BX58, IFERROR((CV58*SUM(Raw!AV58,Raw!AX58,Raw!AY58,Raw!AZ58,Raw!BB58,Raw!BC58,Raw!BD58,Raw!BF58,Raw!BG58,Raw!BH58,Raw!BJ58,Raw!BK58))/CG58/CV58,0), "Not Included")</f>
        <v>0.36956521739130438</v>
      </c>
      <c r="DC58" s="11">
        <f>IF(AY58, IFERROR((CW58*SUM(Raw!AV58,Raw!AW58,Raw!AX58,Raw!AZ58,Raw!BA58,Raw!BB58,Raw!BD58,Raw!BE58,Raw!BF58,Raw!BH58,Raw!BI58,Raw!BJ58))/AT58/CW58,0), "Not Included")</f>
        <v>0.76086956521739135</v>
      </c>
    </row>
    <row r="59" spans="1:107" ht="12.75" customHeight="1">
      <c r="A59" s="11">
        <f>Raw!D59</f>
        <v>40</v>
      </c>
      <c r="B59" s="11" t="str">
        <f>Raw!A59</f>
        <v>Fargot &amp; Pears (1996)</v>
      </c>
      <c r="C59" s="11">
        <f>Raw!G59</f>
        <v>1</v>
      </c>
      <c r="D59" s="11" t="str">
        <f>Raw!E59</f>
        <v>Single sample</v>
      </c>
      <c r="E59" s="11" t="str">
        <f>CONCATENATE(IF(Raw!I59&lt;='Interval Definitions'!$B$2, 'Interval Definitions'!$A$2, IF(Raw!I59&lt;='Interval Definitions'!$B$3, 'Interval Definitions'!$A$3, IF(Raw!I59&lt;='Interval Definitions'!$B$4, 'Interval Definitions'!$A$4, IF(Raw!I59&lt;='Interval Definitions'!$B$5, 'Interval Definitions'!$A$5, "None")))), " - ", IF(Raw!J59&lt;='Interval Definitions'!$B$2, 'Interval Definitions'!$A$2, IF(Raw!J59&lt;='Interval Definitions'!$B$3, 'Interval Definitions'!$A$3, IF(Raw!J59&lt;='Interval Definitions'!$B$4, 'Interval Definitions'!$A$4, IF(Raw!J59&lt;='Interval Definitions'!$B$5, 'Interval Definitions'!$A$5, "None")))))</f>
        <v>Infancy - Toddlerhood</v>
      </c>
      <c r="F59" s="11" t="b">
        <f>OR(NOT(ISBLANK(Raw!AF59)),NOT(ISBLANK(Raw!AG59)),NOT(ISBLANK(Raw!AH59)),NOT(ISBLANK(Raw!AI59)),COUNTIF(Raw!AA59:AD59, "&gt;=0") = 4)</f>
        <v>1</v>
      </c>
      <c r="G59" s="11" t="str">
        <f>IF(F59, IF(COUNTIF(Raw!AA59:AD59,"&gt;=0") = 4, "Contingency", IF(NOT(ISBLANK(Raw!AF59)), "Paper r", IF(NOT(ISBLANK(Raw!AG59)), "Pinquart", IF(NOT(ISBLANK(Raw!AH59)), "Fraley", "Paper chiSq")))), "Not Included")</f>
        <v>Contingency</v>
      </c>
      <c r="H59" s="15">
        <f>IF(F59,Raw!AE59,"Not Included")</f>
        <v>96</v>
      </c>
      <c r="I59" s="15">
        <f>IF(COUNTIF(Raw!AA59:AD59,"&gt;=0") = 4, SUM(Raw!AA59:AD59), "No Contingency Table")</f>
        <v>96</v>
      </c>
      <c r="J59" s="15">
        <f t="shared" si="0"/>
        <v>96</v>
      </c>
      <c r="K59" s="38">
        <f>IF(F59, IF(COUNTIF(Raw!AA59:AD59,"&gt;=0") = 4, IFERROR((I59*Raw!AA59 - SUM(Raw!AA59,Raw!AB59)*SUM(Raw!AA59,Raw!AD59)) / SQRT((I59*SUM(Raw!AA59,Raw!AB59) - SUM(Raw!AA59,Raw!AB59)^2) * (I59*SUM(Raw!AA59,Raw!AD59) - SUM(Raw!AA59,Raw!AD59)^2)), 0), "No Contingency Table"), "Not Included")</f>
        <v>0.70751483909658819</v>
      </c>
      <c r="L59" s="41">
        <f>IF(F59,IF(NOT(ISBLANK(Raw!AF59)), Raw!AF59, IF(NOT(ISBLANK(Raw!AG59)), Raw!AG59, IF(NOT(ISBLANK(Raw!AH59)), Raw!AH59, IF(NOT(ISBLANK(Raw!AI59)), SQRT(Raw!AI59/H59)*Raw!AJ59, "Not Reported")))),"Not Included")</f>
        <v>0.71</v>
      </c>
      <c r="M59" s="43">
        <f t="shared" si="1"/>
        <v>0.70751483909658819</v>
      </c>
      <c r="N59" s="11">
        <f t="shared" si="2"/>
        <v>1</v>
      </c>
      <c r="O59" s="48" t="b">
        <f>OR(NOT(ISBLANK(Raw!AK59)), COUNTIF(Raw!AA59:AD59, "&gt;=0") = 4)</f>
        <v>1</v>
      </c>
      <c r="P59" s="24" t="str">
        <f>IF(O59,IF(COUNTIF(Raw!AA59:AD59,"&gt;=0") = 4,"Contingency", "Paper k"), "Not Included")</f>
        <v>Contingency</v>
      </c>
      <c r="Q59" s="48">
        <f>IF(O59, IF(COUNTIF(Raw!AA59:AD59,"&gt;=0") = 4,SUM(Raw!AA59,Raw!AC59)/H59,"No Contingency Table"), "Not Included")</f>
        <v>0.84375</v>
      </c>
      <c r="R59" s="38">
        <f>IF(O59, IF(COUNTIF(Raw!AA59:AD59, "&gt;=0") = 4,SUM(SUM(Raw!AA59,Raw!AB59)*SUM(Raw!AA59,Raw!AD59),SUM(Raw!AC59,Raw!AD59)*SUM(Raw!AC59,Raw!AB59))/H59^2,"No Contingency Table"), "Not Included")</f>
        <v>0.4978298611111111</v>
      </c>
      <c r="S59" s="38">
        <f>IF(O59, IF(COUNTIF(Raw!AA59:AD59,"&gt;=0") = 4, IFERROR((Q59 - R59) / (1 - R59), "Could not calculate"), "No Contingency Table"), "Not Included")</f>
        <v>0.68885047536732935</v>
      </c>
      <c r="T59" s="52" t="str">
        <f>IF(O59,IF(NOT(ISBLANK(Raw!AK59)), Raw!AK59, "Not Reported"), "Not Included")</f>
        <v>Not Reported</v>
      </c>
      <c r="U59" s="38">
        <f t="shared" si="3"/>
        <v>0.68885047536732935</v>
      </c>
      <c r="V59" s="11" t="str">
        <f t="shared" si="4"/>
        <v>NA</v>
      </c>
      <c r="W59" s="11" t="b">
        <f>OR(NOT(ISBLANK(Raw!AU59)),COUNTIF(Raw!AL59:AT59,"&gt;=0") = 9)</f>
        <v>1</v>
      </c>
      <c r="X59" s="11" t="str">
        <f>IF(W59, IF(COUNTIF(Raw!AL59:AT59,"&gt;=0") = 9, "Contingency", "Paper k"), "Not Included")</f>
        <v>Contingency</v>
      </c>
      <c r="Y59" s="15">
        <f>IF(W59,IF(COUNTIF(Raw!AL59:AT59,"&gt;=0") = 9,SUM(Raw!AL59:AT59),"No Contingency Table"),"Not Included")</f>
        <v>96</v>
      </c>
      <c r="Z59" s="15">
        <f t="shared" si="5"/>
        <v>96</v>
      </c>
      <c r="AA59" s="11">
        <f>IF(W59,IF(COUNTIF(Raw!AL59:AT59,"&gt;=0") = 9,SUM(Raw!AL59,Raw!AP59,Raw!AT59)/Y59,"No Contingency Table"), "Not Included")</f>
        <v>0.65625</v>
      </c>
      <c r="AB59" s="11">
        <f>IF(W59,IF(COUNTIF(Raw!AL59:AT59,"&gt;=0") = 9,SUM(SUM(Raw!AL59,Raw!AM59,Raw!AN59)*SUM(Raw!AL59,Raw!AO59,Raw!AR59),SUM(Raw!AO59,Raw!AP59,Raw!AQ59)*SUM(Raw!AM59,Raw!AP59,Raw!AS59),SUM(Raw!AR59,Raw!AS59,Raw!AT59)*SUM(Raw!AN59,Raw!AQ59,Raw!AT59))/Y59^2,"No Contingency Table"), "Not Included")</f>
        <v>0.3310546875</v>
      </c>
      <c r="AC59" s="11">
        <f>IF(W59,IF(COUNTIF(Raw!AL59:AT59,"&gt;=0") = 9,(AA59 - AB59) / (1 - AB59),"No Contingency Table"), "Not Included")</f>
        <v>0.48613138686131385</v>
      </c>
      <c r="AD59" s="11" t="str">
        <f>IF(W59, IF(NOT(ISBLANK(Raw!AU59)),Raw!AU59,"Not Reported"), "Not Included")</f>
        <v>Not Reported</v>
      </c>
      <c r="AE59" s="11">
        <f t="shared" si="6"/>
        <v>0.48613138686131385</v>
      </c>
      <c r="AF59" s="11" t="str">
        <f t="shared" si="7"/>
        <v>NA</v>
      </c>
      <c r="AG59" s="11" t="b">
        <f>COUNTIF(Raw!AV59:BK59, "&gt;=0") = 16</f>
        <v>0</v>
      </c>
      <c r="AH59" s="11" t="str">
        <f>IF(AG59, IF(COUNTIF(Raw!AV59:BK59,"&gt;=0") = 16, "Contingency", "Paper k"), "Not Included")</f>
        <v>Not Included</v>
      </c>
      <c r="AI59" s="11" t="str">
        <f>IF(AG59,IF(COUNTIF(Raw!AV59:BK59,"&gt;=0") = 16,SUM(Raw!AV59:BK59),"No Contingency Table"),"Not Included")</f>
        <v>Not Included</v>
      </c>
      <c r="AJ59" s="15">
        <f t="shared" si="8"/>
        <v>96</v>
      </c>
      <c r="AK59" s="11" t="str">
        <f>IF(AG59,IF(COUNTIF(Raw!AV59:BK59,"&gt;=0") = 16,SUM(Raw!AV59,Raw!BA59,Raw!BF59,Raw!BK59)/AI59,"No Contingency Table"), "Not Included")</f>
        <v>Not Included</v>
      </c>
      <c r="AL59" s="11" t="str">
        <f>IF(AG59,IF(COUNTIF(Raw!AV59:BK59,"&gt;=0") = 16,SUM(SUM(Raw!AV59,Raw!AW59,Raw!AX59,Raw!AY59)*SUM(Raw!AV59,Raw!AZ59,Raw!BD59,Raw!BH59),SUM(Raw!AZ59,Raw!BA59,Raw!BB59,Raw!BC59)*SUM(Raw!AW59,Raw!BA59,Raw!BE59,Raw!BI59),SUM(Raw!BD59,Raw!BE59,Raw!BF59,Raw!BG59)*SUM(Raw!AX59,Raw!BB59,Raw!BF59,Raw!BJ59),SUM(Raw!BH59,Raw!BI59,Raw!BJ59,Raw!BK59)*SUM(Raw!AY59,Raw!BC59,Raw!BG59,Raw!BK59))/AI59^2,"No Contingency Table"), "Not Included")</f>
        <v>Not Included</v>
      </c>
      <c r="AM59" s="11" t="str">
        <f>IF(AG59,IF(COUNTIF(Raw!AV59:BK59,"&gt;=0") = 16,(AK59 - AL59) / (1 - AL59),"No Contingency Table"), "Not Included")</f>
        <v>Not Included</v>
      </c>
      <c r="AN59" s="11" t="str">
        <f>IF(NOT(ISBLANK(Raw!BL59)),Raw!BL59,"Not Reported")</f>
        <v>Not Reported</v>
      </c>
      <c r="AO59" s="11" t="str">
        <f t="shared" si="9"/>
        <v>Not Reported</v>
      </c>
      <c r="AP59" s="11" t="str">
        <f t="shared" si="10"/>
        <v>Not Included</v>
      </c>
      <c r="AQ59" s="11" t="b">
        <f t="shared" ref="AQ59:AR59" si="247">BQ59</f>
        <v>0</v>
      </c>
      <c r="AR59" s="11" t="str">
        <f t="shared" si="247"/>
        <v>Not Included</v>
      </c>
      <c r="AS59" s="11" t="str">
        <f t="shared" si="12"/>
        <v>Not Included</v>
      </c>
      <c r="AT59" s="11" t="str">
        <f t="shared" si="13"/>
        <v>Not Included</v>
      </c>
      <c r="AU59" s="11" t="str">
        <f>IF(AQ59, IF(COUNTIF(Raw!AV59:BK59, "&gt;=0") = 16, IFERROR((AT59*Raw!BK59 - SUM(Raw!BH59, Raw!BI59, Raw!BJ59, Raw!BK59)*SUM(Raw!AY59, Raw!BC59, Raw!BG59, Raw!BK59)) / SQRT((AT59*SUM(Raw!BH59, Raw!BI59, Raw!BJ59, Raw!BK59) - SUM(Raw!BH59, Raw!BI59, Raw!BJ59, Raw!BK59)^2) * (AT59*SUM(Raw!AY59, Raw!BC59, Raw!BG59, Raw!BK59) - SUM(Raw!AY59, Raw!BC59, Raw!BG59, Raw!BK59)^2)), 0), "No Contingency Table"), "Not Included")</f>
        <v>Not Included</v>
      </c>
      <c r="AV59" s="11" t="str">
        <f>IF(AQ59,IF(NOT(ISBLANK(Raw!BQ59)), Raw!BQ59, IF(NOT(ISBLANK(Raw!BR59)), Raw!BR59, "Not Reported")), "Not Included")</f>
        <v>Not Included</v>
      </c>
      <c r="AW59" s="57" t="str">
        <f t="shared" si="14"/>
        <v>Not Included</v>
      </c>
      <c r="AX59" s="11" t="str">
        <f t="shared" si="15"/>
        <v>Not Included</v>
      </c>
      <c r="AY59" s="11" t="b">
        <f t="shared" ref="AY59:AZ59" si="248">AQ59</f>
        <v>0</v>
      </c>
      <c r="AZ59" s="11" t="str">
        <f t="shared" si="248"/>
        <v>Not Included</v>
      </c>
      <c r="BA59" s="11" t="str">
        <f>IF(AY59, IF(COUNTIF(Raw!AV59:BK59, "&gt;=0") = 16, SUM(Raw!AV59,Raw!AW59,Raw!AX59,Raw!AZ59,Raw!BA59,Raw!BB59,Raw!BD59,Raw!BE59,Raw!BF59,Raw!BK59)/SUM(Raw!AV59:BK59), "No Contingency Table"), "Not Included")</f>
        <v>Not Included</v>
      </c>
      <c r="BB59" s="11" t="str">
        <f>IF(AY59, IF(COUNTIF(Raw!AV59:BK59, "&gt;=0") = 16,SUM(SUM(Raw!BH59,Raw!BI59,Raw!BJ59,Raw!BK59)*SUM(Raw!AY59,Raw!BC59,Raw!BG59,Raw!BK59),SUM(Raw!AV59:BG59)*SUM(Raw!AV59,Raw!AW59,Raw!AX59,Raw!AZ59,Raw!BA59,Raw!BB59,Raw!BD59,Raw!BE59,Raw!BF59,Raw!BH59,Raw!BI59,Raw!BJ59))/AT59^2,"No Contingency Table"), "Not Included")</f>
        <v>Not Included</v>
      </c>
      <c r="BC59" s="11" t="str">
        <f>IF(AY59, IF(COUNTIF(Raw!AV59:BK59, "&gt;=0") = 16,(BA59-BB59) / (1 - BB59),"No Contingency Table"), "Not Included")</f>
        <v>Not Included</v>
      </c>
      <c r="BD59" s="11" t="str">
        <f>IF(AY59,IF(NOT(ISBLANK(Raw!BT80)),Raw!BT80,"Not Reported"),"Not Included")</f>
        <v>Not Included</v>
      </c>
      <c r="BE59" s="11" t="str">
        <f t="shared" si="17"/>
        <v>Not Included</v>
      </c>
      <c r="BF59" s="11" t="str">
        <f t="shared" si="18"/>
        <v>Not Included</v>
      </c>
      <c r="BG59" s="11">
        <f>Raw!K59</f>
        <v>1996</v>
      </c>
      <c r="BH59" s="11" t="str">
        <f>IF(Raw!L59 = "USA","USA","Non-USA")</f>
        <v>USA</v>
      </c>
      <c r="BI59" s="11" t="str">
        <f>Raw!M59</f>
        <v>Ainsworth/Crittenden</v>
      </c>
      <c r="BJ59" s="11">
        <f>Raw!N59</f>
        <v>1</v>
      </c>
      <c r="BK59" s="11">
        <f>Raw!P59</f>
        <v>0</v>
      </c>
      <c r="BL59" s="11">
        <f>Raw!Q59</f>
        <v>0</v>
      </c>
      <c r="BM59" s="11">
        <f>Raw!T59</f>
        <v>1</v>
      </c>
      <c r="BN59" s="11">
        <f>IFERROR(IF(AND(ISBLANK(Raw!U59), ISBLANK(Raw!V59), ISBLANK(Raw!W59), ISBLANK(Raw!X59)), "NA", IF(OR(NOT(ISBLANK(Raw!U59)), NOT(ISBLANK(Raw!W59))), AVERAGE(Raw!U59,Raw!W59), AVERAGE(Raw!V59,Raw!X59) + IF(Raw!Y59 = "2-way", R59, IF(Raw!Y59 = "3-way", AB59, IF(Raw!Y59 = "4-way", AL59, "NA")))*(1 - AVERAGE(Raw!V59,Raw!X59)))), "NA")</f>
        <v>0.832763671875</v>
      </c>
      <c r="BO59" s="11">
        <f>Raw!O59</f>
        <v>0</v>
      </c>
      <c r="BP59" s="11" t="str">
        <f>Raw!F59</f>
        <v>Female</v>
      </c>
      <c r="BQ59" s="11" t="b">
        <f>COUNTIF(Raw!AV59:BK59, "&gt;=0") = 16</f>
        <v>0</v>
      </c>
      <c r="BR59" s="11" t="str">
        <f t="shared" si="19"/>
        <v>Not Included</v>
      </c>
      <c r="BS59" s="11" t="str">
        <f t="shared" si="20"/>
        <v>Not Included</v>
      </c>
      <c r="BT59" s="11" t="str">
        <f>IF(BQ59, IF(COUNTIF(Raw!AV59:BK59, "&gt;=0") = 16, IFERROR((BS59*Raw!AV59 - SUM(Raw!AV59, Raw!AW59, Raw!AX59, Raw!AY59)*SUM(Raw!AV59, Raw!AZ59, Raw!BD59, Raw!BH59)) / SQRT((BS59*SUM(Raw!AV59, Raw!AW59, Raw!AX59, Raw!AY59) - SUM(Raw!AV59, Raw!AW59, Raw!AX59, Raw!AY59)^2) * (BS59*SUM(Raw!AV59, Raw!AZ59, Raw!BD59, Raw!BH59) - SUM(Raw!AV59, Raw!AZ59, Raw!BD59, Raw!BH59)^2)), 0), "No Contingency Table"), "Not Included")</f>
        <v>Not Included</v>
      </c>
      <c r="BU59" s="11" t="str">
        <f>IF(BQ59, IF(COUNTIF(Raw!AV59:BK59, "&gt;=0") = 16, SUM(Raw!BK59,Raw!BJ59,Raw!BI59,Raw!BG59,Raw!BF59,Raw!BE59,Raw!BC59,Raw!BB59,Raw!BA59,Raw!AV59)/SUM(Raw!AV59:BK59), "No Contingency Table"), "Not Included")</f>
        <v>Not Included</v>
      </c>
      <c r="BV59" s="11" t="str">
        <f>IF(BQ59, IF(COUNTIF(Raw!AV59:BK59, "&gt;=0") = 16,SUM(SUM(Raw!AV59,Raw!AW59,Raw!AX59,Raw!AY59)*SUM(Raw!AV59,Raw!AZ59,Raw!BD59,Raw!BH59),SUM(Raw!AZ59:BK59)*SUM(Raw!AW59,Raw!AX59,Raw!AY59,Raw!BA59,Raw!BB59,Raw!BC59,Raw!BE59,Raw!BF59,Raw!BG59,Raw!BI59,Raw!BJ59,Raw!BK59))/BS59^2,"No Contingency Table"), "Not Included")</f>
        <v>Not Included</v>
      </c>
      <c r="BW59" s="11" t="str">
        <f>IF(BQ59, IF(COUNTIF(Raw!AV59:BK59, "&gt;=0") = 16,(BU59-BV59) / (1 - BV59),"No Contingency Table"), "Not Included")</f>
        <v>Not Included</v>
      </c>
      <c r="BX59" s="11" t="b">
        <f t="shared" ref="BX59:BZ59" si="249">BQ59</f>
        <v>0</v>
      </c>
      <c r="BY59" s="11" t="str">
        <f t="shared" si="249"/>
        <v>Not Included</v>
      </c>
      <c r="BZ59" s="11" t="str">
        <f t="shared" si="249"/>
        <v>Not Included</v>
      </c>
      <c r="CA59" s="11" t="str">
        <f>IF(BX59, IF(COUNTIF(Raw!AV59:BK59, "&gt;=0") = 16, IFERROR((BZ59*Raw!BF59 - SUM(Raw!BD59, Raw!BE59, Raw!BF59, Raw!BG59)*SUM(Raw!BF59, Raw!AX59, Raw!BB59, Raw!BJ59)) / SQRT((BZ59*SUM(Raw!BD59, Raw!BE59, Raw!BF59, Raw!BG59) - SUM(Raw!BD59, Raw!BE59, Raw!BF59, Raw!BG59)^2) * (BZ59*SUM(Raw!BF59, Raw!AX59, Raw!BB59, Raw!BJ59) - SUM(Raw!BF59, Raw!AX59, Raw!BB59, Raw!BJ59)^2)), 0), "No Contingency Table"), "Not Included")</f>
        <v>Not Included</v>
      </c>
      <c r="CB59" s="11" t="str">
        <f>IF(BX59, IF(COUNTIF(Raw!AV59:BK59, "&gt;=0") = 16, SUM(Raw!AV59,Raw!AW59,Raw!AY59,Raw!AZ59,Raw!BA59,Raw!BC59,Raw!BF59,Raw!BH59,Raw!BI59,Raw!BK59) / SUM(Raw!AV59:BK59), "No Contingency Table"), "Not Included")</f>
        <v>Not Included</v>
      </c>
      <c r="CC59" s="11" t="str">
        <f>IF(BX59, IF(COUNTIF(Raw!AV59:BK59, "&gt;=0") = 16,SUM(SUM(Raw!BD59,Raw!BE59,Raw!BF59,Raw!BG59)*SUM(Raw!BF59,Raw!AX59,Raw!BB59,Raw!BJ59),SUM(Raw!AV59:BC59,Raw!BH59:BK59)*SUM(Raw!AV59,Raw!AW59,Raw!AY59,Raw!AZ59,Raw!BA59,Raw!BC59,Raw!BD59,Raw!BE59,Raw!BG59,Raw!BH59,Raw!BI59,Raw!BK59))/BZ59^2,"No Contingency Table"), "Not Included")</f>
        <v>Not Included</v>
      </c>
      <c r="CD59" s="11" t="str">
        <f>IF(BX59, IF(COUNTIF(Raw!AV59:BK59, "&gt;=0") = 16,(CB59 - CC59) / (1 - CC59+0.000001),"No Contingency Table"), "Not Included")</f>
        <v>Not Included</v>
      </c>
      <c r="CE59" s="11" t="b">
        <f t="shared" ref="CE59:CG59" si="250">BQ59</f>
        <v>0</v>
      </c>
      <c r="CF59" s="11" t="str">
        <f t="shared" si="250"/>
        <v>Not Included</v>
      </c>
      <c r="CG59" s="11" t="str">
        <f t="shared" si="250"/>
        <v>Not Included</v>
      </c>
      <c r="CH59" s="11" t="str">
        <f>IF(CE59, IF(COUNTIF(Raw!AV59:BK59, "&gt;=0") = 16, IFERROR((CG59*Raw!BA59 - SUM(Raw!BA59, Raw!AZ59, Raw!BB59, Raw!BC59)*SUM(Raw!BA59, Raw!AW59, Raw!BE59, Raw!BI59)) / SQRT((CG59*SUM(Raw!BA59, Raw!AZ59, Raw!BB59, Raw!BC59) - SUM(Raw!BA59, Raw!AZ59, Raw!BB59, Raw!BC59)^2) * (CG59*SUM(Raw!BA59, Raw!AW59, Raw!BE59, Raw!BI59) - SUM(Raw!BA59, Raw!AW59, Raw!BE59, Raw!BI59)^2)), 0), "No Contingency Table"), "Not Included")</f>
        <v>Not Included</v>
      </c>
      <c r="CI59" s="11" t="str">
        <f>IF(CE59, IF(COUNTIF(Raw!AV59:BK59, "&gt;=0") = 16, SUM(Raw!AV59,Raw!AX59,Raw!AY59,Raw!BA59,Raw!BD59,Raw!BF59,Raw!BG59,Raw!BH59,Raw!BJ59,Raw!BK59) / SUM(Raw!AV59:BK59), "No Contingency Table"), "Not Included")</f>
        <v>Not Included</v>
      </c>
      <c r="CJ59" s="61" t="str">
        <f>IF(BX59, IF(COUNTIF(Raw!AV59:BK59, "&gt;=0") = 16,SUM(SUM(Raw!AZ59,Raw!BA59,Raw!BB59,Raw!BC59)*SUM(Raw!BA59,Raw!AW59,Raw!BE59,Raw!BI59),SUM(Raw!AV59:AY59,Raw!BD59:BK59)*SUM(Raw!AV59,Raw!AX59,Raw!AY59,Raw!AZ59,Raw!BB59,Raw!BC59,Raw!BD59,Raw!BF59,Raw!BG59,Raw!BH59,Raw!BJ59,Raw!BK59))/CG59^2,"No Contingency Table"), "Not Included")</f>
        <v>Not Included</v>
      </c>
      <c r="CK59" s="11" t="str">
        <f>IF(BX59, IF(COUNTIF(Raw!AV59:BK59, "&gt;=0") = 16,(CI59 - CJ59) / (1 - CJ59),"No Contingency Table"), "Not Included")</f>
        <v>Not Included</v>
      </c>
      <c r="CL59" s="11" t="str">
        <f>IF(BQ59, IFERROR(Raw!AV59/SUM(Raw!AV59:AY59), 0), "Not Included")</f>
        <v>Not Included</v>
      </c>
      <c r="CM59" s="11" t="str">
        <f>IF(BQ59, IFERROR(Raw!BA59/SUM(Raw!AZ59:BC59), 0), "Not Included")</f>
        <v>Not Included</v>
      </c>
      <c r="CN59" s="11" t="str">
        <f>IF(BQ59, IFERROR(Raw!BF59/SUM(Raw!BD59:BG59), 0), "Not Included")</f>
        <v>Not Included</v>
      </c>
      <c r="CO59" s="11" t="str">
        <f>IF(BQ59, IFERROR(Raw!BK59/SUM(Raw!BH59:BK59), 0), "Not Included")</f>
        <v>Not Included</v>
      </c>
      <c r="CP59" s="11" t="str">
        <f>IF(BQ59, IFERROR(SUM(Raw!AV59,Raw!AX59,Raw!AY59,Raw!BD59,Raw!BF59,Raw!BG59,Raw!BH59,Raw!BJ59,Raw!BK59)/SUM(Raw!AV59,Raw!AW59,Raw!AX59,Raw!AY59,Raw!BD59,Raw!BE59,Raw!BF59,Raw!BG59,Raw!BH59,Raw!BI59,Raw!BJ59,Raw!BK59), 0), "Not Included")</f>
        <v>Not Included</v>
      </c>
      <c r="CQ59" s="11" t="str">
        <f>IF(BQ59, IFERROR(SUM(Raw!AV59:AX59,Raw!AZ59:BB59,Raw!BD59:BF59)/SUM(Raw!AV59:BF59), 0), "Not Included")</f>
        <v>Not Included</v>
      </c>
      <c r="CR59" s="11" t="str">
        <f>IF(BQ59, IFERROR(SUM(Raw!AV59:AY59), 0), "Not Included")</f>
        <v>Not Included</v>
      </c>
      <c r="CS59" s="11" t="str">
        <f>IF(BQ59, IFERROR(SUM(Raw!AZ59:BC59), 0), "Not Included")</f>
        <v>Not Included</v>
      </c>
      <c r="CT59" s="11" t="str">
        <f>IF(BQ59, IFERROR(SUM(Raw!BD59:BG59), 0), "Not Included")</f>
        <v>Not Included</v>
      </c>
      <c r="CU59" s="11" t="str">
        <f>IF(BQ59, IFERROR(SUM(Raw!BH59:BK59), 0), "Not Included")</f>
        <v>Not Included</v>
      </c>
      <c r="CV59" s="11" t="str">
        <f>IF(BQ59, IFERROR(SUM(Raw!AV59,Raw!AW59,Raw!AX59,Raw!AY59,Raw!BD59,Raw!BE59,Raw!BF59,Raw!BG59,Raw!BH59,Raw!BI59,Raw!BJ59,Raw!BK59), 0), "Not Included")</f>
        <v>Not Included</v>
      </c>
      <c r="CW59" s="11" t="str">
        <f>IF(BQ59, IFERROR(SUM(Raw!AV59:BF59), 0), "Not Included")</f>
        <v>Not Included</v>
      </c>
      <c r="CX59" s="11" t="str">
        <f>IF(BQ59, IFERROR((CR59*SUM(Raw!AV59,Raw!AZ59,Raw!BD59,Raw!BH59))/BS59/CR59, 0), "Not Included")</f>
        <v>Not Included</v>
      </c>
      <c r="CY59" s="11" t="str">
        <f>IF(BX59, IFERROR((CS59*SUM(Raw!BA59,Raw!AW59,Raw!BE59,Raw!BI59))/CG59/CS59, 0), "Not Included")</f>
        <v>Not Included</v>
      </c>
      <c r="CZ59" s="11" t="str">
        <f>IF(BX59, IFERROR((CT59*SUM(Raw!BF59,Raw!AX59,Raw!BB59,Raw!BJ59))/BZ59/CT59, 0), "Not Included")</f>
        <v>Not Included</v>
      </c>
      <c r="DA59" s="11" t="str">
        <f>IF(AY59, IFERROR((CU59*SUM(Raw!AY59,Raw!BC59,Raw!BG59,Raw!BK59))/AT59/CU59, 0), "Not Included")</f>
        <v>Not Included</v>
      </c>
      <c r="DB59" s="11" t="str">
        <f>IF(BX59, IFERROR((CV59*SUM(Raw!AV59,Raw!AX59,Raw!AY59,Raw!AZ59,Raw!BB59,Raw!BC59,Raw!BD59,Raw!BF59,Raw!BG59,Raw!BH59,Raw!BJ59,Raw!BK59))/CG59/CV59,0), "Not Included")</f>
        <v>Not Included</v>
      </c>
      <c r="DC59" s="11" t="str">
        <f>IF(AY59, IFERROR((CW59*SUM(Raw!AV59,Raw!AW59,Raw!AX59,Raw!AZ59,Raw!BA59,Raw!BB59,Raw!BD59,Raw!BE59,Raw!BF59,Raw!BH59,Raw!BI59,Raw!BJ59))/AT59/CW59,0), "Not Included")</f>
        <v>Not Included</v>
      </c>
    </row>
    <row r="60" spans="1:107" ht="12.75" customHeight="1">
      <c r="A60" s="11">
        <f>Raw!D60</f>
        <v>41</v>
      </c>
      <c r="B60" s="11" t="str">
        <f>Raw!A60</f>
        <v>Toth et al. (2006)</v>
      </c>
      <c r="C60" s="11">
        <f>Raw!G60</f>
        <v>1</v>
      </c>
      <c r="D60" s="11" t="str">
        <f>Raw!E60</f>
        <v>Non-depressed control</v>
      </c>
      <c r="E60" s="11" t="str">
        <f>CONCATENATE(IF(Raw!I60&lt;='Interval Definitions'!$B$2, 'Interval Definitions'!$A$2, IF(Raw!I60&lt;='Interval Definitions'!$B$3, 'Interval Definitions'!$A$3, IF(Raw!I60&lt;='Interval Definitions'!$B$4, 'Interval Definitions'!$A$4, IF(Raw!I60&lt;='Interval Definitions'!$B$5, 'Interval Definitions'!$A$5, "None")))), " - ", IF(Raw!J60&lt;='Interval Definitions'!$B$2, 'Interval Definitions'!$A$2, IF(Raw!J60&lt;='Interval Definitions'!$B$3, 'Interval Definitions'!$A$3, IF(Raw!J60&lt;='Interval Definitions'!$B$4, 'Interval Definitions'!$A$4, IF(Raw!J60&lt;='Interval Definitions'!$B$5, 'Interval Definitions'!$A$5, "None")))))</f>
        <v>Toddlerhood - Preschool</v>
      </c>
      <c r="F60" s="11" t="b">
        <f>OR(NOT(ISBLANK(Raw!AF60)),NOT(ISBLANK(Raw!AG60)),NOT(ISBLANK(Raw!AH60)),NOT(ISBLANK(Raw!AI60)),COUNTIF(Raw!AA60:AD60, "&gt;=0") = 4)</f>
        <v>1</v>
      </c>
      <c r="G60" s="11" t="str">
        <f>IF(F60, IF(COUNTIF(Raw!AA60:AD60,"&gt;=0") = 4, "Contingency", IF(NOT(ISBLANK(Raw!AF60)), "Paper r", IF(NOT(ISBLANK(Raw!AG60)), "Pinquart", IF(NOT(ISBLANK(Raw!AH60)), "Fraley", "Paper chiSq")))), "Not Included")</f>
        <v>Contingency</v>
      </c>
      <c r="H60" s="15">
        <f>IF(F60,Raw!AE60,"Not Included")</f>
        <v>63</v>
      </c>
      <c r="I60" s="15">
        <f>IF(COUNTIF(Raw!AA60:AD60,"&gt;=0") = 4, SUM(Raw!AA60:AD60), "No Contingency Table")</f>
        <v>63</v>
      </c>
      <c r="J60" s="15">
        <f t="shared" si="0"/>
        <v>63</v>
      </c>
      <c r="K60" s="38">
        <f>IF(F60, IF(COUNTIF(Raw!AA60:AD60,"&gt;=0") = 4, IFERROR((I60*Raw!AA60 - SUM(Raw!AA60,Raw!AB60)*SUM(Raw!AA60,Raw!AD60)) / SQRT((I60*SUM(Raw!AA60,Raw!AB60) - SUM(Raw!AA60,Raw!AB60)^2) * (I60*SUM(Raw!AA60,Raw!AD60) - SUM(Raw!AA60,Raw!AD60)^2)), 0), "No Contingency Table"), "Not Included")</f>
        <v>0.30668079029549833</v>
      </c>
      <c r="L60" s="41" t="str">
        <f>IF(F60,IF(NOT(ISBLANK(Raw!AF60)), Raw!AF60, IF(NOT(ISBLANK(Raw!AG60)), Raw!AG60, IF(NOT(ISBLANK(Raw!AH60)), Raw!AH60, IF(NOT(ISBLANK(Raw!AI60)), SQRT(Raw!AI60/H60)*Raw!AJ60, "Not Reported")))),"Not Included")</f>
        <v>Not Reported</v>
      </c>
      <c r="M60" s="43">
        <f t="shared" si="1"/>
        <v>0.30668079029549833</v>
      </c>
      <c r="N60" s="11" t="str">
        <f t="shared" si="2"/>
        <v>NA</v>
      </c>
      <c r="O60" s="48" t="b">
        <f>OR(NOT(ISBLANK(Raw!AK60)), COUNTIF(Raw!AA60:AD60, "&gt;=0") = 4)</f>
        <v>1</v>
      </c>
      <c r="P60" s="24" t="str">
        <f>IF(O60,IF(COUNTIF(Raw!AA60:AD60,"&gt;=0") = 4,"Contingency", "Paper k"), "Not Included")</f>
        <v>Contingency</v>
      </c>
      <c r="Q60" s="48">
        <f>IF(O60, IF(COUNTIF(Raw!AA60:AD60,"&gt;=0") = 4,SUM(Raw!AA60,Raw!AC60)/H60,"No Contingency Table"), "Not Included")</f>
        <v>0.65079365079365081</v>
      </c>
      <c r="R60" s="38">
        <f>IF(O60, IF(COUNTIF(Raw!AA60:AD60, "&gt;=0") = 4,SUM(SUM(Raw!AA60,Raw!AB60)*SUM(Raw!AA60,Raw!AD60),SUM(Raw!AC60,Raw!AD60)*SUM(Raw!AC60,Raw!AB60))/H60^2,"No Contingency Table"), "Not Included")</f>
        <v>0.4981103552532124</v>
      </c>
      <c r="S60" s="38">
        <f>IF(O60, IF(COUNTIF(Raw!AA60:AD60,"&gt;=0") = 4, IFERROR((Q60 - R60) / (1 - R60), "Could not calculate"), "No Contingency Table"), "Not Included")</f>
        <v>0.30421686746987958</v>
      </c>
      <c r="T60" s="52" t="str">
        <f>IF(O60,IF(NOT(ISBLANK(Raw!AK60)), Raw!AK60, "Not Reported"), "Not Included")</f>
        <v>Not Reported</v>
      </c>
      <c r="U60" s="38">
        <f t="shared" si="3"/>
        <v>0.30421686746987958</v>
      </c>
      <c r="V60" s="11" t="str">
        <f t="shared" si="4"/>
        <v>NA</v>
      </c>
      <c r="W60" s="11" t="b">
        <f>OR(NOT(ISBLANK(Raw!AU60)),COUNTIF(Raw!AL60:AT60,"&gt;=0") = 9)</f>
        <v>0</v>
      </c>
      <c r="X60" s="11" t="str">
        <f>IF(W60, IF(COUNTIF(Raw!AL60:AT60,"&gt;=0") = 9, "Contingency", "Paper k"), "Not Included")</f>
        <v>Not Included</v>
      </c>
      <c r="Y60" s="11" t="str">
        <f>IF(W60,IF(COUNTIF(Raw!AL60:AT60,"&gt;=0") = 9,SUM(Raw!AL60:AT60),"No Contingency Table"),"Not Included")</f>
        <v>Not Included</v>
      </c>
      <c r="Z60" s="11" t="str">
        <f t="shared" si="5"/>
        <v>Not Included</v>
      </c>
      <c r="AA60" s="11" t="str">
        <f>IF(W60,IF(COUNTIF(Raw!AL60:AT60,"&gt;=0") = 9,SUM(Raw!AL60,Raw!AP60,Raw!AT60)/Y60,"No Contingency Table"), "Not Included")</f>
        <v>Not Included</v>
      </c>
      <c r="AB60" s="11" t="str">
        <f>IF(W60,IF(COUNTIF(Raw!AL60:AT60,"&gt;=0") = 9,SUM(SUM(Raw!AL60,Raw!AM60,Raw!AN60)*SUM(Raw!AL60,Raw!AO60,Raw!AR60),SUM(Raw!AO60,Raw!AP60,Raw!AQ60)*SUM(Raw!AM60,Raw!AP60,Raw!AS60),SUM(Raw!AR60,Raw!AS60,Raw!AT60)*SUM(Raw!AN60,Raw!AQ60,Raw!AT60))/Y60^2,"No Contingency Table"), "Not Included")</f>
        <v>Not Included</v>
      </c>
      <c r="AC60" s="11" t="str">
        <f>IF(W60,IF(COUNTIF(Raw!AL60:AT60,"&gt;=0") = 9,(AA60 - AB60) / (1 - AB60),"No Contingency Table"), "Not Included")</f>
        <v>Not Included</v>
      </c>
      <c r="AD60" s="11" t="str">
        <f>IF(W60, IF(NOT(ISBLANK(Raw!AU60)),Raw!AU60,"Not Reported"), "Not Included")</f>
        <v>Not Included</v>
      </c>
      <c r="AE60" s="11" t="str">
        <f t="shared" si="6"/>
        <v>Not Included</v>
      </c>
      <c r="AF60" s="11" t="str">
        <f t="shared" si="7"/>
        <v>Not Included</v>
      </c>
      <c r="AG60" s="11" t="b">
        <f>COUNTIF(Raw!AV60:BK60, "&gt;=0") = 16</f>
        <v>1</v>
      </c>
      <c r="AH60" s="11" t="str">
        <f>IF(AG60, IF(COUNTIF(Raw!AV60:BK60,"&gt;=0") = 16, "Contingency", "Paper k"), "Not Included")</f>
        <v>Contingency</v>
      </c>
      <c r="AI60" s="15">
        <f>IF(AG60,IF(COUNTIF(Raw!AV60:BK60,"&gt;=0") = 16,SUM(Raw!AV60:BK60),"No Contingency Table"),"Not Included")</f>
        <v>63</v>
      </c>
      <c r="AJ60" s="15">
        <f t="shared" si="8"/>
        <v>63</v>
      </c>
      <c r="AK60" s="11">
        <f>IF(AG60,IF(COUNTIF(Raw!AV60:BK60,"&gt;=0") = 16,SUM(Raw!AV60,Raw!BA60,Raw!BF60,Raw!BK60)/AI60,"No Contingency Table"), "Not Included")</f>
        <v>0.52380952380952384</v>
      </c>
      <c r="AL60" s="11">
        <f>IF(AG60,IF(COUNTIF(Raw!AV60:BK60,"&gt;=0") = 16,SUM(SUM(Raw!AV60,Raw!AW60,Raw!AX60,Raw!AY60)*SUM(Raw!AV60,Raw!AZ60,Raw!BD60,Raw!BH60),SUM(Raw!AZ60,Raw!BA60,Raw!BB60,Raw!BC60)*SUM(Raw!AW60,Raw!BA60,Raw!BE60,Raw!BI60),SUM(Raw!BD60,Raw!BE60,Raw!BF60,Raw!BG60)*SUM(Raw!AX60,Raw!BB60,Raw!BF60,Raw!BJ60),SUM(Raw!BH60,Raw!BI60,Raw!BJ60,Raw!BK60)*SUM(Raw!AY60,Raw!BC60,Raw!BG60,Raw!BK60))/AI60^2,"No Contingency Table"), "Not Included")</f>
        <v>0.35500125976316455</v>
      </c>
      <c r="AM60" s="11">
        <f>IF(AG60,IF(COUNTIF(Raw!AV60:BK60,"&gt;=0") = 16,(AK60 - AL60) / (1 - AL60),"No Contingency Table"), "Not Included")</f>
        <v>0.26171875</v>
      </c>
      <c r="AN60" s="11" t="str">
        <f>IF(NOT(ISBLANK(Raw!BL60)),Raw!BL60,"Not Reported")</f>
        <v>Not Reported</v>
      </c>
      <c r="AO60" s="11">
        <f t="shared" si="9"/>
        <v>0.26171875</v>
      </c>
      <c r="AP60" s="11" t="str">
        <f t="shared" si="10"/>
        <v>NA</v>
      </c>
      <c r="AQ60" s="11" t="b">
        <f t="shared" ref="AQ60:AR60" si="251">BQ60</f>
        <v>1</v>
      </c>
      <c r="AR60" s="11" t="str">
        <f t="shared" si="251"/>
        <v>Contingency</v>
      </c>
      <c r="AS60" s="15">
        <f t="shared" si="12"/>
        <v>63</v>
      </c>
      <c r="AT60" s="15">
        <f t="shared" si="13"/>
        <v>63</v>
      </c>
      <c r="AU60" s="11">
        <f>IF(AQ60, IF(COUNTIF(Raw!AV60:BK60, "&gt;=0") = 16, IFERROR((AT60*Raw!BK60 - SUM(Raw!BH60, Raw!BI60, Raw!BJ60, Raw!BK60)*SUM(Raw!AY60, Raw!BC60, Raw!BG60, Raw!BK60)) / SQRT((AT60*SUM(Raw!BH60, Raw!BI60, Raw!BJ60, Raw!BK60) - SUM(Raw!BH60, Raw!BI60, Raw!BJ60, Raw!BK60)^2) * (AT60*SUM(Raw!AY60, Raw!BC60, Raw!BG60, Raw!BK60) - SUM(Raw!AY60, Raw!BC60, Raw!BG60, Raw!BK60)^2)), 0), "No Contingency Table"), "Not Included")</f>
        <v>0.22461538461538461</v>
      </c>
      <c r="AV60" s="11" t="str">
        <f>IF(AQ60,IF(NOT(ISBLANK(Raw!BQ60)), Raw!BQ60, IF(NOT(ISBLANK(Raw!BR60)), Raw!BR60, "Not Reported")), "Not Included")</f>
        <v>Not Reported</v>
      </c>
      <c r="AW60" s="57">
        <f t="shared" si="14"/>
        <v>0.22461538461538461</v>
      </c>
      <c r="AX60" s="11" t="str">
        <f t="shared" si="15"/>
        <v>NA</v>
      </c>
      <c r="AY60" s="11" t="b">
        <f t="shared" ref="AY60:AZ60" si="252">AQ60</f>
        <v>1</v>
      </c>
      <c r="AZ60" s="11" t="str">
        <f t="shared" si="252"/>
        <v>Contingency</v>
      </c>
      <c r="BA60" s="11">
        <f>IF(AY60, IF(COUNTIF(Raw!AV60:BK60, "&gt;=0") = 16, SUM(Raw!AV60,Raw!AW60,Raw!AX60,Raw!AZ60,Raw!BA60,Raw!BB60,Raw!BD60,Raw!BE60,Raw!BF60,Raw!BK60)/SUM(Raw!AV60:BK60), "No Contingency Table"), "Not Included")</f>
        <v>0.74603174603174605</v>
      </c>
      <c r="BB60" s="11">
        <f>IF(AY60, IF(COUNTIF(Raw!AV60:BK60, "&gt;=0") = 16,SUM(SUM(Raw!BH60,Raw!BI60,Raw!BJ60,Raw!BK60)*SUM(Raw!AY60,Raw!BC60,Raw!BG60,Raw!BK60),SUM(Raw!AV60:BG60)*SUM(Raw!AV60,Raw!AW60,Raw!AX60,Raw!AZ60,Raw!BA60,Raw!BB60,Raw!BD60,Raw!BE60,Raw!BF60,Raw!BH60,Raw!BI60,Raw!BJ60))/AT60^2,"No Contingency Table"), "Not Included")</f>
        <v>0.67246157722348199</v>
      </c>
      <c r="BC60" s="11">
        <f>IF(AY60, IF(COUNTIF(Raw!AV60:BK60, "&gt;=0") = 16,(BA60-BB60) / (1 - BB60),"No Contingency Table"), "Not Included")</f>
        <v>0.22461538461538466</v>
      </c>
      <c r="BD60" s="11" t="str">
        <f>IF(AY60,IF(NOT(ISBLANK(Raw!BT81)),Raw!BT81,"Not Reported"),"Not Included")</f>
        <v>Not Reported</v>
      </c>
      <c r="BE60" s="11">
        <f t="shared" si="17"/>
        <v>0.22461538461538466</v>
      </c>
      <c r="BF60" s="11" t="str">
        <f t="shared" si="18"/>
        <v>NA</v>
      </c>
      <c r="BG60" s="11">
        <f>Raw!K60</f>
        <v>2006</v>
      </c>
      <c r="BH60" s="11" t="str">
        <f>IF(Raw!L60 = "USA","USA","Non-USA")</f>
        <v>USA</v>
      </c>
      <c r="BI60" s="11" t="str">
        <f>Raw!M60</f>
        <v>Ainsworth/Cassidy-Marvin</v>
      </c>
      <c r="BJ60" s="11">
        <f>Raw!N60</f>
        <v>0</v>
      </c>
      <c r="BK60" s="11">
        <f>Raw!P60</f>
        <v>0</v>
      </c>
      <c r="BL60" s="11">
        <f>Raw!Q60</f>
        <v>0</v>
      </c>
      <c r="BM60" s="11">
        <f>Raw!T60</f>
        <v>1</v>
      </c>
      <c r="BN60" s="11">
        <f>IFERROR(IF(AND(ISBLANK(Raw!U60), ISBLANK(Raw!V60), ISBLANK(Raw!W60), ISBLANK(Raw!X60)), "NA", IF(OR(NOT(ISBLANK(Raw!U60)), NOT(ISBLANK(Raw!W60))), AVERAGE(Raw!U60,Raw!W60), AVERAGE(Raw!V60,Raw!X60) + IF(Raw!Y60 = "2-way", R60, IF(Raw!Y60 = "3-way", AB60, IF(Raw!Y60 = "4-way", AL60, "NA")))*(1 - AVERAGE(Raw!V60,Raw!X60)))), "NA")</f>
        <v>0.91999999999999993</v>
      </c>
      <c r="BO60" s="11">
        <f>Raw!O60</f>
        <v>0</v>
      </c>
      <c r="BP60" s="11" t="str">
        <f>Raw!F60</f>
        <v>Female</v>
      </c>
      <c r="BQ60" s="11" t="b">
        <f>COUNTIF(Raw!AV60:BK60, "&gt;=0") = 16</f>
        <v>1</v>
      </c>
      <c r="BR60" s="11" t="str">
        <f t="shared" si="19"/>
        <v>Contingency</v>
      </c>
      <c r="BS60" s="15">
        <f t="shared" si="20"/>
        <v>63</v>
      </c>
      <c r="BT60" s="11">
        <f>IF(BQ60, IF(COUNTIF(Raw!AV60:BK60, "&gt;=0") = 16, IFERROR((BS60*Raw!AV60 - SUM(Raw!AV60, Raw!AW60, Raw!AX60, Raw!AY60)*SUM(Raw!AV60, Raw!AZ60, Raw!BD60, Raw!BH60)) / SQRT((BS60*SUM(Raw!AV60, Raw!AW60, Raw!AX60, Raw!AY60) - SUM(Raw!AV60, Raw!AW60, Raw!AX60, Raw!AY60)^2) * (BS60*SUM(Raw!AV60, Raw!AZ60, Raw!BD60, Raw!BH60) - SUM(Raw!AV60, Raw!AZ60, Raw!BD60, Raw!BH60)^2)), 0), "No Contingency Table"), "Not Included")</f>
        <v>0.24315506626851482</v>
      </c>
      <c r="BU60" s="11">
        <f>IF(BQ60, IF(COUNTIF(Raw!AV60:BK60, "&gt;=0") = 16, SUM(Raw!BK60,Raw!BJ60,Raw!BI60,Raw!BG60,Raw!BF60,Raw!BE60,Raw!BC60,Raw!BB60,Raw!BA60,Raw!AV60)/SUM(Raw!AV60:BK60), "No Contingency Table"), "Not Included")</f>
        <v>0.73015873015873012</v>
      </c>
      <c r="BV60" s="11">
        <f>IF(BQ60, IF(COUNTIF(Raw!AV60:BK60, "&gt;=0") = 16,SUM(SUM(Raw!AV60,Raw!AW60,Raw!AX60,Raw!AY60)*SUM(Raw!AV60,Raw!AZ60,Raw!BD60,Raw!BH60),SUM(Raw!AZ60:BK60)*SUM(Raw!AW60,Raw!AX60,Raw!AY60,Raw!BA60,Raw!BB60,Raw!BC60,Raw!BE60,Raw!BF60,Raw!BG60,Raw!BI60,Raw!BJ60,Raw!BK60))/BS60^2,"No Contingency Table"), "Not Included")</f>
        <v>0.64449483497102544</v>
      </c>
      <c r="BW60" s="11">
        <f>IF(BQ60, IF(COUNTIF(Raw!AV60:BK60, "&gt;=0") = 16,(BU60-BV60) / (1 - BV60),"No Contingency Table"), "Not Included")</f>
        <v>0.24096385542168663</v>
      </c>
      <c r="BX60" s="11" t="b">
        <f t="shared" ref="BX60:BZ60" si="253">BQ60</f>
        <v>1</v>
      </c>
      <c r="BY60" s="11" t="str">
        <f t="shared" si="253"/>
        <v>Contingency</v>
      </c>
      <c r="BZ60" s="15">
        <f t="shared" si="253"/>
        <v>63</v>
      </c>
      <c r="CA60" s="11">
        <f>IF(BX60, IF(COUNTIF(Raw!AV60:BK60, "&gt;=0") = 16, IFERROR((BZ60*Raw!BF60 - SUM(Raw!BD60, Raw!BE60, Raw!BF60, Raw!BG60)*SUM(Raw!BF60, Raw!AX60, Raw!BB60, Raw!BJ60)) / SQRT((BZ60*SUM(Raw!BD60, Raw!BE60, Raw!BF60, Raw!BG60) - SUM(Raw!BD60, Raw!BE60, Raw!BF60, Raw!BG60)^2) * (BZ60*SUM(Raw!BF60, Raw!AX60, Raw!BB60, Raw!BJ60) - SUM(Raw!BF60, Raw!AX60, Raw!BB60, Raw!BJ60)^2)), 0), "No Contingency Table"), "Not Included")</f>
        <v>0.24744456663932235</v>
      </c>
      <c r="CB60" s="11">
        <f>IF(BX60, IF(COUNTIF(Raw!AV60:BK60, "&gt;=0") = 16, SUM(Raw!AV60,Raw!AW60,Raw!AY60,Raw!AZ60,Raw!BA60,Raw!BC60,Raw!BF60,Raw!BH60,Raw!BI60,Raw!BK60) / SUM(Raw!AV60:BK60), "No Contingency Table"), "Not Included")</f>
        <v>0.92063492063492058</v>
      </c>
      <c r="CC60" s="11">
        <f>IF(BX60, IF(COUNTIF(Raw!AV60:BK60, "&gt;=0") = 16,SUM(SUM(Raw!BD60,Raw!BE60,Raw!BF60,Raw!BG60)*SUM(Raw!BF60,Raw!AX60,Raw!BB60,Raw!BJ60),SUM(Raw!AV60:BC60,Raw!BH60:BK60)*SUM(Raw!AV60,Raw!AW60,Raw!AY60,Raw!AZ60,Raw!BA60,Raw!BC60,Raw!BD60,Raw!BE60,Raw!BG60,Raw!BH60,Raw!BI60,Raw!BK60))/BZ60^2,"No Contingency Table"), "Not Included")</f>
        <v>0.8949357520786092</v>
      </c>
      <c r="CD60" s="11">
        <f>IF(BX60, IF(COUNTIF(Raw!AV60:BK60, "&gt;=0") = 16,(CB60 - CC60) / (1 - CC60+0.000001),"No Contingency Table"), "Not Included")</f>
        <v>0.24460198842855582</v>
      </c>
      <c r="CE60" s="11" t="b">
        <f t="shared" ref="CE60:CG60" si="254">BQ60</f>
        <v>1</v>
      </c>
      <c r="CF60" s="11" t="str">
        <f t="shared" si="254"/>
        <v>Contingency</v>
      </c>
      <c r="CG60" s="15">
        <f t="shared" si="254"/>
        <v>63</v>
      </c>
      <c r="CH60" s="11">
        <f>IF(CE60, IF(COUNTIF(Raw!AV60:BK60, "&gt;=0") = 16, IFERROR((CG60*Raw!BA60 - SUM(Raw!BA60, Raw!AZ60, Raw!BB60, Raw!BC60)*SUM(Raw!BA60, Raw!AW60, Raw!BE60, Raw!BI60)) / SQRT((CG60*SUM(Raw!BA60, Raw!AZ60, Raw!BB60, Raw!BC60) - SUM(Raw!BA60, Raw!AZ60, Raw!BB60, Raw!BC60)^2) * (CG60*SUM(Raw!BA60, Raw!AW60, Raw!BE60, Raw!BI60) - SUM(Raw!BA60, Raw!AW60, Raw!BE60, Raw!BI60)^2)), 0), "No Contingency Table"), "Not Included")</f>
        <v>0.30668079029549833</v>
      </c>
      <c r="CI60" s="11">
        <f>IF(CE60, IF(COUNTIF(Raw!AV60:BK60, "&gt;=0") = 16, SUM(Raw!AV60,Raw!AX60,Raw!AY60,Raw!BA60,Raw!BD60,Raw!BF60,Raw!BG60,Raw!BH60,Raw!BJ60,Raw!BK60) / SUM(Raw!AV60:BK60), "No Contingency Table"), "Not Included")</f>
        <v>0.65079365079365081</v>
      </c>
      <c r="CJ60" s="61">
        <f>IF(BX60, IF(COUNTIF(Raw!AV60:BK60, "&gt;=0") = 16,SUM(SUM(Raw!AZ60,Raw!BA60,Raw!BB60,Raw!BC60)*SUM(Raw!BA60,Raw!AW60,Raw!BE60,Raw!BI60),SUM(Raw!AV60:AY60,Raw!BD60:BK60)*SUM(Raw!AV60,Raw!AX60,Raw!AY60,Raw!AZ60,Raw!BB60,Raw!BC60,Raw!BD60,Raw!BF60,Raw!BG60,Raw!BH60,Raw!BJ60,Raw!BK60))/CG60^2,"No Contingency Table"), "Not Included")</f>
        <v>0.4981103552532124</v>
      </c>
      <c r="CK60" s="11">
        <f>IF(BX60, IF(COUNTIF(Raw!AV60:BK60, "&gt;=0") = 16,(CI60 - CJ60) / (1 - CJ60),"No Contingency Table"), "Not Included")</f>
        <v>0.30421686746987958</v>
      </c>
      <c r="CL60" s="11">
        <f>IF(BQ60, IFERROR(Raw!AV60/SUM(Raw!AV60:AY60), 0), "Not Included")</f>
        <v>0.46153846153846156</v>
      </c>
      <c r="CM60" s="11">
        <f>IF(BQ60, IFERROR(Raw!BA60/SUM(Raw!AZ60:BC60), 0), "Not Included")</f>
        <v>0.61764705882352944</v>
      </c>
      <c r="CN60" s="11">
        <f>IF(BQ60, IFERROR(Raw!BF60/SUM(Raw!BD60:BG60), 0), "Not Included")</f>
        <v>0.33333333333333331</v>
      </c>
      <c r="CO60" s="11">
        <f>IF(BQ60, IFERROR(Raw!BK60/SUM(Raw!BH60:BK60), 0), "Not Included")</f>
        <v>0.38461538461538464</v>
      </c>
      <c r="CP60" s="11">
        <f>IF(BQ60, IFERROR(SUM(Raw!AV60,Raw!AX60,Raw!AY60,Raw!BD60,Raw!BF60,Raw!BG60,Raw!BH60,Raw!BJ60,Raw!BK60)/SUM(Raw!AV60,Raw!AW60,Raw!AX60,Raw!AY60,Raw!BD60,Raw!BE60,Raw!BF60,Raw!BG60,Raw!BH60,Raw!BI60,Raw!BJ60,Raw!BK60), 0), "Not Included")</f>
        <v>0.68965517241379315</v>
      </c>
      <c r="CQ60" s="11">
        <f>IF(BQ60, IFERROR(SUM(Raw!AV60:AX60,Raw!AZ60:BB60,Raw!BD60:BF60)/SUM(Raw!AV60:BF60), 0), "Not Included")</f>
        <v>0.875</v>
      </c>
      <c r="CR60" s="11">
        <f>IF(BQ60, IFERROR(SUM(Raw!AV60:AY60), 0), "Not Included")</f>
        <v>13</v>
      </c>
      <c r="CS60" s="11">
        <f>IF(BQ60, IFERROR(SUM(Raw!AZ60:BC60), 0), "Not Included")</f>
        <v>34</v>
      </c>
      <c r="CT60" s="11">
        <f>IF(BQ60, IFERROR(SUM(Raw!BD60:BG60), 0), "Not Included")</f>
        <v>3</v>
      </c>
      <c r="CU60" s="11">
        <f>IF(BQ60, IFERROR(SUM(Raw!BH60:BK60), 0), "Not Included")</f>
        <v>13</v>
      </c>
      <c r="CV60" s="11">
        <f>IF(BQ60, IFERROR(SUM(Raw!AV60,Raw!AW60,Raw!AX60,Raw!AY60,Raw!BD60,Raw!BE60,Raw!BF60,Raw!BG60,Raw!BH60,Raw!BI60,Raw!BJ60,Raw!BK60), 0), "Not Included")</f>
        <v>29</v>
      </c>
      <c r="CW60" s="11">
        <f>IF(BQ60, IFERROR(SUM(Raw!AV60:BF60), 0), "Not Included")</f>
        <v>48</v>
      </c>
      <c r="CX60" s="11">
        <f>IF(BQ60, IFERROR((CR60*SUM(Raw!AV60,Raw!AZ60,Raw!BD60,Raw!BH60))/BS60/CR60, 0), "Not Included")</f>
        <v>0.25396825396825395</v>
      </c>
      <c r="CY60" s="11">
        <f>IF(BX60, IFERROR((CS60*SUM(Raw!BA60,Raw!AW60,Raw!BE60,Raw!BI60))/CG60/CS60, 0), "Not Included")</f>
        <v>0.47619047619047616</v>
      </c>
      <c r="CZ60" s="11">
        <f>IF(BX60, IFERROR((CT60*SUM(Raw!BF60,Raw!AX60,Raw!BB60,Raw!BJ60))/BZ60/CT60, 0), "Not Included")</f>
        <v>6.3492063492063489E-2</v>
      </c>
      <c r="DA60" s="11">
        <f>IF(AY60, IFERROR((CU60*SUM(Raw!AY60,Raw!BC60,Raw!BG60,Raw!BK60))/AT60/CU60, 0), "Not Included")</f>
        <v>0.20634920634920634</v>
      </c>
      <c r="DB60" s="11">
        <f>IF(BX60, IFERROR((CV60*SUM(Raw!AV60,Raw!AX60,Raw!AY60,Raw!AZ60,Raw!BB60,Raw!BC60,Raw!BD60,Raw!BF60,Raw!BG60,Raw!BH60,Raw!BJ60,Raw!BK60))/CG60/CV60,0), "Not Included")</f>
        <v>0.52380952380952384</v>
      </c>
      <c r="DC60" s="11">
        <f>IF(AY60, IFERROR((CW60*SUM(Raw!AV60,Raw!AW60,Raw!AX60,Raw!AZ60,Raw!BA60,Raw!BB60,Raw!BD60,Raw!BE60,Raw!BF60,Raw!BH60,Raw!BI60,Raw!BJ60))/AT60/CW60,0), "Not Included")</f>
        <v>0.79365079365079361</v>
      </c>
    </row>
    <row r="61" spans="1:107" ht="12.75" customHeight="1">
      <c r="A61" s="11">
        <f>Raw!D61</f>
        <v>42</v>
      </c>
      <c r="B61" s="11" t="str">
        <f>Raw!A61</f>
        <v>Toth et al. (2006)</v>
      </c>
      <c r="C61" s="11">
        <f>Raw!G61</f>
        <v>1</v>
      </c>
      <c r="D61" s="11" t="str">
        <f>Raw!E61</f>
        <v>Depressed control</v>
      </c>
      <c r="E61" s="11" t="str">
        <f>CONCATENATE(IF(Raw!I61&lt;='Interval Definitions'!$B$2, 'Interval Definitions'!$A$2, IF(Raw!I61&lt;='Interval Definitions'!$B$3, 'Interval Definitions'!$A$3, IF(Raw!I61&lt;='Interval Definitions'!$B$4, 'Interval Definitions'!$A$4, IF(Raw!I61&lt;='Interval Definitions'!$B$5, 'Interval Definitions'!$A$5, "None")))), " - ", IF(Raw!J61&lt;='Interval Definitions'!$B$2, 'Interval Definitions'!$A$2, IF(Raw!J61&lt;='Interval Definitions'!$B$3, 'Interval Definitions'!$A$3, IF(Raw!J61&lt;='Interval Definitions'!$B$4, 'Interval Definitions'!$A$4, IF(Raw!J61&lt;='Interval Definitions'!$B$5, 'Interval Definitions'!$A$5, "None")))))</f>
        <v>Toddlerhood - Preschool</v>
      </c>
      <c r="F61" s="11" t="b">
        <f>OR(NOT(ISBLANK(Raw!AF61)),NOT(ISBLANK(Raw!AG61)),NOT(ISBLANK(Raw!AH61)),NOT(ISBLANK(Raw!AI61)),COUNTIF(Raw!AA61:AD61, "&gt;=0") = 4)</f>
        <v>1</v>
      </c>
      <c r="G61" s="11" t="str">
        <f>IF(F61, IF(COUNTIF(Raw!AA61:AD61,"&gt;=0") = 4, "Contingency", IF(NOT(ISBLANK(Raw!AF61)), "Paper r", IF(NOT(ISBLANK(Raw!AG61)), "Pinquart", IF(NOT(ISBLANK(Raw!AH61)), "Fraley", "Paper chiSq")))), "Not Included")</f>
        <v>Contingency</v>
      </c>
      <c r="H61" s="15">
        <f>IF(F61,Raw!AE61,"Not Included")</f>
        <v>54</v>
      </c>
      <c r="I61" s="15">
        <f>IF(COUNTIF(Raw!AA61:AD61,"&gt;=0") = 4, SUM(Raw!AA61:AD61), "No Contingency Table")</f>
        <v>54</v>
      </c>
      <c r="J61" s="15">
        <f t="shared" si="0"/>
        <v>54</v>
      </c>
      <c r="K61" s="38">
        <f>IF(F61, IF(COUNTIF(Raw!AA61:AD61,"&gt;=0") = 4, IFERROR((I61*Raw!AA61 - SUM(Raw!AA61,Raw!AB61)*SUM(Raw!AA61,Raw!AD61)) / SQRT((I61*SUM(Raw!AA61,Raw!AB61) - SUM(Raw!AA61,Raw!AB61)^2) * (I61*SUM(Raw!AA61,Raw!AD61) - SUM(Raw!AA61,Raw!AD61)^2)), 0), "No Contingency Table"), "Not Included")</f>
        <v>0.39069515754751583</v>
      </c>
      <c r="L61" s="41" t="str">
        <f>IF(F61,IF(NOT(ISBLANK(Raw!AF61)), Raw!AF61, IF(NOT(ISBLANK(Raw!AG61)), Raw!AG61, IF(NOT(ISBLANK(Raw!AH61)), Raw!AH61, IF(NOT(ISBLANK(Raw!AI61)), SQRT(Raw!AI61/H61)*Raw!AJ61, "Not Reported")))),"Not Included")</f>
        <v>Not Reported</v>
      </c>
      <c r="M61" s="43">
        <f t="shared" si="1"/>
        <v>0.39069515754751583</v>
      </c>
      <c r="N61" s="11" t="str">
        <f t="shared" si="2"/>
        <v>NA</v>
      </c>
      <c r="O61" s="48" t="b">
        <f>OR(NOT(ISBLANK(Raw!AK61)), COUNTIF(Raw!AA61:AD61, "&gt;=0") = 4)</f>
        <v>1</v>
      </c>
      <c r="P61" s="24" t="str">
        <f>IF(O61,IF(COUNTIF(Raw!AA61:AD61,"&gt;=0") = 4,"Contingency", "Paper k"), "Not Included")</f>
        <v>Contingency</v>
      </c>
      <c r="Q61" s="48">
        <f>IF(O61, IF(COUNTIF(Raw!AA61:AD61,"&gt;=0") = 4,SUM(Raw!AA61,Raw!AC61)/H61,"No Contingency Table"), "Not Included")</f>
        <v>0.81481481481481477</v>
      </c>
      <c r="R61" s="38">
        <f>IF(O61, IF(COUNTIF(Raw!AA61:AD61, "&gt;=0") = 4,SUM(SUM(Raw!AA61,Raw!AB61)*SUM(Raw!AA61,Raw!AD61),SUM(Raw!AC61,Raw!AD61)*SUM(Raw!AC61,Raw!AB61))/H61^2,"No Contingency Table"), "Not Included")</f>
        <v>0.69753086419753085</v>
      </c>
      <c r="S61" s="38">
        <f>IF(O61, IF(COUNTIF(Raw!AA61:AD61,"&gt;=0") = 4, IFERROR((Q61 - R61) / (1 - R61), "Could not calculate"), "No Contingency Table"), "Not Included")</f>
        <v>0.3877551020408162</v>
      </c>
      <c r="T61" s="52" t="str">
        <f>IF(O61,IF(NOT(ISBLANK(Raw!AK61)), Raw!AK61, "Not Reported"), "Not Included")</f>
        <v>Not Reported</v>
      </c>
      <c r="U61" s="38">
        <f t="shared" si="3"/>
        <v>0.3877551020408162</v>
      </c>
      <c r="V61" s="11" t="str">
        <f t="shared" si="4"/>
        <v>NA</v>
      </c>
      <c r="W61" s="11" t="b">
        <f>OR(NOT(ISBLANK(Raw!AU61)),COUNTIF(Raw!AL61:AT61,"&gt;=0") = 9)</f>
        <v>0</v>
      </c>
      <c r="X61" s="11" t="str">
        <f>IF(W61, IF(COUNTIF(Raw!AL61:AT61,"&gt;=0") = 9, "Contingency", "Paper k"), "Not Included")</f>
        <v>Not Included</v>
      </c>
      <c r="Y61" s="11" t="str">
        <f>IF(W61,IF(COUNTIF(Raw!AL61:AT61,"&gt;=0") = 9,SUM(Raw!AL61:AT61),"No Contingency Table"),"Not Included")</f>
        <v>Not Included</v>
      </c>
      <c r="Z61" s="11" t="str">
        <f t="shared" si="5"/>
        <v>Not Included</v>
      </c>
      <c r="AA61" s="11" t="str">
        <f>IF(W61,IF(COUNTIF(Raw!AL61:AT61,"&gt;=0") = 9,SUM(Raw!AL61,Raw!AP61,Raw!AT61)/Y61,"No Contingency Table"), "Not Included")</f>
        <v>Not Included</v>
      </c>
      <c r="AB61" s="11" t="str">
        <f>IF(W61,IF(COUNTIF(Raw!AL61:AT61,"&gt;=0") = 9,SUM(SUM(Raw!AL61,Raw!AM61,Raw!AN61)*SUM(Raw!AL61,Raw!AO61,Raw!AR61),SUM(Raw!AO61,Raw!AP61,Raw!AQ61)*SUM(Raw!AM61,Raw!AP61,Raw!AS61),SUM(Raw!AR61,Raw!AS61,Raw!AT61)*SUM(Raw!AN61,Raw!AQ61,Raw!AT61))/Y61^2,"No Contingency Table"), "Not Included")</f>
        <v>Not Included</v>
      </c>
      <c r="AC61" s="11" t="str">
        <f>IF(W61,IF(COUNTIF(Raw!AL61:AT61,"&gt;=0") = 9,(AA61 - AB61) / (1 - AB61),"No Contingency Table"), "Not Included")</f>
        <v>Not Included</v>
      </c>
      <c r="AD61" s="11" t="str">
        <f>IF(W61, IF(NOT(ISBLANK(Raw!AU61)),Raw!AU61,"Not Reported"), "Not Included")</f>
        <v>Not Included</v>
      </c>
      <c r="AE61" s="11" t="str">
        <f t="shared" si="6"/>
        <v>Not Included</v>
      </c>
      <c r="AF61" s="11" t="str">
        <f t="shared" si="7"/>
        <v>Not Included</v>
      </c>
      <c r="AG61" s="11" t="b">
        <f>COUNTIF(Raw!AV61:BK61, "&gt;=0") = 16</f>
        <v>1</v>
      </c>
      <c r="AH61" s="11" t="str">
        <f>IF(AG61, IF(COUNTIF(Raw!AV61:BK61,"&gt;=0") = 16, "Contingency", "Paper k"), "Not Included")</f>
        <v>Contingency</v>
      </c>
      <c r="AI61" s="15">
        <f>IF(AG61,IF(COUNTIF(Raw!AV61:BK61,"&gt;=0") = 16,SUM(Raw!AV61:BK61),"No Contingency Table"),"Not Included")</f>
        <v>54</v>
      </c>
      <c r="AJ61" s="15">
        <f t="shared" si="8"/>
        <v>54</v>
      </c>
      <c r="AK61" s="11">
        <f>IF(AG61,IF(COUNTIF(Raw!AV61:BK61,"&gt;=0") = 16,SUM(Raw!AV61,Raw!BA61,Raw!BF61,Raw!BK61)/AI61,"No Contingency Table"), "Not Included")</f>
        <v>0.53703703703703709</v>
      </c>
      <c r="AL61" s="11">
        <f>IF(AG61,IF(COUNTIF(Raw!AV61:BK61,"&gt;=0") = 16,SUM(SUM(Raw!AV61,Raw!AW61,Raw!AX61,Raw!AY61)*SUM(Raw!AV61,Raw!AZ61,Raw!BD61,Raw!BH61),SUM(Raw!AZ61,Raw!BA61,Raw!BB61,Raw!BC61)*SUM(Raw!AW61,Raw!BA61,Raw!BE61,Raw!BI61),SUM(Raw!BD61,Raw!BE61,Raw!BF61,Raw!BG61)*SUM(Raw!AX61,Raw!BB61,Raw!BF61,Raw!BJ61),SUM(Raw!BH61,Raw!BI61,Raw!BJ61,Raw!BK61)*SUM(Raw!AY61,Raw!BC61,Raw!BG61,Raw!BK61))/AI61^2,"No Contingency Table"), "Not Included")</f>
        <v>0.31927297668038407</v>
      </c>
      <c r="AM61" s="11">
        <f>IF(AG61,IF(COUNTIF(Raw!AV61:BK61,"&gt;=0") = 16,(AK61 - AL61) / (1 - AL61),"No Contingency Table"), "Not Included")</f>
        <v>0.31989924433249384</v>
      </c>
      <c r="AN61" s="11" t="str">
        <f>IF(NOT(ISBLANK(Raw!BL61)),Raw!BL61,"Not Reported")</f>
        <v>Not Reported</v>
      </c>
      <c r="AO61" s="11">
        <f t="shared" si="9"/>
        <v>0.31989924433249384</v>
      </c>
      <c r="AP61" s="11" t="str">
        <f t="shared" si="10"/>
        <v>NA</v>
      </c>
      <c r="AQ61" s="11" t="b">
        <f t="shared" ref="AQ61:AR61" si="255">BQ61</f>
        <v>1</v>
      </c>
      <c r="AR61" s="11" t="str">
        <f t="shared" si="255"/>
        <v>Contingency</v>
      </c>
      <c r="AS61" s="15">
        <f t="shared" si="12"/>
        <v>54</v>
      </c>
      <c r="AT61" s="15">
        <f t="shared" si="13"/>
        <v>54</v>
      </c>
      <c r="AU61" s="11">
        <f>IF(AQ61, IF(COUNTIF(Raw!AV61:BK61, "&gt;=0") = 16, IFERROR((AT61*Raw!BK61 - SUM(Raw!BH61, Raw!BI61, Raw!BJ61, Raw!BK61)*SUM(Raw!AY61, Raw!BC61, Raw!BG61, Raw!BK61)) / SQRT((AT61*SUM(Raw!BH61, Raw!BI61, Raw!BJ61, Raw!BK61) - SUM(Raw!BH61, Raw!BI61, Raw!BJ61, Raw!BK61)^2) * (AT61*SUM(Raw!AY61, Raw!BC61, Raw!BG61, Raw!BK61) - SUM(Raw!AY61, Raw!BC61, Raw!BG61, Raw!BK61)^2)), 0), "No Contingency Table"), "Not Included")</f>
        <v>0.28834464314226493</v>
      </c>
      <c r="AV61" s="11" t="str">
        <f>IF(AQ61,IF(NOT(ISBLANK(Raw!BQ61)), Raw!BQ61, IF(NOT(ISBLANK(Raw!BR61)), Raw!BR61, "Not Reported")), "Not Included")</f>
        <v>Not Reported</v>
      </c>
      <c r="AW61" s="57">
        <f t="shared" si="14"/>
        <v>0.28834464314226493</v>
      </c>
      <c r="AX61" s="11" t="str">
        <f t="shared" si="15"/>
        <v>NA</v>
      </c>
      <c r="AY61" s="11" t="b">
        <f t="shared" ref="AY61:AZ61" si="256">AQ61</f>
        <v>1</v>
      </c>
      <c r="AZ61" s="11" t="str">
        <f t="shared" si="256"/>
        <v>Contingency</v>
      </c>
      <c r="BA61" s="11">
        <f>IF(AY61, IF(COUNTIF(Raw!AV61:BK61, "&gt;=0") = 16, SUM(Raw!AV61,Raw!AW61,Raw!AX61,Raw!AZ61,Raw!BA61,Raw!BB61,Raw!BD61,Raw!BE61,Raw!BF61,Raw!BK61)/SUM(Raw!AV61:BK61), "No Contingency Table"), "Not Included")</f>
        <v>0.64814814814814814</v>
      </c>
      <c r="BB61" s="11">
        <f>IF(AY61, IF(COUNTIF(Raw!AV61:BK61, "&gt;=0") = 16,SUM(SUM(Raw!BH61,Raw!BI61,Raw!BJ61,Raw!BK61)*SUM(Raw!AY61,Raw!BC61,Raw!BG61,Raw!BK61),SUM(Raw!AV61:BG61)*SUM(Raw!AV61,Raw!AW61,Raw!AX61,Raw!AZ61,Raw!BA61,Raw!BB61,Raw!BD61,Raw!BE61,Raw!BF61,Raw!BH61,Raw!BI61,Raw!BJ61))/AT61^2,"No Contingency Table"), "Not Included")</f>
        <v>0.50685871056241427</v>
      </c>
      <c r="BC61" s="11">
        <f>IF(AY61, IF(COUNTIF(Raw!AV61:BK61, "&gt;=0") = 16,(BA61-BB61) / (1 - BB61),"No Contingency Table"), "Not Included")</f>
        <v>0.28650904033379693</v>
      </c>
      <c r="BD61" s="11" t="str">
        <f>IF(AY61,IF(NOT(ISBLANK(Raw!BT82)),Raw!BT82,"Not Reported"),"Not Included")</f>
        <v>Not Reported</v>
      </c>
      <c r="BE61" s="11">
        <f t="shared" si="17"/>
        <v>0.28650904033379693</v>
      </c>
      <c r="BF61" s="11" t="str">
        <f t="shared" si="18"/>
        <v>NA</v>
      </c>
      <c r="BG61" s="11">
        <f>Raw!K61</f>
        <v>2006</v>
      </c>
      <c r="BH61" s="11" t="str">
        <f>IF(Raw!L61 = "USA","USA","Non-USA")</f>
        <v>USA</v>
      </c>
      <c r="BI61" s="11" t="str">
        <f>Raw!M61</f>
        <v>Ainsworth/Cassidy-Marvin</v>
      </c>
      <c r="BJ61" s="11">
        <f>Raw!N61</f>
        <v>0</v>
      </c>
      <c r="BK61" s="11">
        <f>Raw!P61</f>
        <v>1</v>
      </c>
      <c r="BL61" s="11">
        <f>Raw!Q61</f>
        <v>0</v>
      </c>
      <c r="BM61" s="11">
        <f>Raw!T61</f>
        <v>1</v>
      </c>
      <c r="BN61" s="11">
        <f>IFERROR(IF(AND(ISBLANK(Raw!U61), ISBLANK(Raw!V61), ISBLANK(Raw!W61), ISBLANK(Raw!X61)), "NA", IF(OR(NOT(ISBLANK(Raw!U61)), NOT(ISBLANK(Raw!W61))), AVERAGE(Raw!U61,Raw!W61), AVERAGE(Raw!V61,Raw!X61) + IF(Raw!Y61 = "2-way", R61, IF(Raw!Y61 = "3-way", AB61, IF(Raw!Y61 = "4-way", AL61, "NA")))*(1 - AVERAGE(Raw!V61,Raw!X61)))), "NA")</f>
        <v>0.91999999999999993</v>
      </c>
      <c r="BO61" s="11">
        <f>Raw!O61</f>
        <v>0</v>
      </c>
      <c r="BP61" s="11" t="str">
        <f>Raw!F61</f>
        <v>Female</v>
      </c>
      <c r="BQ61" s="11" t="b">
        <f>COUNTIF(Raw!AV61:BK61, "&gt;=0") = 16</f>
        <v>1</v>
      </c>
      <c r="BR61" s="11" t="str">
        <f t="shared" si="19"/>
        <v>Contingency</v>
      </c>
      <c r="BS61" s="15">
        <f t="shared" si="20"/>
        <v>54</v>
      </c>
      <c r="BT61" s="11">
        <f>IF(BQ61, IF(COUNTIF(Raw!AV61:BK61, "&gt;=0") = 16, IFERROR((BS61*Raw!AV61 - SUM(Raw!AV61, Raw!AW61, Raw!AX61, Raw!AY61)*SUM(Raw!AV61, Raw!AZ61, Raw!BD61, Raw!BH61)) / SQRT((BS61*SUM(Raw!AV61, Raw!AW61, Raw!AX61, Raw!AY61) - SUM(Raw!AV61, Raw!AW61, Raw!AX61, Raw!AY61)^2) * (BS61*SUM(Raw!AV61, Raw!AZ61, Raw!BD61, Raw!BH61) - SUM(Raw!AV61, Raw!AZ61, Raw!BD61, Raw!BH61)^2)), 0), "No Contingency Table"), "Not Included")</f>
        <v>0.36051043893945417</v>
      </c>
      <c r="BU61" s="11">
        <f>IF(BQ61, IF(COUNTIF(Raw!AV61:BK61, "&gt;=0") = 16, SUM(Raw!BK61,Raw!BJ61,Raw!BI61,Raw!BG61,Raw!BF61,Raw!BE61,Raw!BC61,Raw!BB61,Raw!BA61,Raw!AV61)/SUM(Raw!AV61:BK61), "No Contingency Table"), "Not Included")</f>
        <v>0.72222222222222221</v>
      </c>
      <c r="BV61" s="11">
        <f>IF(BQ61, IF(COUNTIF(Raw!AV61:BK61, "&gt;=0") = 16,SUM(SUM(Raw!AV61,Raw!AW61,Raw!AX61,Raw!AY61)*SUM(Raw!AV61,Raw!AZ61,Raw!BD61,Raw!BH61),SUM(Raw!AZ61:BK61)*SUM(Raw!AW61,Raw!AX61,Raw!AY61,Raw!BA61,Raw!BB61,Raw!BC61,Raw!BE61,Raw!BF61,Raw!BG61,Raw!BI61,Raw!BJ61,Raw!BK61))/BS61^2,"No Contingency Table"), "Not Included")</f>
        <v>0.57133058984910834</v>
      </c>
      <c r="BW61" s="11">
        <f>IF(BQ61, IF(COUNTIF(Raw!AV61:BK61, "&gt;=0") = 16,(BU61-BV61) / (1 - BV61),"No Contingency Table"), "Not Included")</f>
        <v>0.35200000000000004</v>
      </c>
      <c r="BX61" s="11" t="b">
        <f t="shared" ref="BX61:BZ61" si="257">BQ61</f>
        <v>1</v>
      </c>
      <c r="BY61" s="11" t="str">
        <f t="shared" si="257"/>
        <v>Contingency</v>
      </c>
      <c r="BZ61" s="15">
        <f t="shared" si="257"/>
        <v>54</v>
      </c>
      <c r="CA61" s="11">
        <f>IF(BX61, IF(COUNTIF(Raw!AV61:BK61, "&gt;=0") = 16, IFERROR((BZ61*Raw!BF61 - SUM(Raw!BD61, Raw!BE61, Raw!BF61, Raw!BG61)*SUM(Raw!BF61, Raw!AX61, Raw!BB61, Raw!BJ61)) / SQRT((BZ61*SUM(Raw!BD61, Raw!BE61, Raw!BF61, Raw!BG61) - SUM(Raw!BD61, Raw!BE61, Raw!BF61, Raw!BG61)^2) * (BZ61*SUM(Raw!BF61, Raw!AX61, Raw!BB61, Raw!BJ61) - SUM(Raw!BF61, Raw!AX61, Raw!BB61, Raw!BJ61)^2)), 0), "No Contingency Table"), "Not Included")</f>
        <v>0.19</v>
      </c>
      <c r="CB61" s="11">
        <f>IF(BX61, IF(COUNTIF(Raw!AV61:BK61, "&gt;=0") = 16, SUM(Raw!AV61,Raw!AW61,Raw!AY61,Raw!AZ61,Raw!BA61,Raw!BC61,Raw!BF61,Raw!BH61,Raw!BI61,Raw!BK61) / SUM(Raw!AV61:BK61), "No Contingency Table"), "Not Included")</f>
        <v>0.88888888888888884</v>
      </c>
      <c r="CC61" s="11">
        <f>IF(BX61, IF(COUNTIF(Raw!AV61:BK61, "&gt;=0") = 16,SUM(SUM(Raw!BD61,Raw!BE61,Raw!BF61,Raw!BG61)*SUM(Raw!BF61,Raw!AX61,Raw!BB61,Raw!BJ61),SUM(Raw!AV61:BC61,Raw!BH61:BK61)*SUM(Raw!AV61,Raw!AW61,Raw!AY61,Raw!AZ61,Raw!BA61,Raw!BC61,Raw!BD61,Raw!BE61,Raw!BG61,Raw!BH61,Raw!BI61,Raw!BK61))/BZ61^2,"No Contingency Table"), "Not Included")</f>
        <v>0.86282578875171467</v>
      </c>
      <c r="CD61" s="11">
        <f>IF(BX61, IF(COUNTIF(Raw!AV61:BK61, "&gt;=0") = 16,(CB61 - CC61) / (1 - CC61+0.000001),"No Contingency Table"), "Not Included")</f>
        <v>0.18999861491009698</v>
      </c>
      <c r="CE61" s="11" t="b">
        <f t="shared" ref="CE61:CG61" si="258">BQ61</f>
        <v>1</v>
      </c>
      <c r="CF61" s="11" t="str">
        <f t="shared" si="258"/>
        <v>Contingency</v>
      </c>
      <c r="CG61" s="15">
        <f t="shared" si="258"/>
        <v>54</v>
      </c>
      <c r="CH61" s="11">
        <f>IF(CE61, IF(COUNTIF(Raw!AV61:BK61, "&gt;=0") = 16, IFERROR((CG61*Raw!BA61 - SUM(Raw!BA61, Raw!AZ61, Raw!BB61, Raw!BC61)*SUM(Raw!BA61, Raw!AW61, Raw!BE61, Raw!BI61)) / SQRT((CG61*SUM(Raw!BA61, Raw!AZ61, Raw!BB61, Raw!BC61) - SUM(Raw!BA61, Raw!AZ61, Raw!BB61, Raw!BC61)^2) * (CG61*SUM(Raw!BA61, Raw!AW61, Raw!BE61, Raw!BI61) - SUM(Raw!BA61, Raw!AW61, Raw!BE61, Raw!BI61)^2)), 0), "No Contingency Table"), "Not Included")</f>
        <v>0.39069515754751583</v>
      </c>
      <c r="CI61" s="11">
        <f>IF(CE61, IF(COUNTIF(Raw!AV61:BK61, "&gt;=0") = 16, SUM(Raw!AV61,Raw!AX61,Raw!AY61,Raw!BA61,Raw!BD61,Raw!BF61,Raw!BG61,Raw!BH61,Raw!BJ61,Raw!BK61) / SUM(Raw!AV61:BK61), "No Contingency Table"), "Not Included")</f>
        <v>0.81481481481481477</v>
      </c>
      <c r="CJ61" s="61">
        <f>IF(BX61, IF(COUNTIF(Raw!AV61:BK61, "&gt;=0") = 16,SUM(SUM(Raw!AZ61,Raw!BA61,Raw!BB61,Raw!BC61)*SUM(Raw!BA61,Raw!AW61,Raw!BE61,Raw!BI61),SUM(Raw!AV61:AY61,Raw!BD61:BK61)*SUM(Raw!AV61,Raw!AX61,Raw!AY61,Raw!AZ61,Raw!BB61,Raw!BC61,Raw!BD61,Raw!BF61,Raw!BG61,Raw!BH61,Raw!BJ61,Raw!BK61))/CG61^2,"No Contingency Table"), "Not Included")</f>
        <v>0.69753086419753085</v>
      </c>
      <c r="CK61" s="11">
        <f>IF(BX61, IF(COUNTIF(Raw!AV61:BK61, "&gt;=0") = 16,(CI61 - CJ61) / (1 - CJ61),"No Contingency Table"), "Not Included")</f>
        <v>0.3877551020408162</v>
      </c>
      <c r="CL61" s="11">
        <f>IF(BQ61, IFERROR(Raw!AV61/SUM(Raw!AV61:AY61), 0), "Not Included")</f>
        <v>0.6428571428571429</v>
      </c>
      <c r="CM61" s="11">
        <f>IF(BQ61, IFERROR(Raw!BA61/SUM(Raw!AZ61:BC61), 0), "Not Included")</f>
        <v>0.45454545454545453</v>
      </c>
      <c r="CN61" s="11">
        <f>IF(BQ61, IFERROR(Raw!BF61/SUM(Raw!BD61:BG61), 0), "Not Included")</f>
        <v>0.25</v>
      </c>
      <c r="CO61" s="11">
        <f>IF(BQ61, IFERROR(Raw!BK61/SUM(Raw!BH61:BK61), 0), "Not Included")</f>
        <v>0.56000000000000005</v>
      </c>
      <c r="CP61" s="11">
        <f>IF(BQ61, IFERROR(SUM(Raw!AV61,Raw!AX61,Raw!AY61,Raw!BD61,Raw!BF61,Raw!BG61,Raw!BH61,Raw!BJ61,Raw!BK61)/SUM(Raw!AV61,Raw!AW61,Raw!AX61,Raw!AY61,Raw!BD61,Raw!BE61,Raw!BF61,Raw!BG61,Raw!BH61,Raw!BI61,Raw!BJ61,Raw!BK61), 0), "Not Included")</f>
        <v>0.90697674418604646</v>
      </c>
      <c r="CQ61" s="11">
        <f>IF(BQ61, IFERROR(SUM(Raw!AV61:AX61,Raw!AZ61:BB61,Raw!BD61:BF61)/SUM(Raw!AV61:BF61), 0), "Not Included")</f>
        <v>0.77777777777777779</v>
      </c>
      <c r="CR61" s="11">
        <f>IF(BQ61, IFERROR(SUM(Raw!AV61:AY61), 0), "Not Included")</f>
        <v>14</v>
      </c>
      <c r="CS61" s="11">
        <f>IF(BQ61, IFERROR(SUM(Raw!AZ61:BC61), 0), "Not Included")</f>
        <v>11</v>
      </c>
      <c r="CT61" s="11">
        <f>IF(BQ61, IFERROR(SUM(Raw!BD61:BG61), 0), "Not Included")</f>
        <v>4</v>
      </c>
      <c r="CU61" s="11">
        <f>IF(BQ61, IFERROR(SUM(Raw!BH61:BK61), 0), "Not Included")</f>
        <v>25</v>
      </c>
      <c r="CV61" s="11">
        <f>IF(BQ61, IFERROR(SUM(Raw!AV61,Raw!AW61,Raw!AX61,Raw!AY61,Raw!BD61,Raw!BE61,Raw!BF61,Raw!BG61,Raw!BH61,Raw!BI61,Raw!BJ61,Raw!BK61), 0), "Not Included")</f>
        <v>43</v>
      </c>
      <c r="CW61" s="11">
        <f>IF(BQ61, IFERROR(SUM(Raw!AV61:BF61), 0), "Not Included")</f>
        <v>27</v>
      </c>
      <c r="CX61" s="11">
        <f>IF(BQ61, IFERROR((CR61*SUM(Raw!AV61,Raw!AZ61,Raw!BD61,Raw!BH61))/BS61/CR61, 0), "Not Included")</f>
        <v>0.3518518518518518</v>
      </c>
      <c r="CY61" s="11">
        <f>IF(BX61, IFERROR((CS61*SUM(Raw!BA61,Raw!AW61,Raw!BE61,Raw!BI61))/CG61/CS61, 0), "Not Included")</f>
        <v>0.16666666666666666</v>
      </c>
      <c r="CZ61" s="11">
        <f>IF(BX61, IFERROR((CT61*SUM(Raw!BF61,Raw!AX61,Raw!BB61,Raw!BJ61))/BZ61/CT61, 0), "Not Included")</f>
        <v>7.407407407407407E-2</v>
      </c>
      <c r="DA61" s="11">
        <f>IF(AY61, IFERROR((CU61*SUM(Raw!AY61,Raw!BC61,Raw!BG61,Raw!BK61))/AT61/CU61, 0), "Not Included")</f>
        <v>0.40740740740740738</v>
      </c>
      <c r="DB61" s="11">
        <f>IF(BX61, IFERROR((CV61*SUM(Raw!AV61,Raw!AX61,Raw!AY61,Raw!AZ61,Raw!BB61,Raw!BC61,Raw!BD61,Raw!BF61,Raw!BG61,Raw!BH61,Raw!BJ61,Raw!BK61))/CG61/CV61,0), "Not Included")</f>
        <v>0.83333333333333337</v>
      </c>
      <c r="DC61" s="11">
        <f>IF(AY61, IFERROR((CW61*SUM(Raw!AV61,Raw!AW61,Raw!AX61,Raw!AZ61,Raw!BA61,Raw!BB61,Raw!BD61,Raw!BE61,Raw!BF61,Raw!BH61,Raw!BI61,Raw!BJ61))/AT61/CW61,0), "Not Included")</f>
        <v>0.59259259259259256</v>
      </c>
    </row>
    <row r="62" spans="1:107" ht="12.75" customHeight="1">
      <c r="A62" s="11">
        <f>Raw!D62</f>
        <v>43</v>
      </c>
      <c r="B62" s="11" t="str">
        <f>Raw!A62</f>
        <v>Kreppner et al. (2011)</v>
      </c>
      <c r="C62" s="11">
        <f>Raw!G62</f>
        <v>1</v>
      </c>
      <c r="D62" s="11" t="str">
        <f>Raw!E62</f>
        <v>Family care &lt; 6 mo</v>
      </c>
      <c r="E62" s="11" t="str">
        <f>CONCATENATE(IF(Raw!I62&lt;='Interval Definitions'!$B$2, 'Interval Definitions'!$A$2, IF(Raw!I62&lt;='Interval Definitions'!$B$3, 'Interval Definitions'!$A$3, IF(Raw!I62&lt;='Interval Definitions'!$B$4, 'Interval Definitions'!$A$4, IF(Raw!I62&lt;='Interval Definitions'!$B$5, 'Interval Definitions'!$A$5, "None")))), " - ", IF(Raw!J62&lt;='Interval Definitions'!$B$2, 'Interval Definitions'!$A$2, IF(Raw!J62&lt;='Interval Definitions'!$B$3, 'Interval Definitions'!$A$3, IF(Raw!J62&lt;='Interval Definitions'!$B$4, 'Interval Definitions'!$A$4, IF(Raw!J62&lt;='Interval Definitions'!$B$5, 'Interval Definitions'!$A$5, "None")))))</f>
        <v>Preschool - Preschool</v>
      </c>
      <c r="F62" s="11" t="b">
        <f>OR(NOT(ISBLANK(Raw!AF62)),NOT(ISBLANK(Raw!AG62)),NOT(ISBLANK(Raw!AH62)),NOT(ISBLANK(Raw!AI62)),COUNTIF(Raw!AA62:AD62, "&gt;=0") = 4)</f>
        <v>1</v>
      </c>
      <c r="G62" s="11" t="str">
        <f>IF(F62, IF(COUNTIF(Raw!AA62:AD62,"&gt;=0") = 4, "Contingency", IF(NOT(ISBLANK(Raw!AF62)), "Paper r", IF(NOT(ISBLANK(Raw!AG62)), "Pinquart", IF(NOT(ISBLANK(Raw!AH62)), "Fraley", "Paper chiSq")))), "Not Included")</f>
        <v>Contingency</v>
      </c>
      <c r="H62" s="15">
        <f>IF(F62,Raw!AE62,"Not Included")</f>
        <v>106</v>
      </c>
      <c r="I62" s="15">
        <f>IF(COUNTIF(Raw!AA62:AD62,"&gt;=0") = 4, SUM(Raw!AA62:AD62), "No Contingency Table")</f>
        <v>106</v>
      </c>
      <c r="J62" s="15">
        <f t="shared" si="0"/>
        <v>106</v>
      </c>
      <c r="K62" s="38">
        <f>IF(F62, IF(COUNTIF(Raw!AA62:AD62,"&gt;=0") = 4, IFERROR((I62*Raw!AA62 - SUM(Raw!AA62,Raw!AB62)*SUM(Raw!AA62,Raw!AD62)) / SQRT((I62*SUM(Raw!AA62,Raw!AB62) - SUM(Raw!AA62,Raw!AB62)^2) * (I62*SUM(Raw!AA62,Raw!AD62) - SUM(Raw!AA62,Raw!AD62)^2)), 0), "No Contingency Table"), "Not Included")</f>
        <v>0.23963200892808845</v>
      </c>
      <c r="L62" s="41" t="str">
        <f>IF(F62,IF(NOT(ISBLANK(Raw!AF62)), Raw!AF62, IF(NOT(ISBLANK(Raw!AG62)), Raw!AG62, IF(NOT(ISBLANK(Raw!AH62)), Raw!AH62, IF(NOT(ISBLANK(Raw!AI62)), SQRT(Raw!AI62/H62)*Raw!AJ62, "Not Reported")))),"Not Included")</f>
        <v>Not Reported</v>
      </c>
      <c r="M62" s="43">
        <f t="shared" si="1"/>
        <v>0.23963200892808845</v>
      </c>
      <c r="N62" s="11" t="str">
        <f t="shared" si="2"/>
        <v>NA</v>
      </c>
      <c r="O62" s="48" t="b">
        <f>OR(NOT(ISBLANK(Raw!AK62)), COUNTIF(Raw!AA62:AD62, "&gt;=0") = 4)</f>
        <v>1</v>
      </c>
      <c r="P62" s="24" t="str">
        <f>IF(O62,IF(COUNTIF(Raw!AA62:AD62,"&gt;=0") = 4,"Contingency", "Paper k"), "Not Included")</f>
        <v>Contingency</v>
      </c>
      <c r="Q62" s="48">
        <f>IF(O62, IF(COUNTIF(Raw!AA62:AD62,"&gt;=0") = 4,SUM(Raw!AA62,Raw!AC62)/H62,"No Contingency Table"), "Not Included")</f>
        <v>0.6132075471698113</v>
      </c>
      <c r="R62" s="38">
        <f>IF(O62, IF(COUNTIF(Raw!AA62:AD62, "&gt;=0") = 4,SUM(SUM(Raw!AA62,Raw!AB62)*SUM(Raw!AA62,Raw!AD62),SUM(Raw!AC62,Raw!AD62)*SUM(Raw!AC62,Raw!AB62))/H62^2,"No Contingency Table"), "Not Included")</f>
        <v>0.49608401566393734</v>
      </c>
      <c r="S62" s="38">
        <f>IF(O62, IF(COUNTIF(Raw!AA62:AD62,"&gt;=0") = 4, IFERROR((Q62 - R62) / (1 - R62), "Could not calculate"), "No Contingency Table"), "Not Included")</f>
        <v>0.23242670434475446</v>
      </c>
      <c r="T62" s="52" t="str">
        <f>IF(O62,IF(NOT(ISBLANK(Raw!AK62)), Raw!AK62, "Not Reported"), "Not Included")</f>
        <v>Not Reported</v>
      </c>
      <c r="U62" s="38">
        <f t="shared" si="3"/>
        <v>0.23242670434475446</v>
      </c>
      <c r="V62" s="11" t="str">
        <f t="shared" si="4"/>
        <v>NA</v>
      </c>
      <c r="W62" s="11" t="b">
        <f>OR(NOT(ISBLANK(Raw!AU62)),COUNTIF(Raw!AL62:AT62,"&gt;=0") = 9)</f>
        <v>0</v>
      </c>
      <c r="X62" s="11" t="str">
        <f>IF(W62, IF(COUNTIF(Raw!AL62:AT62,"&gt;=0") = 9, "Contingency", "Paper k"), "Not Included")</f>
        <v>Not Included</v>
      </c>
      <c r="Y62" s="11" t="str">
        <f>IF(W62,IF(COUNTIF(Raw!AL62:AT62,"&gt;=0") = 9,SUM(Raw!AL62:AT62),"No Contingency Table"),"Not Included")</f>
        <v>Not Included</v>
      </c>
      <c r="Z62" s="11" t="str">
        <f t="shared" si="5"/>
        <v>Not Included</v>
      </c>
      <c r="AA62" s="11" t="str">
        <f>IF(W62,IF(COUNTIF(Raw!AL62:AT62,"&gt;=0") = 9,SUM(Raw!AL62,Raw!AP62,Raw!AT62)/Y62,"No Contingency Table"), "Not Included")</f>
        <v>Not Included</v>
      </c>
      <c r="AB62" s="11" t="str">
        <f>IF(W62,IF(COUNTIF(Raw!AL62:AT62,"&gt;=0") = 9,SUM(SUM(Raw!AL62,Raw!AM62,Raw!AN62)*SUM(Raw!AL62,Raw!AO62,Raw!AR62),SUM(Raw!AO62,Raw!AP62,Raw!AQ62)*SUM(Raw!AM62,Raw!AP62,Raw!AS62),SUM(Raw!AR62,Raw!AS62,Raw!AT62)*SUM(Raw!AN62,Raw!AQ62,Raw!AT62))/Y62^2,"No Contingency Table"), "Not Included")</f>
        <v>Not Included</v>
      </c>
      <c r="AC62" s="11" t="str">
        <f>IF(W62,IF(COUNTIF(Raw!AL62:AT62,"&gt;=0") = 9,(AA62 - AB62) / (1 - AB62),"No Contingency Table"), "Not Included")</f>
        <v>Not Included</v>
      </c>
      <c r="AD62" s="11" t="str">
        <f>IF(W62, IF(NOT(ISBLANK(Raw!AU62)),Raw!AU62,"Not Reported"), "Not Included")</f>
        <v>Not Included</v>
      </c>
      <c r="AE62" s="11" t="str">
        <f t="shared" si="6"/>
        <v>Not Included</v>
      </c>
      <c r="AF62" s="11" t="str">
        <f t="shared" si="7"/>
        <v>Not Included</v>
      </c>
      <c r="AG62" s="11" t="b">
        <f>COUNTIF(Raw!AV62:BK62, "&gt;=0") = 16</f>
        <v>1</v>
      </c>
      <c r="AH62" s="11" t="str">
        <f>IF(AG62, IF(COUNTIF(Raw!AV62:BK62,"&gt;=0") = 16, "Contingency", "Paper k"), "Not Included")</f>
        <v>Contingency</v>
      </c>
      <c r="AI62" s="15">
        <f>IF(AG62,IF(COUNTIF(Raw!AV62:BK62,"&gt;=0") = 16,SUM(Raw!AV62:BK62),"No Contingency Table"),"Not Included")</f>
        <v>106</v>
      </c>
      <c r="AJ62" s="15">
        <f t="shared" si="8"/>
        <v>106</v>
      </c>
      <c r="AK62" s="11">
        <f>IF(AG62,IF(COUNTIF(Raw!AV62:BK62,"&gt;=0") = 16,SUM(Raw!AV62,Raw!BA62,Raw!BF62,Raw!BK62)/AI62,"No Contingency Table"), "Not Included")</f>
        <v>0.50943396226415094</v>
      </c>
      <c r="AL62" s="11">
        <f>IF(AG62,IF(COUNTIF(Raw!AV62:BK62,"&gt;=0") = 16,SUM(SUM(Raw!AV62,Raw!AW62,Raw!AX62,Raw!AY62)*SUM(Raw!AV62,Raw!AZ62,Raw!BD62,Raw!BH62),SUM(Raw!AZ62,Raw!BA62,Raw!BB62,Raw!BC62)*SUM(Raw!AW62,Raw!BA62,Raw!BE62,Raw!BI62),SUM(Raw!BD62,Raw!BE62,Raw!BF62,Raw!BG62)*SUM(Raw!AX62,Raw!BB62,Raw!BF62,Raw!BJ62),SUM(Raw!BH62,Raw!BI62,Raw!BJ62,Raw!BK62)*SUM(Raw!AY62,Raw!BC62,Raw!BG62,Raw!BK62))/AI62^2,"No Contingency Table"), "Not Included")</f>
        <v>0.37522249911000355</v>
      </c>
      <c r="AM62" s="11">
        <f>IF(AG62,IF(COUNTIF(Raw!AV62:BK62,"&gt;=0") = 16,(AK62 - AL62) / (1 - AL62),"No Contingency Table"), "Not Included")</f>
        <v>0.21481481481481482</v>
      </c>
      <c r="AN62" s="11" t="str">
        <f>IF(NOT(ISBLANK(Raw!BL62)),Raw!BL62,"Not Reported")</f>
        <v>Not Reported</v>
      </c>
      <c r="AO62" s="11">
        <f t="shared" si="9"/>
        <v>0.21481481481481482</v>
      </c>
      <c r="AP62" s="11" t="str">
        <f t="shared" si="10"/>
        <v>NA</v>
      </c>
      <c r="AQ62" s="11" t="b">
        <f t="shared" ref="AQ62:AR62" si="259">BQ62</f>
        <v>1</v>
      </c>
      <c r="AR62" s="11" t="str">
        <f t="shared" si="259"/>
        <v>Contingency</v>
      </c>
      <c r="AS62" s="15">
        <f t="shared" si="12"/>
        <v>106</v>
      </c>
      <c r="AT62" s="15">
        <f t="shared" si="13"/>
        <v>106</v>
      </c>
      <c r="AU62" s="11">
        <f>IF(AQ62, IF(COUNTIF(Raw!AV62:BK62, "&gt;=0") = 16, IFERROR((AT62*Raw!BK62 - SUM(Raw!BH62, Raw!BI62, Raw!BJ62, Raw!BK62)*SUM(Raw!AY62, Raw!BC62, Raw!BG62, Raw!BK62)) / SQRT((AT62*SUM(Raw!BH62, Raw!BI62, Raw!BJ62, Raw!BK62) - SUM(Raw!BH62, Raw!BI62, Raw!BJ62, Raw!BK62)^2) * (AT62*SUM(Raw!AY62, Raw!BC62, Raw!BG62, Raw!BK62) - SUM(Raw!AY62, Raw!BC62, Raw!BG62, Raw!BK62)^2)), 0), "No Contingency Table"), "Not Included")</f>
        <v>0.26533672539952857</v>
      </c>
      <c r="AV62" s="11" t="str">
        <f>IF(AQ62,IF(NOT(ISBLANK(Raw!BQ62)), Raw!BQ62, IF(NOT(ISBLANK(Raw!BR62)), Raw!BR62, "Not Reported")), "Not Included")</f>
        <v>Not Reported</v>
      </c>
      <c r="AW62" s="57">
        <f t="shared" si="14"/>
        <v>0.26533672539952857</v>
      </c>
      <c r="AX62" s="11" t="str">
        <f t="shared" si="15"/>
        <v>NA</v>
      </c>
      <c r="AY62" s="11" t="b">
        <f t="shared" ref="AY62:AZ62" si="260">AQ62</f>
        <v>1</v>
      </c>
      <c r="AZ62" s="11" t="str">
        <f t="shared" si="260"/>
        <v>Contingency</v>
      </c>
      <c r="BA62" s="11">
        <f>IF(AY62, IF(COUNTIF(Raw!AV62:BK62, "&gt;=0") = 16, SUM(Raw!AV62,Raw!AW62,Raw!AX62,Raw!AZ62,Raw!BA62,Raw!BB62,Raw!BD62,Raw!BE62,Raw!BF62,Raw!BK62)/SUM(Raw!AV62:BK62), "No Contingency Table"), "Not Included")</f>
        <v>0.71698113207547165</v>
      </c>
      <c r="BB62" s="11">
        <f>IF(AY62, IF(COUNTIF(Raw!AV62:BK62, "&gt;=0") = 16,SUM(SUM(Raw!BH62,Raw!BI62,Raw!BJ62,Raw!BK62)*SUM(Raw!AY62,Raw!BC62,Raw!BG62,Raw!BK62),SUM(Raw!AV62:BG62)*SUM(Raw!AV62,Raw!AW62,Raw!AX62,Raw!AZ62,Raw!BA62,Raw!BB62,Raw!BD62,Raw!BE62,Raw!BF62,Raw!BH62,Raw!BI62,Raw!BJ62))/AT62^2,"No Contingency Table"), "Not Included")</f>
        <v>0.61747953008187972</v>
      </c>
      <c r="BC62" s="11">
        <f>IF(AY62, IF(COUNTIF(Raw!AV62:BK62, "&gt;=0") = 16,(BA62-BB62) / (1 - BB62),"No Contingency Table"), "Not Included")</f>
        <v>0.26012098650535109</v>
      </c>
      <c r="BD62" s="11" t="str">
        <f>IF(AY62,IF(NOT(ISBLANK(Raw!BT83)),Raw!BT83,"Not Reported"),"Not Included")</f>
        <v>Not Reported</v>
      </c>
      <c r="BE62" s="11">
        <f t="shared" si="17"/>
        <v>0.26012098650535109</v>
      </c>
      <c r="BF62" s="11" t="str">
        <f t="shared" si="18"/>
        <v>NA</v>
      </c>
      <c r="BG62" s="11">
        <f>Raw!K62</f>
        <v>2011</v>
      </c>
      <c r="BH62" s="11" t="str">
        <f>IF(Raw!L62 = "USA","USA","Non-USA")</f>
        <v>Non-USA</v>
      </c>
      <c r="BI62" s="11" t="str">
        <f>Raw!M62</f>
        <v>Cassidy-Marvin/Cassidy-Marvin</v>
      </c>
      <c r="BJ62" s="11">
        <f>Raw!N62</f>
        <v>0</v>
      </c>
      <c r="BK62" s="11">
        <f>Raw!P62</f>
        <v>0</v>
      </c>
      <c r="BL62" s="11">
        <f>Raw!Q62</f>
        <v>0</v>
      </c>
      <c r="BM62" s="11">
        <f>Raw!T62</f>
        <v>1</v>
      </c>
      <c r="BN62" s="11">
        <f>IFERROR(IF(AND(ISBLANK(Raw!U62), ISBLANK(Raw!V62), ISBLANK(Raw!W62), ISBLANK(Raw!X62)), "NA", IF(OR(NOT(ISBLANK(Raw!U62)), NOT(ISBLANK(Raw!W62))), AVERAGE(Raw!U62,Raw!W62), AVERAGE(Raw!V62,Raw!X62) + IF(Raw!Y62 = "2-way", R62, IF(Raw!Y62 = "3-way", AB62, IF(Raw!Y62 = "4-way", AL62, "NA")))*(1 - AVERAGE(Raw!V62,Raw!X62)))), "NA")</f>
        <v>0.81881452474190097</v>
      </c>
      <c r="BO62" s="11">
        <f>Raw!O62</f>
        <v>0</v>
      </c>
      <c r="BP62" s="11" t="str">
        <f>Raw!F62</f>
        <v>Female</v>
      </c>
      <c r="BQ62" s="11" t="b">
        <f>COUNTIF(Raw!AV62:BK62, "&gt;=0") = 16</f>
        <v>1</v>
      </c>
      <c r="BR62" s="11" t="str">
        <f t="shared" si="19"/>
        <v>Contingency</v>
      </c>
      <c r="BS62" s="15">
        <f t="shared" si="20"/>
        <v>106</v>
      </c>
      <c r="BT62" s="11">
        <f>IF(BQ62, IF(COUNTIF(Raw!AV62:BK62, "&gt;=0") = 16, IFERROR((BS62*Raw!AV62 - SUM(Raw!AV62, Raw!AW62, Raw!AX62, Raw!AY62)*SUM(Raw!AV62, Raw!AZ62, Raw!BD62, Raw!BH62)) / SQRT((BS62*SUM(Raw!AV62, Raw!AW62, Raw!AX62, Raw!AY62) - SUM(Raw!AV62, Raw!AW62, Raw!AX62, Raw!AY62)^2) * (BS62*SUM(Raw!AV62, Raw!AZ62, Raw!BD62, Raw!BH62) - SUM(Raw!AV62, Raw!AZ62, Raw!BD62, Raw!BH62)^2)), 0), "No Contingency Table"), "Not Included")</f>
        <v>0.17826086362132285</v>
      </c>
      <c r="BU62" s="11">
        <f>IF(BQ62, IF(COUNTIF(Raw!AV62:BK62, "&gt;=0") = 16, SUM(Raw!BK62,Raw!BJ62,Raw!BI62,Raw!BG62,Raw!BF62,Raw!BE62,Raw!BC62,Raw!BB62,Raw!BA62,Raw!AV62)/SUM(Raw!AV62:BK62), "No Contingency Table"), "Not Included")</f>
        <v>0.81132075471698117</v>
      </c>
      <c r="BV62" s="11">
        <f>IF(BQ62, IF(COUNTIF(Raw!AV62:BK62, "&gt;=0") = 16,SUM(SUM(Raw!AV62,Raw!AW62,Raw!AX62,Raw!AY62)*SUM(Raw!AV62,Raw!AZ62,Raw!BD62,Raw!BH62),SUM(Raw!AZ62:BK62)*SUM(Raw!AW62,Raw!AX62,Raw!AY62,Raw!BA62,Raw!BB62,Raw!BC62,Raw!BE62,Raw!BF62,Raw!BG62,Raw!BI62,Raw!BJ62,Raw!BK62))/BS62^2,"No Contingency Table"), "Not Included")</f>
        <v>0.77055891776432894</v>
      </c>
      <c r="BW62" s="11">
        <f>IF(BQ62, IF(COUNTIF(Raw!AV62:BK62, "&gt;=0") = 16,(BU62-BV62) / (1 - BV62),"No Contingency Table"), "Not Included")</f>
        <v>0.17765709852598932</v>
      </c>
      <c r="BX62" s="11" t="b">
        <f t="shared" ref="BX62:BZ62" si="261">BQ62</f>
        <v>1</v>
      </c>
      <c r="BY62" s="11" t="str">
        <f t="shared" si="261"/>
        <v>Contingency</v>
      </c>
      <c r="BZ62" s="15">
        <f t="shared" si="261"/>
        <v>106</v>
      </c>
      <c r="CA62" s="11">
        <f>IF(BX62, IF(COUNTIF(Raw!AV62:BK62, "&gt;=0") = 16, IFERROR((BZ62*Raw!BF62 - SUM(Raw!BD62, Raw!BE62, Raw!BF62, Raw!BG62)*SUM(Raw!BF62, Raw!AX62, Raw!BB62, Raw!BJ62)) / SQRT((BZ62*SUM(Raw!BD62, Raw!BE62, Raw!BF62, Raw!BG62) - SUM(Raw!BD62, Raw!BE62, Raw!BF62, Raw!BG62)^2) * (BZ62*SUM(Raw!BF62, Raw!AX62, Raw!BB62, Raw!BJ62) - SUM(Raw!BF62, Raw!AX62, Raw!BB62, Raw!BJ62)^2)), 0), "No Contingency Table"), "Not Included")</f>
        <v>9.495185699019322E-2</v>
      </c>
      <c r="CB62" s="11">
        <f>IF(BX62, IF(COUNTIF(Raw!AV62:BK62, "&gt;=0") = 16, SUM(Raw!AV62,Raw!AW62,Raw!AY62,Raw!AZ62,Raw!BA62,Raw!BC62,Raw!BF62,Raw!BH62,Raw!BI62,Raw!BK62) / SUM(Raw!AV62:BK62), "No Contingency Table"), "Not Included")</f>
        <v>0.87735849056603776</v>
      </c>
      <c r="CC62" s="11">
        <f>IF(BX62, IF(COUNTIF(Raw!AV62:BK62, "&gt;=0") = 16,SUM(SUM(Raw!BD62,Raw!BE62,Raw!BF62,Raw!BG62)*SUM(Raw!BF62,Raw!AX62,Raw!BB62,Raw!BJ62),SUM(Raw!AV62:BC62,Raw!BH62:BK62)*SUM(Raw!AV62,Raw!AW62,Raw!AY62,Raw!AZ62,Raw!BA62,Raw!BC62,Raw!BD62,Raw!BE62,Raw!BG62,Raw!BH62,Raw!BI62,Raw!BK62))/BZ62^2,"No Contingency Table"), "Not Included")</f>
        <v>0.8663225347098612</v>
      </c>
      <c r="CD62" s="11">
        <f>IF(BX62, IF(COUNTIF(Raw!AV62:BK62, "&gt;=0") = 16,(CB62 - CC62) / (1 - CC62+0.000001),"No Contingency Table"), "Not Included")</f>
        <v>8.2555973635872235E-2</v>
      </c>
      <c r="CE62" s="11" t="b">
        <f t="shared" ref="CE62:CG62" si="262">BQ62</f>
        <v>1</v>
      </c>
      <c r="CF62" s="11" t="str">
        <f t="shared" si="262"/>
        <v>Contingency</v>
      </c>
      <c r="CG62" s="15">
        <f t="shared" si="262"/>
        <v>106</v>
      </c>
      <c r="CH62" s="11">
        <f>IF(CE62, IF(COUNTIF(Raw!AV62:BK62, "&gt;=0") = 16, IFERROR((CG62*Raw!BA62 - SUM(Raw!BA62, Raw!AZ62, Raw!BB62, Raw!BC62)*SUM(Raw!BA62, Raw!AW62, Raw!BE62, Raw!BI62)) / SQRT((CG62*SUM(Raw!BA62, Raw!AZ62, Raw!BB62, Raw!BC62) - SUM(Raw!BA62, Raw!AZ62, Raw!BB62, Raw!BC62)^2) * (CG62*SUM(Raw!BA62, Raw!AW62, Raw!BE62, Raw!BI62) - SUM(Raw!BA62, Raw!AW62, Raw!BE62, Raw!BI62)^2)), 0), "No Contingency Table"), "Not Included")</f>
        <v>0.23963200892808845</v>
      </c>
      <c r="CI62" s="11">
        <f>IF(CE62, IF(COUNTIF(Raw!AV62:BK62, "&gt;=0") = 16, SUM(Raw!AV62,Raw!AX62,Raw!AY62,Raw!BA62,Raw!BD62,Raw!BF62,Raw!BG62,Raw!BH62,Raw!BJ62,Raw!BK62) / SUM(Raw!AV62:BK62), "No Contingency Table"), "Not Included")</f>
        <v>0.6132075471698113</v>
      </c>
      <c r="CJ62" s="61">
        <f>IF(BX62, IF(COUNTIF(Raw!AV62:BK62, "&gt;=0") = 16,SUM(SUM(Raw!AZ62,Raw!BA62,Raw!BB62,Raw!BC62)*SUM(Raw!BA62,Raw!AW62,Raw!BE62,Raw!BI62),SUM(Raw!AV62:AY62,Raw!BD62:BK62)*SUM(Raw!AV62,Raw!AX62,Raw!AY62,Raw!AZ62,Raw!BB62,Raw!BC62,Raw!BD62,Raw!BF62,Raw!BG62,Raw!BH62,Raw!BJ62,Raw!BK62))/CG62^2,"No Contingency Table"), "Not Included")</f>
        <v>0.49608401566393734</v>
      </c>
      <c r="CK62" s="11">
        <f>IF(BX62, IF(COUNTIF(Raw!AV62:BK62, "&gt;=0") = 16,(CI62 - CJ62) / (1 - CJ62),"No Contingency Table"), "Not Included")</f>
        <v>0.23242670434475446</v>
      </c>
      <c r="CL62" s="11">
        <f>IF(BQ62, IFERROR(Raw!AV62/SUM(Raw!AV62:AY62), 0), "Not Included")</f>
        <v>0.30769230769230771</v>
      </c>
      <c r="CM62" s="11">
        <f>IF(BQ62, IFERROR(Raw!BA62/SUM(Raw!AZ62:BC62), 0), "Not Included")</f>
        <v>0.72549019607843135</v>
      </c>
      <c r="CN62" s="11">
        <f>IF(BQ62, IFERROR(Raw!BF62/SUM(Raw!BD62:BG62), 0), "Not Included")</f>
        <v>9.0909090909090912E-2</v>
      </c>
      <c r="CO62" s="11">
        <f>IF(BQ62, IFERROR(Raw!BK62/SUM(Raw!BH62:BK62), 0), "Not Included")</f>
        <v>0.38709677419354838</v>
      </c>
      <c r="CP62" s="11">
        <f>IF(BQ62, IFERROR(SUM(Raw!AV62,Raw!AX62,Raw!AY62,Raw!BD62,Raw!BF62,Raw!BG62,Raw!BH62,Raw!BJ62,Raw!BK62)/SUM(Raw!AV62,Raw!AW62,Raw!AX62,Raw!AY62,Raw!BD62,Raw!BE62,Raw!BF62,Raw!BG62,Raw!BH62,Raw!BI62,Raw!BJ62,Raw!BK62), 0), "Not Included")</f>
        <v>0.50909090909090904</v>
      </c>
      <c r="CQ62" s="11">
        <f>IF(BQ62, IFERROR(SUM(Raw!AV62:AX62,Raw!AZ62:BB62,Raw!BD62:BF62)/SUM(Raw!AV62:BF62), 0), "Not Included")</f>
        <v>0.85333333333333339</v>
      </c>
      <c r="CR62" s="11">
        <f>IF(BQ62, IFERROR(SUM(Raw!AV62:AY62), 0), "Not Included")</f>
        <v>13</v>
      </c>
      <c r="CS62" s="11">
        <f>IF(BQ62, IFERROR(SUM(Raw!AZ62:BC62), 0), "Not Included")</f>
        <v>51</v>
      </c>
      <c r="CT62" s="11">
        <f>IF(BQ62, IFERROR(SUM(Raw!BD62:BG62), 0), "Not Included")</f>
        <v>11</v>
      </c>
      <c r="CU62" s="11">
        <f>IF(BQ62, IFERROR(SUM(Raw!BH62:BK62), 0), "Not Included")</f>
        <v>31</v>
      </c>
      <c r="CV62" s="11">
        <f>IF(BQ62, IFERROR(SUM(Raw!AV62,Raw!AW62,Raw!AX62,Raw!AY62,Raw!BD62,Raw!BE62,Raw!BF62,Raw!BG62,Raw!BH62,Raw!BI62,Raw!BJ62,Raw!BK62), 0), "Not Included")</f>
        <v>55</v>
      </c>
      <c r="CW62" s="11">
        <f>IF(BQ62, IFERROR(SUM(Raw!AV62:BF62), 0), "Not Included")</f>
        <v>75</v>
      </c>
      <c r="CX62" s="11">
        <f>IF(BQ62, IFERROR((CR62*SUM(Raw!AV62,Raw!AZ62,Raw!BD62,Raw!BH62))/BS62/CR62, 0), "Not Included")</f>
        <v>0.14150943396226415</v>
      </c>
      <c r="CY62" s="11">
        <f>IF(BX62, IFERROR((CS62*SUM(Raw!BA62,Raw!AW62,Raw!BE62,Raw!BI62))/CG62/CS62, 0), "Not Included")</f>
        <v>0.60377358490566035</v>
      </c>
      <c r="CZ62" s="11">
        <f>IF(BX62, IFERROR((CT62*SUM(Raw!BF62,Raw!AX62,Raw!BB62,Raw!BJ62))/BZ62/CT62, 0), "Not Included")</f>
        <v>3.7735849056603772E-2</v>
      </c>
      <c r="DA62" s="11">
        <f>IF(AY62, IFERROR((CU62*SUM(Raw!AY62,Raw!BC62,Raw!BG62,Raw!BK62))/AT62/CU62, 0), "Not Included")</f>
        <v>0.21698113207547171</v>
      </c>
      <c r="DB62" s="11">
        <f>IF(BX62, IFERROR((CV62*SUM(Raw!AV62,Raw!AX62,Raw!AY62,Raw!AZ62,Raw!BB62,Raw!BC62,Raw!BD62,Raw!BF62,Raw!BG62,Raw!BH62,Raw!BJ62,Raw!BK62))/CG62/CV62,0), "Not Included")</f>
        <v>0.39622641509433965</v>
      </c>
      <c r="DC62" s="11">
        <f>IF(AY62, IFERROR((CW62*SUM(Raw!AV62,Raw!AW62,Raw!AX62,Raw!AZ62,Raw!BA62,Raw!BB62,Raw!BD62,Raw!BE62,Raw!BF62,Raw!BH62,Raw!BI62,Raw!BJ62))/AT62/CW62,0), "Not Included")</f>
        <v>0.78301886792452824</v>
      </c>
    </row>
    <row r="63" spans="1:107" ht="12.75" customHeight="1">
      <c r="A63" s="11">
        <f>Raw!D63</f>
        <v>44</v>
      </c>
      <c r="B63" s="11" t="str">
        <f>Raw!A63</f>
        <v>Kreppner et al. (2011)</v>
      </c>
      <c r="C63" s="11">
        <f>Raw!G63</f>
        <v>1</v>
      </c>
      <c r="D63" s="11" t="str">
        <f>Raw!E63</f>
        <v>Institutionalised &gt; 6 mo</v>
      </c>
      <c r="E63" s="11" t="str">
        <f>CONCATENATE(IF(Raw!I63&lt;='Interval Definitions'!$B$2, 'Interval Definitions'!$A$2, IF(Raw!I63&lt;='Interval Definitions'!$B$3, 'Interval Definitions'!$A$3, IF(Raw!I63&lt;='Interval Definitions'!$B$4, 'Interval Definitions'!$A$4, IF(Raw!I63&lt;='Interval Definitions'!$B$5, 'Interval Definitions'!$A$5, "None")))), " - ", IF(Raw!J63&lt;='Interval Definitions'!$B$2, 'Interval Definitions'!$A$2, IF(Raw!J63&lt;='Interval Definitions'!$B$3, 'Interval Definitions'!$A$3, IF(Raw!J63&lt;='Interval Definitions'!$B$4, 'Interval Definitions'!$A$4, IF(Raw!J63&lt;='Interval Definitions'!$B$5, 'Interval Definitions'!$A$5, "None")))))</f>
        <v>Preschool - Preschool</v>
      </c>
      <c r="F63" s="11" t="b">
        <f>OR(NOT(ISBLANK(Raw!AF63)),NOT(ISBLANK(Raw!AG63)),NOT(ISBLANK(Raw!AH63)),NOT(ISBLANK(Raw!AI63)),COUNTIF(Raw!AA63:AD63, "&gt;=0") = 4)</f>
        <v>1</v>
      </c>
      <c r="G63" s="11" t="str">
        <f>IF(F63, IF(COUNTIF(Raw!AA63:AD63,"&gt;=0") = 4, "Contingency", IF(NOT(ISBLANK(Raw!AF63)), "Paper r", IF(NOT(ISBLANK(Raw!AG63)), "Pinquart", IF(NOT(ISBLANK(Raw!AH63)), "Fraley", "Paper chiSq")))), "Not Included")</f>
        <v>Contingency</v>
      </c>
      <c r="H63" s="15">
        <f>IF(F63,Raw!AE63,"Not Included")</f>
        <v>31</v>
      </c>
      <c r="I63" s="15">
        <f>IF(COUNTIF(Raw!AA63:AD63,"&gt;=0") = 4, SUM(Raw!AA63:AD63), "No Contingency Table")</f>
        <v>31</v>
      </c>
      <c r="J63" s="15">
        <f t="shared" si="0"/>
        <v>31</v>
      </c>
      <c r="K63" s="38">
        <f>IF(F63, IF(COUNTIF(Raw!AA63:AD63,"&gt;=0") = 4, IFERROR((I63*Raw!AA63 - SUM(Raw!AA63,Raw!AB63)*SUM(Raw!AA63,Raw!AD63)) / SQRT((I63*SUM(Raw!AA63,Raw!AB63) - SUM(Raw!AA63,Raw!AB63)^2) * (I63*SUM(Raw!AA63,Raw!AD63) - SUM(Raw!AA63,Raw!AD63)^2)), 0), "No Contingency Table"), "Not Included")</f>
        <v>0.22036911889497712</v>
      </c>
      <c r="L63" s="41" t="str">
        <f>IF(F63,IF(NOT(ISBLANK(Raw!AF63)), Raw!AF63, IF(NOT(ISBLANK(Raw!AG63)), Raw!AG63, IF(NOT(ISBLANK(Raw!AH63)), Raw!AH63, IF(NOT(ISBLANK(Raw!AI63)), SQRT(Raw!AI63/H63)*Raw!AJ63, "Not Reported")))),"Not Included")</f>
        <v>Not Reported</v>
      </c>
      <c r="M63" s="43">
        <f t="shared" si="1"/>
        <v>0.22036911889497712</v>
      </c>
      <c r="N63" s="11" t="str">
        <f t="shared" si="2"/>
        <v>NA</v>
      </c>
      <c r="O63" s="48" t="b">
        <f>OR(NOT(ISBLANK(Raw!AK63)), COUNTIF(Raw!AA63:AD63, "&gt;=0") = 4)</f>
        <v>1</v>
      </c>
      <c r="P63" s="24" t="str">
        <f>IF(O63,IF(COUNTIF(Raw!AA63:AD63,"&gt;=0") = 4,"Contingency", "Paper k"), "Not Included")</f>
        <v>Contingency</v>
      </c>
      <c r="Q63" s="48">
        <f>IF(O63, IF(COUNTIF(Raw!AA63:AD63,"&gt;=0") = 4,SUM(Raw!AA63,Raw!AC63)/H63,"No Contingency Table"), "Not Included")</f>
        <v>0.58064516129032262</v>
      </c>
      <c r="R63" s="38">
        <f>IF(O63, IF(COUNTIF(Raw!AA63:AD63, "&gt;=0") = 4,SUM(SUM(Raw!AA63,Raw!AB63)*SUM(Raw!AA63,Raw!AD63),SUM(Raw!AC63,Raw!AD63)*SUM(Raw!AC63,Raw!AB63))/H63^2,"No Contingency Table"), "Not Included")</f>
        <v>0.47658688865764826</v>
      </c>
      <c r="S63" s="38">
        <f>IF(O63, IF(COUNTIF(Raw!AA63:AD63,"&gt;=0") = 4, IFERROR((Q63 - R63) / (1 - R63), "Could not calculate"), "No Contingency Table"), "Not Included")</f>
        <v>0.19880715705765423</v>
      </c>
      <c r="T63" s="52" t="str">
        <f>IF(O63,IF(NOT(ISBLANK(Raw!AK63)), Raw!AK63, "Not Reported"), "Not Included")</f>
        <v>Not Reported</v>
      </c>
      <c r="U63" s="38">
        <f t="shared" si="3"/>
        <v>0.19880715705765423</v>
      </c>
      <c r="V63" s="11" t="str">
        <f t="shared" si="4"/>
        <v>NA</v>
      </c>
      <c r="W63" s="11" t="b">
        <f>OR(NOT(ISBLANK(Raw!AU63)),COUNTIF(Raw!AL63:AT63,"&gt;=0") = 9)</f>
        <v>0</v>
      </c>
      <c r="X63" s="11" t="str">
        <f>IF(W63, IF(COUNTIF(Raw!AL63:AT63,"&gt;=0") = 9, "Contingency", "Paper k"), "Not Included")</f>
        <v>Not Included</v>
      </c>
      <c r="Y63" s="11" t="str">
        <f>IF(W63,IF(COUNTIF(Raw!AL63:AT63,"&gt;=0") = 9,SUM(Raw!AL63:AT63),"No Contingency Table"),"Not Included")</f>
        <v>Not Included</v>
      </c>
      <c r="Z63" s="11" t="str">
        <f t="shared" si="5"/>
        <v>Not Included</v>
      </c>
      <c r="AA63" s="11" t="str">
        <f>IF(W63,IF(COUNTIF(Raw!AL63:AT63,"&gt;=0") = 9,SUM(Raw!AL63,Raw!AP63,Raw!AT63)/Y63,"No Contingency Table"), "Not Included")</f>
        <v>Not Included</v>
      </c>
      <c r="AB63" s="11" t="str">
        <f>IF(W63,IF(COUNTIF(Raw!AL63:AT63,"&gt;=0") = 9,SUM(SUM(Raw!AL63,Raw!AM63,Raw!AN63)*SUM(Raw!AL63,Raw!AO63,Raw!AR63),SUM(Raw!AO63,Raw!AP63,Raw!AQ63)*SUM(Raw!AM63,Raw!AP63,Raw!AS63),SUM(Raw!AR63,Raw!AS63,Raw!AT63)*SUM(Raw!AN63,Raw!AQ63,Raw!AT63))/Y63^2,"No Contingency Table"), "Not Included")</f>
        <v>Not Included</v>
      </c>
      <c r="AC63" s="11" t="str">
        <f>IF(W63,IF(COUNTIF(Raw!AL63:AT63,"&gt;=0") = 9,(AA63 - AB63) / (1 - AB63),"No Contingency Table"), "Not Included")</f>
        <v>Not Included</v>
      </c>
      <c r="AD63" s="11" t="str">
        <f>IF(W63, IF(NOT(ISBLANK(Raw!AU63)),Raw!AU63,"Not Reported"), "Not Included")</f>
        <v>Not Included</v>
      </c>
      <c r="AE63" s="11" t="str">
        <f t="shared" si="6"/>
        <v>Not Included</v>
      </c>
      <c r="AF63" s="11" t="str">
        <f t="shared" si="7"/>
        <v>Not Included</v>
      </c>
      <c r="AG63" s="11" t="b">
        <f>COUNTIF(Raw!AV63:BK63, "&gt;=0") = 16</f>
        <v>1</v>
      </c>
      <c r="AH63" s="11" t="str">
        <f>IF(AG63, IF(COUNTIF(Raw!AV63:BK63,"&gt;=0") = 16, "Contingency", "Paper k"), "Not Included")</f>
        <v>Contingency</v>
      </c>
      <c r="AI63" s="15">
        <f>IF(AG63,IF(COUNTIF(Raw!AV63:BK63,"&gt;=0") = 16,SUM(Raw!AV63:BK63),"No Contingency Table"),"Not Included")</f>
        <v>31</v>
      </c>
      <c r="AJ63" s="15">
        <f t="shared" si="8"/>
        <v>31</v>
      </c>
      <c r="AK63" s="11">
        <f>IF(AG63,IF(COUNTIF(Raw!AV63:BK63,"&gt;=0") = 16,SUM(Raw!AV63,Raw!BA63,Raw!BF63,Raw!BK63)/AI63,"No Contingency Table"), "Not Included")</f>
        <v>0.45161290322580644</v>
      </c>
      <c r="AL63" s="11">
        <f>IF(AG63,IF(COUNTIF(Raw!AV63:BK63,"&gt;=0") = 16,SUM(SUM(Raw!AV63,Raw!AW63,Raw!AX63,Raw!AY63)*SUM(Raw!AV63,Raw!AZ63,Raw!BD63,Raw!BH63),SUM(Raw!AZ63,Raw!BA63,Raw!BB63,Raw!BC63)*SUM(Raw!AW63,Raw!BA63,Raw!BE63,Raw!BI63),SUM(Raw!BD63,Raw!BE63,Raw!BF63,Raw!BG63)*SUM(Raw!AX63,Raw!BB63,Raw!BF63,Raw!BJ63),SUM(Raw!BH63,Raw!BI63,Raw!BJ63,Raw!BK63)*SUM(Raw!AY63,Raw!BC63,Raw!BG63,Raw!BK63))/AI63^2,"No Contingency Table"), "Not Included")</f>
        <v>0.34755463059313213</v>
      </c>
      <c r="AM63" s="11">
        <f>IF(AG63,IF(COUNTIF(Raw!AV63:BK63,"&gt;=0") = 16,(AK63 - AL63) / (1 - AL63),"No Contingency Table"), "Not Included")</f>
        <v>0.15948963317384371</v>
      </c>
      <c r="AN63" s="11" t="str">
        <f>IF(NOT(ISBLANK(Raw!BL63)),Raw!BL63,"Not Reported")</f>
        <v>Not Reported</v>
      </c>
      <c r="AO63" s="11">
        <f t="shared" si="9"/>
        <v>0.15948963317384371</v>
      </c>
      <c r="AP63" s="11" t="str">
        <f t="shared" si="10"/>
        <v>NA</v>
      </c>
      <c r="AQ63" s="11" t="b">
        <f t="shared" ref="AQ63:AR63" si="263">BQ63</f>
        <v>1</v>
      </c>
      <c r="AR63" s="11" t="str">
        <f t="shared" si="263"/>
        <v>Contingency</v>
      </c>
      <c r="AS63" s="15">
        <f t="shared" si="12"/>
        <v>31</v>
      </c>
      <c r="AT63" s="15">
        <f t="shared" si="13"/>
        <v>31</v>
      </c>
      <c r="AU63" s="11">
        <f>IF(AQ63, IF(COUNTIF(Raw!AV63:BK63, "&gt;=0") = 16, IFERROR((AT63*Raw!BK63 - SUM(Raw!BH63, Raw!BI63, Raw!BJ63, Raw!BK63)*SUM(Raw!AY63, Raw!BC63, Raw!BG63, Raw!BK63)) / SQRT((AT63*SUM(Raw!BH63, Raw!BI63, Raw!BJ63, Raw!BK63) - SUM(Raw!BH63, Raw!BI63, Raw!BJ63, Raw!BK63)^2) * (AT63*SUM(Raw!AY63, Raw!BC63, Raw!BG63, Raw!BK63) - SUM(Raw!AY63, Raw!BC63, Raw!BG63, Raw!BK63)^2)), 0), "No Contingency Table"), "Not Included")</f>
        <v>0.27080320827252657</v>
      </c>
      <c r="AV63" s="11" t="str">
        <f>IF(AQ63,IF(NOT(ISBLANK(Raw!BQ63)), Raw!BQ63, IF(NOT(ISBLANK(Raw!BR63)), Raw!BR63, "Not Reported")), "Not Included")</f>
        <v>Not Reported</v>
      </c>
      <c r="AW63" s="57">
        <f t="shared" si="14"/>
        <v>0.27080320827252657</v>
      </c>
      <c r="AX63" s="11" t="str">
        <f t="shared" si="15"/>
        <v>NA</v>
      </c>
      <c r="AY63" s="11" t="b">
        <f t="shared" ref="AY63:AZ63" si="264">AQ63</f>
        <v>1</v>
      </c>
      <c r="AZ63" s="11" t="str">
        <f t="shared" si="264"/>
        <v>Contingency</v>
      </c>
      <c r="BA63" s="11">
        <f>IF(AY63, IF(COUNTIF(Raw!AV63:BK63, "&gt;=0") = 16, SUM(Raw!AV63,Raw!AW63,Raw!AX63,Raw!AZ63,Raw!BA63,Raw!BB63,Raw!BD63,Raw!BE63,Raw!BF63,Raw!BK63)/SUM(Raw!AV63:BK63), "No Contingency Table"), "Not Included")</f>
        <v>0.54838709677419351</v>
      </c>
      <c r="BB63" s="11">
        <f>IF(AY63, IF(COUNTIF(Raw!AV63:BK63, "&gt;=0") = 16,SUM(SUM(Raw!BH63,Raw!BI63,Raw!BJ63,Raw!BK63)*SUM(Raw!AY63,Raw!BC63,Raw!BG63,Raw!BK63),SUM(Raw!AV63:BG63)*SUM(Raw!AV63,Raw!AW63,Raw!AX63,Raw!AZ63,Raw!BA63,Raw!BB63,Raw!BD63,Raw!BE63,Raw!BF63,Raw!BH63,Raw!BI63,Raw!BJ63))/AT63^2,"No Contingency Table"), "Not Included")</f>
        <v>0.4380853277835588</v>
      </c>
      <c r="BC63" s="11">
        <f>IF(AY63, IF(COUNTIF(Raw!AV63:BK63, "&gt;=0") = 16,(BA63-BB63) / (1 - BB63),"No Contingency Table"), "Not Included")</f>
        <v>0.19629629629629622</v>
      </c>
      <c r="BD63" s="11" t="str">
        <f>IF(AY63,IF(NOT(ISBLANK(Raw!BT84)),Raw!BT84,"Not Reported"),"Not Included")</f>
        <v>Not Reported</v>
      </c>
      <c r="BE63" s="11">
        <f t="shared" si="17"/>
        <v>0.19629629629629622</v>
      </c>
      <c r="BF63" s="11" t="str">
        <f t="shared" si="18"/>
        <v>NA</v>
      </c>
      <c r="BG63" s="11">
        <f>Raw!K63</f>
        <v>2011</v>
      </c>
      <c r="BH63" s="11" t="str">
        <f>IF(Raw!L63 = "USA","USA","Non-USA")</f>
        <v>Non-USA</v>
      </c>
      <c r="BI63" s="11" t="str">
        <f>Raw!M63</f>
        <v>Cassidy-Marvin/Cassidy-Marvin</v>
      </c>
      <c r="BJ63" s="11">
        <f>Raw!N63</f>
        <v>0</v>
      </c>
      <c r="BK63" s="11">
        <f>Raw!P63</f>
        <v>1</v>
      </c>
      <c r="BL63" s="11">
        <f>Raw!Q63</f>
        <v>0</v>
      </c>
      <c r="BM63" s="11">
        <f>Raw!T63</f>
        <v>1</v>
      </c>
      <c r="BN63" s="11">
        <f>IFERROR(IF(AND(ISBLANK(Raw!U63), ISBLANK(Raw!V63), ISBLANK(Raw!W63), ISBLANK(Raw!X63)), "NA", IF(OR(NOT(ISBLANK(Raw!U63)), NOT(ISBLANK(Raw!W63))), AVERAGE(Raw!U63,Raw!W63), AVERAGE(Raw!V63,Raw!X63) + IF(Raw!Y63 = "2-way", R63, IF(Raw!Y63 = "3-way", AB63, IF(Raw!Y63 = "4-way", AL63, "NA")))*(1 - AVERAGE(Raw!V63,Raw!X63)))), "NA")</f>
        <v>0.81079084287200831</v>
      </c>
      <c r="BO63" s="11">
        <f>Raw!O63</f>
        <v>0</v>
      </c>
      <c r="BP63" s="11" t="str">
        <f>Raw!F63</f>
        <v>Female</v>
      </c>
      <c r="BQ63" s="11" t="b">
        <f>COUNTIF(Raw!AV63:BK63, "&gt;=0") = 16</f>
        <v>1</v>
      </c>
      <c r="BR63" s="11" t="str">
        <f t="shared" si="19"/>
        <v>Contingency</v>
      </c>
      <c r="BS63" s="15">
        <f t="shared" si="20"/>
        <v>31</v>
      </c>
      <c r="BT63" s="11">
        <f>IF(BQ63, IF(COUNTIF(Raw!AV63:BK63, "&gt;=0") = 16, IFERROR((BS63*Raw!AV63 - SUM(Raw!AV63, Raw!AW63, Raw!AX63, Raw!AY63)*SUM(Raw!AV63, Raw!AZ63, Raw!BD63, Raw!BH63)) / SQRT((BS63*SUM(Raw!AV63, Raw!AW63, Raw!AX63, Raw!AY63) - SUM(Raw!AV63, Raw!AW63, Raw!AX63, Raw!AY63)^2) * (BS63*SUM(Raw!AV63, Raw!AZ63, Raw!BD63, Raw!BH63) - SUM(Raw!AV63, Raw!AZ63, Raw!BD63, Raw!BH63)^2)), 0), "No Contingency Table"), "Not Included")</f>
        <v>-5.9761430466719688E-2</v>
      </c>
      <c r="BU63" s="11">
        <f>IF(BQ63, IF(COUNTIF(Raw!AV63:BK63, "&gt;=0") = 16, SUM(Raw!BK63,Raw!BJ63,Raw!BI63,Raw!BG63,Raw!BF63,Raw!BE63,Raw!BC63,Raw!BB63,Raw!BA63,Raw!AV63)/SUM(Raw!AV63:BK63), "No Contingency Table"), "Not Included")</f>
        <v>0.87096774193548387</v>
      </c>
      <c r="BV63" s="11">
        <f>IF(BQ63, IF(COUNTIF(Raw!AV63:BK63, "&gt;=0") = 16,SUM(SUM(Raw!AV63,Raw!AW63,Raw!AX63,Raw!AY63)*SUM(Raw!AV63,Raw!AZ63,Raw!BD63,Raw!BH63),SUM(Raw!AZ63:BK63)*SUM(Raw!AW63,Raw!AX63,Raw!AY63,Raw!BA63,Raw!BB63,Raw!BC63,Raw!BE63,Raw!BF63,Raw!BG63,Raw!BI63,Raw!BJ63,Raw!BK63))/BS63^2,"No Contingency Table"), "Not Included")</f>
        <v>0.87721123829344438</v>
      </c>
      <c r="BW63" s="11">
        <f>IF(BQ63, IF(COUNTIF(Raw!AV63:BK63, "&gt;=0") = 16,(BU63-BV63) / (1 - BV63),"No Contingency Table"), "Not Included")</f>
        <v>-5.0847457627119091E-2</v>
      </c>
      <c r="BX63" s="11" t="b">
        <f t="shared" ref="BX63:BZ63" si="265">BQ63</f>
        <v>1</v>
      </c>
      <c r="BY63" s="11" t="str">
        <f t="shared" si="265"/>
        <v>Contingency</v>
      </c>
      <c r="BZ63" s="15">
        <f t="shared" si="265"/>
        <v>31</v>
      </c>
      <c r="CA63" s="11">
        <f>IF(BX63, IF(COUNTIF(Raw!AV63:BK63, "&gt;=0") = 16, IFERROR((BZ63*Raw!BF63 - SUM(Raw!BD63, Raw!BE63, Raw!BF63, Raw!BG63)*SUM(Raw!BF63, Raw!AX63, Raw!BB63, Raw!BJ63)) / SQRT((BZ63*SUM(Raw!BD63, Raw!BE63, Raw!BF63, Raw!BG63) - SUM(Raw!BD63, Raw!BE63, Raw!BF63, Raw!BG63)^2) * (BZ63*SUM(Raw!BF63, Raw!AX63, Raw!BB63, Raw!BJ63) - SUM(Raw!BF63, Raw!AX63, Raw!BB63, Raw!BJ63)^2)), 0), "No Contingency Table"), "Not Included")</f>
        <v>0</v>
      </c>
      <c r="CB63" s="11">
        <f>IF(BX63, IF(COUNTIF(Raw!AV63:BK63, "&gt;=0") = 16, SUM(Raw!AV63,Raw!AW63,Raw!AY63,Raw!AZ63,Raw!BA63,Raw!BC63,Raw!BF63,Raw!BH63,Raw!BI63,Raw!BK63) / SUM(Raw!AV63:BK63), "No Contingency Table"), "Not Included")</f>
        <v>0.90322580645161288</v>
      </c>
      <c r="CC63" s="11">
        <f>IF(BX63, IF(COUNTIF(Raw!AV63:BK63, "&gt;=0") = 16,SUM(SUM(Raw!BD63,Raw!BE63,Raw!BF63,Raw!BG63)*SUM(Raw!BF63,Raw!AX63,Raw!BB63,Raw!BJ63),SUM(Raw!AV63:BC63,Raw!BH63:BK63)*SUM(Raw!AV63,Raw!AW63,Raw!AY63,Raw!AZ63,Raw!BA63,Raw!BC63,Raw!BD63,Raw!BE63,Raw!BG63,Raw!BH63,Raw!BI63,Raw!BK63))/BZ63^2,"No Contingency Table"), "Not Included")</f>
        <v>0.90322580645161288</v>
      </c>
      <c r="CD63" s="11">
        <f>IF(BX63, IF(COUNTIF(Raw!AV63:BK63, "&gt;=0") = 16,(CB63 - CC63) / (1 - CC63+0.000001),"No Contingency Table"), "Not Included")</f>
        <v>0</v>
      </c>
      <c r="CE63" s="11" t="b">
        <f t="shared" ref="CE63:CG63" si="266">BQ63</f>
        <v>1</v>
      </c>
      <c r="CF63" s="11" t="str">
        <f t="shared" si="266"/>
        <v>Contingency</v>
      </c>
      <c r="CG63" s="15">
        <f t="shared" si="266"/>
        <v>31</v>
      </c>
      <c r="CH63" s="11">
        <f>IF(CE63, IF(COUNTIF(Raw!AV63:BK63, "&gt;=0") = 16, IFERROR((CG63*Raw!BA63 - SUM(Raw!BA63, Raw!AZ63, Raw!BB63, Raw!BC63)*SUM(Raw!BA63, Raw!AW63, Raw!BE63, Raw!BI63)) / SQRT((CG63*SUM(Raw!BA63, Raw!AZ63, Raw!BB63, Raw!BC63) - SUM(Raw!BA63, Raw!AZ63, Raw!BB63, Raw!BC63)^2) * (CG63*SUM(Raw!BA63, Raw!AW63, Raw!BE63, Raw!BI63) - SUM(Raw!BA63, Raw!AW63, Raw!BE63, Raw!BI63)^2)), 0), "No Contingency Table"), "Not Included")</f>
        <v>0.22036911889497712</v>
      </c>
      <c r="CI63" s="11">
        <f>IF(CE63, IF(COUNTIF(Raw!AV63:BK63, "&gt;=0") = 16, SUM(Raw!AV63,Raw!AX63,Raw!AY63,Raw!BA63,Raw!BD63,Raw!BF63,Raw!BG63,Raw!BH63,Raw!BJ63,Raw!BK63) / SUM(Raw!AV63:BK63), "No Contingency Table"), "Not Included")</f>
        <v>0.58064516129032262</v>
      </c>
      <c r="CJ63" s="61">
        <f>IF(BX63, IF(COUNTIF(Raw!AV63:BK63, "&gt;=0") = 16,SUM(SUM(Raw!AZ63,Raw!BA63,Raw!BB63,Raw!BC63)*SUM(Raw!BA63,Raw!AW63,Raw!BE63,Raw!BI63),SUM(Raw!AV63:AY63,Raw!BD63:BK63)*SUM(Raw!AV63,Raw!AX63,Raw!AY63,Raw!AZ63,Raw!BB63,Raw!BC63,Raw!BD63,Raw!BF63,Raw!BG63,Raw!BH63,Raw!BJ63,Raw!BK63))/CG63^2,"No Contingency Table"), "Not Included")</f>
        <v>0.47658688865764826</v>
      </c>
      <c r="CK63" s="11">
        <f>IF(BX63, IF(COUNTIF(Raw!AV63:BK63, "&gt;=0") = 16,(CI63 - CJ63) / (1 - CJ63),"No Contingency Table"), "Not Included")</f>
        <v>0.19880715705765423</v>
      </c>
      <c r="CL63" s="11">
        <f>IF(BQ63, IFERROR(Raw!AV63/SUM(Raw!AV63:AY63), 0), "Not Included")</f>
        <v>0</v>
      </c>
      <c r="CM63" s="11">
        <f>IF(BQ63, IFERROR(Raw!BA63/SUM(Raw!AZ63:BC63), 0), "Not Included")</f>
        <v>0.72727272727272729</v>
      </c>
      <c r="CN63" s="11">
        <f>IF(BQ63, IFERROR(Raw!BF63/SUM(Raw!BD63:BG63), 0), "Not Included")</f>
        <v>0</v>
      </c>
      <c r="CO63" s="11">
        <f>IF(BQ63, IFERROR(Raw!BK63/SUM(Raw!BH63:BK63), 0), "Not Included")</f>
        <v>0.31578947368421051</v>
      </c>
      <c r="CP63" s="11">
        <f>IF(BQ63, IFERROR(SUM(Raw!AV63,Raw!AX63,Raw!AY63,Raw!BD63,Raw!BF63,Raw!BG63,Raw!BH63,Raw!BJ63,Raw!BK63)/SUM(Raw!AV63,Raw!AW63,Raw!AX63,Raw!AY63,Raw!BD63,Raw!BE63,Raw!BF63,Raw!BG63,Raw!BH63,Raw!BI63,Raw!BJ63,Raw!BK63), 0), "Not Included")</f>
        <v>0.5</v>
      </c>
      <c r="CQ63" s="11">
        <f>IF(BQ63, IFERROR(SUM(Raw!AV63:AX63,Raw!AZ63:BB63,Raw!BD63:BF63)/SUM(Raw!AV63:BF63), 0), "Not Included")</f>
        <v>0.91666666666666663</v>
      </c>
      <c r="CR63" s="11">
        <f>IF(BQ63, IFERROR(SUM(Raw!AV63:AY63), 0), "Not Included")</f>
        <v>1</v>
      </c>
      <c r="CS63" s="11">
        <f>IF(BQ63, IFERROR(SUM(Raw!AZ63:BC63), 0), "Not Included")</f>
        <v>11</v>
      </c>
      <c r="CT63" s="11">
        <f>IF(BQ63, IFERROR(SUM(Raw!BD63:BG63), 0), "Not Included")</f>
        <v>0</v>
      </c>
      <c r="CU63" s="11">
        <f>IF(BQ63, IFERROR(SUM(Raw!BH63:BK63), 0), "Not Included")</f>
        <v>19</v>
      </c>
      <c r="CV63" s="11">
        <f>IF(BQ63, IFERROR(SUM(Raw!AV63,Raw!AW63,Raw!AX63,Raw!AY63,Raw!BD63,Raw!BE63,Raw!BF63,Raw!BG63,Raw!BH63,Raw!BI63,Raw!BJ63,Raw!BK63), 0), "Not Included")</f>
        <v>20</v>
      </c>
      <c r="CW63" s="11">
        <f>IF(BQ63, IFERROR(SUM(Raw!AV63:BF63), 0), "Not Included")</f>
        <v>12</v>
      </c>
      <c r="CX63" s="11">
        <f>IF(BQ63, IFERROR((CR63*SUM(Raw!AV63,Raw!AZ63,Raw!BD63,Raw!BH63))/BS63/CR63, 0), "Not Included")</f>
        <v>9.6774193548387094E-2</v>
      </c>
      <c r="CY63" s="11">
        <f>IF(BX63, IFERROR((CS63*SUM(Raw!BA63,Raw!AW63,Raw!BE63,Raw!BI63))/CG63/CS63, 0), "Not Included")</f>
        <v>0.58064516129032251</v>
      </c>
      <c r="CZ63" s="11">
        <f>IF(BX63, IFERROR((CT63*SUM(Raw!BF63,Raw!AX63,Raw!BB63,Raw!BJ63))/BZ63/CT63, 0), "Not Included")</f>
        <v>0</v>
      </c>
      <c r="DA63" s="11">
        <f>IF(AY63, IFERROR((CU63*SUM(Raw!AY63,Raw!BC63,Raw!BG63,Raw!BK63))/AT63/CU63, 0), "Not Included")</f>
        <v>0.22580645161290322</v>
      </c>
      <c r="DB63" s="11">
        <f>IF(BX63, IFERROR((CV63*SUM(Raw!AV63,Raw!AX63,Raw!AY63,Raw!AZ63,Raw!BB63,Raw!BC63,Raw!BD63,Raw!BF63,Raw!BG63,Raw!BH63,Raw!BJ63,Raw!BK63))/CG63/CV63,0), "Not Included")</f>
        <v>0.41935483870967738</v>
      </c>
      <c r="DC63" s="11">
        <f>IF(AY63, IFERROR((CW63*SUM(Raw!AV63,Raw!AW63,Raw!AX63,Raw!AZ63,Raw!BA63,Raw!BB63,Raw!BD63,Raw!BE63,Raw!BF63,Raw!BH63,Raw!BI63,Raw!BJ63))/AT63/CW63,0), "Not Included")</f>
        <v>0.77419354838709686</v>
      </c>
    </row>
    <row r="64" spans="1:107" ht="12.75" customHeight="1">
      <c r="A64" s="11">
        <f>Raw!D64</f>
        <v>45</v>
      </c>
      <c r="B64" s="11" t="str">
        <f>Raw!A64</f>
        <v>Nakano (1984)</v>
      </c>
      <c r="C64" s="11">
        <f>Raw!G64</f>
        <v>1</v>
      </c>
      <c r="D64" s="11" t="str">
        <f>Raw!E64</f>
        <v>Female children only</v>
      </c>
      <c r="E64" s="11" t="str">
        <f>CONCATENATE(IF(Raw!I64&lt;='Interval Definitions'!$B$2, 'Interval Definitions'!$A$2, IF(Raw!I64&lt;='Interval Definitions'!$B$3, 'Interval Definitions'!$A$3, IF(Raw!I64&lt;='Interval Definitions'!$B$4, 'Interval Definitions'!$A$4, IF(Raw!I64&lt;='Interval Definitions'!$B$5, 'Interval Definitions'!$A$5, "None")))), " - ", IF(Raw!J64&lt;='Interval Definitions'!$B$2, 'Interval Definitions'!$A$2, IF(Raw!J64&lt;='Interval Definitions'!$B$3, 'Interval Definitions'!$A$3, IF(Raw!J64&lt;='Interval Definitions'!$B$4, 'Interval Definitions'!$A$4, IF(Raw!J64&lt;='Interval Definitions'!$B$5, 'Interval Definitions'!$A$5, "None")))))</f>
        <v>Infancy - Toddlerhood</v>
      </c>
      <c r="F64" s="11" t="b">
        <f>OR(NOT(ISBLANK(Raw!AF64)),NOT(ISBLANK(Raw!AG64)),NOT(ISBLANK(Raw!AH64)),NOT(ISBLANK(Raw!AI64)),COUNTIF(Raw!AA64:AD64, "&gt;=0") = 4)</f>
        <v>0</v>
      </c>
      <c r="G64" s="11" t="str">
        <f>IF(F64, IF(COUNTIF(Raw!AA64:AD64,"&gt;=0") = 4, "Contingency", IF(NOT(ISBLANK(Raw!AF64)), "Paper r", IF(NOT(ISBLANK(Raw!AG64)), "Pinquart", IF(NOT(ISBLANK(Raw!AH64)), "Fraley", "Paper chiSq")))), "Not Included")</f>
        <v>Not Included</v>
      </c>
      <c r="H64" s="15" t="str">
        <f>IF(F64,Raw!AE64,"Not Included")</f>
        <v>Not Included</v>
      </c>
      <c r="I64" s="15" t="str">
        <f>IF(COUNTIF(Raw!AA64:AD64,"&gt;=0") = 4, SUM(Raw!AA64:AD64), "No Contingency Table")</f>
        <v>No Contingency Table</v>
      </c>
      <c r="J64" s="15" t="str">
        <f t="shared" si="0"/>
        <v>Not Included</v>
      </c>
      <c r="K64" s="38" t="str">
        <f>IF(F64, IF(COUNTIF(Raw!AA64:AD64,"&gt;=0") = 4, IFERROR((I64*Raw!AA64 - SUM(Raw!AA64,Raw!AB64)*SUM(Raw!AA64,Raw!AD64)) / SQRT((I64*SUM(Raw!AA64,Raw!AB64) - SUM(Raw!AA64,Raw!AB64)^2) * (I64*SUM(Raw!AA64,Raw!AD64) - SUM(Raw!AA64,Raw!AD64)^2)), 0), "No Contingency Table"), "Not Included")</f>
        <v>Not Included</v>
      </c>
      <c r="L64" s="41" t="str">
        <f>IF(F64,IF(NOT(ISBLANK(Raw!AF64)), Raw!AF64, IF(NOT(ISBLANK(Raw!AG64)), Raw!AG64, IF(NOT(ISBLANK(Raw!AH64)), Raw!AH64, IF(NOT(ISBLANK(Raw!AI64)), SQRT(Raw!AI64/H64)*Raw!AJ64, "Not Reported")))),"Not Included")</f>
        <v>Not Included</v>
      </c>
      <c r="M64" s="43" t="str">
        <f t="shared" si="1"/>
        <v>Not Included</v>
      </c>
      <c r="N64" s="11" t="str">
        <f t="shared" si="2"/>
        <v>NA</v>
      </c>
      <c r="O64" s="48" t="b">
        <f>OR(NOT(ISBLANK(Raw!AK64)), COUNTIF(Raw!AA64:AD64, "&gt;=0") = 4)</f>
        <v>0</v>
      </c>
      <c r="P64" s="24" t="str">
        <f>IF(O64,IF(COUNTIF(Raw!AA64:AD64,"&gt;=0") = 4,"Contingency", "Paper k"), "Not Included")</f>
        <v>Not Included</v>
      </c>
      <c r="Q64" s="48" t="str">
        <f>IF(O64, IF(COUNTIF(Raw!AA64:AD64,"&gt;=0") = 4,SUM(Raw!AA64,Raw!AC64)/H64,"No Contingency Table"), "Not Included")</f>
        <v>Not Included</v>
      </c>
      <c r="R64" s="38" t="str">
        <f>IF(O64, IF(COUNTIF(Raw!AA64:AD64, "&gt;=0") = 4,SUM(SUM(Raw!AA64,Raw!AB64)*SUM(Raw!AA64,Raw!AD64),SUM(Raw!AC64,Raw!AD64)*SUM(Raw!AC64,Raw!AB64))/H64^2,"No Contingency Table"), "Not Included")</f>
        <v>Not Included</v>
      </c>
      <c r="S64" s="38" t="str">
        <f>IF(O64, IF(COUNTIF(Raw!AA64:AD64,"&gt;=0") = 4, IFERROR((Q64 - R64) / (1 - R64), "Could not calculate"), "No Contingency Table"), "Not Included")</f>
        <v>Not Included</v>
      </c>
      <c r="T64" s="52" t="str">
        <f>IF(O64,IF(NOT(ISBLANK(Raw!AK64)), Raw!AK64, "Not Reported"), "Not Included")</f>
        <v>Not Included</v>
      </c>
      <c r="U64" s="11" t="str">
        <f t="shared" si="3"/>
        <v>Not Included</v>
      </c>
      <c r="V64" s="11" t="str">
        <f t="shared" si="4"/>
        <v>Not Included</v>
      </c>
      <c r="W64" s="11" t="b">
        <f>OR(NOT(ISBLANK(Raw!AU64)),COUNTIF(Raw!AL64:AT64,"&gt;=0") = 9)</f>
        <v>1</v>
      </c>
      <c r="X64" s="11" t="str">
        <f>IF(W64, IF(COUNTIF(Raw!AL64:AT64,"&gt;=0") = 9, "Contingency", "Paper k"), "Not Included")</f>
        <v>Contingency</v>
      </c>
      <c r="Y64" s="15">
        <f>IF(W64,IF(COUNTIF(Raw!AL64:AT64,"&gt;=0") = 9,SUM(Raw!AL64:AT64),"No Contingency Table"),"Not Included")</f>
        <v>7</v>
      </c>
      <c r="Z64" s="15">
        <f t="shared" si="5"/>
        <v>7</v>
      </c>
      <c r="AA64" s="11">
        <f>IF(W64,IF(COUNTIF(Raw!AL64:AT64,"&gt;=0") = 9,SUM(Raw!AL64,Raw!AP64,Raw!AT64)/Y64,"No Contingency Table"), "Not Included")</f>
        <v>0.5714285714285714</v>
      </c>
      <c r="AB64" s="11">
        <f>IF(W64,IF(COUNTIF(Raw!AL64:AT64,"&gt;=0") = 9,SUM(SUM(Raw!AL64,Raw!AM64,Raw!AN64)*SUM(Raw!AL64,Raw!AO64,Raw!AR64),SUM(Raw!AO64,Raw!AP64,Raw!AQ64)*SUM(Raw!AM64,Raw!AP64,Raw!AS64),SUM(Raw!AR64,Raw!AS64,Raw!AT64)*SUM(Raw!AN64,Raw!AQ64,Raw!AT64))/Y64^2,"No Contingency Table"), "Not Included")</f>
        <v>0.48979591836734693</v>
      </c>
      <c r="AC64" s="11">
        <f>IF(W64,IF(COUNTIF(Raw!AL64:AT64,"&gt;=0") = 9,(AA64 - AB64) / (1 - AB64),"No Contingency Table"), "Not Included")</f>
        <v>0.15999999999999995</v>
      </c>
      <c r="AD64" s="11" t="str">
        <f>IF(W64, IF(NOT(ISBLANK(Raw!AU64)),Raw!AU64,"Not Reported"), "Not Included")</f>
        <v>Not Reported</v>
      </c>
      <c r="AE64" s="11">
        <f t="shared" si="6"/>
        <v>0.15999999999999995</v>
      </c>
      <c r="AF64" s="11" t="str">
        <f t="shared" si="7"/>
        <v>NA</v>
      </c>
      <c r="AG64" s="11" t="b">
        <f>COUNTIF(Raw!AV64:BK64, "&gt;=0") = 16</f>
        <v>0</v>
      </c>
      <c r="AH64" s="11" t="str">
        <f>IF(AG64, IF(COUNTIF(Raw!AV64:BK64,"&gt;=0") = 16, "Contingency", "Paper k"), "Not Included")</f>
        <v>Not Included</v>
      </c>
      <c r="AI64" s="11" t="str">
        <f>IF(AG64,IF(COUNTIF(Raw!AV64:BK64,"&gt;=0") = 16,SUM(Raw!AV64:BK64),"No Contingency Table"),"Not Included")</f>
        <v>Not Included</v>
      </c>
      <c r="AJ64" s="15" t="str">
        <f t="shared" si="8"/>
        <v>Not Included</v>
      </c>
      <c r="AK64" s="11" t="str">
        <f>IF(AG64,IF(COUNTIF(Raw!AV64:BK64,"&gt;=0") = 16,SUM(Raw!AV64,Raw!BA64,Raw!BF64,Raw!BK64)/AI64,"No Contingency Table"), "Not Included")</f>
        <v>Not Included</v>
      </c>
      <c r="AL64" s="11" t="str">
        <f>IF(AG64,IF(COUNTIF(Raw!AV64:BK64,"&gt;=0") = 16,SUM(SUM(Raw!AV64,Raw!AW64,Raw!AX64,Raw!AY64)*SUM(Raw!AV64,Raw!AZ64,Raw!BD64,Raw!BH64),SUM(Raw!AZ64,Raw!BA64,Raw!BB64,Raw!BC64)*SUM(Raw!AW64,Raw!BA64,Raw!BE64,Raw!BI64),SUM(Raw!BD64,Raw!BE64,Raw!BF64,Raw!BG64)*SUM(Raw!AX64,Raw!BB64,Raw!BF64,Raw!BJ64),SUM(Raw!BH64,Raw!BI64,Raw!BJ64,Raw!BK64)*SUM(Raw!AY64,Raw!BC64,Raw!BG64,Raw!BK64))/AI64^2,"No Contingency Table"), "Not Included")</f>
        <v>Not Included</v>
      </c>
      <c r="AM64" s="11" t="str">
        <f>IF(AG64,IF(COUNTIF(Raw!AV64:BK64,"&gt;=0") = 16,(AK64 - AL64) / (1 - AL64),"No Contingency Table"), "Not Included")</f>
        <v>Not Included</v>
      </c>
      <c r="AN64" s="11" t="str">
        <f>IF(NOT(ISBLANK(Raw!BL64)),Raw!BL64,"Not Reported")</f>
        <v>Not Reported</v>
      </c>
      <c r="AO64" s="11" t="str">
        <f t="shared" si="9"/>
        <v>Not Reported</v>
      </c>
      <c r="AP64" s="11" t="str">
        <f t="shared" si="10"/>
        <v>Not Included</v>
      </c>
      <c r="AQ64" s="11" t="b">
        <f t="shared" ref="AQ64:AR64" si="267">BQ64</f>
        <v>0</v>
      </c>
      <c r="AR64" s="11" t="str">
        <f t="shared" si="267"/>
        <v>Not Included</v>
      </c>
      <c r="AS64" s="11" t="str">
        <f t="shared" si="12"/>
        <v>Not Included</v>
      </c>
      <c r="AT64" s="11" t="str">
        <f t="shared" si="13"/>
        <v>Not Included</v>
      </c>
      <c r="AU64" s="11" t="str">
        <f>IF(AQ64, IF(COUNTIF(Raw!AV64:BK64, "&gt;=0") = 16, IFERROR((AT64*Raw!BK64 - SUM(Raw!BH64, Raw!BI64, Raw!BJ64, Raw!BK64)*SUM(Raw!AY64, Raw!BC64, Raw!BG64, Raw!BK64)) / SQRT((AT64*SUM(Raw!BH64, Raw!BI64, Raw!BJ64, Raw!BK64) - SUM(Raw!BH64, Raw!BI64, Raw!BJ64, Raw!BK64)^2) * (AT64*SUM(Raw!AY64, Raw!BC64, Raw!BG64, Raw!BK64) - SUM(Raw!AY64, Raw!BC64, Raw!BG64, Raw!BK64)^2)), 0), "No Contingency Table"), "Not Included")</f>
        <v>Not Included</v>
      </c>
      <c r="AV64" s="11" t="str">
        <f>IF(AQ64,IF(NOT(ISBLANK(Raw!BQ64)), Raw!BQ64, IF(NOT(ISBLANK(Raw!BR64)), Raw!BR64, "Not Reported")), "Not Included")</f>
        <v>Not Included</v>
      </c>
      <c r="AW64" s="57" t="str">
        <f t="shared" si="14"/>
        <v>Not Included</v>
      </c>
      <c r="AX64" s="11" t="str">
        <f t="shared" si="15"/>
        <v>Not Included</v>
      </c>
      <c r="AY64" s="11" t="b">
        <f t="shared" ref="AY64:AZ64" si="268">AQ64</f>
        <v>0</v>
      </c>
      <c r="AZ64" s="11" t="str">
        <f t="shared" si="268"/>
        <v>Not Included</v>
      </c>
      <c r="BA64" s="11" t="str">
        <f>IF(AY64, IF(COUNTIF(Raw!AV64:BK64, "&gt;=0") = 16, SUM(Raw!AV64,Raw!AW64,Raw!AX64,Raw!AZ64,Raw!BA64,Raw!BB64,Raw!BD64,Raw!BE64,Raw!BF64,Raw!BK64)/SUM(Raw!AV64:BK64), "No Contingency Table"), "Not Included")</f>
        <v>Not Included</v>
      </c>
      <c r="BB64" s="11" t="str">
        <f>IF(AY64, IF(COUNTIF(Raw!AV64:BK64, "&gt;=0") = 16,SUM(SUM(Raw!BH64,Raw!BI64,Raw!BJ64,Raw!BK64)*SUM(Raw!AY64,Raw!BC64,Raw!BG64,Raw!BK64),SUM(Raw!AV64:BG64)*SUM(Raw!AV64,Raw!AW64,Raw!AX64,Raw!AZ64,Raw!BA64,Raw!BB64,Raw!BD64,Raw!BE64,Raw!BF64,Raw!BH64,Raw!BI64,Raw!BJ64))/AT64^2,"No Contingency Table"), "Not Included")</f>
        <v>Not Included</v>
      </c>
      <c r="BC64" s="11" t="str">
        <f>IF(AY64, IF(COUNTIF(Raw!AV64:BK64, "&gt;=0") = 16,(BA64-BB64) / (1 - BB64),"No Contingency Table"), "Not Included")</f>
        <v>Not Included</v>
      </c>
      <c r="BD64" s="11" t="str">
        <f>IF(AY64,IF(NOT(ISBLANK(Raw!BT85)),Raw!BT85,"Not Reported"),"Not Included")</f>
        <v>Not Included</v>
      </c>
      <c r="BE64" s="11" t="str">
        <f t="shared" si="17"/>
        <v>Not Included</v>
      </c>
      <c r="BF64" s="11" t="str">
        <f t="shared" si="18"/>
        <v>Not Included</v>
      </c>
      <c r="BG64" s="11">
        <f>Raw!K64</f>
        <v>1984</v>
      </c>
      <c r="BH64" s="11" t="str">
        <f>IF(Raw!L64 = "USA","USA","Non-USA")</f>
        <v>Non-USA</v>
      </c>
      <c r="BI64" s="11" t="str">
        <f>Raw!M64</f>
        <v>Ainsworth/Ainsworth</v>
      </c>
      <c r="BJ64" s="11">
        <f>Raw!N64</f>
        <v>0</v>
      </c>
      <c r="BK64" s="11">
        <f>Raw!P64</f>
        <v>0</v>
      </c>
      <c r="BL64" s="11">
        <f>Raw!Q64</f>
        <v>0</v>
      </c>
      <c r="BM64" s="11">
        <f>Raw!T64</f>
        <v>0</v>
      </c>
      <c r="BN64" s="11" t="str">
        <f>IFERROR(IF(AND(ISBLANK(Raw!U64), ISBLANK(Raw!V64), ISBLANK(Raw!W64), ISBLANK(Raw!X64)), "NA", IF(OR(NOT(ISBLANK(Raw!U64)), NOT(ISBLANK(Raw!W64))), AVERAGE(Raw!U64,Raw!W64), AVERAGE(Raw!V64,Raw!X64) + IF(Raw!Y64 = "2-way", R64, IF(Raw!Y64 = "3-way", AB64, IF(Raw!Y64 = "4-way", AL64, "NA")))*(1 - AVERAGE(Raw!V64,Raw!X64)))), "NA")</f>
        <v>NA</v>
      </c>
      <c r="BO64" s="11">
        <f>Raw!O64</f>
        <v>0</v>
      </c>
      <c r="BP64" s="11" t="str">
        <f>Raw!F64</f>
        <v>Female</v>
      </c>
      <c r="BQ64" s="11" t="b">
        <f>COUNTIF(Raw!AV64:BK64, "&gt;=0") = 16</f>
        <v>0</v>
      </c>
      <c r="BR64" s="11" t="str">
        <f t="shared" si="19"/>
        <v>Not Included</v>
      </c>
      <c r="BS64" s="11" t="str">
        <f t="shared" si="20"/>
        <v>Not Included</v>
      </c>
      <c r="BT64" s="11" t="str">
        <f>IF(BQ64, IF(COUNTIF(Raw!AV64:BK64, "&gt;=0") = 16, IFERROR((BS64*Raw!AV64 - SUM(Raw!AV64, Raw!AW64, Raw!AX64, Raw!AY64)*SUM(Raw!AV64, Raw!AZ64, Raw!BD64, Raw!BH64)) / SQRT((BS64*SUM(Raw!AV64, Raw!AW64, Raw!AX64, Raw!AY64) - SUM(Raw!AV64, Raw!AW64, Raw!AX64, Raw!AY64)^2) * (BS64*SUM(Raw!AV64, Raw!AZ64, Raw!BD64, Raw!BH64) - SUM(Raw!AV64, Raw!AZ64, Raw!BD64, Raw!BH64)^2)), 0), "No Contingency Table"), "Not Included")</f>
        <v>Not Included</v>
      </c>
      <c r="BU64" s="11" t="str">
        <f>IF(BQ64, IF(COUNTIF(Raw!AV64:BK64, "&gt;=0") = 16, SUM(Raw!BK64,Raw!BJ64,Raw!BI64,Raw!BG64,Raw!BF64,Raw!BE64,Raw!BC64,Raw!BB64,Raw!BA64,Raw!AV64)/SUM(Raw!AV64:BK64), "No Contingency Table"), "Not Included")</f>
        <v>Not Included</v>
      </c>
      <c r="BV64" s="11" t="str">
        <f>IF(BQ64, IF(COUNTIF(Raw!AV64:BK64, "&gt;=0") = 16,SUM(SUM(Raw!AV64,Raw!AW64,Raw!AX64,Raw!AY64)*SUM(Raw!AV64,Raw!AZ64,Raw!BD64,Raw!BH64),SUM(Raw!AZ64:BK64)*SUM(Raw!AW64,Raw!AX64,Raw!AY64,Raw!BA64,Raw!BB64,Raw!BC64,Raw!BE64,Raw!BF64,Raw!BG64,Raw!BI64,Raw!BJ64,Raw!BK64))/BS64^2,"No Contingency Table"), "Not Included")</f>
        <v>Not Included</v>
      </c>
      <c r="BW64" s="11" t="str">
        <f>IF(BQ64, IF(COUNTIF(Raw!AV64:BK64, "&gt;=0") = 16,(BU64-BV64) / (1 - BV64),"No Contingency Table"), "Not Included")</f>
        <v>Not Included</v>
      </c>
      <c r="BX64" s="11" t="b">
        <f t="shared" ref="BX64:BZ64" si="269">BQ64</f>
        <v>0</v>
      </c>
      <c r="BY64" s="11" t="str">
        <f t="shared" si="269"/>
        <v>Not Included</v>
      </c>
      <c r="BZ64" s="11" t="str">
        <f t="shared" si="269"/>
        <v>Not Included</v>
      </c>
      <c r="CA64" s="11" t="str">
        <f>IF(BX64, IF(COUNTIF(Raw!AV64:BK64, "&gt;=0") = 16, IFERROR((BZ64*Raw!BF64 - SUM(Raw!BD64, Raw!BE64, Raw!BF64, Raw!BG64)*SUM(Raw!BF64, Raw!AX64, Raw!BB64, Raw!BJ64)) / SQRT((BZ64*SUM(Raw!BD64, Raw!BE64, Raw!BF64, Raw!BG64) - SUM(Raw!BD64, Raw!BE64, Raw!BF64, Raw!BG64)^2) * (BZ64*SUM(Raw!BF64, Raw!AX64, Raw!BB64, Raw!BJ64) - SUM(Raw!BF64, Raw!AX64, Raw!BB64, Raw!BJ64)^2)), 0), "No Contingency Table"), "Not Included")</f>
        <v>Not Included</v>
      </c>
      <c r="CB64" s="11" t="str">
        <f>IF(BX64, IF(COUNTIF(Raw!AV64:BK64, "&gt;=0") = 16, SUM(Raw!AV64,Raw!AW64,Raw!AY64,Raw!AZ64,Raw!BA64,Raw!BC64,Raw!BF64,Raw!BH64,Raw!BI64,Raw!BK64) / SUM(Raw!AV64:BK64), "No Contingency Table"), "Not Included")</f>
        <v>Not Included</v>
      </c>
      <c r="CC64" s="11" t="str">
        <f>IF(BX64, IF(COUNTIF(Raw!AV64:BK64, "&gt;=0") = 16,SUM(SUM(Raw!BD64,Raw!BE64,Raw!BF64,Raw!BG64)*SUM(Raw!BF64,Raw!AX64,Raw!BB64,Raw!BJ64),SUM(Raw!AV64:BC64,Raw!BH64:BK64)*SUM(Raw!AV64,Raw!AW64,Raw!AY64,Raw!AZ64,Raw!BA64,Raw!BC64,Raw!BD64,Raw!BE64,Raw!BG64,Raw!BH64,Raw!BI64,Raw!BK64))/BZ64^2,"No Contingency Table"), "Not Included")</f>
        <v>Not Included</v>
      </c>
      <c r="CD64" s="11" t="str">
        <f>IF(BX64, IF(COUNTIF(Raw!AV64:BK64, "&gt;=0") = 16,(CB64 - CC64) / (1 - CC64+0.000001),"No Contingency Table"), "Not Included")</f>
        <v>Not Included</v>
      </c>
      <c r="CE64" s="11" t="b">
        <f t="shared" ref="CE64:CG64" si="270">BQ64</f>
        <v>0</v>
      </c>
      <c r="CF64" s="11" t="str">
        <f t="shared" si="270"/>
        <v>Not Included</v>
      </c>
      <c r="CG64" s="11" t="str">
        <f t="shared" si="270"/>
        <v>Not Included</v>
      </c>
      <c r="CH64" s="11" t="str">
        <f>IF(CE64, IF(COUNTIF(Raw!AV64:BK64, "&gt;=0") = 16, IFERROR((CG64*Raw!BA64 - SUM(Raw!BA64, Raw!AZ64, Raw!BB64, Raw!BC64)*SUM(Raw!BA64, Raw!AW64, Raw!BE64, Raw!BI64)) / SQRT((CG64*SUM(Raw!BA64, Raw!AZ64, Raw!BB64, Raw!BC64) - SUM(Raw!BA64, Raw!AZ64, Raw!BB64, Raw!BC64)^2) * (CG64*SUM(Raw!BA64, Raw!AW64, Raw!BE64, Raw!BI64) - SUM(Raw!BA64, Raw!AW64, Raw!BE64, Raw!BI64)^2)), 0), "No Contingency Table"), "Not Included")</f>
        <v>Not Included</v>
      </c>
      <c r="CI64" s="11" t="str">
        <f>IF(CE64, IF(COUNTIF(Raw!AV64:BK64, "&gt;=0") = 16, SUM(Raw!AV64,Raw!AX64,Raw!AY64,Raw!BA64,Raw!BD64,Raw!BF64,Raw!BG64,Raw!BH64,Raw!BJ64,Raw!BK64) / SUM(Raw!AV64:BK64), "No Contingency Table"), "Not Included")</f>
        <v>Not Included</v>
      </c>
      <c r="CJ64" s="61" t="str">
        <f>IF(BX64, IF(COUNTIF(Raw!AV64:BK64, "&gt;=0") = 16,SUM(SUM(Raw!AZ64,Raw!BA64,Raw!BB64,Raw!BC64)*SUM(Raw!BA64,Raw!AW64,Raw!BE64,Raw!BI64),SUM(Raw!AV64:AY64,Raw!BD64:BK64)*SUM(Raw!AV64,Raw!AX64,Raw!AY64,Raw!AZ64,Raw!BB64,Raw!BC64,Raw!BD64,Raw!BF64,Raw!BG64,Raw!BH64,Raw!BJ64,Raw!BK64))/CG64^2,"No Contingency Table"), "Not Included")</f>
        <v>Not Included</v>
      </c>
      <c r="CK64" s="11" t="str">
        <f>IF(BX64, IF(COUNTIF(Raw!AV64:BK64, "&gt;=0") = 16,(CI64 - CJ64) / (1 - CJ64),"No Contingency Table"), "Not Included")</f>
        <v>Not Included</v>
      </c>
      <c r="CL64" s="11" t="str">
        <f>IF(BQ64, IFERROR(Raw!AV64/SUM(Raw!AV64:AY64), 0), "Not Included")</f>
        <v>Not Included</v>
      </c>
      <c r="CM64" s="11" t="str">
        <f>IF(BQ64, IFERROR(Raw!BA64/SUM(Raw!AZ64:BC64), 0), "Not Included")</f>
        <v>Not Included</v>
      </c>
      <c r="CN64" s="11" t="str">
        <f>IF(BQ64, IFERROR(Raw!BF64/SUM(Raw!BD64:BG64), 0), "Not Included")</f>
        <v>Not Included</v>
      </c>
      <c r="CO64" s="11" t="str">
        <f>IF(BQ64, IFERROR(Raw!BK64/SUM(Raw!BH64:BK64), 0), "Not Included")</f>
        <v>Not Included</v>
      </c>
      <c r="CP64" s="11" t="str">
        <f>IF(BQ64, IFERROR(SUM(Raw!AV64,Raw!AX64,Raw!AY64,Raw!BD64,Raw!BF64,Raw!BG64,Raw!BH64,Raw!BJ64,Raw!BK64)/SUM(Raw!AV64,Raw!AW64,Raw!AX64,Raw!AY64,Raw!BD64,Raw!BE64,Raw!BF64,Raw!BG64,Raw!BH64,Raw!BI64,Raw!BJ64,Raw!BK64), 0), "Not Included")</f>
        <v>Not Included</v>
      </c>
      <c r="CQ64" s="11" t="str">
        <f>IF(BQ64, IFERROR(SUM(Raw!AV64:AX64,Raw!AZ64:BB64,Raw!BD64:BF64)/SUM(Raw!AV64:BF64), 0), "Not Included")</f>
        <v>Not Included</v>
      </c>
      <c r="CR64" s="11" t="str">
        <f>IF(BQ64, IFERROR(SUM(Raw!AV64:AY64), 0), "Not Included")</f>
        <v>Not Included</v>
      </c>
      <c r="CS64" s="11" t="str">
        <f>IF(BQ64, IFERROR(SUM(Raw!AZ64:BC64), 0), "Not Included")</f>
        <v>Not Included</v>
      </c>
      <c r="CT64" s="11" t="str">
        <f>IF(BQ64, IFERROR(SUM(Raw!BD64:BG64), 0), "Not Included")</f>
        <v>Not Included</v>
      </c>
      <c r="CU64" s="11" t="str">
        <f>IF(BQ64, IFERROR(SUM(Raw!BH64:BK64), 0), "Not Included")</f>
        <v>Not Included</v>
      </c>
      <c r="CV64" s="11" t="str">
        <f>IF(BQ64, IFERROR(SUM(Raw!AV64,Raw!AW64,Raw!AX64,Raw!AY64,Raw!BD64,Raw!BE64,Raw!BF64,Raw!BG64,Raw!BH64,Raw!BI64,Raw!BJ64,Raw!BK64), 0), "Not Included")</f>
        <v>Not Included</v>
      </c>
      <c r="CW64" s="11" t="str">
        <f>IF(BQ64, IFERROR(SUM(Raw!AV64:BF64), 0), "Not Included")</f>
        <v>Not Included</v>
      </c>
      <c r="CX64" s="11" t="str">
        <f>IF(BQ64, IFERROR((CR64*SUM(Raw!AV64,Raw!AZ64,Raw!BD64,Raw!BH64))/BS64/CR64, 0), "Not Included")</f>
        <v>Not Included</v>
      </c>
      <c r="CY64" s="11" t="str">
        <f>IF(BX64, IFERROR((CS64*SUM(Raw!BA64,Raw!AW64,Raw!BE64,Raw!BI64))/CG64/CS64, 0), "Not Included")</f>
        <v>Not Included</v>
      </c>
      <c r="CZ64" s="11" t="str">
        <f>IF(BX64, IFERROR((CT64*SUM(Raw!BF64,Raw!AX64,Raw!BB64,Raw!BJ64))/BZ64/CT64, 0), "Not Included")</f>
        <v>Not Included</v>
      </c>
      <c r="DA64" s="11" t="str">
        <f>IF(AY64, IFERROR((CU64*SUM(Raw!AY64,Raw!BC64,Raw!BG64,Raw!BK64))/AT64/CU64, 0), "Not Included")</f>
        <v>Not Included</v>
      </c>
      <c r="DB64" s="11" t="str">
        <f>IF(BX64, IFERROR((CV64*SUM(Raw!AV64,Raw!AX64,Raw!AY64,Raw!AZ64,Raw!BB64,Raw!BC64,Raw!BD64,Raw!BF64,Raw!BG64,Raw!BH64,Raw!BJ64,Raw!BK64))/CG64/CV64,0), "Not Included")</f>
        <v>Not Included</v>
      </c>
      <c r="DC64" s="11" t="str">
        <f>IF(AY64, IFERROR((CW64*SUM(Raw!AV64,Raw!AW64,Raw!AX64,Raw!AZ64,Raw!BA64,Raw!BB64,Raw!BD64,Raw!BE64,Raw!BF64,Raw!BH64,Raw!BI64,Raw!BJ64))/AT64/CW64,0), "Not Included")</f>
        <v>Not Included</v>
      </c>
    </row>
    <row r="65" spans="1:107" ht="12.75" customHeight="1">
      <c r="A65" s="11">
        <f>Raw!D65</f>
        <v>46</v>
      </c>
      <c r="B65" s="11" t="str">
        <f>Raw!A65</f>
        <v>Frodi, Grolnick &amp; Bridges (1985)</v>
      </c>
      <c r="C65" s="11">
        <f>Raw!G65</f>
        <v>1</v>
      </c>
      <c r="D65" s="11" t="str">
        <f>Raw!E65</f>
        <v>Single sample</v>
      </c>
      <c r="E65" s="11" t="str">
        <f>CONCATENATE(IF(Raw!I65&lt;='Interval Definitions'!$B$2, 'Interval Definitions'!$A$2, IF(Raw!I65&lt;='Interval Definitions'!$B$3, 'Interval Definitions'!$A$3, IF(Raw!I65&lt;='Interval Definitions'!$B$4, 'Interval Definitions'!$A$4, IF(Raw!I65&lt;='Interval Definitions'!$B$5, 'Interval Definitions'!$A$5, "None")))), " - ", IF(Raw!J65&lt;='Interval Definitions'!$B$2, 'Interval Definitions'!$A$2, IF(Raw!J65&lt;='Interval Definitions'!$B$3, 'Interval Definitions'!$A$3, IF(Raw!J65&lt;='Interval Definitions'!$B$4, 'Interval Definitions'!$A$4, IF(Raw!J65&lt;='Interval Definitions'!$B$5, 'Interval Definitions'!$A$5, "None")))))</f>
        <v>Infancy - Toddlerhood</v>
      </c>
      <c r="F65" s="11" t="b">
        <f>OR(NOT(ISBLANK(Raw!AF65)),NOT(ISBLANK(Raw!AG65)),NOT(ISBLANK(Raw!AH65)),NOT(ISBLANK(Raw!AI65)),COUNTIF(Raw!AA65:AD65, "&gt;=0") = 4)</f>
        <v>1</v>
      </c>
      <c r="G65" s="11" t="str">
        <f>IF(F65, IF(COUNTIF(Raw!AA65:AD65,"&gt;=0") = 4, "Contingency", IF(NOT(ISBLANK(Raw!AF65)), "Paper r", IF(NOT(ISBLANK(Raw!AG65)), "Pinquart", IF(NOT(ISBLANK(Raw!AH65)), "Fraley", "Paper chiSq")))), "Not Included")</f>
        <v>Contingency</v>
      </c>
      <c r="H65" s="15">
        <f>IF(F65,Raw!AE65,"Not Included")</f>
        <v>38</v>
      </c>
      <c r="I65" s="15">
        <f>IF(COUNTIF(Raw!AA65:AD65,"&gt;=0") = 4, SUM(Raw!AA65:AD65), "No Contingency Table")</f>
        <v>38</v>
      </c>
      <c r="J65" s="15">
        <f t="shared" si="0"/>
        <v>38</v>
      </c>
      <c r="K65" s="38">
        <f>IF(F65, IF(COUNTIF(Raw!AA65:AD65,"&gt;=0") = 4, IFERROR((I65*Raw!AA65 - SUM(Raw!AA65,Raw!AB65)*SUM(Raw!AA65,Raw!AD65)) / SQRT((I65*SUM(Raw!AA65,Raw!AB65) - SUM(Raw!AA65,Raw!AB65)^2) * (I65*SUM(Raw!AA65,Raw!AD65) - SUM(Raw!AA65,Raw!AD65)^2)), 0), "No Contingency Table"), "Not Included")</f>
        <v>0.13115784746777814</v>
      </c>
      <c r="L65" s="41">
        <f>IF(F65,IF(NOT(ISBLANK(Raw!AF65)), Raw!AF65, IF(NOT(ISBLANK(Raw!AG65)), Raw!AG65, IF(NOT(ISBLANK(Raw!AH65)), Raw!AH65, IF(NOT(ISBLANK(Raw!AI65)), SQRT(Raw!AI65/H65)*Raw!AJ65, "Not Reported")))),"Not Included")</f>
        <v>0.13</v>
      </c>
      <c r="M65" s="43">
        <f t="shared" si="1"/>
        <v>0.13115784746777814</v>
      </c>
      <c r="N65" s="11">
        <f t="shared" si="2"/>
        <v>1</v>
      </c>
      <c r="O65" s="48" t="b">
        <f>OR(NOT(ISBLANK(Raw!AK65)), COUNTIF(Raw!AA65:AD65, "&gt;=0") = 4)</f>
        <v>1</v>
      </c>
      <c r="P65" s="24" t="str">
        <f>IF(O65,IF(COUNTIF(Raw!AA65:AD65,"&gt;=0") = 4,"Contingency", "Paper k"), "Not Included")</f>
        <v>Contingency</v>
      </c>
      <c r="Q65" s="48">
        <f>IF(O65, IF(COUNTIF(Raw!AA65:AD65,"&gt;=0") = 4,SUM(Raw!AA65,Raw!AC65)/H65,"No Contingency Table"), "Not Included")</f>
        <v>0.68421052631578949</v>
      </c>
      <c r="R65" s="38">
        <f>IF(O65, IF(COUNTIF(Raw!AA65:AD65, "&gt;=0") = 4,SUM(SUM(Raw!AA65,Raw!AB65)*SUM(Raw!AA65,Raw!AD65),SUM(Raw!AC65,Raw!AD65)*SUM(Raw!AC65,Raw!AB65))/H65^2,"No Contingency Table"), "Not Included")</f>
        <v>0.63711911357340723</v>
      </c>
      <c r="S65" s="38">
        <f>IF(O65, IF(COUNTIF(Raw!AA65:AD65,"&gt;=0") = 4, IFERROR((Q65 - R65) / (1 - R65), "Could not calculate"), "No Contingency Table"), "Not Included")</f>
        <v>0.12977099236641221</v>
      </c>
      <c r="T65" s="52" t="str">
        <f>IF(O65,IF(NOT(ISBLANK(Raw!AK65)), Raw!AK65, "Not Reported"), "Not Included")</f>
        <v>Not Reported</v>
      </c>
      <c r="U65" s="38">
        <f t="shared" si="3"/>
        <v>0.12977099236641221</v>
      </c>
      <c r="V65" s="11" t="str">
        <f t="shared" si="4"/>
        <v>NA</v>
      </c>
      <c r="W65" s="11" t="b">
        <f>OR(NOT(ISBLANK(Raw!AU65)),COUNTIF(Raw!AL65:AT65,"&gt;=0") = 9)</f>
        <v>1</v>
      </c>
      <c r="X65" s="11" t="str">
        <f>IF(W65, IF(COUNTIF(Raw!AL65:AT65,"&gt;=0") = 9, "Contingency", "Paper k"), "Not Included")</f>
        <v>Contingency</v>
      </c>
      <c r="Y65" s="15">
        <f>IF(W65,IF(COUNTIF(Raw!AL65:AT65,"&gt;=0") = 9,SUM(Raw!AL65:AT65),"No Contingency Table"),"Not Included")</f>
        <v>38</v>
      </c>
      <c r="Z65" s="15">
        <f t="shared" si="5"/>
        <v>38</v>
      </c>
      <c r="AA65" s="11">
        <f>IF(W65,IF(COUNTIF(Raw!AL65:AT65,"&gt;=0") = 9,SUM(Raw!AL65,Raw!AP65,Raw!AT65)/Y65,"No Contingency Table"), "Not Included")</f>
        <v>0.65789473684210531</v>
      </c>
      <c r="AB65" s="11">
        <f>IF(W65,IF(COUNTIF(Raw!AL65:AT65,"&gt;=0") = 9,SUM(SUM(Raw!AL65,Raw!AM65,Raw!AN65)*SUM(Raw!AL65,Raw!AO65,Raw!AR65),SUM(Raw!AO65,Raw!AP65,Raw!AQ65)*SUM(Raw!AM65,Raw!AP65,Raw!AS65),SUM(Raw!AR65,Raw!AS65,Raw!AT65)*SUM(Raw!AN65,Raw!AQ65,Raw!AT65))/Y65^2,"No Contingency Table"), "Not Included")</f>
        <v>0.60803324099722988</v>
      </c>
      <c r="AC65" s="11">
        <f>IF(W65,IF(COUNTIF(Raw!AL65:AT65,"&gt;=0") = 9,(AA65 - AB65) / (1 - AB65),"No Contingency Table"), "Not Included")</f>
        <v>0.12720848056537121</v>
      </c>
      <c r="AD65" s="11" t="str">
        <f>IF(W65, IF(NOT(ISBLANK(Raw!AU65)),Raw!AU65,"Not Reported"), "Not Included")</f>
        <v>Not Reported</v>
      </c>
      <c r="AE65" s="11">
        <f t="shared" si="6"/>
        <v>0.12720848056537121</v>
      </c>
      <c r="AF65" s="11" t="str">
        <f t="shared" si="7"/>
        <v>NA</v>
      </c>
      <c r="AG65" s="11" t="b">
        <f>COUNTIF(Raw!AV65:BK65, "&gt;=0") = 16</f>
        <v>0</v>
      </c>
      <c r="AH65" s="11" t="str">
        <f>IF(AG65, IF(COUNTIF(Raw!AV65:BK65,"&gt;=0") = 16, "Contingency", "Paper k"), "Not Included")</f>
        <v>Not Included</v>
      </c>
      <c r="AI65" s="11" t="str">
        <f>IF(AG65,IF(COUNTIF(Raw!AV65:BK65,"&gt;=0") = 16,SUM(Raw!AV65:BK65),"No Contingency Table"),"Not Included")</f>
        <v>Not Included</v>
      </c>
      <c r="AJ65" s="15">
        <f t="shared" si="8"/>
        <v>38</v>
      </c>
      <c r="AK65" s="11" t="str">
        <f>IF(AG65,IF(COUNTIF(Raw!AV65:BK65,"&gt;=0") = 16,SUM(Raw!AV65,Raw!BA65,Raw!BF65,Raw!BK65)/AI65,"No Contingency Table"), "Not Included")</f>
        <v>Not Included</v>
      </c>
      <c r="AL65" s="11" t="str">
        <f>IF(AG65,IF(COUNTIF(Raw!AV65:BK65,"&gt;=0") = 16,SUM(SUM(Raw!AV65,Raw!AW65,Raw!AX65,Raw!AY65)*SUM(Raw!AV65,Raw!AZ65,Raw!BD65,Raw!BH65),SUM(Raw!AZ65,Raw!BA65,Raw!BB65,Raw!BC65)*SUM(Raw!AW65,Raw!BA65,Raw!BE65,Raw!BI65),SUM(Raw!BD65,Raw!BE65,Raw!BF65,Raw!BG65)*SUM(Raw!AX65,Raw!BB65,Raw!BF65,Raw!BJ65),SUM(Raw!BH65,Raw!BI65,Raw!BJ65,Raw!BK65)*SUM(Raw!AY65,Raw!BC65,Raw!BG65,Raw!BK65))/AI65^2,"No Contingency Table"), "Not Included")</f>
        <v>Not Included</v>
      </c>
      <c r="AM65" s="11" t="str">
        <f>IF(AG65,IF(COUNTIF(Raw!AV65:BK65,"&gt;=0") = 16,(AK65 - AL65) / (1 - AL65),"No Contingency Table"), "Not Included")</f>
        <v>Not Included</v>
      </c>
      <c r="AN65" s="11" t="str">
        <f>IF(NOT(ISBLANK(Raw!BL65)),Raw!BL65,"Not Reported")</f>
        <v>Not Reported</v>
      </c>
      <c r="AO65" s="11" t="str">
        <f t="shared" si="9"/>
        <v>Not Reported</v>
      </c>
      <c r="AP65" s="11" t="str">
        <f t="shared" si="10"/>
        <v>Not Included</v>
      </c>
      <c r="AQ65" s="11" t="b">
        <f t="shared" ref="AQ65:AR65" si="271">BQ65</f>
        <v>0</v>
      </c>
      <c r="AR65" s="11" t="str">
        <f t="shared" si="271"/>
        <v>Not Included</v>
      </c>
      <c r="AS65" s="11" t="str">
        <f t="shared" si="12"/>
        <v>Not Included</v>
      </c>
      <c r="AT65" s="11" t="str">
        <f t="shared" si="13"/>
        <v>Not Included</v>
      </c>
      <c r="AU65" s="11" t="str">
        <f>IF(AQ65, IF(COUNTIF(Raw!AV65:BK65, "&gt;=0") = 16, IFERROR((AT65*Raw!BK65 - SUM(Raw!BH65, Raw!BI65, Raw!BJ65, Raw!BK65)*SUM(Raw!AY65, Raw!BC65, Raw!BG65, Raw!BK65)) / SQRT((AT65*SUM(Raw!BH65, Raw!BI65, Raw!BJ65, Raw!BK65) - SUM(Raw!BH65, Raw!BI65, Raw!BJ65, Raw!BK65)^2) * (AT65*SUM(Raw!AY65, Raw!BC65, Raw!BG65, Raw!BK65) - SUM(Raw!AY65, Raw!BC65, Raw!BG65, Raw!BK65)^2)), 0), "No Contingency Table"), "Not Included")</f>
        <v>Not Included</v>
      </c>
      <c r="AV65" s="11" t="str">
        <f>IF(AQ65,IF(NOT(ISBLANK(Raw!BQ65)), Raw!BQ65, IF(NOT(ISBLANK(Raw!BR65)), Raw!BR65, "Not Reported")), "Not Included")</f>
        <v>Not Included</v>
      </c>
      <c r="AW65" s="57" t="str">
        <f t="shared" si="14"/>
        <v>Not Included</v>
      </c>
      <c r="AX65" s="11" t="str">
        <f t="shared" si="15"/>
        <v>Not Included</v>
      </c>
      <c r="AY65" s="11" t="b">
        <f t="shared" ref="AY65:AZ65" si="272">AQ65</f>
        <v>0</v>
      </c>
      <c r="AZ65" s="11" t="str">
        <f t="shared" si="272"/>
        <v>Not Included</v>
      </c>
      <c r="BA65" s="11" t="str">
        <f>IF(AY65, IF(COUNTIF(Raw!AV65:BK65, "&gt;=0") = 16, SUM(Raw!AV65,Raw!AW65,Raw!AX65,Raw!AZ65,Raw!BA65,Raw!BB65,Raw!BD65,Raw!BE65,Raw!BF65,Raw!BK65)/SUM(Raw!AV65:BK65), "No Contingency Table"), "Not Included")</f>
        <v>Not Included</v>
      </c>
      <c r="BB65" s="11" t="str">
        <f>IF(AY65, IF(COUNTIF(Raw!AV65:BK65, "&gt;=0") = 16,SUM(SUM(Raw!BH65,Raw!BI65,Raw!BJ65,Raw!BK65)*SUM(Raw!AY65,Raw!BC65,Raw!BG65,Raw!BK65),SUM(Raw!AV65:BG65)*SUM(Raw!AV65,Raw!AW65,Raw!AX65,Raw!AZ65,Raw!BA65,Raw!BB65,Raw!BD65,Raw!BE65,Raw!BF65,Raw!BH65,Raw!BI65,Raw!BJ65))/AT65^2,"No Contingency Table"), "Not Included")</f>
        <v>Not Included</v>
      </c>
      <c r="BC65" s="11" t="str">
        <f>IF(AY65, IF(COUNTIF(Raw!AV65:BK65, "&gt;=0") = 16,(BA65-BB65) / (1 - BB65),"No Contingency Table"), "Not Included")</f>
        <v>Not Included</v>
      </c>
      <c r="BD65" s="11" t="str">
        <f>IF(AY65,IF(NOT(ISBLANK(Raw!BT86)),Raw!BT86,"Not Reported"),"Not Included")</f>
        <v>Not Included</v>
      </c>
      <c r="BE65" s="11" t="str">
        <f t="shared" si="17"/>
        <v>Not Included</v>
      </c>
      <c r="BF65" s="11" t="str">
        <f t="shared" si="18"/>
        <v>Not Included</v>
      </c>
      <c r="BG65" s="11">
        <f>Raw!K65</f>
        <v>1985</v>
      </c>
      <c r="BH65" s="11" t="str">
        <f>IF(Raw!L65 = "USA","USA","Non-USA")</f>
        <v>USA</v>
      </c>
      <c r="BI65" s="11" t="str">
        <f>Raw!M65</f>
        <v>Ainsworth/Ainsworth</v>
      </c>
      <c r="BJ65" s="11">
        <f>Raw!N65</f>
        <v>1</v>
      </c>
      <c r="BK65" s="11">
        <f>Raw!P65</f>
        <v>0</v>
      </c>
      <c r="BL65" s="11">
        <f>Raw!Q65</f>
        <v>0</v>
      </c>
      <c r="BM65" s="11">
        <f>Raw!T65</f>
        <v>1</v>
      </c>
      <c r="BN65" s="11">
        <f>IFERROR(IF(AND(ISBLANK(Raw!U65), ISBLANK(Raw!V65), ISBLANK(Raw!W65), ISBLANK(Raw!X65)), "NA", IF(OR(NOT(ISBLANK(Raw!U65)), NOT(ISBLANK(Raw!W65))), AVERAGE(Raw!U65,Raw!W65), AVERAGE(Raw!V65,Raw!X65) + IF(Raw!Y65 = "2-way", R65, IF(Raw!Y65 = "3-way", AB65, IF(Raw!Y65 = "4-way", AL65, "NA")))*(1 - AVERAGE(Raw!V65,Raw!X65)))), "NA")</f>
        <v>0.79</v>
      </c>
      <c r="BO65" s="11">
        <f>Raw!O65</f>
        <v>0</v>
      </c>
      <c r="BP65" s="11" t="str">
        <f>Raw!F65</f>
        <v>Female</v>
      </c>
      <c r="BQ65" s="11" t="b">
        <f>COUNTIF(Raw!AV65:BK65, "&gt;=0") = 16</f>
        <v>0</v>
      </c>
      <c r="BR65" s="11" t="str">
        <f t="shared" si="19"/>
        <v>Not Included</v>
      </c>
      <c r="BS65" s="11" t="str">
        <f t="shared" si="20"/>
        <v>Not Included</v>
      </c>
      <c r="BT65" s="11" t="str">
        <f>IF(BQ65, IF(COUNTIF(Raw!AV65:BK65, "&gt;=0") = 16, IFERROR((BS65*Raw!AV65 - SUM(Raw!AV65, Raw!AW65, Raw!AX65, Raw!AY65)*SUM(Raw!AV65, Raw!AZ65, Raw!BD65, Raw!BH65)) / SQRT((BS65*SUM(Raw!AV65, Raw!AW65, Raw!AX65, Raw!AY65) - SUM(Raw!AV65, Raw!AW65, Raw!AX65, Raw!AY65)^2) * (BS65*SUM(Raw!AV65, Raw!AZ65, Raw!BD65, Raw!BH65) - SUM(Raw!AV65, Raw!AZ65, Raw!BD65, Raw!BH65)^2)), 0), "No Contingency Table"), "Not Included")</f>
        <v>Not Included</v>
      </c>
      <c r="BU65" s="11" t="str">
        <f>IF(BQ65, IF(COUNTIF(Raw!AV65:BK65, "&gt;=0") = 16, SUM(Raw!BK65,Raw!BJ65,Raw!BI65,Raw!BG65,Raw!BF65,Raw!BE65,Raw!BC65,Raw!BB65,Raw!BA65,Raw!AV65)/SUM(Raw!AV65:BK65), "No Contingency Table"), "Not Included")</f>
        <v>Not Included</v>
      </c>
      <c r="BV65" s="11" t="str">
        <f>IF(BQ65, IF(COUNTIF(Raw!AV65:BK65, "&gt;=0") = 16,SUM(SUM(Raw!AV65,Raw!AW65,Raw!AX65,Raw!AY65)*SUM(Raw!AV65,Raw!AZ65,Raw!BD65,Raw!BH65),SUM(Raw!AZ65:BK65)*SUM(Raw!AW65,Raw!AX65,Raw!AY65,Raw!BA65,Raw!BB65,Raw!BC65,Raw!BE65,Raw!BF65,Raw!BG65,Raw!BI65,Raw!BJ65,Raw!BK65))/BS65^2,"No Contingency Table"), "Not Included")</f>
        <v>Not Included</v>
      </c>
      <c r="BW65" s="11" t="str">
        <f>IF(BQ65, IF(COUNTIF(Raw!AV65:BK65, "&gt;=0") = 16,(BU65-BV65) / (1 - BV65),"No Contingency Table"), "Not Included")</f>
        <v>Not Included</v>
      </c>
      <c r="BX65" s="11" t="b">
        <f t="shared" ref="BX65:BZ65" si="273">BQ65</f>
        <v>0</v>
      </c>
      <c r="BY65" s="11" t="str">
        <f t="shared" si="273"/>
        <v>Not Included</v>
      </c>
      <c r="BZ65" s="11" t="str">
        <f t="shared" si="273"/>
        <v>Not Included</v>
      </c>
      <c r="CA65" s="11" t="str">
        <f>IF(BX65, IF(COUNTIF(Raw!AV65:BK65, "&gt;=0") = 16, IFERROR((BZ65*Raw!BF65 - SUM(Raw!BD65, Raw!BE65, Raw!BF65, Raw!BG65)*SUM(Raw!BF65, Raw!AX65, Raw!BB65, Raw!BJ65)) / SQRT((BZ65*SUM(Raw!BD65, Raw!BE65, Raw!BF65, Raw!BG65) - SUM(Raw!BD65, Raw!BE65, Raw!BF65, Raw!BG65)^2) * (BZ65*SUM(Raw!BF65, Raw!AX65, Raw!BB65, Raw!BJ65) - SUM(Raw!BF65, Raw!AX65, Raw!BB65, Raw!BJ65)^2)), 0), "No Contingency Table"), "Not Included")</f>
        <v>Not Included</v>
      </c>
      <c r="CB65" s="11" t="str">
        <f>IF(BX65, IF(COUNTIF(Raw!AV65:BK65, "&gt;=0") = 16, SUM(Raw!AV65,Raw!AW65,Raw!AY65,Raw!AZ65,Raw!BA65,Raw!BC65,Raw!BF65,Raw!BH65,Raw!BI65,Raw!BK65) / SUM(Raw!AV65:BK65), "No Contingency Table"), "Not Included")</f>
        <v>Not Included</v>
      </c>
      <c r="CC65" s="11" t="str">
        <f>IF(BX65, IF(COUNTIF(Raw!AV65:BK65, "&gt;=0") = 16,SUM(SUM(Raw!BD65,Raw!BE65,Raw!BF65,Raw!BG65)*SUM(Raw!BF65,Raw!AX65,Raw!BB65,Raw!BJ65),SUM(Raw!AV65:BC65,Raw!BH65:BK65)*SUM(Raw!AV65,Raw!AW65,Raw!AY65,Raw!AZ65,Raw!BA65,Raw!BC65,Raw!BD65,Raw!BE65,Raw!BG65,Raw!BH65,Raw!BI65,Raw!BK65))/BZ65^2,"No Contingency Table"), "Not Included")</f>
        <v>Not Included</v>
      </c>
      <c r="CD65" s="11" t="str">
        <f>IF(BX65, IF(COUNTIF(Raw!AV65:BK65, "&gt;=0") = 16,(CB65 - CC65) / (1 - CC65+0.000001),"No Contingency Table"), "Not Included")</f>
        <v>Not Included</v>
      </c>
      <c r="CE65" s="11" t="b">
        <f t="shared" ref="CE65:CG65" si="274">BQ65</f>
        <v>0</v>
      </c>
      <c r="CF65" s="11" t="str">
        <f t="shared" si="274"/>
        <v>Not Included</v>
      </c>
      <c r="CG65" s="11" t="str">
        <f t="shared" si="274"/>
        <v>Not Included</v>
      </c>
      <c r="CH65" s="11" t="str">
        <f>IF(CE65, IF(COUNTIF(Raw!AV65:BK65, "&gt;=0") = 16, IFERROR((CG65*Raw!BA65 - SUM(Raw!BA65, Raw!AZ65, Raw!BB65, Raw!BC65)*SUM(Raw!BA65, Raw!AW65, Raw!BE65, Raw!BI65)) / SQRT((CG65*SUM(Raw!BA65, Raw!AZ65, Raw!BB65, Raw!BC65) - SUM(Raw!BA65, Raw!AZ65, Raw!BB65, Raw!BC65)^2) * (CG65*SUM(Raw!BA65, Raw!AW65, Raw!BE65, Raw!BI65) - SUM(Raw!BA65, Raw!AW65, Raw!BE65, Raw!BI65)^2)), 0), "No Contingency Table"), "Not Included")</f>
        <v>Not Included</v>
      </c>
      <c r="CI65" s="11" t="str">
        <f>IF(CE65, IF(COUNTIF(Raw!AV65:BK65, "&gt;=0") = 16, SUM(Raw!AV65,Raw!AX65,Raw!AY65,Raw!BA65,Raw!BD65,Raw!BF65,Raw!BG65,Raw!BH65,Raw!BJ65,Raw!BK65) / SUM(Raw!AV65:BK65), "No Contingency Table"), "Not Included")</f>
        <v>Not Included</v>
      </c>
      <c r="CJ65" s="61" t="str">
        <f>IF(BX65, IF(COUNTIF(Raw!AV65:BK65, "&gt;=0") = 16,SUM(SUM(Raw!AZ65,Raw!BA65,Raw!BB65,Raw!BC65)*SUM(Raw!BA65,Raw!AW65,Raw!BE65,Raw!BI65),SUM(Raw!AV65:AY65,Raw!BD65:BK65)*SUM(Raw!AV65,Raw!AX65,Raw!AY65,Raw!AZ65,Raw!BB65,Raw!BC65,Raw!BD65,Raw!BF65,Raw!BG65,Raw!BH65,Raw!BJ65,Raw!BK65))/CG65^2,"No Contingency Table"), "Not Included")</f>
        <v>Not Included</v>
      </c>
      <c r="CK65" s="11" t="str">
        <f>IF(BX65, IF(COUNTIF(Raw!AV65:BK65, "&gt;=0") = 16,(CI65 - CJ65) / (1 - CJ65),"No Contingency Table"), "Not Included")</f>
        <v>Not Included</v>
      </c>
      <c r="CL65" s="11" t="str">
        <f>IF(BQ65, IFERROR(Raw!AV65/SUM(Raw!AV65:AY65), 0), "Not Included")</f>
        <v>Not Included</v>
      </c>
      <c r="CM65" s="11" t="str">
        <f>IF(BQ65, IFERROR(Raw!BA65/SUM(Raw!AZ65:BC65), 0), "Not Included")</f>
        <v>Not Included</v>
      </c>
      <c r="CN65" s="11" t="str">
        <f>IF(BQ65, IFERROR(Raw!BF65/SUM(Raw!BD65:BG65), 0), "Not Included")</f>
        <v>Not Included</v>
      </c>
      <c r="CO65" s="11" t="str">
        <f>IF(BQ65, IFERROR(Raw!BK65/SUM(Raw!BH65:BK65), 0), "Not Included")</f>
        <v>Not Included</v>
      </c>
      <c r="CP65" s="11" t="str">
        <f>IF(BQ65, IFERROR(SUM(Raw!AV65,Raw!AX65,Raw!AY65,Raw!BD65,Raw!BF65,Raw!BG65,Raw!BH65,Raw!BJ65,Raw!BK65)/SUM(Raw!AV65,Raw!AW65,Raw!AX65,Raw!AY65,Raw!BD65,Raw!BE65,Raw!BF65,Raw!BG65,Raw!BH65,Raw!BI65,Raw!BJ65,Raw!BK65), 0), "Not Included")</f>
        <v>Not Included</v>
      </c>
      <c r="CQ65" s="11" t="str">
        <f>IF(BQ65, IFERROR(SUM(Raw!AV65:AX65,Raw!AZ65:BB65,Raw!BD65:BF65)/SUM(Raw!AV65:BF65), 0), "Not Included")</f>
        <v>Not Included</v>
      </c>
      <c r="CR65" s="11" t="str">
        <f>IF(BQ65, IFERROR(SUM(Raw!AV65:AY65), 0), "Not Included")</f>
        <v>Not Included</v>
      </c>
      <c r="CS65" s="11" t="str">
        <f>IF(BQ65, IFERROR(SUM(Raw!AZ65:BC65), 0), "Not Included")</f>
        <v>Not Included</v>
      </c>
      <c r="CT65" s="11" t="str">
        <f>IF(BQ65, IFERROR(SUM(Raw!BD65:BG65), 0), "Not Included")</f>
        <v>Not Included</v>
      </c>
      <c r="CU65" s="11" t="str">
        <f>IF(BQ65, IFERROR(SUM(Raw!BH65:BK65), 0), "Not Included")</f>
        <v>Not Included</v>
      </c>
      <c r="CV65" s="11" t="str">
        <f>IF(BQ65, IFERROR(SUM(Raw!AV65,Raw!AW65,Raw!AX65,Raw!AY65,Raw!BD65,Raw!BE65,Raw!BF65,Raw!BG65,Raw!BH65,Raw!BI65,Raw!BJ65,Raw!BK65), 0), "Not Included")</f>
        <v>Not Included</v>
      </c>
      <c r="CW65" s="11" t="str">
        <f>IF(BQ65, IFERROR(SUM(Raw!AV65:BF65), 0), "Not Included")</f>
        <v>Not Included</v>
      </c>
      <c r="CX65" s="11" t="str">
        <f>IF(BQ65, IFERROR((CR65*SUM(Raw!AV65,Raw!AZ65,Raw!BD65,Raw!BH65))/BS65/CR65, 0), "Not Included")</f>
        <v>Not Included</v>
      </c>
      <c r="CY65" s="11" t="str">
        <f>IF(BX65, IFERROR((CS65*SUM(Raw!BA65,Raw!AW65,Raw!BE65,Raw!BI65))/CG65/CS65, 0), "Not Included")</f>
        <v>Not Included</v>
      </c>
      <c r="CZ65" s="11" t="str">
        <f>IF(BX65, IFERROR((CT65*SUM(Raw!BF65,Raw!AX65,Raw!BB65,Raw!BJ65))/BZ65/CT65, 0), "Not Included")</f>
        <v>Not Included</v>
      </c>
      <c r="DA65" s="11" t="str">
        <f>IF(AY65, IFERROR((CU65*SUM(Raw!AY65,Raw!BC65,Raw!BG65,Raw!BK65))/AT65/CU65, 0), "Not Included")</f>
        <v>Not Included</v>
      </c>
      <c r="DB65" s="11" t="str">
        <f>IF(BX65, IFERROR((CV65*SUM(Raw!AV65,Raw!AX65,Raw!AY65,Raw!AZ65,Raw!BB65,Raw!BC65,Raw!BD65,Raw!BF65,Raw!BG65,Raw!BH65,Raw!BJ65,Raw!BK65))/CG65/CV65,0), "Not Included")</f>
        <v>Not Included</v>
      </c>
      <c r="DC65" s="11" t="str">
        <f>IF(AY65, IFERROR((CW65*SUM(Raw!AV65,Raw!AW65,Raw!AX65,Raw!AZ65,Raw!BA65,Raw!BB65,Raw!BD65,Raw!BE65,Raw!BF65,Raw!BH65,Raw!BI65,Raw!BJ65))/AT65/CW65,0), "Not Included")</f>
        <v>Not Included</v>
      </c>
    </row>
    <row r="66" spans="1:107" ht="12.75" customHeight="1">
      <c r="A66" s="11">
        <f>Raw!D66</f>
        <v>47</v>
      </c>
      <c r="B66" s="11" t="str">
        <f>Raw!A66</f>
        <v>Thompson, Lamb &amp; Estes (1982)</v>
      </c>
      <c r="C66" s="11">
        <f>Raw!G66</f>
        <v>1</v>
      </c>
      <c r="D66" s="11" t="str">
        <f>Raw!E66</f>
        <v>Single sample</v>
      </c>
      <c r="E66" s="11" t="str">
        <f>CONCATENATE(IF(Raw!I66&lt;='Interval Definitions'!$B$2, 'Interval Definitions'!$A$2, IF(Raw!I66&lt;='Interval Definitions'!$B$3, 'Interval Definitions'!$A$3, IF(Raw!I66&lt;='Interval Definitions'!$B$4, 'Interval Definitions'!$A$4, IF(Raw!I66&lt;='Interval Definitions'!$B$5, 'Interval Definitions'!$A$5, "None")))), " - ", IF(Raw!J66&lt;='Interval Definitions'!$B$2, 'Interval Definitions'!$A$2, IF(Raw!J66&lt;='Interval Definitions'!$B$3, 'Interval Definitions'!$A$3, IF(Raw!J66&lt;='Interval Definitions'!$B$4, 'Interval Definitions'!$A$4, IF(Raw!J66&lt;='Interval Definitions'!$B$5, 'Interval Definitions'!$A$5, "None")))))</f>
        <v>Infancy - Toddlerhood</v>
      </c>
      <c r="F66" s="11" t="b">
        <f>OR(NOT(ISBLANK(Raw!AF66)),NOT(ISBLANK(Raw!AG66)),NOT(ISBLANK(Raw!AH66)),NOT(ISBLANK(Raw!AI66)),COUNTIF(Raw!AA66:AD66, "&gt;=0") = 4)</f>
        <v>1</v>
      </c>
      <c r="G66" s="11" t="str">
        <f>IF(F66, IF(COUNTIF(Raw!AA66:AD66,"&gt;=0") = 4, "Contingency", IF(NOT(ISBLANK(Raw!AF66)), "Paper r", IF(NOT(ISBLANK(Raw!AG66)), "Pinquart", IF(NOT(ISBLANK(Raw!AH66)), "Fraley", "Paper chiSq")))), "Not Included")</f>
        <v>Contingency</v>
      </c>
      <c r="H66" s="15">
        <f>IF(F66,Raw!AE66,"Not Included")</f>
        <v>43</v>
      </c>
      <c r="I66" s="15">
        <f>IF(COUNTIF(Raw!AA66:AD66,"&gt;=0") = 4, SUM(Raw!AA66:AD66), "No Contingency Table")</f>
        <v>43</v>
      </c>
      <c r="J66" s="15">
        <f t="shared" si="0"/>
        <v>43</v>
      </c>
      <c r="K66" s="38">
        <f>IF(F66, IF(COUNTIF(Raw!AA66:AD66,"&gt;=0") = 4, IFERROR((I66*Raw!AA66 - SUM(Raw!AA66,Raw!AB66)*SUM(Raw!AA66,Raw!AD66)) / SQRT((I66*SUM(Raw!AA66,Raw!AB66) - SUM(Raw!AA66,Raw!AB66)^2) * (I66*SUM(Raw!AA66,Raw!AD66) - SUM(Raw!AA66,Raw!AD66)^2)), 0), "No Contingency Table"), "Not Included")</f>
        <v>-2.5130705435587892E-2</v>
      </c>
      <c r="L66" s="41">
        <f>IF(F66,IF(NOT(ISBLANK(Raw!AF66)), Raw!AF66, IF(NOT(ISBLANK(Raw!AG66)), Raw!AG66, IF(NOT(ISBLANK(Raw!AH66)), Raw!AH66, IF(NOT(ISBLANK(Raw!AI66)), SQRT(Raw!AI66/H66)*Raw!AJ66, "Not Reported")))),"Not Included")</f>
        <v>-0.03</v>
      </c>
      <c r="M66" s="43">
        <f t="shared" si="1"/>
        <v>-2.5130705435587892E-2</v>
      </c>
      <c r="N66" s="11">
        <f t="shared" si="2"/>
        <v>1</v>
      </c>
      <c r="O66" s="48" t="b">
        <f>OR(NOT(ISBLANK(Raw!AK66)), COUNTIF(Raw!AA66:AD66, "&gt;=0") = 4)</f>
        <v>1</v>
      </c>
      <c r="P66" s="24" t="str">
        <f>IF(O66,IF(COUNTIF(Raw!AA66:AD66,"&gt;=0") = 4,"Contingency", "Paper k"), "Not Included")</f>
        <v>Contingency</v>
      </c>
      <c r="Q66" s="48">
        <f>IF(O66, IF(COUNTIF(Raw!AA66:AD66,"&gt;=0") = 4,SUM(Raw!AA66,Raw!AC66)/H66,"No Contingency Table"), "Not Included")</f>
        <v>0.55813953488372092</v>
      </c>
      <c r="R66" s="38">
        <f>IF(O66, IF(COUNTIF(Raw!AA66:AD66, "&gt;=0") = 4,SUM(SUM(Raw!AA66,Raw!AB66)*SUM(Raw!AA66,Raw!AD66),SUM(Raw!AC66,Raw!AD66)*SUM(Raw!AC66,Raw!AB66))/H66^2,"No Contingency Table"), "Not Included")</f>
        <v>0.5689561925365062</v>
      </c>
      <c r="S66" s="38">
        <f>IF(O66, IF(COUNTIF(Raw!AA66:AD66,"&gt;=0") = 4, IFERROR((Q66 - R66) / (1 - R66), "Could not calculate"), "No Contingency Table"), "Not Included")</f>
        <v>-2.5094102885821805E-2</v>
      </c>
      <c r="T66" s="52" t="str">
        <f>IF(O66,IF(NOT(ISBLANK(Raw!AK66)), Raw!AK66, "Not Reported"), "Not Included")</f>
        <v>Not Reported</v>
      </c>
      <c r="U66" s="38">
        <f t="shared" si="3"/>
        <v>-2.5094102885821805E-2</v>
      </c>
      <c r="V66" s="11" t="str">
        <f t="shared" si="4"/>
        <v>NA</v>
      </c>
      <c r="W66" s="11" t="b">
        <f>OR(NOT(ISBLANK(Raw!AU66)),COUNTIF(Raw!AL66:AT66,"&gt;=0") = 9)</f>
        <v>1</v>
      </c>
      <c r="X66" s="11" t="str">
        <f>IF(W66, IF(COUNTIF(Raw!AL66:AT66,"&gt;=0") = 9, "Contingency", "Paper k"), "Not Included")</f>
        <v>Contingency</v>
      </c>
      <c r="Y66" s="15">
        <f>IF(W66,IF(COUNTIF(Raw!AL66:AT66,"&gt;=0") = 9,SUM(Raw!AL66:AT66),"No Contingency Table"),"Not Included")</f>
        <v>43</v>
      </c>
      <c r="Z66" s="15">
        <f t="shared" si="5"/>
        <v>43</v>
      </c>
      <c r="AA66" s="11">
        <f>IF(W66,IF(COUNTIF(Raw!AL66:AT66,"&gt;=0") = 9,SUM(Raw!AL66,Raw!AP66,Raw!AT66)/Y66,"No Contingency Table"), "Not Included")</f>
        <v>0.53488372093023251</v>
      </c>
      <c r="AB66" s="11">
        <f>IF(W66,IF(COUNTIF(Raw!AL66:AT66,"&gt;=0") = 9,SUM(SUM(Raw!AL66,Raw!AM66,Raw!AN66)*SUM(Raw!AL66,Raw!AO66,Raw!AR66),SUM(Raw!AO66,Raw!AP66,Raw!AQ66)*SUM(Raw!AM66,Raw!AP66,Raw!AS66),SUM(Raw!AR66,Raw!AS66,Raw!AT66)*SUM(Raw!AN66,Raw!AQ66,Raw!AT66))/Y66^2,"No Contingency Table"), "Not Included")</f>
        <v>0.51919956733369388</v>
      </c>
      <c r="AC66" s="11">
        <f>IF(W66,IF(COUNTIF(Raw!AL66:AT66,"&gt;=0") = 9,(AA66 - AB66) / (1 - AB66),"No Contingency Table"), "Not Included")</f>
        <v>3.262092238470183E-2</v>
      </c>
      <c r="AD66" s="11" t="str">
        <f>IF(W66, IF(NOT(ISBLANK(Raw!AU66)),Raw!AU66,"Not Reported"), "Not Included")</f>
        <v>Not Reported</v>
      </c>
      <c r="AE66" s="11">
        <f t="shared" si="6"/>
        <v>3.262092238470183E-2</v>
      </c>
      <c r="AF66" s="11" t="str">
        <f t="shared" si="7"/>
        <v>NA</v>
      </c>
      <c r="AG66" s="11" t="b">
        <f>COUNTIF(Raw!AV66:BK66, "&gt;=0") = 16</f>
        <v>0</v>
      </c>
      <c r="AH66" s="11" t="str">
        <f>IF(AG66, IF(COUNTIF(Raw!AV66:BK66,"&gt;=0") = 16, "Contingency", "Paper k"), "Not Included")</f>
        <v>Not Included</v>
      </c>
      <c r="AI66" s="11" t="str">
        <f>IF(AG66,IF(COUNTIF(Raw!AV66:BK66,"&gt;=0") = 16,SUM(Raw!AV66:BK66),"No Contingency Table"),"Not Included")</f>
        <v>Not Included</v>
      </c>
      <c r="AJ66" s="15">
        <f t="shared" si="8"/>
        <v>43</v>
      </c>
      <c r="AK66" s="11" t="str">
        <f>IF(AG66,IF(COUNTIF(Raw!AV66:BK66,"&gt;=0") = 16,SUM(Raw!AV66,Raw!BA66,Raw!BF66,Raw!BK66)/AI66,"No Contingency Table"), "Not Included")</f>
        <v>Not Included</v>
      </c>
      <c r="AL66" s="11" t="str">
        <f>IF(AG66,IF(COUNTIF(Raw!AV66:BK66,"&gt;=0") = 16,SUM(SUM(Raw!AV66,Raw!AW66,Raw!AX66,Raw!AY66)*SUM(Raw!AV66,Raw!AZ66,Raw!BD66,Raw!BH66),SUM(Raw!AZ66,Raw!BA66,Raw!BB66,Raw!BC66)*SUM(Raw!AW66,Raw!BA66,Raw!BE66,Raw!BI66),SUM(Raw!BD66,Raw!BE66,Raw!BF66,Raw!BG66)*SUM(Raw!AX66,Raw!BB66,Raw!BF66,Raw!BJ66),SUM(Raw!BH66,Raw!BI66,Raw!BJ66,Raw!BK66)*SUM(Raw!AY66,Raw!BC66,Raw!BG66,Raw!BK66))/AI66^2,"No Contingency Table"), "Not Included")</f>
        <v>Not Included</v>
      </c>
      <c r="AM66" s="11" t="str">
        <f>IF(AG66,IF(COUNTIF(Raw!AV66:BK66,"&gt;=0") = 16,(AK66 - AL66) / (1 - AL66),"No Contingency Table"), "Not Included")</f>
        <v>Not Included</v>
      </c>
      <c r="AN66" s="11" t="str">
        <f>IF(NOT(ISBLANK(Raw!BL66)),Raw!BL66,"Not Reported")</f>
        <v>Not Reported</v>
      </c>
      <c r="AO66" s="11" t="str">
        <f t="shared" si="9"/>
        <v>Not Reported</v>
      </c>
      <c r="AP66" s="11" t="str">
        <f t="shared" si="10"/>
        <v>Not Included</v>
      </c>
      <c r="AQ66" s="11" t="b">
        <f t="shared" ref="AQ66:AR66" si="275">BQ66</f>
        <v>0</v>
      </c>
      <c r="AR66" s="11" t="str">
        <f t="shared" si="275"/>
        <v>Not Included</v>
      </c>
      <c r="AS66" s="11" t="str">
        <f t="shared" si="12"/>
        <v>Not Included</v>
      </c>
      <c r="AT66" s="11" t="str">
        <f t="shared" si="13"/>
        <v>Not Included</v>
      </c>
      <c r="AU66" s="11" t="str">
        <f>IF(AQ66, IF(COUNTIF(Raw!AV66:BK66, "&gt;=0") = 16, IFERROR((AT66*Raw!BK66 - SUM(Raw!BH66, Raw!BI66, Raw!BJ66, Raw!BK66)*SUM(Raw!AY66, Raw!BC66, Raw!BG66, Raw!BK66)) / SQRT((AT66*SUM(Raw!BH66, Raw!BI66, Raw!BJ66, Raw!BK66) - SUM(Raw!BH66, Raw!BI66, Raw!BJ66, Raw!BK66)^2) * (AT66*SUM(Raw!AY66, Raw!BC66, Raw!BG66, Raw!BK66) - SUM(Raw!AY66, Raw!BC66, Raw!BG66, Raw!BK66)^2)), 0), "No Contingency Table"), "Not Included")</f>
        <v>Not Included</v>
      </c>
      <c r="AV66" s="11" t="str">
        <f>IF(AQ66,IF(NOT(ISBLANK(Raw!BQ66)), Raw!BQ66, IF(NOT(ISBLANK(Raw!BR66)), Raw!BR66, "Not Reported")), "Not Included")</f>
        <v>Not Included</v>
      </c>
      <c r="AW66" s="57" t="str">
        <f t="shared" si="14"/>
        <v>Not Included</v>
      </c>
      <c r="AX66" s="11" t="str">
        <f t="shared" si="15"/>
        <v>Not Included</v>
      </c>
      <c r="AY66" s="11" t="b">
        <f t="shared" ref="AY66:AZ66" si="276">AQ66</f>
        <v>0</v>
      </c>
      <c r="AZ66" s="11" t="str">
        <f t="shared" si="276"/>
        <v>Not Included</v>
      </c>
      <c r="BA66" s="11" t="str">
        <f>IF(AY66, IF(COUNTIF(Raw!AV66:BK66, "&gt;=0") = 16, SUM(Raw!AV66,Raw!AW66,Raw!AX66,Raw!AZ66,Raw!BA66,Raw!BB66,Raw!BD66,Raw!BE66,Raw!BF66,Raw!BK66)/SUM(Raw!AV66:BK66), "No Contingency Table"), "Not Included")</f>
        <v>Not Included</v>
      </c>
      <c r="BB66" s="11" t="str">
        <f>IF(AY66, IF(COUNTIF(Raw!AV66:BK66, "&gt;=0") = 16,SUM(SUM(Raw!BH66,Raw!BI66,Raw!BJ66,Raw!BK66)*SUM(Raw!AY66,Raw!BC66,Raw!BG66,Raw!BK66),SUM(Raw!AV66:BG66)*SUM(Raw!AV66,Raw!AW66,Raw!AX66,Raw!AZ66,Raw!BA66,Raw!BB66,Raw!BD66,Raw!BE66,Raw!BF66,Raw!BH66,Raw!BI66,Raw!BJ66))/AT66^2,"No Contingency Table"), "Not Included")</f>
        <v>Not Included</v>
      </c>
      <c r="BC66" s="11" t="str">
        <f>IF(AY66, IF(COUNTIF(Raw!AV66:BK66, "&gt;=0") = 16,(BA66-BB66) / (1 - BB66),"No Contingency Table"), "Not Included")</f>
        <v>Not Included</v>
      </c>
      <c r="BD66" s="11" t="str">
        <f>IF(AY66,IF(NOT(ISBLANK(Raw!BT87)),Raw!BT87,"Not Reported"),"Not Included")</f>
        <v>Not Included</v>
      </c>
      <c r="BE66" s="11" t="str">
        <f t="shared" si="17"/>
        <v>Not Included</v>
      </c>
      <c r="BF66" s="11" t="str">
        <f t="shared" si="18"/>
        <v>Not Included</v>
      </c>
      <c r="BG66" s="11">
        <f>Raw!K66</f>
        <v>1982</v>
      </c>
      <c r="BH66" s="11" t="str">
        <f>IF(Raw!L66 = "USA","USA","Non-USA")</f>
        <v>USA</v>
      </c>
      <c r="BI66" s="11" t="str">
        <f>Raw!M66</f>
        <v>Ainsworth/Ainsworth</v>
      </c>
      <c r="BJ66" s="11">
        <f>Raw!N66</f>
        <v>1</v>
      </c>
      <c r="BK66" s="11">
        <f>Raw!P66</f>
        <v>0</v>
      </c>
      <c r="BL66" s="11">
        <f>Raw!Q66</f>
        <v>0</v>
      </c>
      <c r="BM66" s="11">
        <f>Raw!T66</f>
        <v>1</v>
      </c>
      <c r="BN66" s="11">
        <f>IFERROR(IF(AND(ISBLANK(Raw!U66), ISBLANK(Raw!V66), ISBLANK(Raw!W66), ISBLANK(Raw!X66)), "NA", IF(OR(NOT(ISBLANK(Raw!U66)), NOT(ISBLANK(Raw!W66))), AVERAGE(Raw!U66,Raw!W66), AVERAGE(Raw!V66,Raw!X66) + IF(Raw!Y66 = "2-way", R66, IF(Raw!Y66 = "3-way", AB66, IF(Raw!Y66 = "4-way", AL66, "NA")))*(1 - AVERAGE(Raw!V66,Raw!X66)))), "NA")</f>
        <v>0.94</v>
      </c>
      <c r="BO66" s="11">
        <f>Raw!O66</f>
        <v>0</v>
      </c>
      <c r="BP66" s="11" t="str">
        <f>Raw!F66</f>
        <v>Female</v>
      </c>
      <c r="BQ66" s="11" t="b">
        <f>COUNTIF(Raw!AV66:BK66, "&gt;=0") = 16</f>
        <v>0</v>
      </c>
      <c r="BR66" s="11" t="str">
        <f t="shared" si="19"/>
        <v>Not Included</v>
      </c>
      <c r="BS66" s="11" t="str">
        <f t="shared" si="20"/>
        <v>Not Included</v>
      </c>
      <c r="BT66" s="11" t="str">
        <f>IF(BQ66, IF(COUNTIF(Raw!AV66:BK66, "&gt;=0") = 16, IFERROR((BS66*Raw!AV66 - SUM(Raw!AV66, Raw!AW66, Raw!AX66, Raw!AY66)*SUM(Raw!AV66, Raw!AZ66, Raw!BD66, Raw!BH66)) / SQRT((BS66*SUM(Raw!AV66, Raw!AW66, Raw!AX66, Raw!AY66) - SUM(Raw!AV66, Raw!AW66, Raw!AX66, Raw!AY66)^2) * (BS66*SUM(Raw!AV66, Raw!AZ66, Raw!BD66, Raw!BH66) - SUM(Raw!AV66, Raw!AZ66, Raw!BD66, Raw!BH66)^2)), 0), "No Contingency Table"), "Not Included")</f>
        <v>Not Included</v>
      </c>
      <c r="BU66" s="11" t="str">
        <f>IF(BQ66, IF(COUNTIF(Raw!AV66:BK66, "&gt;=0") = 16, SUM(Raw!BK66,Raw!BJ66,Raw!BI66,Raw!BG66,Raw!BF66,Raw!BE66,Raw!BC66,Raw!BB66,Raw!BA66,Raw!AV66)/SUM(Raw!AV66:BK66), "No Contingency Table"), "Not Included")</f>
        <v>Not Included</v>
      </c>
      <c r="BV66" s="11" t="str">
        <f>IF(BQ66, IF(COUNTIF(Raw!AV66:BK66, "&gt;=0") = 16,SUM(SUM(Raw!AV66,Raw!AW66,Raw!AX66,Raw!AY66)*SUM(Raw!AV66,Raw!AZ66,Raw!BD66,Raw!BH66),SUM(Raw!AZ66:BK66)*SUM(Raw!AW66,Raw!AX66,Raw!AY66,Raw!BA66,Raw!BB66,Raw!BC66,Raw!BE66,Raw!BF66,Raw!BG66,Raw!BI66,Raw!BJ66,Raw!BK66))/BS66^2,"No Contingency Table"), "Not Included")</f>
        <v>Not Included</v>
      </c>
      <c r="BW66" s="11" t="str">
        <f>IF(BQ66, IF(COUNTIF(Raw!AV66:BK66, "&gt;=0") = 16,(BU66-BV66) / (1 - BV66),"No Contingency Table"), "Not Included")</f>
        <v>Not Included</v>
      </c>
      <c r="BX66" s="11" t="b">
        <f t="shared" ref="BX66:BZ66" si="277">BQ66</f>
        <v>0</v>
      </c>
      <c r="BY66" s="11" t="str">
        <f t="shared" si="277"/>
        <v>Not Included</v>
      </c>
      <c r="BZ66" s="11" t="str">
        <f t="shared" si="277"/>
        <v>Not Included</v>
      </c>
      <c r="CA66" s="11" t="str">
        <f>IF(BX66, IF(COUNTIF(Raw!AV66:BK66, "&gt;=0") = 16, IFERROR((BZ66*Raw!BF66 - SUM(Raw!BD66, Raw!BE66, Raw!BF66, Raw!BG66)*SUM(Raw!BF66, Raw!AX66, Raw!BB66, Raw!BJ66)) / SQRT((BZ66*SUM(Raw!BD66, Raw!BE66, Raw!BF66, Raw!BG66) - SUM(Raw!BD66, Raw!BE66, Raw!BF66, Raw!BG66)^2) * (BZ66*SUM(Raw!BF66, Raw!AX66, Raw!BB66, Raw!BJ66) - SUM(Raw!BF66, Raw!AX66, Raw!BB66, Raw!BJ66)^2)), 0), "No Contingency Table"), "Not Included")</f>
        <v>Not Included</v>
      </c>
      <c r="CB66" s="11" t="str">
        <f>IF(BX66, IF(COUNTIF(Raw!AV66:BK66, "&gt;=0") = 16, SUM(Raw!AV66,Raw!AW66,Raw!AY66,Raw!AZ66,Raw!BA66,Raw!BC66,Raw!BF66,Raw!BH66,Raw!BI66,Raw!BK66) / SUM(Raw!AV66:BK66), "No Contingency Table"), "Not Included")</f>
        <v>Not Included</v>
      </c>
      <c r="CC66" s="11" t="str">
        <f>IF(BX66, IF(COUNTIF(Raw!AV66:BK66, "&gt;=0") = 16,SUM(SUM(Raw!BD66,Raw!BE66,Raw!BF66,Raw!BG66)*SUM(Raw!BF66,Raw!AX66,Raw!BB66,Raw!BJ66),SUM(Raw!AV66:BC66,Raw!BH66:BK66)*SUM(Raw!AV66,Raw!AW66,Raw!AY66,Raw!AZ66,Raw!BA66,Raw!BC66,Raw!BD66,Raw!BE66,Raw!BG66,Raw!BH66,Raw!BI66,Raw!BK66))/BZ66^2,"No Contingency Table"), "Not Included")</f>
        <v>Not Included</v>
      </c>
      <c r="CD66" s="11" t="str">
        <f>IF(BX66, IF(COUNTIF(Raw!AV66:BK66, "&gt;=0") = 16,(CB66 - CC66) / (1 - CC66+0.000001),"No Contingency Table"), "Not Included")</f>
        <v>Not Included</v>
      </c>
      <c r="CE66" s="11" t="b">
        <f t="shared" ref="CE66:CG66" si="278">BQ66</f>
        <v>0</v>
      </c>
      <c r="CF66" s="11" t="str">
        <f t="shared" si="278"/>
        <v>Not Included</v>
      </c>
      <c r="CG66" s="11" t="str">
        <f t="shared" si="278"/>
        <v>Not Included</v>
      </c>
      <c r="CH66" s="11" t="str">
        <f>IF(CE66, IF(COUNTIF(Raw!AV66:BK66, "&gt;=0") = 16, IFERROR((CG66*Raw!BA66 - SUM(Raw!BA66, Raw!AZ66, Raw!BB66, Raw!BC66)*SUM(Raw!BA66, Raw!AW66, Raw!BE66, Raw!BI66)) / SQRT((CG66*SUM(Raw!BA66, Raw!AZ66, Raw!BB66, Raw!BC66) - SUM(Raw!BA66, Raw!AZ66, Raw!BB66, Raw!BC66)^2) * (CG66*SUM(Raw!BA66, Raw!AW66, Raw!BE66, Raw!BI66) - SUM(Raw!BA66, Raw!AW66, Raw!BE66, Raw!BI66)^2)), 0), "No Contingency Table"), "Not Included")</f>
        <v>Not Included</v>
      </c>
      <c r="CI66" s="11" t="str">
        <f>IF(CE66, IF(COUNTIF(Raw!AV66:BK66, "&gt;=0") = 16, SUM(Raw!AV66,Raw!AX66,Raw!AY66,Raw!BA66,Raw!BD66,Raw!BF66,Raw!BG66,Raw!BH66,Raw!BJ66,Raw!BK66) / SUM(Raw!AV66:BK66), "No Contingency Table"), "Not Included")</f>
        <v>Not Included</v>
      </c>
      <c r="CJ66" s="61" t="str">
        <f>IF(BX66, IF(COUNTIF(Raw!AV66:BK66, "&gt;=0") = 16,SUM(SUM(Raw!AZ66,Raw!BA66,Raw!BB66,Raw!BC66)*SUM(Raw!BA66,Raw!AW66,Raw!BE66,Raw!BI66),SUM(Raw!AV66:AY66,Raw!BD66:BK66)*SUM(Raw!AV66,Raw!AX66,Raw!AY66,Raw!AZ66,Raw!BB66,Raw!BC66,Raw!BD66,Raw!BF66,Raw!BG66,Raw!BH66,Raw!BJ66,Raw!BK66))/CG66^2,"No Contingency Table"), "Not Included")</f>
        <v>Not Included</v>
      </c>
      <c r="CK66" s="11" t="str">
        <f>IF(BX66, IF(COUNTIF(Raw!AV66:BK66, "&gt;=0") = 16,(CI66 - CJ66) / (1 - CJ66),"No Contingency Table"), "Not Included")</f>
        <v>Not Included</v>
      </c>
      <c r="CL66" s="11" t="str">
        <f>IF(BQ66, IFERROR(Raw!AV66/SUM(Raw!AV66:AY66), 0), "Not Included")</f>
        <v>Not Included</v>
      </c>
      <c r="CM66" s="11" t="str">
        <f>IF(BQ66, IFERROR(Raw!BA66/SUM(Raw!AZ66:BC66), 0), "Not Included")</f>
        <v>Not Included</v>
      </c>
      <c r="CN66" s="11" t="str">
        <f>IF(BQ66, IFERROR(Raw!BF66/SUM(Raw!BD66:BG66), 0), "Not Included")</f>
        <v>Not Included</v>
      </c>
      <c r="CO66" s="11" t="str">
        <f>IF(BQ66, IFERROR(Raw!BK66/SUM(Raw!BH66:BK66), 0), "Not Included")</f>
        <v>Not Included</v>
      </c>
      <c r="CP66" s="11" t="str">
        <f>IF(BQ66, IFERROR(SUM(Raw!AV66,Raw!AX66,Raw!AY66,Raw!BD66,Raw!BF66,Raw!BG66,Raw!BH66,Raw!BJ66,Raw!BK66)/SUM(Raw!AV66,Raw!AW66,Raw!AX66,Raw!AY66,Raw!BD66,Raw!BE66,Raw!BF66,Raw!BG66,Raw!BH66,Raw!BI66,Raw!BJ66,Raw!BK66), 0), "Not Included")</f>
        <v>Not Included</v>
      </c>
      <c r="CQ66" s="11" t="str">
        <f>IF(BQ66, IFERROR(SUM(Raw!AV66:AX66,Raw!AZ66:BB66,Raw!BD66:BF66)/SUM(Raw!AV66:BF66), 0), "Not Included")</f>
        <v>Not Included</v>
      </c>
      <c r="CR66" s="11" t="str">
        <f>IF(BQ66, IFERROR(SUM(Raw!AV66:AY66), 0), "Not Included")</f>
        <v>Not Included</v>
      </c>
      <c r="CS66" s="11" t="str">
        <f>IF(BQ66, IFERROR(SUM(Raw!AZ66:BC66), 0), "Not Included")</f>
        <v>Not Included</v>
      </c>
      <c r="CT66" s="11" t="str">
        <f>IF(BQ66, IFERROR(SUM(Raw!BD66:BG66), 0), "Not Included")</f>
        <v>Not Included</v>
      </c>
      <c r="CU66" s="11" t="str">
        <f>IF(BQ66, IFERROR(SUM(Raw!BH66:BK66), 0), "Not Included")</f>
        <v>Not Included</v>
      </c>
      <c r="CV66" s="11" t="str">
        <f>IF(BQ66, IFERROR(SUM(Raw!AV66,Raw!AW66,Raw!AX66,Raw!AY66,Raw!BD66,Raw!BE66,Raw!BF66,Raw!BG66,Raw!BH66,Raw!BI66,Raw!BJ66,Raw!BK66), 0), "Not Included")</f>
        <v>Not Included</v>
      </c>
      <c r="CW66" s="11" t="str">
        <f>IF(BQ66, IFERROR(SUM(Raw!AV66:BF66), 0), "Not Included")</f>
        <v>Not Included</v>
      </c>
      <c r="CX66" s="11" t="str">
        <f>IF(BQ66, IFERROR((CR66*SUM(Raw!AV66,Raw!AZ66,Raw!BD66,Raw!BH66))/BS66/CR66, 0), "Not Included")</f>
        <v>Not Included</v>
      </c>
      <c r="CY66" s="11" t="str">
        <f>IF(BX66, IFERROR((CS66*SUM(Raw!BA66,Raw!AW66,Raw!BE66,Raw!BI66))/CG66/CS66, 0), "Not Included")</f>
        <v>Not Included</v>
      </c>
      <c r="CZ66" s="11" t="str">
        <f>IF(BX66, IFERROR((CT66*SUM(Raw!BF66,Raw!AX66,Raw!BB66,Raw!BJ66))/BZ66/CT66, 0), "Not Included")</f>
        <v>Not Included</v>
      </c>
      <c r="DA66" s="11" t="str">
        <f>IF(AY66, IFERROR((CU66*SUM(Raw!AY66,Raw!BC66,Raw!BG66,Raw!BK66))/AT66/CU66, 0), "Not Included")</f>
        <v>Not Included</v>
      </c>
      <c r="DB66" s="11" t="str">
        <f>IF(BX66, IFERROR((CV66*SUM(Raw!AV66,Raw!AX66,Raw!AY66,Raw!AZ66,Raw!BB66,Raw!BC66,Raw!BD66,Raw!BF66,Raw!BG66,Raw!BH66,Raw!BJ66,Raw!BK66))/CG66/CV66,0), "Not Included")</f>
        <v>Not Included</v>
      </c>
      <c r="DC66" s="11" t="str">
        <f>IF(AY66, IFERROR((CW66*SUM(Raw!AV66,Raw!AW66,Raw!AX66,Raw!AZ66,Raw!BA66,Raw!BB66,Raw!BD66,Raw!BE66,Raw!BF66,Raw!BH66,Raw!BI66,Raw!BJ66))/AT66/CW66,0), "Not Included")</f>
        <v>Not Included</v>
      </c>
    </row>
    <row r="67" spans="1:107" ht="12.75" customHeight="1">
      <c r="A67" s="11">
        <f>Raw!D67</f>
        <v>48</v>
      </c>
      <c r="B67" s="11" t="str">
        <f>Raw!A67</f>
        <v>Owen et al. (1984)</v>
      </c>
      <c r="C67" s="11">
        <f>Raw!G67</f>
        <v>1</v>
      </c>
      <c r="D67" s="11" t="str">
        <f>Raw!E67</f>
        <v>Mother-child</v>
      </c>
      <c r="E67" s="11" t="str">
        <f>CONCATENATE(IF(Raw!I67&lt;='Interval Definitions'!$B$2, 'Interval Definitions'!$A$2, IF(Raw!I67&lt;='Interval Definitions'!$B$3, 'Interval Definitions'!$A$3, IF(Raw!I67&lt;='Interval Definitions'!$B$4, 'Interval Definitions'!$A$4, IF(Raw!I67&lt;='Interval Definitions'!$B$5, 'Interval Definitions'!$A$5, "None")))), " - ", IF(Raw!J67&lt;='Interval Definitions'!$B$2, 'Interval Definitions'!$A$2, IF(Raw!J67&lt;='Interval Definitions'!$B$3, 'Interval Definitions'!$A$3, IF(Raw!J67&lt;='Interval Definitions'!$B$4, 'Interval Definitions'!$A$4, IF(Raw!J67&lt;='Interval Definitions'!$B$5, 'Interval Definitions'!$A$5, "None")))))</f>
        <v>Infancy - Toddlerhood</v>
      </c>
      <c r="F67" s="11" t="b">
        <f>OR(NOT(ISBLANK(Raw!AF67)),NOT(ISBLANK(Raw!AG67)),NOT(ISBLANK(Raw!AH67)),NOT(ISBLANK(Raw!AI67)),COUNTIF(Raw!AA67:AD67, "&gt;=0") = 4)</f>
        <v>1</v>
      </c>
      <c r="G67" s="11" t="str">
        <f>IF(F67, IF(COUNTIF(Raw!AA67:AD67,"&gt;=0") = 4, "Contingency", IF(NOT(ISBLANK(Raw!AF67)), "Paper r", IF(NOT(ISBLANK(Raw!AG67)), "Pinquart", IF(NOT(ISBLANK(Raw!AH67)), "Fraley", "Paper chiSq")))), "Not Included")</f>
        <v>Contingency</v>
      </c>
      <c r="H67" s="15">
        <f>IF(F67,Raw!AE67,"Not Included")</f>
        <v>59</v>
      </c>
      <c r="I67" s="15">
        <f>IF(COUNTIF(Raw!AA67:AD67,"&gt;=0") = 4, SUM(Raw!AA67:AD67), "No Contingency Table")</f>
        <v>59</v>
      </c>
      <c r="J67" s="15">
        <f t="shared" si="0"/>
        <v>59</v>
      </c>
      <c r="K67" s="38">
        <f>IF(F67, IF(COUNTIF(Raw!AA67:AD67,"&gt;=0") = 4, IFERROR((I67*Raw!AA67 - SUM(Raw!AA67,Raw!AB67)*SUM(Raw!AA67,Raw!AD67)) / SQRT((I67*SUM(Raw!AA67,Raw!AB67) - SUM(Raw!AA67,Raw!AB67)^2) * (I67*SUM(Raw!AA67,Raw!AD67) - SUM(Raw!AA67,Raw!AD67)^2)), 0), "No Contingency Table"), "Not Included")</f>
        <v>0.10735480644214741</v>
      </c>
      <c r="L67" s="41">
        <f>IF(F67,IF(NOT(ISBLANK(Raw!AF67)), Raw!AF67, IF(NOT(ISBLANK(Raw!AG67)), Raw!AG67, IF(NOT(ISBLANK(Raw!AH67)), Raw!AH67, IF(NOT(ISBLANK(Raw!AI67)), SQRT(Raw!AI67/H67)*Raw!AJ67, "Not Reported")))),"Not Included")</f>
        <v>0.13</v>
      </c>
      <c r="M67" s="43">
        <f t="shared" si="1"/>
        <v>0.10735480644214741</v>
      </c>
      <c r="N67" s="11">
        <f t="shared" si="2"/>
        <v>0</v>
      </c>
      <c r="O67" s="48" t="b">
        <f>OR(NOT(ISBLANK(Raw!AK67)), COUNTIF(Raw!AA67:AD67, "&gt;=0") = 4)</f>
        <v>1</v>
      </c>
      <c r="P67" s="24" t="str">
        <f>IF(O67,IF(COUNTIF(Raw!AA67:AD67,"&gt;=0") = 4,"Contingency", "Paper k"), "Not Included")</f>
        <v>Contingency</v>
      </c>
      <c r="Q67" s="48">
        <f>IF(O67, IF(COUNTIF(Raw!AA67:AD67,"&gt;=0") = 4,SUM(Raw!AA67,Raw!AC67)/H67,"No Contingency Table"), "Not Included")</f>
        <v>0.77966101694915257</v>
      </c>
      <c r="R67" s="38">
        <f>IF(O67, IF(COUNTIF(Raw!AA67:AD67, "&gt;=0") = 4,SUM(SUM(Raw!AA67,Raw!AB67)*SUM(Raw!AA67,Raw!AD67),SUM(Raw!AC67,Raw!AD67)*SUM(Raw!AC67,Raw!AB67))/H67^2,"No Contingency Table"), "Not Included")</f>
        <v>0.75323182993392701</v>
      </c>
      <c r="S67" s="38">
        <f>IF(O67, IF(COUNTIF(Raw!AA67:AD67,"&gt;=0") = 4, IFERROR((Q67 - R67) / (1 - R67), "Could not calculate"), "No Contingency Table"), "Not Included")</f>
        <v>0.10710128055878949</v>
      </c>
      <c r="T67" s="52" t="str">
        <f>IF(O67,IF(NOT(ISBLANK(Raw!AK67)), Raw!AK67, "Not Reported"), "Not Included")</f>
        <v>Not Reported</v>
      </c>
      <c r="U67" s="38">
        <f t="shared" si="3"/>
        <v>0.10710128055878949</v>
      </c>
      <c r="V67" s="11" t="str">
        <f t="shared" si="4"/>
        <v>NA</v>
      </c>
      <c r="W67" s="11" t="b">
        <f>OR(NOT(ISBLANK(Raw!AU67)),COUNTIF(Raw!AL67:AT67,"&gt;=0") = 9)</f>
        <v>1</v>
      </c>
      <c r="X67" s="11" t="str">
        <f>IF(W67, IF(COUNTIF(Raw!AL67:AT67,"&gt;=0") = 9, "Contingency", "Paper k"), "Not Included")</f>
        <v>Contingency</v>
      </c>
      <c r="Y67" s="15">
        <f>IF(W67,IF(COUNTIF(Raw!AL67:AT67,"&gt;=0") = 9,SUM(Raw!AL67:AT67),"No Contingency Table"),"Not Included")</f>
        <v>59</v>
      </c>
      <c r="Z67" s="15">
        <f t="shared" si="5"/>
        <v>59</v>
      </c>
      <c r="AA67" s="11">
        <f>IF(W67,IF(COUNTIF(Raw!AL67:AT67,"&gt;=0") = 9,SUM(Raw!AL67,Raw!AP67,Raw!AT67)/Y67,"No Contingency Table"), "Not Included")</f>
        <v>0.77966101694915257</v>
      </c>
      <c r="AB67" s="11">
        <f>IF(W67,IF(COUNTIF(Raw!AL67:AT67,"&gt;=0") = 9,SUM(SUM(Raw!AL67,Raw!AM67,Raw!AN67)*SUM(Raw!AL67,Raw!AO67,Raw!AR67),SUM(Raw!AO67,Raw!AP67,Raw!AQ67)*SUM(Raw!AM67,Raw!AP67,Raw!AS67),SUM(Raw!AR67,Raw!AS67,Raw!AT67)*SUM(Raw!AN67,Raw!AQ67,Raw!AT67))/Y67^2,"No Contingency Table"), "Not Included")</f>
        <v>0.74231542660155125</v>
      </c>
      <c r="AC67" s="11">
        <f>IF(W67,IF(COUNTIF(Raw!AL67:AT67,"&gt;=0") = 9,(AA67 - AB67) / (1 - AB67),"No Contingency Table"), "Not Included")</f>
        <v>0.14492753623188426</v>
      </c>
      <c r="AD67" s="11" t="str">
        <f>IF(W67, IF(NOT(ISBLANK(Raw!AU67)),Raw!AU67,"Not Reported"), "Not Included")</f>
        <v>Not Reported</v>
      </c>
      <c r="AE67" s="11">
        <f t="shared" si="6"/>
        <v>0.14492753623188426</v>
      </c>
      <c r="AF67" s="11" t="str">
        <f t="shared" si="7"/>
        <v>NA</v>
      </c>
      <c r="AG67" s="11" t="b">
        <f>COUNTIF(Raw!AV67:BK67, "&gt;=0") = 16</f>
        <v>0</v>
      </c>
      <c r="AH67" s="11" t="str">
        <f>IF(AG67, IF(COUNTIF(Raw!AV67:BK67,"&gt;=0") = 16, "Contingency", "Paper k"), "Not Included")</f>
        <v>Not Included</v>
      </c>
      <c r="AI67" s="11" t="str">
        <f>IF(AG67,IF(COUNTIF(Raw!AV67:BK67,"&gt;=0") = 16,SUM(Raw!AV67:BK67),"No Contingency Table"),"Not Included")</f>
        <v>Not Included</v>
      </c>
      <c r="AJ67" s="15">
        <f t="shared" si="8"/>
        <v>59</v>
      </c>
      <c r="AK67" s="11" t="str">
        <f>IF(AG67,IF(COUNTIF(Raw!AV67:BK67,"&gt;=0") = 16,SUM(Raw!AV67,Raw!BA67,Raw!BF67,Raw!BK67)/AI67,"No Contingency Table"), "Not Included")</f>
        <v>Not Included</v>
      </c>
      <c r="AL67" s="11" t="str">
        <f>IF(AG67,IF(COUNTIF(Raw!AV67:BK67,"&gt;=0") = 16,SUM(SUM(Raw!AV67,Raw!AW67,Raw!AX67,Raw!AY67)*SUM(Raw!AV67,Raw!AZ67,Raw!BD67,Raw!BH67),SUM(Raw!AZ67,Raw!BA67,Raw!BB67,Raw!BC67)*SUM(Raw!AW67,Raw!BA67,Raw!BE67,Raw!BI67),SUM(Raw!BD67,Raw!BE67,Raw!BF67,Raw!BG67)*SUM(Raw!AX67,Raw!BB67,Raw!BF67,Raw!BJ67),SUM(Raw!BH67,Raw!BI67,Raw!BJ67,Raw!BK67)*SUM(Raw!AY67,Raw!BC67,Raw!BG67,Raw!BK67))/AI67^2,"No Contingency Table"), "Not Included")</f>
        <v>Not Included</v>
      </c>
      <c r="AM67" s="11" t="str">
        <f>IF(AG67,IF(COUNTIF(Raw!AV67:BK67,"&gt;=0") = 16,(AK67 - AL67) / (1 - AL67),"No Contingency Table"), "Not Included")</f>
        <v>Not Included</v>
      </c>
      <c r="AN67" s="11" t="str">
        <f>IF(NOT(ISBLANK(Raw!BL67)),Raw!BL67,"Not Reported")</f>
        <v>Not Reported</v>
      </c>
      <c r="AO67" s="11" t="str">
        <f t="shared" si="9"/>
        <v>Not Reported</v>
      </c>
      <c r="AP67" s="11" t="str">
        <f t="shared" si="10"/>
        <v>Not Included</v>
      </c>
      <c r="AQ67" s="11" t="b">
        <f t="shared" ref="AQ67:AR67" si="279">BQ67</f>
        <v>0</v>
      </c>
      <c r="AR67" s="11" t="str">
        <f t="shared" si="279"/>
        <v>Not Included</v>
      </c>
      <c r="AS67" s="11" t="str">
        <f t="shared" si="12"/>
        <v>Not Included</v>
      </c>
      <c r="AT67" s="11" t="str">
        <f t="shared" si="13"/>
        <v>Not Included</v>
      </c>
      <c r="AU67" s="11" t="str">
        <f>IF(AQ67, IF(COUNTIF(Raw!AV67:BK67, "&gt;=0") = 16, IFERROR((AT67*Raw!BK67 - SUM(Raw!BH67, Raw!BI67, Raw!BJ67, Raw!BK67)*SUM(Raw!AY67, Raw!BC67, Raw!BG67, Raw!BK67)) / SQRT((AT67*SUM(Raw!BH67, Raw!BI67, Raw!BJ67, Raw!BK67) - SUM(Raw!BH67, Raw!BI67, Raw!BJ67, Raw!BK67)^2) * (AT67*SUM(Raw!AY67, Raw!BC67, Raw!BG67, Raw!BK67) - SUM(Raw!AY67, Raw!BC67, Raw!BG67, Raw!BK67)^2)), 0), "No Contingency Table"), "Not Included")</f>
        <v>Not Included</v>
      </c>
      <c r="AV67" s="11" t="str">
        <f>IF(AQ67,IF(NOT(ISBLANK(Raw!BQ67)), Raw!BQ67, IF(NOT(ISBLANK(Raw!BR67)), Raw!BR67, "Not Reported")), "Not Included")</f>
        <v>Not Included</v>
      </c>
      <c r="AW67" s="57" t="str">
        <f t="shared" si="14"/>
        <v>Not Included</v>
      </c>
      <c r="AX67" s="11" t="str">
        <f t="shared" si="15"/>
        <v>Not Included</v>
      </c>
      <c r="AY67" s="11" t="b">
        <f t="shared" ref="AY67:AZ67" si="280">AQ67</f>
        <v>0</v>
      </c>
      <c r="AZ67" s="11" t="str">
        <f t="shared" si="280"/>
        <v>Not Included</v>
      </c>
      <c r="BA67" s="11" t="str">
        <f>IF(AY67, IF(COUNTIF(Raw!AV67:BK67, "&gt;=0") = 16, SUM(Raw!AV67,Raw!AW67,Raw!AX67,Raw!AZ67,Raw!BA67,Raw!BB67,Raw!BD67,Raw!BE67,Raw!BF67,Raw!BK67)/SUM(Raw!AV67:BK67), "No Contingency Table"), "Not Included")</f>
        <v>Not Included</v>
      </c>
      <c r="BB67" s="11" t="str">
        <f>IF(AY67, IF(COUNTIF(Raw!AV67:BK67, "&gt;=0") = 16,SUM(SUM(Raw!BH67,Raw!BI67,Raw!BJ67,Raw!BK67)*SUM(Raw!AY67,Raw!BC67,Raw!BG67,Raw!BK67),SUM(Raw!AV67:BG67)*SUM(Raw!AV67,Raw!AW67,Raw!AX67,Raw!AZ67,Raw!BA67,Raw!BB67,Raw!BD67,Raw!BE67,Raw!BF67,Raw!BH67,Raw!BI67,Raw!BJ67))/AT67^2,"No Contingency Table"), "Not Included")</f>
        <v>Not Included</v>
      </c>
      <c r="BC67" s="11" t="str">
        <f>IF(AY67, IF(COUNTIF(Raw!AV67:BK67, "&gt;=0") = 16,(BA67-BB67) / (1 - BB67),"No Contingency Table"), "Not Included")</f>
        <v>Not Included</v>
      </c>
      <c r="BD67" s="11" t="str">
        <f>IF(AY67,IF(NOT(ISBLANK(Raw!BT88)),Raw!BT88,"Not Reported"),"Not Included")</f>
        <v>Not Included</v>
      </c>
      <c r="BE67" s="11" t="str">
        <f t="shared" si="17"/>
        <v>Not Included</v>
      </c>
      <c r="BF67" s="11" t="str">
        <f t="shared" si="18"/>
        <v>Not Included</v>
      </c>
      <c r="BG67" s="11">
        <f>Raw!K67</f>
        <v>1984</v>
      </c>
      <c r="BH67" s="11" t="str">
        <f>IF(Raw!L67 = "USA","USA","Non-USA")</f>
        <v>USA</v>
      </c>
      <c r="BI67" s="11" t="str">
        <f>Raw!M67</f>
        <v>Ainsworth/Ainsworth</v>
      </c>
      <c r="BJ67" s="11">
        <f>Raw!N67</f>
        <v>1</v>
      </c>
      <c r="BK67" s="11">
        <f>Raw!P67</f>
        <v>0</v>
      </c>
      <c r="BL67" s="11">
        <f>Raw!Q67</f>
        <v>0</v>
      </c>
      <c r="BM67" s="11">
        <f>Raw!T67</f>
        <v>1</v>
      </c>
      <c r="BN67" s="11">
        <f>IFERROR(IF(AND(ISBLANK(Raw!U67), ISBLANK(Raw!V67), ISBLANK(Raw!W67), ISBLANK(Raw!X67)), "NA", IF(OR(NOT(ISBLANK(Raw!U67)), NOT(ISBLANK(Raw!W67))), AVERAGE(Raw!U67,Raw!W67), AVERAGE(Raw!V67,Raw!X67) + IF(Raw!Y67 = "2-way", R67, IF(Raw!Y67 = "3-way", AB67, IF(Raw!Y67 = "4-way", AL67, "NA")))*(1 - AVERAGE(Raw!V67,Raw!X67)))), "NA")</f>
        <v>0.94499999999999995</v>
      </c>
      <c r="BO67" s="11">
        <f>Raw!O67</f>
        <v>0</v>
      </c>
      <c r="BP67" s="11" t="str">
        <f>Raw!F67</f>
        <v>Female</v>
      </c>
      <c r="BQ67" s="11" t="b">
        <f>COUNTIF(Raw!AV67:BK67, "&gt;=0") = 16</f>
        <v>0</v>
      </c>
      <c r="BR67" s="11" t="str">
        <f t="shared" si="19"/>
        <v>Not Included</v>
      </c>
      <c r="BS67" s="11" t="str">
        <f t="shared" si="20"/>
        <v>Not Included</v>
      </c>
      <c r="BT67" s="11" t="str">
        <f>IF(BQ67, IF(COUNTIF(Raw!AV67:BK67, "&gt;=0") = 16, IFERROR((BS67*Raw!AV67 - SUM(Raw!AV67, Raw!AW67, Raw!AX67, Raw!AY67)*SUM(Raw!AV67, Raw!AZ67, Raw!BD67, Raw!BH67)) / SQRT((BS67*SUM(Raw!AV67, Raw!AW67, Raw!AX67, Raw!AY67) - SUM(Raw!AV67, Raw!AW67, Raw!AX67, Raw!AY67)^2) * (BS67*SUM(Raw!AV67, Raw!AZ67, Raw!BD67, Raw!BH67) - SUM(Raw!AV67, Raw!AZ67, Raw!BD67, Raw!BH67)^2)), 0), "No Contingency Table"), "Not Included")</f>
        <v>Not Included</v>
      </c>
      <c r="BU67" s="11" t="str">
        <f>IF(BQ67, IF(COUNTIF(Raw!AV67:BK67, "&gt;=0") = 16, SUM(Raw!BK67,Raw!BJ67,Raw!BI67,Raw!BG67,Raw!BF67,Raw!BE67,Raw!BC67,Raw!BB67,Raw!BA67,Raw!AV67)/SUM(Raw!AV67:BK67), "No Contingency Table"), "Not Included")</f>
        <v>Not Included</v>
      </c>
      <c r="BV67" s="11" t="str">
        <f>IF(BQ67, IF(COUNTIF(Raw!AV67:BK67, "&gt;=0") = 16,SUM(SUM(Raw!AV67,Raw!AW67,Raw!AX67,Raw!AY67)*SUM(Raw!AV67,Raw!AZ67,Raw!BD67,Raw!BH67),SUM(Raw!AZ67:BK67)*SUM(Raw!AW67,Raw!AX67,Raw!AY67,Raw!BA67,Raw!BB67,Raw!BC67,Raw!BE67,Raw!BF67,Raw!BG67,Raw!BI67,Raw!BJ67,Raw!BK67))/BS67^2,"No Contingency Table"), "Not Included")</f>
        <v>Not Included</v>
      </c>
      <c r="BW67" s="11" t="str">
        <f>IF(BQ67, IF(COUNTIF(Raw!AV67:BK67, "&gt;=0") = 16,(BU67-BV67) / (1 - BV67),"No Contingency Table"), "Not Included")</f>
        <v>Not Included</v>
      </c>
      <c r="BX67" s="11" t="b">
        <f t="shared" ref="BX67:BZ67" si="281">BQ67</f>
        <v>0</v>
      </c>
      <c r="BY67" s="11" t="str">
        <f t="shared" si="281"/>
        <v>Not Included</v>
      </c>
      <c r="BZ67" s="11" t="str">
        <f t="shared" si="281"/>
        <v>Not Included</v>
      </c>
      <c r="CA67" s="11" t="str">
        <f>IF(BX67, IF(COUNTIF(Raw!AV67:BK67, "&gt;=0") = 16, IFERROR((BZ67*Raw!BF67 - SUM(Raw!BD67, Raw!BE67, Raw!BF67, Raw!BG67)*SUM(Raw!BF67, Raw!AX67, Raw!BB67, Raw!BJ67)) / SQRT((BZ67*SUM(Raw!BD67, Raw!BE67, Raw!BF67, Raw!BG67) - SUM(Raw!BD67, Raw!BE67, Raw!BF67, Raw!BG67)^2) * (BZ67*SUM(Raw!BF67, Raw!AX67, Raw!BB67, Raw!BJ67) - SUM(Raw!BF67, Raw!AX67, Raw!BB67, Raw!BJ67)^2)), 0), "No Contingency Table"), "Not Included")</f>
        <v>Not Included</v>
      </c>
      <c r="CB67" s="11" t="str">
        <f>IF(BX67, IF(COUNTIF(Raw!AV67:BK67, "&gt;=0") = 16, SUM(Raw!AV67,Raw!AW67,Raw!AY67,Raw!AZ67,Raw!BA67,Raw!BC67,Raw!BF67,Raw!BH67,Raw!BI67,Raw!BK67) / SUM(Raw!AV67:BK67), "No Contingency Table"), "Not Included")</f>
        <v>Not Included</v>
      </c>
      <c r="CC67" s="11" t="str">
        <f>IF(BX67, IF(COUNTIF(Raw!AV67:BK67, "&gt;=0") = 16,SUM(SUM(Raw!BD67,Raw!BE67,Raw!BF67,Raw!BG67)*SUM(Raw!BF67,Raw!AX67,Raw!BB67,Raw!BJ67),SUM(Raw!AV67:BC67,Raw!BH67:BK67)*SUM(Raw!AV67,Raw!AW67,Raw!AY67,Raw!AZ67,Raw!BA67,Raw!BC67,Raw!BD67,Raw!BE67,Raw!BG67,Raw!BH67,Raw!BI67,Raw!BK67))/BZ67^2,"No Contingency Table"), "Not Included")</f>
        <v>Not Included</v>
      </c>
      <c r="CD67" s="11" t="str">
        <f>IF(BX67, IF(COUNTIF(Raw!AV67:BK67, "&gt;=0") = 16,(CB67 - CC67) / (1 - CC67+0.000001),"No Contingency Table"), "Not Included")</f>
        <v>Not Included</v>
      </c>
      <c r="CE67" s="11" t="b">
        <f t="shared" ref="CE67:CG67" si="282">BQ67</f>
        <v>0</v>
      </c>
      <c r="CF67" s="11" t="str">
        <f t="shared" si="282"/>
        <v>Not Included</v>
      </c>
      <c r="CG67" s="11" t="str">
        <f t="shared" si="282"/>
        <v>Not Included</v>
      </c>
      <c r="CH67" s="11" t="str">
        <f>IF(CE67, IF(COUNTIF(Raw!AV67:BK67, "&gt;=0") = 16, IFERROR((CG67*Raw!BA67 - SUM(Raw!BA67, Raw!AZ67, Raw!BB67, Raw!BC67)*SUM(Raw!BA67, Raw!AW67, Raw!BE67, Raw!BI67)) / SQRT((CG67*SUM(Raw!BA67, Raw!AZ67, Raw!BB67, Raw!BC67) - SUM(Raw!BA67, Raw!AZ67, Raw!BB67, Raw!BC67)^2) * (CG67*SUM(Raw!BA67, Raw!AW67, Raw!BE67, Raw!BI67) - SUM(Raw!BA67, Raw!AW67, Raw!BE67, Raw!BI67)^2)), 0), "No Contingency Table"), "Not Included")</f>
        <v>Not Included</v>
      </c>
      <c r="CI67" s="11" t="str">
        <f>IF(CE67, IF(COUNTIF(Raw!AV67:BK67, "&gt;=0") = 16, SUM(Raw!AV67,Raw!AX67,Raw!AY67,Raw!BA67,Raw!BD67,Raw!BF67,Raw!BG67,Raw!BH67,Raw!BJ67,Raw!BK67) / SUM(Raw!AV67:BK67), "No Contingency Table"), "Not Included")</f>
        <v>Not Included</v>
      </c>
      <c r="CJ67" s="61" t="str">
        <f>IF(BX67, IF(COUNTIF(Raw!AV67:BK67, "&gt;=0") = 16,SUM(SUM(Raw!AZ67,Raw!BA67,Raw!BB67,Raw!BC67)*SUM(Raw!BA67,Raw!AW67,Raw!BE67,Raw!BI67),SUM(Raw!AV67:AY67,Raw!BD67:BK67)*SUM(Raw!AV67,Raw!AX67,Raw!AY67,Raw!AZ67,Raw!BB67,Raw!BC67,Raw!BD67,Raw!BF67,Raw!BG67,Raw!BH67,Raw!BJ67,Raw!BK67))/CG67^2,"No Contingency Table"), "Not Included")</f>
        <v>Not Included</v>
      </c>
      <c r="CK67" s="11" t="str">
        <f>IF(BX67, IF(COUNTIF(Raw!AV67:BK67, "&gt;=0") = 16,(CI67 - CJ67) / (1 - CJ67),"No Contingency Table"), "Not Included")</f>
        <v>Not Included</v>
      </c>
      <c r="CL67" s="11" t="str">
        <f>IF(BQ67, IFERROR(Raw!AV67/SUM(Raw!AV67:AY67), 0), "Not Included")</f>
        <v>Not Included</v>
      </c>
      <c r="CM67" s="11" t="str">
        <f>IF(BQ67, IFERROR(Raw!BA67/SUM(Raw!AZ67:BC67), 0), "Not Included")</f>
        <v>Not Included</v>
      </c>
      <c r="CN67" s="11" t="str">
        <f>IF(BQ67, IFERROR(Raw!BF67/SUM(Raw!BD67:BG67), 0), "Not Included")</f>
        <v>Not Included</v>
      </c>
      <c r="CO67" s="11" t="str">
        <f>IF(BQ67, IFERROR(Raw!BK67/SUM(Raw!BH67:BK67), 0), "Not Included")</f>
        <v>Not Included</v>
      </c>
      <c r="CP67" s="11" t="str">
        <f>IF(BQ67, IFERROR(SUM(Raw!AV67,Raw!AX67,Raw!AY67,Raw!BD67,Raw!BF67,Raw!BG67,Raw!BH67,Raw!BJ67,Raw!BK67)/SUM(Raw!AV67,Raw!AW67,Raw!AX67,Raw!AY67,Raw!BD67,Raw!BE67,Raw!BF67,Raw!BG67,Raw!BH67,Raw!BI67,Raw!BJ67,Raw!BK67), 0), "Not Included")</f>
        <v>Not Included</v>
      </c>
      <c r="CQ67" s="11" t="str">
        <f>IF(BQ67, IFERROR(SUM(Raw!AV67:AX67,Raw!AZ67:BB67,Raw!BD67:BF67)/SUM(Raw!AV67:BF67), 0), "Not Included")</f>
        <v>Not Included</v>
      </c>
      <c r="CR67" s="11" t="str">
        <f>IF(BQ67, IFERROR(SUM(Raw!AV67:AY67), 0), "Not Included")</f>
        <v>Not Included</v>
      </c>
      <c r="CS67" s="11" t="str">
        <f>IF(BQ67, IFERROR(SUM(Raw!AZ67:BC67), 0), "Not Included")</f>
        <v>Not Included</v>
      </c>
      <c r="CT67" s="11" t="str">
        <f>IF(BQ67, IFERROR(SUM(Raw!BD67:BG67), 0), "Not Included")</f>
        <v>Not Included</v>
      </c>
      <c r="CU67" s="11" t="str">
        <f>IF(BQ67, IFERROR(SUM(Raw!BH67:BK67), 0), "Not Included")</f>
        <v>Not Included</v>
      </c>
      <c r="CV67" s="11" t="str">
        <f>IF(BQ67, IFERROR(SUM(Raw!AV67,Raw!AW67,Raw!AX67,Raw!AY67,Raw!BD67,Raw!BE67,Raw!BF67,Raw!BG67,Raw!BH67,Raw!BI67,Raw!BJ67,Raw!BK67), 0), "Not Included")</f>
        <v>Not Included</v>
      </c>
      <c r="CW67" s="11" t="str">
        <f>IF(BQ67, IFERROR(SUM(Raw!AV67:BF67), 0), "Not Included")</f>
        <v>Not Included</v>
      </c>
      <c r="CX67" s="11" t="str">
        <f>IF(BQ67, IFERROR((CR67*SUM(Raw!AV67,Raw!AZ67,Raw!BD67,Raw!BH67))/BS67/CR67, 0), "Not Included")</f>
        <v>Not Included</v>
      </c>
      <c r="CY67" s="11" t="str">
        <f>IF(BX67, IFERROR((CS67*SUM(Raw!BA67,Raw!AW67,Raw!BE67,Raw!BI67))/CG67/CS67, 0), "Not Included")</f>
        <v>Not Included</v>
      </c>
      <c r="CZ67" s="11" t="str">
        <f>IF(BX67, IFERROR((CT67*SUM(Raw!BF67,Raw!AX67,Raw!BB67,Raw!BJ67))/BZ67/CT67, 0), "Not Included")</f>
        <v>Not Included</v>
      </c>
      <c r="DA67" s="11" t="str">
        <f>IF(AY67, IFERROR((CU67*SUM(Raw!AY67,Raw!BC67,Raw!BG67,Raw!BK67))/AT67/CU67, 0), "Not Included")</f>
        <v>Not Included</v>
      </c>
      <c r="DB67" s="11" t="str">
        <f>IF(BX67, IFERROR((CV67*SUM(Raw!AV67,Raw!AX67,Raw!AY67,Raw!AZ67,Raw!BB67,Raw!BC67,Raw!BD67,Raw!BF67,Raw!BG67,Raw!BH67,Raw!BJ67,Raw!BK67))/CG67/CV67,0), "Not Included")</f>
        <v>Not Included</v>
      </c>
      <c r="DC67" s="11" t="str">
        <f>IF(AY67, IFERROR((CW67*SUM(Raw!AV67,Raw!AW67,Raw!AX67,Raw!AZ67,Raw!BA67,Raw!BB67,Raw!BD67,Raw!BE67,Raw!BF67,Raw!BH67,Raw!BI67,Raw!BJ67))/AT67/CW67,0), "Not Included")</f>
        <v>Not Included</v>
      </c>
    </row>
    <row r="68" spans="1:107" ht="12.75" customHeight="1">
      <c r="A68" s="11">
        <f>Raw!D68</f>
        <v>48</v>
      </c>
      <c r="B68" s="11" t="str">
        <f>Raw!A68</f>
        <v>Owen et al. (1984)</v>
      </c>
      <c r="C68" s="11">
        <f>Raw!G68</f>
        <v>2</v>
      </c>
      <c r="D68" s="11" t="str">
        <f>Raw!E68</f>
        <v>Father-child</v>
      </c>
      <c r="E68" s="11" t="str">
        <f>CONCATENATE(IF(Raw!I68&lt;='Interval Definitions'!$B$2, 'Interval Definitions'!$A$2, IF(Raw!I68&lt;='Interval Definitions'!$B$3, 'Interval Definitions'!$A$3, IF(Raw!I68&lt;='Interval Definitions'!$B$4, 'Interval Definitions'!$A$4, IF(Raw!I68&lt;='Interval Definitions'!$B$5, 'Interval Definitions'!$A$5, "None")))), " - ", IF(Raw!J68&lt;='Interval Definitions'!$B$2, 'Interval Definitions'!$A$2, IF(Raw!J68&lt;='Interval Definitions'!$B$3, 'Interval Definitions'!$A$3, IF(Raw!J68&lt;='Interval Definitions'!$B$4, 'Interval Definitions'!$A$4, IF(Raw!J68&lt;='Interval Definitions'!$B$5, 'Interval Definitions'!$A$5, "None")))))</f>
        <v>Infancy - Toddlerhood</v>
      </c>
      <c r="F68" s="11" t="b">
        <f>OR(NOT(ISBLANK(Raw!AF68)),NOT(ISBLANK(Raw!AG68)),NOT(ISBLANK(Raw!AH68)),NOT(ISBLANK(Raw!AI68)),COUNTIF(Raw!AA68:AD68, "&gt;=0") = 4)</f>
        <v>1</v>
      </c>
      <c r="G68" s="11" t="str">
        <f>IF(F68, IF(COUNTIF(Raw!AA68:AD68,"&gt;=0") = 4, "Contingency", IF(NOT(ISBLANK(Raw!AF68)), "Paper r", IF(NOT(ISBLANK(Raw!AG68)), "Pinquart", IF(NOT(ISBLANK(Raw!AH68)), "Fraley", "Paper chiSq")))), "Not Included")</f>
        <v>Contingency</v>
      </c>
      <c r="H68" s="15">
        <f>IF(F68,Raw!AE68,"Not Included")</f>
        <v>53</v>
      </c>
      <c r="I68" s="15">
        <f>IF(COUNTIF(Raw!AA68:AD68,"&gt;=0") = 4, SUM(Raw!AA68:AD68), "No Contingency Table")</f>
        <v>53</v>
      </c>
      <c r="J68" s="15">
        <f t="shared" si="0"/>
        <v>53</v>
      </c>
      <c r="K68" s="38">
        <f>IF(F68, IF(COUNTIF(Raw!AA68:AD68,"&gt;=0") = 4, IFERROR((I68*Raw!AA68 - SUM(Raw!AA68,Raw!AB68)*SUM(Raw!AA68,Raw!AD68)) / SQRT((I68*SUM(Raw!AA68,Raw!AB68) - SUM(Raw!AA68,Raw!AB68)^2) * (I68*SUM(Raw!AA68,Raw!AD68) - SUM(Raw!AA68,Raw!AD68)^2)), 0), "No Contingency Table"), "Not Included")</f>
        <v>0.13839422072265489</v>
      </c>
      <c r="L68" s="41">
        <f>IF(F68,IF(NOT(ISBLANK(Raw!AF68)), Raw!AF68, IF(NOT(ISBLANK(Raw!AG68)), Raw!AG68, IF(NOT(ISBLANK(Raw!AH68)), Raw!AH68, IF(NOT(ISBLANK(Raw!AI68)), SQRT(Raw!AI68/H68)*Raw!AJ68, "Not Reported")))),"Not Included")</f>
        <v>0.14000000000000001</v>
      </c>
      <c r="M68" s="43">
        <f t="shared" si="1"/>
        <v>0.13839422072265489</v>
      </c>
      <c r="N68" s="11">
        <f t="shared" si="2"/>
        <v>1</v>
      </c>
      <c r="O68" s="48" t="b">
        <f>OR(NOT(ISBLANK(Raw!AK68)), COUNTIF(Raw!AA68:AD68, "&gt;=0") = 4)</f>
        <v>1</v>
      </c>
      <c r="P68" s="24" t="str">
        <f>IF(O68,IF(COUNTIF(Raw!AA68:AD68,"&gt;=0") = 4,"Contingency", "Paper k"), "Not Included")</f>
        <v>Contingency</v>
      </c>
      <c r="Q68" s="48">
        <f>IF(O68, IF(COUNTIF(Raw!AA68:AD68,"&gt;=0") = 4,SUM(Raw!AA68,Raw!AC68)/H68,"No Contingency Table"), "Not Included")</f>
        <v>0.64150943396226412</v>
      </c>
      <c r="R68" s="38">
        <f>IF(O68, IF(COUNTIF(Raw!AA68:AD68, "&gt;=0") = 4,SUM(SUM(Raw!AA68,Raw!AB68)*SUM(Raw!AA68,Raw!AD68),SUM(Raw!AC68,Raw!AD68)*SUM(Raw!AC68,Raw!AB68))/H68^2,"No Contingency Table"), "Not Included")</f>
        <v>0.58454966180135282</v>
      </c>
      <c r="S68" s="38">
        <f>IF(O68, IF(COUNTIF(Raw!AA68:AD68,"&gt;=0") = 4, IFERROR((Q68 - R68) / (1 - R68), "Could not calculate"), "No Contingency Table"), "Not Included")</f>
        <v>0.13710368466152517</v>
      </c>
      <c r="T68" s="52" t="str">
        <f>IF(O68,IF(NOT(ISBLANK(Raw!AK68)), Raw!AK68, "Not Reported"), "Not Included")</f>
        <v>Not Reported</v>
      </c>
      <c r="U68" s="38">
        <f t="shared" si="3"/>
        <v>0.13710368466152517</v>
      </c>
      <c r="V68" s="11" t="str">
        <f t="shared" si="4"/>
        <v>NA</v>
      </c>
      <c r="W68" s="11" t="b">
        <f>OR(NOT(ISBLANK(Raw!AU68)),COUNTIF(Raw!AL68:AT68,"&gt;=0") = 9)</f>
        <v>1</v>
      </c>
      <c r="X68" s="11" t="str">
        <f>IF(W68, IF(COUNTIF(Raw!AL68:AT68,"&gt;=0") = 9, "Contingency", "Paper k"), "Not Included")</f>
        <v>Contingency</v>
      </c>
      <c r="Y68" s="15">
        <f>IF(W68,IF(COUNTIF(Raw!AL68:AT68,"&gt;=0") = 9,SUM(Raw!AL68:AT68),"No Contingency Table"),"Not Included")</f>
        <v>53</v>
      </c>
      <c r="Z68" s="15">
        <f t="shared" si="5"/>
        <v>53</v>
      </c>
      <c r="AA68" s="11">
        <f>IF(W68,IF(COUNTIF(Raw!AL68:AT68,"&gt;=0") = 9,SUM(Raw!AL68,Raw!AP68,Raw!AT68)/Y68,"No Contingency Table"), "Not Included")</f>
        <v>0.62264150943396224</v>
      </c>
      <c r="AB68" s="11">
        <f>IF(W68,IF(COUNTIF(Raw!AL68:AT68,"&gt;=0") = 9,SUM(SUM(Raw!AL68,Raw!AM68,Raw!AN68)*SUM(Raw!AL68,Raw!AO68,Raw!AR68),SUM(Raw!AO68,Raw!AP68,Raw!AQ68)*SUM(Raw!AM68,Raw!AP68,Raw!AS68),SUM(Raw!AR68,Raw!AS68,Raw!AT68)*SUM(Raw!AN68,Raw!AQ68,Raw!AT68))/Y68^2,"No Contingency Table"), "Not Included")</f>
        <v>0.55001779992880029</v>
      </c>
      <c r="AC68" s="11">
        <f>IF(W68,IF(COUNTIF(Raw!AL68:AT68,"&gt;=0") = 9,(AA68 - AB68) / (1 - AB68),"No Contingency Table"), "Not Included")</f>
        <v>0.16139240506329108</v>
      </c>
      <c r="AD68" s="11" t="str">
        <f>IF(W68, IF(NOT(ISBLANK(Raw!AU68)),Raw!AU68,"Not Reported"), "Not Included")</f>
        <v>Not Reported</v>
      </c>
      <c r="AE68" s="11">
        <f t="shared" si="6"/>
        <v>0.16139240506329108</v>
      </c>
      <c r="AF68" s="11" t="str">
        <f t="shared" si="7"/>
        <v>NA</v>
      </c>
      <c r="AG68" s="11" t="b">
        <f>COUNTIF(Raw!AV68:BK68, "&gt;=0") = 16</f>
        <v>0</v>
      </c>
      <c r="AH68" s="11" t="str">
        <f>IF(AG68, IF(COUNTIF(Raw!AV68:BK68,"&gt;=0") = 16, "Contingency", "Paper k"), "Not Included")</f>
        <v>Not Included</v>
      </c>
      <c r="AI68" s="11" t="str">
        <f>IF(AG68,IF(COUNTIF(Raw!AV68:BK68,"&gt;=0") = 16,SUM(Raw!AV68:BK68),"No Contingency Table"),"Not Included")</f>
        <v>Not Included</v>
      </c>
      <c r="AJ68" s="15">
        <f t="shared" si="8"/>
        <v>53</v>
      </c>
      <c r="AK68" s="11" t="str">
        <f>IF(AG68,IF(COUNTIF(Raw!AV68:BK68,"&gt;=0") = 16,SUM(Raw!AV68,Raw!BA68,Raw!BF68,Raw!BK68)/AI68,"No Contingency Table"), "Not Included")</f>
        <v>Not Included</v>
      </c>
      <c r="AL68" s="11" t="str">
        <f>IF(AG68,IF(COUNTIF(Raw!AV68:BK68,"&gt;=0") = 16,SUM(SUM(Raw!AV68,Raw!AW68,Raw!AX68,Raw!AY68)*SUM(Raw!AV68,Raw!AZ68,Raw!BD68,Raw!BH68),SUM(Raw!AZ68,Raw!BA68,Raw!BB68,Raw!BC68)*SUM(Raw!AW68,Raw!BA68,Raw!BE68,Raw!BI68),SUM(Raw!BD68,Raw!BE68,Raw!BF68,Raw!BG68)*SUM(Raw!AX68,Raw!BB68,Raw!BF68,Raw!BJ68),SUM(Raw!BH68,Raw!BI68,Raw!BJ68,Raw!BK68)*SUM(Raw!AY68,Raw!BC68,Raw!BG68,Raw!BK68))/AI68^2,"No Contingency Table"), "Not Included")</f>
        <v>Not Included</v>
      </c>
      <c r="AM68" s="11" t="str">
        <f>IF(AG68,IF(COUNTIF(Raw!AV68:BK68,"&gt;=0") = 16,(AK68 - AL68) / (1 - AL68),"No Contingency Table"), "Not Included")</f>
        <v>Not Included</v>
      </c>
      <c r="AN68" s="11" t="str">
        <f>IF(NOT(ISBLANK(Raw!BL68)),Raw!BL68,"Not Reported")</f>
        <v>Not Reported</v>
      </c>
      <c r="AO68" s="11" t="str">
        <f t="shared" si="9"/>
        <v>Not Reported</v>
      </c>
      <c r="AP68" s="11" t="str">
        <f t="shared" si="10"/>
        <v>Not Included</v>
      </c>
      <c r="AQ68" s="11" t="b">
        <f t="shared" ref="AQ68:AR68" si="283">BQ68</f>
        <v>0</v>
      </c>
      <c r="AR68" s="11" t="str">
        <f t="shared" si="283"/>
        <v>Not Included</v>
      </c>
      <c r="AS68" s="11" t="str">
        <f t="shared" si="12"/>
        <v>Not Included</v>
      </c>
      <c r="AT68" s="11" t="str">
        <f t="shared" si="13"/>
        <v>Not Included</v>
      </c>
      <c r="AU68" s="11" t="str">
        <f>IF(AQ68, IF(COUNTIF(Raw!AV68:BK68, "&gt;=0") = 16, IFERROR((AT68*Raw!BK68 - SUM(Raw!BH68, Raw!BI68, Raw!BJ68, Raw!BK68)*SUM(Raw!AY68, Raw!BC68, Raw!BG68, Raw!BK68)) / SQRT((AT68*SUM(Raw!BH68, Raw!BI68, Raw!BJ68, Raw!BK68) - SUM(Raw!BH68, Raw!BI68, Raw!BJ68, Raw!BK68)^2) * (AT68*SUM(Raw!AY68, Raw!BC68, Raw!BG68, Raw!BK68) - SUM(Raw!AY68, Raw!BC68, Raw!BG68, Raw!BK68)^2)), 0), "No Contingency Table"), "Not Included")</f>
        <v>Not Included</v>
      </c>
      <c r="AV68" s="11" t="str">
        <f>IF(AQ68,IF(NOT(ISBLANK(Raw!BQ68)), Raw!BQ68, IF(NOT(ISBLANK(Raw!BR68)), Raw!BR68, "Not Reported")), "Not Included")</f>
        <v>Not Included</v>
      </c>
      <c r="AW68" s="57" t="str">
        <f t="shared" si="14"/>
        <v>Not Included</v>
      </c>
      <c r="AX68" s="11" t="str">
        <f t="shared" si="15"/>
        <v>Not Included</v>
      </c>
      <c r="AY68" s="11" t="b">
        <f t="shared" ref="AY68:AZ68" si="284">AQ68</f>
        <v>0</v>
      </c>
      <c r="AZ68" s="11" t="str">
        <f t="shared" si="284"/>
        <v>Not Included</v>
      </c>
      <c r="BA68" s="11" t="str">
        <f>IF(AY68, IF(COUNTIF(Raw!AV68:BK68, "&gt;=0") = 16, SUM(Raw!AV68,Raw!AW68,Raw!AX68,Raw!AZ68,Raw!BA68,Raw!BB68,Raw!BD68,Raw!BE68,Raw!BF68,Raw!BK68)/SUM(Raw!AV68:BK68), "No Contingency Table"), "Not Included")</f>
        <v>Not Included</v>
      </c>
      <c r="BB68" s="11" t="str">
        <f>IF(AY68, IF(COUNTIF(Raw!AV68:BK68, "&gt;=0") = 16,SUM(SUM(Raw!BH68,Raw!BI68,Raw!BJ68,Raw!BK68)*SUM(Raw!AY68,Raw!BC68,Raw!BG68,Raw!BK68),SUM(Raw!AV68:BG68)*SUM(Raw!AV68,Raw!AW68,Raw!AX68,Raw!AZ68,Raw!BA68,Raw!BB68,Raw!BD68,Raw!BE68,Raw!BF68,Raw!BH68,Raw!BI68,Raw!BJ68))/AT68^2,"No Contingency Table"), "Not Included")</f>
        <v>Not Included</v>
      </c>
      <c r="BC68" s="11" t="str">
        <f>IF(AY68, IF(COUNTIF(Raw!AV68:BK68, "&gt;=0") = 16,(BA68-BB68) / (1 - BB68),"No Contingency Table"), "Not Included")</f>
        <v>Not Included</v>
      </c>
      <c r="BD68" s="11" t="str">
        <f>IF(AY68,IF(NOT(ISBLANK(Raw!BT89)),Raw!BT89,"Not Reported"),"Not Included")</f>
        <v>Not Included</v>
      </c>
      <c r="BE68" s="11" t="str">
        <f t="shared" si="17"/>
        <v>Not Included</v>
      </c>
      <c r="BF68" s="11" t="str">
        <f t="shared" si="18"/>
        <v>Not Included</v>
      </c>
      <c r="BG68" s="11">
        <f>Raw!K68</f>
        <v>1984</v>
      </c>
      <c r="BH68" s="11" t="str">
        <f>IF(Raw!L68 = "USA","USA","Non-USA")</f>
        <v>USA</v>
      </c>
      <c r="BI68" s="11" t="str">
        <f>Raw!M68</f>
        <v>Ainsworth/Ainsworth</v>
      </c>
      <c r="BJ68" s="11">
        <f>Raw!N68</f>
        <v>1</v>
      </c>
      <c r="BK68" s="11">
        <f>Raw!P68</f>
        <v>0</v>
      </c>
      <c r="BL68" s="11">
        <f>Raw!Q68</f>
        <v>0</v>
      </c>
      <c r="BM68" s="11">
        <f>Raw!T68</f>
        <v>1</v>
      </c>
      <c r="BN68" s="11">
        <f>IFERROR(IF(AND(ISBLANK(Raw!U68), ISBLANK(Raw!V68), ISBLANK(Raw!W68), ISBLANK(Raw!X68)), "NA", IF(OR(NOT(ISBLANK(Raw!U68)), NOT(ISBLANK(Raw!W68))), AVERAGE(Raw!U68,Raw!W68), AVERAGE(Raw!V68,Raw!X68) + IF(Raw!Y68 = "2-way", R68, IF(Raw!Y68 = "3-way", AB68, IF(Raw!Y68 = "4-way", AL68, "NA")))*(1 - AVERAGE(Raw!V68,Raw!X68)))), "NA")</f>
        <v>0.94499999999999995</v>
      </c>
      <c r="BO68" s="11">
        <f>Raw!O68</f>
        <v>0</v>
      </c>
      <c r="BP68" s="11" t="str">
        <f>Raw!F68</f>
        <v>Male</v>
      </c>
      <c r="BQ68" s="11" t="b">
        <f>COUNTIF(Raw!AV68:BK68, "&gt;=0") = 16</f>
        <v>0</v>
      </c>
      <c r="BR68" s="11" t="str">
        <f t="shared" si="19"/>
        <v>Not Included</v>
      </c>
      <c r="BS68" s="11" t="str">
        <f t="shared" si="20"/>
        <v>Not Included</v>
      </c>
      <c r="BT68" s="11" t="str">
        <f>IF(BQ68, IF(COUNTIF(Raw!AV68:BK68, "&gt;=0") = 16, IFERROR((BS68*Raw!AV68 - SUM(Raw!AV68, Raw!AW68, Raw!AX68, Raw!AY68)*SUM(Raw!AV68, Raw!AZ68, Raw!BD68, Raw!BH68)) / SQRT((BS68*SUM(Raw!AV68, Raw!AW68, Raw!AX68, Raw!AY68) - SUM(Raw!AV68, Raw!AW68, Raw!AX68, Raw!AY68)^2) * (BS68*SUM(Raw!AV68, Raw!AZ68, Raw!BD68, Raw!BH68) - SUM(Raw!AV68, Raw!AZ68, Raw!BD68, Raw!BH68)^2)), 0), "No Contingency Table"), "Not Included")</f>
        <v>Not Included</v>
      </c>
      <c r="BU68" s="11" t="str">
        <f>IF(BQ68, IF(COUNTIF(Raw!AV68:BK68, "&gt;=0") = 16, SUM(Raw!BK68,Raw!BJ68,Raw!BI68,Raw!BG68,Raw!BF68,Raw!BE68,Raw!BC68,Raw!BB68,Raw!BA68,Raw!AV68)/SUM(Raw!AV68:BK68), "No Contingency Table"), "Not Included")</f>
        <v>Not Included</v>
      </c>
      <c r="BV68" s="11" t="str">
        <f>IF(BQ68, IF(COUNTIF(Raw!AV68:BK68, "&gt;=0") = 16,SUM(SUM(Raw!AV68,Raw!AW68,Raw!AX68,Raw!AY68)*SUM(Raw!AV68,Raw!AZ68,Raw!BD68,Raw!BH68),SUM(Raw!AZ68:BK68)*SUM(Raw!AW68,Raw!AX68,Raw!AY68,Raw!BA68,Raw!BB68,Raw!BC68,Raw!BE68,Raw!BF68,Raw!BG68,Raw!BI68,Raw!BJ68,Raw!BK68))/BS68^2,"No Contingency Table"), "Not Included")</f>
        <v>Not Included</v>
      </c>
      <c r="BW68" s="11" t="str">
        <f>IF(BQ68, IF(COUNTIF(Raw!AV68:BK68, "&gt;=0") = 16,(BU68-BV68) / (1 - BV68),"No Contingency Table"), "Not Included")</f>
        <v>Not Included</v>
      </c>
      <c r="BX68" s="11" t="b">
        <f t="shared" ref="BX68:BZ68" si="285">BQ68</f>
        <v>0</v>
      </c>
      <c r="BY68" s="11" t="str">
        <f t="shared" si="285"/>
        <v>Not Included</v>
      </c>
      <c r="BZ68" s="11" t="str">
        <f t="shared" si="285"/>
        <v>Not Included</v>
      </c>
      <c r="CA68" s="11" t="str">
        <f>IF(BX68, IF(COUNTIF(Raw!AV68:BK68, "&gt;=0") = 16, IFERROR((BZ68*Raw!BF68 - SUM(Raw!BD68, Raw!BE68, Raw!BF68, Raw!BG68)*SUM(Raw!BF68, Raw!AX68, Raw!BB68, Raw!BJ68)) / SQRT((BZ68*SUM(Raw!BD68, Raw!BE68, Raw!BF68, Raw!BG68) - SUM(Raw!BD68, Raw!BE68, Raw!BF68, Raw!BG68)^2) * (BZ68*SUM(Raw!BF68, Raw!AX68, Raw!BB68, Raw!BJ68) - SUM(Raw!BF68, Raw!AX68, Raw!BB68, Raw!BJ68)^2)), 0), "No Contingency Table"), "Not Included")</f>
        <v>Not Included</v>
      </c>
      <c r="CB68" s="11" t="str">
        <f>IF(BX68, IF(COUNTIF(Raw!AV68:BK68, "&gt;=0") = 16, SUM(Raw!AV68,Raw!AW68,Raw!AY68,Raw!AZ68,Raw!BA68,Raw!BC68,Raw!BF68,Raw!BH68,Raw!BI68,Raw!BK68) / SUM(Raw!AV68:BK68), "No Contingency Table"), "Not Included")</f>
        <v>Not Included</v>
      </c>
      <c r="CC68" s="11" t="str">
        <f>IF(BX68, IF(COUNTIF(Raw!AV68:BK68, "&gt;=0") = 16,SUM(SUM(Raw!BD68,Raw!BE68,Raw!BF68,Raw!BG68)*SUM(Raw!BF68,Raw!AX68,Raw!BB68,Raw!BJ68),SUM(Raw!AV68:BC68,Raw!BH68:BK68)*SUM(Raw!AV68,Raw!AW68,Raw!AY68,Raw!AZ68,Raw!BA68,Raw!BC68,Raw!BD68,Raw!BE68,Raw!BG68,Raw!BH68,Raw!BI68,Raw!BK68))/BZ68^2,"No Contingency Table"), "Not Included")</f>
        <v>Not Included</v>
      </c>
      <c r="CD68" s="11" t="str">
        <f>IF(BX68, IF(COUNTIF(Raw!AV68:BK68, "&gt;=0") = 16,(CB68 - CC68) / (1 - CC68+0.000001),"No Contingency Table"), "Not Included")</f>
        <v>Not Included</v>
      </c>
      <c r="CE68" s="11" t="b">
        <f t="shared" ref="CE68:CG68" si="286">BQ68</f>
        <v>0</v>
      </c>
      <c r="CF68" s="11" t="str">
        <f t="shared" si="286"/>
        <v>Not Included</v>
      </c>
      <c r="CG68" s="11" t="str">
        <f t="shared" si="286"/>
        <v>Not Included</v>
      </c>
      <c r="CH68" s="11" t="str">
        <f>IF(CE68, IF(COUNTIF(Raw!AV68:BK68, "&gt;=0") = 16, IFERROR((CG68*Raw!BA68 - SUM(Raw!BA68, Raw!AZ68, Raw!BB68, Raw!BC68)*SUM(Raw!BA68, Raw!AW68, Raw!BE68, Raw!BI68)) / SQRT((CG68*SUM(Raw!BA68, Raw!AZ68, Raw!BB68, Raw!BC68) - SUM(Raw!BA68, Raw!AZ68, Raw!BB68, Raw!BC68)^2) * (CG68*SUM(Raw!BA68, Raw!AW68, Raw!BE68, Raw!BI68) - SUM(Raw!BA68, Raw!AW68, Raw!BE68, Raw!BI68)^2)), 0), "No Contingency Table"), "Not Included")</f>
        <v>Not Included</v>
      </c>
      <c r="CI68" s="11" t="str">
        <f>IF(CE68, IF(COUNTIF(Raw!AV68:BK68, "&gt;=0") = 16, SUM(Raw!AV68,Raw!AX68,Raw!AY68,Raw!BA68,Raw!BD68,Raw!BF68,Raw!BG68,Raw!BH68,Raw!BJ68,Raw!BK68) / SUM(Raw!AV68:BK68), "No Contingency Table"), "Not Included")</f>
        <v>Not Included</v>
      </c>
      <c r="CJ68" s="61" t="str">
        <f>IF(BX68, IF(COUNTIF(Raw!AV68:BK68, "&gt;=0") = 16,SUM(SUM(Raw!AZ68,Raw!BA68,Raw!BB68,Raw!BC68)*SUM(Raw!BA68,Raw!AW68,Raw!BE68,Raw!BI68),SUM(Raw!AV68:AY68,Raw!BD68:BK68)*SUM(Raw!AV68,Raw!AX68,Raw!AY68,Raw!AZ68,Raw!BB68,Raw!BC68,Raw!BD68,Raw!BF68,Raw!BG68,Raw!BH68,Raw!BJ68,Raw!BK68))/CG68^2,"No Contingency Table"), "Not Included")</f>
        <v>Not Included</v>
      </c>
      <c r="CK68" s="11" t="str">
        <f>IF(BX68, IF(COUNTIF(Raw!AV68:BK68, "&gt;=0") = 16,(CI68 - CJ68) / (1 - CJ68),"No Contingency Table"), "Not Included")</f>
        <v>Not Included</v>
      </c>
      <c r="CL68" s="11" t="str">
        <f>IF(BQ68, IFERROR(Raw!AV68/SUM(Raw!AV68:AY68), 0), "Not Included")</f>
        <v>Not Included</v>
      </c>
      <c r="CM68" s="11" t="str">
        <f>IF(BQ68, IFERROR(Raw!BA68/SUM(Raw!AZ68:BC68), 0), "Not Included")</f>
        <v>Not Included</v>
      </c>
      <c r="CN68" s="11" t="str">
        <f>IF(BQ68, IFERROR(Raw!BF68/SUM(Raw!BD68:BG68), 0), "Not Included")</f>
        <v>Not Included</v>
      </c>
      <c r="CO68" s="11" t="str">
        <f>IF(BQ68, IFERROR(Raw!BK68/SUM(Raw!BH68:BK68), 0), "Not Included")</f>
        <v>Not Included</v>
      </c>
      <c r="CP68" s="11" t="str">
        <f>IF(BQ68, IFERROR(SUM(Raw!AV68,Raw!AX68,Raw!AY68,Raw!BD68,Raw!BF68,Raw!BG68,Raw!BH68,Raw!BJ68,Raw!BK68)/SUM(Raw!AV68,Raw!AW68,Raw!AX68,Raw!AY68,Raw!BD68,Raw!BE68,Raw!BF68,Raw!BG68,Raw!BH68,Raw!BI68,Raw!BJ68,Raw!BK68), 0), "Not Included")</f>
        <v>Not Included</v>
      </c>
      <c r="CQ68" s="11" t="str">
        <f>IF(BQ68, IFERROR(SUM(Raw!AV68:AX68,Raw!AZ68:BB68,Raw!BD68:BF68)/SUM(Raw!AV68:BF68), 0), "Not Included")</f>
        <v>Not Included</v>
      </c>
      <c r="CR68" s="11" t="str">
        <f>IF(BQ68, IFERROR(SUM(Raw!AV68:AY68), 0), "Not Included")</f>
        <v>Not Included</v>
      </c>
      <c r="CS68" s="11" t="str">
        <f>IF(BQ68, IFERROR(SUM(Raw!AZ68:BC68), 0), "Not Included")</f>
        <v>Not Included</v>
      </c>
      <c r="CT68" s="11" t="str">
        <f>IF(BQ68, IFERROR(SUM(Raw!BD68:BG68), 0), "Not Included")</f>
        <v>Not Included</v>
      </c>
      <c r="CU68" s="11" t="str">
        <f>IF(BQ68, IFERROR(SUM(Raw!BH68:BK68), 0), "Not Included")</f>
        <v>Not Included</v>
      </c>
      <c r="CV68" s="11" t="str">
        <f>IF(BQ68, IFERROR(SUM(Raw!AV68,Raw!AW68,Raw!AX68,Raw!AY68,Raw!BD68,Raw!BE68,Raw!BF68,Raw!BG68,Raw!BH68,Raw!BI68,Raw!BJ68,Raw!BK68), 0), "Not Included")</f>
        <v>Not Included</v>
      </c>
      <c r="CW68" s="11" t="str">
        <f>IF(BQ68, IFERROR(SUM(Raw!AV68:BF68), 0), "Not Included")</f>
        <v>Not Included</v>
      </c>
      <c r="CX68" s="11" t="str">
        <f>IF(BQ68, IFERROR((CR68*SUM(Raw!AV68,Raw!AZ68,Raw!BD68,Raw!BH68))/BS68/CR68, 0), "Not Included")</f>
        <v>Not Included</v>
      </c>
      <c r="CY68" s="11" t="str">
        <f>IF(BX68, IFERROR((CS68*SUM(Raw!BA68,Raw!AW68,Raw!BE68,Raw!BI68))/CG68/CS68, 0), "Not Included")</f>
        <v>Not Included</v>
      </c>
      <c r="CZ68" s="11" t="str">
        <f>IF(BX68, IFERROR((CT68*SUM(Raw!BF68,Raw!AX68,Raw!BB68,Raw!BJ68))/BZ68/CT68, 0), "Not Included")</f>
        <v>Not Included</v>
      </c>
      <c r="DA68" s="11" t="str">
        <f>IF(AY68, IFERROR((CU68*SUM(Raw!AY68,Raw!BC68,Raw!BG68,Raw!BK68))/AT68/CU68, 0), "Not Included")</f>
        <v>Not Included</v>
      </c>
      <c r="DB68" s="11" t="str">
        <f>IF(BX68, IFERROR((CV68*SUM(Raw!AV68,Raw!AX68,Raw!AY68,Raw!AZ68,Raw!BB68,Raw!BC68,Raw!BD68,Raw!BF68,Raw!BG68,Raw!BH68,Raw!BJ68,Raw!BK68))/CG68/CV68,0), "Not Included")</f>
        <v>Not Included</v>
      </c>
      <c r="DC68" s="11" t="str">
        <f>IF(AY68, IFERROR((CW68*SUM(Raw!AV68,Raw!AW68,Raw!AX68,Raw!AZ68,Raw!BA68,Raw!BB68,Raw!BD68,Raw!BE68,Raw!BF68,Raw!BH68,Raw!BI68,Raw!BJ68))/AT68/CW68,0), "Not Included")</f>
        <v>Not Included</v>
      </c>
    </row>
    <row r="69" spans="1:107" ht="12.75" customHeight="1">
      <c r="A69" s="11">
        <f>Raw!D69</f>
        <v>49</v>
      </c>
      <c r="B69" s="11" t="str">
        <f>Raw!A69</f>
        <v>Belsky et al. (1996)</v>
      </c>
      <c r="C69" s="11">
        <f>Raw!G69</f>
        <v>1</v>
      </c>
      <c r="D69" s="11" t="str">
        <f>Raw!E69</f>
        <v>Father-son (Penn. State)</v>
      </c>
      <c r="E69" s="11" t="str">
        <f>CONCATENATE(IF(Raw!I69&lt;='Interval Definitions'!$B$2, 'Interval Definitions'!$A$2, IF(Raw!I69&lt;='Interval Definitions'!$B$3, 'Interval Definitions'!$A$3, IF(Raw!I69&lt;='Interval Definitions'!$B$4, 'Interval Definitions'!$A$4, IF(Raw!I69&lt;='Interval Definitions'!$B$5, 'Interval Definitions'!$A$5, "None")))), " - ", IF(Raw!J69&lt;='Interval Definitions'!$B$2, 'Interval Definitions'!$A$2, IF(Raw!J69&lt;='Interval Definitions'!$B$3, 'Interval Definitions'!$A$3, IF(Raw!J69&lt;='Interval Definitions'!$B$4, 'Interval Definitions'!$A$4, IF(Raw!J69&lt;='Interval Definitions'!$B$5, 'Interval Definitions'!$A$5, "None")))))</f>
        <v>Infancy - Toddlerhood</v>
      </c>
      <c r="F69" s="11" t="b">
        <f>OR(NOT(ISBLANK(Raw!AF69)),NOT(ISBLANK(Raw!AG69)),NOT(ISBLANK(Raw!AH69)),NOT(ISBLANK(Raw!AI69)),COUNTIF(Raw!AA69:AD69, "&gt;=0") = 4)</f>
        <v>1</v>
      </c>
      <c r="G69" s="11" t="str">
        <f>IF(F69, IF(COUNTIF(Raw!AA69:AD69,"&gt;=0") = 4, "Contingency", IF(NOT(ISBLANK(Raw!AF69)), "Paper r", IF(NOT(ISBLANK(Raw!AG69)), "Pinquart", IF(NOT(ISBLANK(Raw!AH69)), "Fraley", "Paper chiSq")))), "Not Included")</f>
        <v>Contingency</v>
      </c>
      <c r="H69" s="15">
        <f>IF(F69,Raw!AE69,"Not Included")</f>
        <v>120</v>
      </c>
      <c r="I69" s="15">
        <f>IF(COUNTIF(Raw!AA69:AD69,"&gt;=0") = 4, SUM(Raw!AA69:AD69), "No Contingency Table")</f>
        <v>120</v>
      </c>
      <c r="J69" s="15">
        <f t="shared" si="0"/>
        <v>120</v>
      </c>
      <c r="K69" s="38">
        <f>IF(F69, IF(COUNTIF(Raw!AA69:AD69,"&gt;=0") = 4, IFERROR((I69*Raw!AA69 - SUM(Raw!AA69,Raw!AB69)*SUM(Raw!AA69,Raw!AD69)) / SQRT((I69*SUM(Raw!AA69,Raw!AB69) - SUM(Raw!AA69,Raw!AB69)^2) * (I69*SUM(Raw!AA69,Raw!AD69) - SUM(Raw!AA69,Raw!AD69)^2)), 0), "No Contingency Table"), "Not Included")</f>
        <v>-5.7304320052397779E-2</v>
      </c>
      <c r="L69" s="41">
        <f>IF(F69,IF(NOT(ISBLANK(Raw!AF69)), Raw!AF69, IF(NOT(ISBLANK(Raw!AG69)), Raw!AG69, IF(NOT(ISBLANK(Raw!AH69)), Raw!AH69, IF(NOT(ISBLANK(Raw!AI69)), SQRT(Raw!AI69/H69)*Raw!AJ69, "Not Reported")))),"Not Included")</f>
        <v>-0.06</v>
      </c>
      <c r="M69" s="43">
        <f t="shared" si="1"/>
        <v>-5.7304320052397779E-2</v>
      </c>
      <c r="N69" s="11">
        <f t="shared" si="2"/>
        <v>1</v>
      </c>
      <c r="O69" s="48" t="b">
        <f>OR(NOT(ISBLANK(Raw!AK69)), COUNTIF(Raw!AA69:AD69, "&gt;=0") = 4)</f>
        <v>1</v>
      </c>
      <c r="P69" s="24" t="str">
        <f>IF(O69,IF(COUNTIF(Raw!AA69:AD69,"&gt;=0") = 4,"Contingency", "Paper k"), "Not Included")</f>
        <v>Contingency</v>
      </c>
      <c r="Q69" s="48">
        <f>IF(O69, IF(COUNTIF(Raw!AA69:AD69,"&gt;=0") = 4,SUM(Raw!AA69,Raw!AC69)/H69,"No Contingency Table"), "Not Included")</f>
        <v>0.5</v>
      </c>
      <c r="R69" s="38">
        <f>IF(O69, IF(COUNTIF(Raw!AA69:AD69, "&gt;=0") = 4,SUM(SUM(Raw!AA69,Raw!AB69)*SUM(Raw!AA69,Raw!AD69),SUM(Raw!AC69,Raw!AD69)*SUM(Raw!AC69,Raw!AB69))/H69^2,"No Contingency Table"), "Not Included")</f>
        <v>0.52708333333333335</v>
      </c>
      <c r="S69" s="38">
        <f>IF(O69, IF(COUNTIF(Raw!AA69:AD69,"&gt;=0") = 4, IFERROR((Q69 - R69) / (1 - R69), "Could not calculate"), "No Contingency Table"), "Not Included")</f>
        <v>-5.7268722466960388E-2</v>
      </c>
      <c r="T69" s="52" t="str">
        <f>IF(O69,IF(NOT(ISBLANK(Raw!AK69)), Raw!AK69, "Not Reported"), "Not Included")</f>
        <v>Not Reported</v>
      </c>
      <c r="U69" s="38">
        <f t="shared" si="3"/>
        <v>-5.7268722466960388E-2</v>
      </c>
      <c r="V69" s="11" t="str">
        <f t="shared" si="4"/>
        <v>NA</v>
      </c>
      <c r="W69" s="11" t="b">
        <f>OR(NOT(ISBLANK(Raw!AU69)),COUNTIF(Raw!AL69:AT69,"&gt;=0") = 9)</f>
        <v>1</v>
      </c>
      <c r="X69" s="11" t="str">
        <f>IF(W69, IF(COUNTIF(Raw!AL69:AT69,"&gt;=0") = 9, "Contingency", "Paper k"), "Not Included")</f>
        <v>Contingency</v>
      </c>
      <c r="Y69" s="15">
        <f>IF(W69,IF(COUNTIF(Raw!AL69:AT69,"&gt;=0") = 9,SUM(Raw!AL69:AT69),"No Contingency Table"),"Not Included")</f>
        <v>120</v>
      </c>
      <c r="Z69" s="15">
        <f t="shared" si="5"/>
        <v>120</v>
      </c>
      <c r="AA69" s="11">
        <f>IF(W69,IF(COUNTIF(Raw!AL69:AT69,"&gt;=0") = 9,SUM(Raw!AL69,Raw!AP69,Raw!AT69)/Y69,"No Contingency Table"), "Not Included")</f>
        <v>0.45833333333333331</v>
      </c>
      <c r="AB69" s="11">
        <f>IF(W69,IF(COUNTIF(Raw!AL69:AT69,"&gt;=0") = 9,SUM(SUM(Raw!AL69,Raw!AM69,Raw!AN69)*SUM(Raw!AL69,Raw!AO69,Raw!AR69),SUM(Raw!AO69,Raw!AP69,Raw!AQ69)*SUM(Raw!AM69,Raw!AP69,Raw!AS69),SUM(Raw!AR69,Raw!AS69,Raw!AT69)*SUM(Raw!AN69,Raw!AQ69,Raw!AT69))/Y69^2,"No Contingency Table"), "Not Included")</f>
        <v>0.45520833333333333</v>
      </c>
      <c r="AC69" s="11">
        <f>IF(W69,IF(COUNTIF(Raw!AL69:AT69,"&gt;=0") = 9,(AA69 - AB69) / (1 - AB69),"No Contingency Table"), "Not Included")</f>
        <v>5.7361376673039947E-3</v>
      </c>
      <c r="AD69" s="11" t="str">
        <f>IF(W69, IF(NOT(ISBLANK(Raw!AU69)),Raw!AU69,"Not Reported"), "Not Included")</f>
        <v>Not Reported</v>
      </c>
      <c r="AE69" s="11">
        <f t="shared" si="6"/>
        <v>5.7361376673039947E-3</v>
      </c>
      <c r="AF69" s="11" t="str">
        <f t="shared" si="7"/>
        <v>NA</v>
      </c>
      <c r="AG69" s="11" t="b">
        <f>COUNTIF(Raw!AV69:BK69, "&gt;=0") = 16</f>
        <v>0</v>
      </c>
      <c r="AH69" s="11" t="str">
        <f>IF(AG69, IF(COUNTIF(Raw!AV69:BK69,"&gt;=0") = 16, "Contingency", "Paper k"), "Not Included")</f>
        <v>Not Included</v>
      </c>
      <c r="AI69" s="11" t="str">
        <f>IF(AG69,IF(COUNTIF(Raw!AV69:BK69,"&gt;=0") = 16,SUM(Raw!AV69:BK69),"No Contingency Table"),"Not Included")</f>
        <v>Not Included</v>
      </c>
      <c r="AJ69" s="15">
        <f t="shared" si="8"/>
        <v>120</v>
      </c>
      <c r="AK69" s="11" t="str">
        <f>IF(AG69,IF(COUNTIF(Raw!AV69:BK69,"&gt;=0") = 16,SUM(Raw!AV69,Raw!BA69,Raw!BF69,Raw!BK69)/AI69,"No Contingency Table"), "Not Included")</f>
        <v>Not Included</v>
      </c>
      <c r="AL69" s="11" t="str">
        <f>IF(AG69,IF(COUNTIF(Raw!AV69:BK69,"&gt;=0") = 16,SUM(SUM(Raw!AV69,Raw!AW69,Raw!AX69,Raw!AY69)*SUM(Raw!AV69,Raw!AZ69,Raw!BD69,Raw!BH69),SUM(Raw!AZ69,Raw!BA69,Raw!BB69,Raw!BC69)*SUM(Raw!AW69,Raw!BA69,Raw!BE69,Raw!BI69),SUM(Raw!BD69,Raw!BE69,Raw!BF69,Raw!BG69)*SUM(Raw!AX69,Raw!BB69,Raw!BF69,Raw!BJ69),SUM(Raw!BH69,Raw!BI69,Raw!BJ69,Raw!BK69)*SUM(Raw!AY69,Raw!BC69,Raw!BG69,Raw!BK69))/AI69^2,"No Contingency Table"), "Not Included")</f>
        <v>Not Included</v>
      </c>
      <c r="AM69" s="11" t="str">
        <f>IF(AG69,IF(COUNTIF(Raw!AV69:BK69,"&gt;=0") = 16,(AK69 - AL69) / (1 - AL69),"No Contingency Table"), "Not Included")</f>
        <v>Not Included</v>
      </c>
      <c r="AN69" s="11" t="str">
        <f>IF(NOT(ISBLANK(Raw!BL69)),Raw!BL69,"Not Reported")</f>
        <v>Not Reported</v>
      </c>
      <c r="AO69" s="11" t="str">
        <f t="shared" si="9"/>
        <v>Not Reported</v>
      </c>
      <c r="AP69" s="11" t="str">
        <f t="shared" si="10"/>
        <v>Not Included</v>
      </c>
      <c r="AQ69" s="11" t="b">
        <f t="shared" ref="AQ69:AR69" si="287">BQ69</f>
        <v>0</v>
      </c>
      <c r="AR69" s="11" t="str">
        <f t="shared" si="287"/>
        <v>Not Included</v>
      </c>
      <c r="AS69" s="11" t="str">
        <f t="shared" si="12"/>
        <v>Not Included</v>
      </c>
      <c r="AT69" s="11" t="str">
        <f t="shared" si="13"/>
        <v>Not Included</v>
      </c>
      <c r="AU69" s="11" t="str">
        <f>IF(AQ69, IF(COUNTIF(Raw!AV69:BK69, "&gt;=0") = 16, IFERROR((AT69*Raw!BK69 - SUM(Raw!BH69, Raw!BI69, Raw!BJ69, Raw!BK69)*SUM(Raw!AY69, Raw!BC69, Raw!BG69, Raw!BK69)) / SQRT((AT69*SUM(Raw!BH69, Raw!BI69, Raw!BJ69, Raw!BK69) - SUM(Raw!BH69, Raw!BI69, Raw!BJ69, Raw!BK69)^2) * (AT69*SUM(Raw!AY69, Raw!BC69, Raw!BG69, Raw!BK69) - SUM(Raw!AY69, Raw!BC69, Raw!BG69, Raw!BK69)^2)), 0), "No Contingency Table"), "Not Included")</f>
        <v>Not Included</v>
      </c>
      <c r="AV69" s="11" t="str">
        <f>IF(AQ69,IF(NOT(ISBLANK(Raw!BQ69)), Raw!BQ69, IF(NOT(ISBLANK(Raw!BR69)), Raw!BR69, "Not Reported")), "Not Included")</f>
        <v>Not Included</v>
      </c>
      <c r="AW69" s="57" t="str">
        <f t="shared" si="14"/>
        <v>Not Included</v>
      </c>
      <c r="AX69" s="11" t="str">
        <f t="shared" si="15"/>
        <v>Not Included</v>
      </c>
      <c r="AY69" s="11" t="b">
        <f t="shared" ref="AY69:AZ69" si="288">AQ69</f>
        <v>0</v>
      </c>
      <c r="AZ69" s="11" t="str">
        <f t="shared" si="288"/>
        <v>Not Included</v>
      </c>
      <c r="BA69" s="11" t="str">
        <f>IF(AY69, IF(COUNTIF(Raw!AV69:BK69, "&gt;=0") = 16, SUM(Raw!AV69,Raw!AW69,Raw!AX69,Raw!AZ69,Raw!BA69,Raw!BB69,Raw!BD69,Raw!BE69,Raw!BF69,Raw!BK69)/SUM(Raw!AV69:BK69), "No Contingency Table"), "Not Included")</f>
        <v>Not Included</v>
      </c>
      <c r="BB69" s="11" t="str">
        <f>IF(AY69, IF(COUNTIF(Raw!AV69:BK69, "&gt;=0") = 16,SUM(SUM(Raw!BH69,Raw!BI69,Raw!BJ69,Raw!BK69)*SUM(Raw!AY69,Raw!BC69,Raw!BG69,Raw!BK69),SUM(Raw!AV69:BG69)*SUM(Raw!AV69,Raw!AW69,Raw!AX69,Raw!AZ69,Raw!BA69,Raw!BB69,Raw!BD69,Raw!BE69,Raw!BF69,Raw!BH69,Raw!BI69,Raw!BJ69))/AT69^2,"No Contingency Table"), "Not Included")</f>
        <v>Not Included</v>
      </c>
      <c r="BC69" s="11" t="str">
        <f>IF(AY69, IF(COUNTIF(Raw!AV69:BK69, "&gt;=0") = 16,(BA69-BB69) / (1 - BB69),"No Contingency Table"), "Not Included")</f>
        <v>Not Included</v>
      </c>
      <c r="BD69" s="11" t="str">
        <f>IF(AY69,IF(NOT(ISBLANK(Raw!BT90)),Raw!BT90,"Not Reported"),"Not Included")</f>
        <v>Not Included</v>
      </c>
      <c r="BE69" s="11" t="str">
        <f t="shared" si="17"/>
        <v>Not Included</v>
      </c>
      <c r="BF69" s="11" t="str">
        <f t="shared" si="18"/>
        <v>Not Included</v>
      </c>
      <c r="BG69" s="11">
        <f>Raw!K69</f>
        <v>1996</v>
      </c>
      <c r="BH69" s="11" t="str">
        <f>IF(Raw!L69 = "USA","USA","Non-USA")</f>
        <v>USA</v>
      </c>
      <c r="BI69" s="11" t="str">
        <f>Raw!M69</f>
        <v>Ainsworth/Ainsworth</v>
      </c>
      <c r="BJ69" s="11">
        <f>Raw!N69</f>
        <v>1</v>
      </c>
      <c r="BK69" s="11">
        <f>Raw!P69</f>
        <v>0</v>
      </c>
      <c r="BL69" s="11">
        <f>Raw!Q69</f>
        <v>0</v>
      </c>
      <c r="BM69" s="11">
        <f>Raw!T69</f>
        <v>1</v>
      </c>
      <c r="BN69" s="11">
        <f>IFERROR(IF(AND(ISBLANK(Raw!U69), ISBLANK(Raw!V69), ISBLANK(Raw!W69), ISBLANK(Raw!X69)), "NA", IF(OR(NOT(ISBLANK(Raw!U69)), NOT(ISBLANK(Raw!W69))), AVERAGE(Raw!U69,Raw!W69), AVERAGE(Raw!V69,Raw!X69) + IF(Raw!Y69 = "2-way", R69, IF(Raw!Y69 = "3-way", AB69, IF(Raw!Y69 = "4-way", AL69, "NA")))*(1 - AVERAGE(Raw!V69,Raw!X69)))), "NA")</f>
        <v>0.92917708333333338</v>
      </c>
      <c r="BO69" s="11">
        <f>Raw!O69</f>
        <v>0</v>
      </c>
      <c r="BP69" s="11" t="str">
        <f>Raw!F69</f>
        <v>Male</v>
      </c>
      <c r="BQ69" s="11" t="b">
        <f>COUNTIF(Raw!AV69:BK69, "&gt;=0") = 16</f>
        <v>0</v>
      </c>
      <c r="BR69" s="11" t="str">
        <f t="shared" si="19"/>
        <v>Not Included</v>
      </c>
      <c r="BS69" s="11" t="str">
        <f t="shared" si="20"/>
        <v>Not Included</v>
      </c>
      <c r="BT69" s="11" t="str">
        <f>IF(BQ69, IF(COUNTIF(Raw!AV69:BK69, "&gt;=0") = 16, IFERROR((BS69*Raw!AV69 - SUM(Raw!AV69, Raw!AW69, Raw!AX69, Raw!AY69)*SUM(Raw!AV69, Raw!AZ69, Raw!BD69, Raw!BH69)) / SQRT((BS69*SUM(Raw!AV69, Raw!AW69, Raw!AX69, Raw!AY69) - SUM(Raw!AV69, Raw!AW69, Raw!AX69, Raw!AY69)^2) * (BS69*SUM(Raw!AV69, Raw!AZ69, Raw!BD69, Raw!BH69) - SUM(Raw!AV69, Raw!AZ69, Raw!BD69, Raw!BH69)^2)), 0), "No Contingency Table"), "Not Included")</f>
        <v>Not Included</v>
      </c>
      <c r="BU69" s="11" t="str">
        <f>IF(BQ69, IF(COUNTIF(Raw!AV69:BK69, "&gt;=0") = 16, SUM(Raw!BK69,Raw!BJ69,Raw!BI69,Raw!BG69,Raw!BF69,Raw!BE69,Raw!BC69,Raw!BB69,Raw!BA69,Raw!AV69)/SUM(Raw!AV69:BK69), "No Contingency Table"), "Not Included")</f>
        <v>Not Included</v>
      </c>
      <c r="BV69" s="11" t="str">
        <f>IF(BQ69, IF(COUNTIF(Raw!AV69:BK69, "&gt;=0") = 16,SUM(SUM(Raw!AV69,Raw!AW69,Raw!AX69,Raw!AY69)*SUM(Raw!AV69,Raw!AZ69,Raw!BD69,Raw!BH69),SUM(Raw!AZ69:BK69)*SUM(Raw!AW69,Raw!AX69,Raw!AY69,Raw!BA69,Raw!BB69,Raw!BC69,Raw!BE69,Raw!BF69,Raw!BG69,Raw!BI69,Raw!BJ69,Raw!BK69))/BS69^2,"No Contingency Table"), "Not Included")</f>
        <v>Not Included</v>
      </c>
      <c r="BW69" s="11" t="str">
        <f>IF(BQ69, IF(COUNTIF(Raw!AV69:BK69, "&gt;=0") = 16,(BU69-BV69) / (1 - BV69),"No Contingency Table"), "Not Included")</f>
        <v>Not Included</v>
      </c>
      <c r="BX69" s="11" t="b">
        <f t="shared" ref="BX69:BZ69" si="289">BQ69</f>
        <v>0</v>
      </c>
      <c r="BY69" s="11" t="str">
        <f t="shared" si="289"/>
        <v>Not Included</v>
      </c>
      <c r="BZ69" s="11" t="str">
        <f t="shared" si="289"/>
        <v>Not Included</v>
      </c>
      <c r="CA69" s="11" t="str">
        <f>IF(BX69, IF(COUNTIF(Raw!AV69:BK69, "&gt;=0") = 16, IFERROR((BZ69*Raw!BF69 - SUM(Raw!BD69, Raw!BE69, Raw!BF69, Raw!BG69)*SUM(Raw!BF69, Raw!AX69, Raw!BB69, Raw!BJ69)) / SQRT((BZ69*SUM(Raw!BD69, Raw!BE69, Raw!BF69, Raw!BG69) - SUM(Raw!BD69, Raw!BE69, Raw!BF69, Raw!BG69)^2) * (BZ69*SUM(Raw!BF69, Raw!AX69, Raw!BB69, Raw!BJ69) - SUM(Raw!BF69, Raw!AX69, Raw!BB69, Raw!BJ69)^2)), 0), "No Contingency Table"), "Not Included")</f>
        <v>Not Included</v>
      </c>
      <c r="CB69" s="11" t="str">
        <f>IF(BX69, IF(COUNTIF(Raw!AV69:BK69, "&gt;=0") = 16, SUM(Raw!AV69,Raw!AW69,Raw!AY69,Raw!AZ69,Raw!BA69,Raw!BC69,Raw!BF69,Raw!BH69,Raw!BI69,Raw!BK69) / SUM(Raw!AV69:BK69), "No Contingency Table"), "Not Included")</f>
        <v>Not Included</v>
      </c>
      <c r="CC69" s="11" t="str">
        <f>IF(BX69, IF(COUNTIF(Raw!AV69:BK69, "&gt;=0") = 16,SUM(SUM(Raw!BD69,Raw!BE69,Raw!BF69,Raw!BG69)*SUM(Raw!BF69,Raw!AX69,Raw!BB69,Raw!BJ69),SUM(Raw!AV69:BC69,Raw!BH69:BK69)*SUM(Raw!AV69,Raw!AW69,Raw!AY69,Raw!AZ69,Raw!BA69,Raw!BC69,Raw!BD69,Raw!BE69,Raw!BG69,Raw!BH69,Raw!BI69,Raw!BK69))/BZ69^2,"No Contingency Table"), "Not Included")</f>
        <v>Not Included</v>
      </c>
      <c r="CD69" s="11" t="str">
        <f>IF(BX69, IF(COUNTIF(Raw!AV69:BK69, "&gt;=0") = 16,(CB69 - CC69) / (1 - CC69+0.000001),"No Contingency Table"), "Not Included")</f>
        <v>Not Included</v>
      </c>
      <c r="CE69" s="11" t="b">
        <f t="shared" ref="CE69:CG69" si="290">BQ69</f>
        <v>0</v>
      </c>
      <c r="CF69" s="11" t="str">
        <f t="shared" si="290"/>
        <v>Not Included</v>
      </c>
      <c r="CG69" s="11" t="str">
        <f t="shared" si="290"/>
        <v>Not Included</v>
      </c>
      <c r="CH69" s="11" t="str">
        <f>IF(CE69, IF(COUNTIF(Raw!AV69:BK69, "&gt;=0") = 16, IFERROR((CG69*Raw!BA69 - SUM(Raw!BA69, Raw!AZ69, Raw!BB69, Raw!BC69)*SUM(Raw!BA69, Raw!AW69, Raw!BE69, Raw!BI69)) / SQRT((CG69*SUM(Raw!BA69, Raw!AZ69, Raw!BB69, Raw!BC69) - SUM(Raw!BA69, Raw!AZ69, Raw!BB69, Raw!BC69)^2) * (CG69*SUM(Raw!BA69, Raw!AW69, Raw!BE69, Raw!BI69) - SUM(Raw!BA69, Raw!AW69, Raw!BE69, Raw!BI69)^2)), 0), "No Contingency Table"), "Not Included")</f>
        <v>Not Included</v>
      </c>
      <c r="CI69" s="11" t="str">
        <f>IF(CE69, IF(COUNTIF(Raw!AV69:BK69, "&gt;=0") = 16, SUM(Raw!AV69,Raw!AX69,Raw!AY69,Raw!BA69,Raw!BD69,Raw!BF69,Raw!BG69,Raw!BH69,Raw!BJ69,Raw!BK69) / SUM(Raw!AV69:BK69), "No Contingency Table"), "Not Included")</f>
        <v>Not Included</v>
      </c>
      <c r="CJ69" s="61" t="str">
        <f>IF(BX69, IF(COUNTIF(Raw!AV69:BK69, "&gt;=0") = 16,SUM(SUM(Raw!AZ69,Raw!BA69,Raw!BB69,Raw!BC69)*SUM(Raw!BA69,Raw!AW69,Raw!BE69,Raw!BI69),SUM(Raw!AV69:AY69,Raw!BD69:BK69)*SUM(Raw!AV69,Raw!AX69,Raw!AY69,Raw!AZ69,Raw!BB69,Raw!BC69,Raw!BD69,Raw!BF69,Raw!BG69,Raw!BH69,Raw!BJ69,Raw!BK69))/CG69^2,"No Contingency Table"), "Not Included")</f>
        <v>Not Included</v>
      </c>
      <c r="CK69" s="11" t="str">
        <f>IF(BX69, IF(COUNTIF(Raw!AV69:BK69, "&gt;=0") = 16,(CI69 - CJ69) / (1 - CJ69),"No Contingency Table"), "Not Included")</f>
        <v>Not Included</v>
      </c>
      <c r="CL69" s="11" t="str">
        <f>IF(BQ69, IFERROR(Raw!AV69/SUM(Raw!AV69:AY69), 0), "Not Included")</f>
        <v>Not Included</v>
      </c>
      <c r="CM69" s="11" t="str">
        <f>IF(BQ69, IFERROR(Raw!BA69/SUM(Raw!AZ69:BC69), 0), "Not Included")</f>
        <v>Not Included</v>
      </c>
      <c r="CN69" s="11" t="str">
        <f>IF(BQ69, IFERROR(Raw!BF69/SUM(Raw!BD69:BG69), 0), "Not Included")</f>
        <v>Not Included</v>
      </c>
      <c r="CO69" s="11" t="str">
        <f>IF(BQ69, IFERROR(Raw!BK69/SUM(Raw!BH69:BK69), 0), "Not Included")</f>
        <v>Not Included</v>
      </c>
      <c r="CP69" s="11" t="str">
        <f>IF(BQ69, IFERROR(SUM(Raw!AV69,Raw!AX69,Raw!AY69,Raw!BD69,Raw!BF69,Raw!BG69,Raw!BH69,Raw!BJ69,Raw!BK69)/SUM(Raw!AV69,Raw!AW69,Raw!AX69,Raw!AY69,Raw!BD69,Raw!BE69,Raw!BF69,Raw!BG69,Raw!BH69,Raw!BI69,Raw!BJ69,Raw!BK69), 0), "Not Included")</f>
        <v>Not Included</v>
      </c>
      <c r="CQ69" s="11" t="str">
        <f>IF(BQ69, IFERROR(SUM(Raw!AV69:AX69,Raw!AZ69:BB69,Raw!BD69:BF69)/SUM(Raw!AV69:BF69), 0), "Not Included")</f>
        <v>Not Included</v>
      </c>
      <c r="CR69" s="11" t="str">
        <f>IF(BQ69, IFERROR(SUM(Raw!AV69:AY69), 0), "Not Included")</f>
        <v>Not Included</v>
      </c>
      <c r="CS69" s="11" t="str">
        <f>IF(BQ69, IFERROR(SUM(Raw!AZ69:BC69), 0), "Not Included")</f>
        <v>Not Included</v>
      </c>
      <c r="CT69" s="11" t="str">
        <f>IF(BQ69, IFERROR(SUM(Raw!BD69:BG69), 0), "Not Included")</f>
        <v>Not Included</v>
      </c>
      <c r="CU69" s="11" t="str">
        <f>IF(BQ69, IFERROR(SUM(Raw!BH69:BK69), 0), "Not Included")</f>
        <v>Not Included</v>
      </c>
      <c r="CV69" s="11" t="str">
        <f>IF(BQ69, IFERROR(SUM(Raw!AV69,Raw!AW69,Raw!AX69,Raw!AY69,Raw!BD69,Raw!BE69,Raw!BF69,Raw!BG69,Raw!BH69,Raw!BI69,Raw!BJ69,Raw!BK69), 0), "Not Included")</f>
        <v>Not Included</v>
      </c>
      <c r="CW69" s="11" t="str">
        <f>IF(BQ69, IFERROR(SUM(Raw!AV69:BF69), 0), "Not Included")</f>
        <v>Not Included</v>
      </c>
      <c r="CX69" s="11" t="str">
        <f>IF(BQ69, IFERROR((CR69*SUM(Raw!AV69,Raw!AZ69,Raw!BD69,Raw!BH69))/BS69/CR69, 0), "Not Included")</f>
        <v>Not Included</v>
      </c>
      <c r="CY69" s="11" t="str">
        <f>IF(BX69, IFERROR((CS69*SUM(Raw!BA69,Raw!AW69,Raw!BE69,Raw!BI69))/CG69/CS69, 0), "Not Included")</f>
        <v>Not Included</v>
      </c>
      <c r="CZ69" s="11" t="str">
        <f>IF(BX69, IFERROR((CT69*SUM(Raw!BF69,Raw!AX69,Raw!BB69,Raw!BJ69))/BZ69/CT69, 0), "Not Included")</f>
        <v>Not Included</v>
      </c>
      <c r="DA69" s="11" t="str">
        <f>IF(AY69, IFERROR((CU69*SUM(Raw!AY69,Raw!BC69,Raw!BG69,Raw!BK69))/AT69/CU69, 0), "Not Included")</f>
        <v>Not Included</v>
      </c>
      <c r="DB69" s="11" t="str">
        <f>IF(BX69, IFERROR((CV69*SUM(Raw!AV69,Raw!AX69,Raw!AY69,Raw!AZ69,Raw!BB69,Raw!BC69,Raw!BD69,Raw!BF69,Raw!BG69,Raw!BH69,Raw!BJ69,Raw!BK69))/CG69/CV69,0), "Not Included")</f>
        <v>Not Included</v>
      </c>
      <c r="DC69" s="11" t="str">
        <f>IF(AY69, IFERROR((CW69*SUM(Raw!AV69,Raw!AW69,Raw!AX69,Raw!AZ69,Raw!BA69,Raw!BB69,Raw!BD69,Raw!BE69,Raw!BF69,Raw!BH69,Raw!BI69,Raw!BJ69))/AT69/CW69,0), "Not Included")</f>
        <v>Not Included</v>
      </c>
    </row>
    <row r="70" spans="1:107" ht="12.75" customHeight="1">
      <c r="A70" s="11">
        <f>Raw!D70</f>
        <v>49</v>
      </c>
      <c r="B70" s="11" t="str">
        <f>Raw!A70</f>
        <v>Belsky et al. (1996)</v>
      </c>
      <c r="C70" s="11">
        <f>Raw!G70</f>
        <v>2</v>
      </c>
      <c r="D70" s="11" t="str">
        <f>Raw!E70</f>
        <v>Mother-son (Penn. State)</v>
      </c>
      <c r="E70" s="11" t="str">
        <f>CONCATENATE(IF(Raw!I70&lt;='Interval Definitions'!$B$2, 'Interval Definitions'!$A$2, IF(Raw!I70&lt;='Interval Definitions'!$B$3, 'Interval Definitions'!$A$3, IF(Raw!I70&lt;='Interval Definitions'!$B$4, 'Interval Definitions'!$A$4, IF(Raw!I70&lt;='Interval Definitions'!$B$5, 'Interval Definitions'!$A$5, "None")))), " - ", IF(Raw!J70&lt;='Interval Definitions'!$B$2, 'Interval Definitions'!$A$2, IF(Raw!J70&lt;='Interval Definitions'!$B$3, 'Interval Definitions'!$A$3, IF(Raw!J70&lt;='Interval Definitions'!$B$4, 'Interval Definitions'!$A$4, IF(Raw!J70&lt;='Interval Definitions'!$B$5, 'Interval Definitions'!$A$5, "None")))))</f>
        <v>Infancy - Infancy</v>
      </c>
      <c r="F70" s="11" t="b">
        <f>OR(NOT(ISBLANK(Raw!AF70)),NOT(ISBLANK(Raw!AG70)),NOT(ISBLANK(Raw!AH70)),NOT(ISBLANK(Raw!AI70)),COUNTIF(Raw!AA70:AD70, "&gt;=0") = 4)</f>
        <v>1</v>
      </c>
      <c r="G70" s="11" t="str">
        <f>IF(F70, IF(COUNTIF(Raw!AA70:AD70,"&gt;=0") = 4, "Contingency", IF(NOT(ISBLANK(Raw!AF70)), "Paper r", IF(NOT(ISBLANK(Raw!AG70)), "Pinquart", IF(NOT(ISBLANK(Raw!AH70)), "Fraley", "Paper chiSq")))), "Not Included")</f>
        <v>Contingency</v>
      </c>
      <c r="H70" s="15">
        <f>IF(F70,Raw!AE70,"Not Included")</f>
        <v>125</v>
      </c>
      <c r="I70" s="15">
        <f>IF(COUNTIF(Raw!AA70:AD70,"&gt;=0") = 4, SUM(Raw!AA70:AD70), "No Contingency Table")</f>
        <v>125</v>
      </c>
      <c r="J70" s="15">
        <f t="shared" si="0"/>
        <v>125</v>
      </c>
      <c r="K70" s="38">
        <f>IF(F70, IF(COUNTIF(Raw!AA70:AD70,"&gt;=0") = 4, IFERROR((I70*Raw!AA70 - SUM(Raw!AA70,Raw!AB70)*SUM(Raw!AA70,Raw!AD70)) / SQRT((I70*SUM(Raw!AA70,Raw!AB70) - SUM(Raw!AA70,Raw!AB70)^2) * (I70*SUM(Raw!AA70,Raw!AD70) - SUM(Raw!AA70,Raw!AD70)^2)), 0), "No Contingency Table"), "Not Included")</f>
        <v>4.1486990682251118E-2</v>
      </c>
      <c r="L70" s="41">
        <f>IF(F70,IF(NOT(ISBLANK(Raw!AF70)), Raw!AF70, IF(NOT(ISBLANK(Raw!AG70)), Raw!AG70, IF(NOT(ISBLANK(Raw!AH70)), Raw!AH70, IF(NOT(ISBLANK(Raw!AI70)), SQRT(Raw!AI70/H70)*Raw!AJ70, "Not Reported")))),"Not Included")</f>
        <v>0.04</v>
      </c>
      <c r="M70" s="43">
        <f t="shared" si="1"/>
        <v>4.1486990682251118E-2</v>
      </c>
      <c r="N70" s="11">
        <f t="shared" si="2"/>
        <v>1</v>
      </c>
      <c r="O70" s="48" t="b">
        <f>OR(NOT(ISBLANK(Raw!AK70)), COUNTIF(Raw!AA70:AD70, "&gt;=0") = 4)</f>
        <v>1</v>
      </c>
      <c r="P70" s="24" t="str">
        <f>IF(O70,IF(COUNTIF(Raw!AA70:AD70,"&gt;=0") = 4,"Contingency", "Paper k"), "Not Included")</f>
        <v>Contingency</v>
      </c>
      <c r="Q70" s="48">
        <f>IF(O70, IF(COUNTIF(Raw!AA70:AD70,"&gt;=0") = 4,SUM(Raw!AA70,Raw!AC70)/H70,"No Contingency Table"), "Not Included")</f>
        <v>0.55200000000000005</v>
      </c>
      <c r="R70" s="38">
        <f>IF(O70, IF(COUNTIF(Raw!AA70:AD70, "&gt;=0") = 4,SUM(SUM(Raw!AA70,Raw!AB70)*SUM(Raw!AA70,Raw!AD70),SUM(Raw!AC70,Raw!AD70)*SUM(Raw!AC70,Raw!AB70))/H70^2,"No Contingency Table"), "Not Included")</f>
        <v>0.53280000000000005</v>
      </c>
      <c r="S70" s="38">
        <f>IF(O70, IF(COUNTIF(Raw!AA70:AD70,"&gt;=0") = 4, IFERROR((Q70 - R70) / (1 - R70), "Could not calculate"), "No Contingency Table"), "Not Included")</f>
        <v>4.1095890410958895E-2</v>
      </c>
      <c r="T70" s="52" t="str">
        <f>IF(O70,IF(NOT(ISBLANK(Raw!AK70)), Raw!AK70, "Not Reported"), "Not Included")</f>
        <v>Not Reported</v>
      </c>
      <c r="U70" s="38">
        <f t="shared" si="3"/>
        <v>4.1095890410958895E-2</v>
      </c>
      <c r="V70" s="11" t="str">
        <f t="shared" si="4"/>
        <v>NA</v>
      </c>
      <c r="W70" s="11" t="b">
        <f>OR(NOT(ISBLANK(Raw!AU70)),COUNTIF(Raw!AL70:AT70,"&gt;=0") = 9)</f>
        <v>1</v>
      </c>
      <c r="X70" s="11" t="str">
        <f>IF(W70, IF(COUNTIF(Raw!AL70:AT70,"&gt;=0") = 9, "Contingency", "Paper k"), "Not Included")</f>
        <v>Contingency</v>
      </c>
      <c r="Y70" s="15">
        <f>IF(W70,IF(COUNTIF(Raw!AL70:AT70,"&gt;=0") = 9,SUM(Raw!AL70:AT70),"No Contingency Table"),"Not Included")</f>
        <v>125</v>
      </c>
      <c r="Z70" s="15">
        <f t="shared" si="5"/>
        <v>125</v>
      </c>
      <c r="AA70" s="11">
        <f>IF(W70,IF(COUNTIF(Raw!AL70:AT70,"&gt;=0") = 9,SUM(Raw!AL70,Raw!AP70,Raw!AT70)/Y70,"No Contingency Table"), "Not Included")</f>
        <v>0.52</v>
      </c>
      <c r="AB70" s="11">
        <f>IF(W70,IF(COUNTIF(Raw!AL70:AT70,"&gt;=0") = 9,SUM(SUM(Raw!AL70,Raw!AM70,Raw!AN70)*SUM(Raw!AL70,Raw!AO70,Raw!AR70),SUM(Raw!AO70,Raw!AP70,Raw!AQ70)*SUM(Raw!AM70,Raw!AP70,Raw!AS70),SUM(Raw!AR70,Raw!AS70,Raw!AT70)*SUM(Raw!AN70,Raw!AQ70,Raw!AT70))/Y70^2,"No Contingency Table"), "Not Included")</f>
        <v>0.46790399999999999</v>
      </c>
      <c r="AC70" s="11">
        <f>IF(W70,IF(COUNTIF(Raw!AL70:AT70,"&gt;=0") = 9,(AA70 - AB70) / (1 - AB70),"No Contingency Table"), "Not Included")</f>
        <v>9.7907144575415023E-2</v>
      </c>
      <c r="AD70" s="11" t="str">
        <f>IF(W70, IF(NOT(ISBLANK(Raw!AU70)),Raw!AU70,"Not Reported"), "Not Included")</f>
        <v>Not Reported</v>
      </c>
      <c r="AE70" s="11">
        <f t="shared" si="6"/>
        <v>9.7907144575415023E-2</v>
      </c>
      <c r="AF70" s="11" t="str">
        <f t="shared" si="7"/>
        <v>NA</v>
      </c>
      <c r="AG70" s="11" t="b">
        <f>COUNTIF(Raw!AV70:BK70, "&gt;=0") = 16</f>
        <v>0</v>
      </c>
      <c r="AH70" s="11" t="str">
        <f>IF(AG70, IF(COUNTIF(Raw!AV70:BK70,"&gt;=0") = 16, "Contingency", "Paper k"), "Not Included")</f>
        <v>Not Included</v>
      </c>
      <c r="AI70" s="11" t="str">
        <f>IF(AG70,IF(COUNTIF(Raw!AV70:BK70,"&gt;=0") = 16,SUM(Raw!AV70:BK70),"No Contingency Table"),"Not Included")</f>
        <v>Not Included</v>
      </c>
      <c r="AJ70" s="15">
        <f t="shared" si="8"/>
        <v>125</v>
      </c>
      <c r="AK70" s="11" t="str">
        <f>IF(AG70,IF(COUNTIF(Raw!AV70:BK70,"&gt;=0") = 16,SUM(Raw!AV70,Raw!BA70,Raw!BF70,Raw!BK70)/AI70,"No Contingency Table"), "Not Included")</f>
        <v>Not Included</v>
      </c>
      <c r="AL70" s="11" t="str">
        <f>IF(AG70,IF(COUNTIF(Raw!AV70:BK70,"&gt;=0") = 16,SUM(SUM(Raw!AV70,Raw!AW70,Raw!AX70,Raw!AY70)*SUM(Raw!AV70,Raw!AZ70,Raw!BD70,Raw!BH70),SUM(Raw!AZ70,Raw!BA70,Raw!BB70,Raw!BC70)*SUM(Raw!AW70,Raw!BA70,Raw!BE70,Raw!BI70),SUM(Raw!BD70,Raw!BE70,Raw!BF70,Raw!BG70)*SUM(Raw!AX70,Raw!BB70,Raw!BF70,Raw!BJ70),SUM(Raw!BH70,Raw!BI70,Raw!BJ70,Raw!BK70)*SUM(Raw!AY70,Raw!BC70,Raw!BG70,Raw!BK70))/AI70^2,"No Contingency Table"), "Not Included")</f>
        <v>Not Included</v>
      </c>
      <c r="AM70" s="11" t="str">
        <f>IF(AG70,IF(COUNTIF(Raw!AV70:BK70,"&gt;=0") = 16,(AK70 - AL70) / (1 - AL70),"No Contingency Table"), "Not Included")</f>
        <v>Not Included</v>
      </c>
      <c r="AN70" s="11" t="str">
        <f>IF(NOT(ISBLANK(Raw!BL70)),Raw!BL70,"Not Reported")</f>
        <v>Not Reported</v>
      </c>
      <c r="AO70" s="11" t="str">
        <f t="shared" si="9"/>
        <v>Not Reported</v>
      </c>
      <c r="AP70" s="11" t="str">
        <f t="shared" si="10"/>
        <v>Not Included</v>
      </c>
      <c r="AQ70" s="11" t="b">
        <f t="shared" ref="AQ70:AR70" si="291">BQ70</f>
        <v>0</v>
      </c>
      <c r="AR70" s="11" t="str">
        <f t="shared" si="291"/>
        <v>Not Included</v>
      </c>
      <c r="AS70" s="11" t="str">
        <f t="shared" si="12"/>
        <v>Not Included</v>
      </c>
      <c r="AT70" s="11" t="str">
        <f t="shared" si="13"/>
        <v>Not Included</v>
      </c>
      <c r="AU70" s="11" t="str">
        <f>IF(AQ70, IF(COUNTIF(Raw!AV70:BK70, "&gt;=0") = 16, IFERROR((AT70*Raw!BK70 - SUM(Raw!BH70, Raw!BI70, Raw!BJ70, Raw!BK70)*SUM(Raw!AY70, Raw!BC70, Raw!BG70, Raw!BK70)) / SQRT((AT70*SUM(Raw!BH70, Raw!BI70, Raw!BJ70, Raw!BK70) - SUM(Raw!BH70, Raw!BI70, Raw!BJ70, Raw!BK70)^2) * (AT70*SUM(Raw!AY70, Raw!BC70, Raw!BG70, Raw!BK70) - SUM(Raw!AY70, Raw!BC70, Raw!BG70, Raw!BK70)^2)), 0), "No Contingency Table"), "Not Included")</f>
        <v>Not Included</v>
      </c>
      <c r="AV70" s="11" t="str">
        <f>IF(AQ70,IF(NOT(ISBLANK(Raw!BQ70)), Raw!BQ70, IF(NOT(ISBLANK(Raw!BR70)), Raw!BR70, "Not Reported")), "Not Included")</f>
        <v>Not Included</v>
      </c>
      <c r="AW70" s="57" t="str">
        <f t="shared" si="14"/>
        <v>Not Included</v>
      </c>
      <c r="AX70" s="11" t="str">
        <f t="shared" si="15"/>
        <v>Not Included</v>
      </c>
      <c r="AY70" s="11" t="b">
        <f t="shared" ref="AY70:AZ70" si="292">AQ70</f>
        <v>0</v>
      </c>
      <c r="AZ70" s="11" t="str">
        <f t="shared" si="292"/>
        <v>Not Included</v>
      </c>
      <c r="BA70" s="11" t="str">
        <f>IF(AY70, IF(COUNTIF(Raw!AV70:BK70, "&gt;=0") = 16, SUM(Raw!AV70,Raw!AW70,Raw!AX70,Raw!AZ70,Raw!BA70,Raw!BB70,Raw!BD70,Raw!BE70,Raw!BF70,Raw!BK70)/SUM(Raw!AV70:BK70), "No Contingency Table"), "Not Included")</f>
        <v>Not Included</v>
      </c>
      <c r="BB70" s="11" t="str">
        <f>IF(AY70, IF(COUNTIF(Raw!AV70:BK70, "&gt;=0") = 16,SUM(SUM(Raw!BH70,Raw!BI70,Raw!BJ70,Raw!BK70)*SUM(Raw!AY70,Raw!BC70,Raw!BG70,Raw!BK70),SUM(Raw!AV70:BG70)*SUM(Raw!AV70,Raw!AW70,Raw!AX70,Raw!AZ70,Raw!BA70,Raw!BB70,Raw!BD70,Raw!BE70,Raw!BF70,Raw!BH70,Raw!BI70,Raw!BJ70))/AT70^2,"No Contingency Table"), "Not Included")</f>
        <v>Not Included</v>
      </c>
      <c r="BC70" s="11" t="str">
        <f>IF(AY70, IF(COUNTIF(Raw!AV70:BK70, "&gt;=0") = 16,(BA70-BB70) / (1 - BB70),"No Contingency Table"), "Not Included")</f>
        <v>Not Included</v>
      </c>
      <c r="BD70" s="11" t="str">
        <f>IF(AY70,IF(NOT(ISBLANK(Raw!BT91)),Raw!BT91,"Not Reported"),"Not Included")</f>
        <v>Not Included</v>
      </c>
      <c r="BE70" s="11" t="str">
        <f t="shared" si="17"/>
        <v>Not Included</v>
      </c>
      <c r="BF70" s="11" t="str">
        <f t="shared" si="18"/>
        <v>Not Included</v>
      </c>
      <c r="BG70" s="11">
        <f>Raw!K70</f>
        <v>1996</v>
      </c>
      <c r="BH70" s="11" t="str">
        <f>IF(Raw!L70 = "USA","USA","Non-USA")</f>
        <v>USA</v>
      </c>
      <c r="BI70" s="11" t="str">
        <f>Raw!M70</f>
        <v>Ainsworth/Ainsworth</v>
      </c>
      <c r="BJ70" s="11">
        <f>Raw!N70</f>
        <v>1</v>
      </c>
      <c r="BK70" s="11">
        <f>Raw!P70</f>
        <v>0</v>
      </c>
      <c r="BL70" s="11">
        <f>Raw!Q70</f>
        <v>0</v>
      </c>
      <c r="BM70" s="11">
        <f>Raw!T70</f>
        <v>1</v>
      </c>
      <c r="BN70" s="11">
        <f>IFERROR(IF(AND(ISBLANK(Raw!U70), ISBLANK(Raw!V70), ISBLANK(Raw!W70), ISBLANK(Raw!X70)), "NA", IF(OR(NOT(ISBLANK(Raw!U70)), NOT(ISBLANK(Raw!W70))), AVERAGE(Raw!U70,Raw!W70), AVERAGE(Raw!V70,Raw!X70) + IF(Raw!Y70 = "2-way", R70, IF(Raw!Y70 = "3-way", AB70, IF(Raw!Y70 = "4-way", AL70, "NA")))*(1 - AVERAGE(Raw!V70,Raw!X70)))), "NA")</f>
        <v>0.93082752000000002</v>
      </c>
      <c r="BO70" s="11">
        <f>Raw!O70</f>
        <v>0</v>
      </c>
      <c r="BP70" s="11" t="str">
        <f>Raw!F70</f>
        <v>Female</v>
      </c>
      <c r="BQ70" s="11" t="b">
        <f>COUNTIF(Raw!AV70:BK70, "&gt;=0") = 16</f>
        <v>0</v>
      </c>
      <c r="BR70" s="11" t="str">
        <f t="shared" si="19"/>
        <v>Not Included</v>
      </c>
      <c r="BS70" s="11" t="str">
        <f t="shared" si="20"/>
        <v>Not Included</v>
      </c>
      <c r="BT70" s="11" t="str">
        <f>IF(BQ70, IF(COUNTIF(Raw!AV70:BK70, "&gt;=0") = 16, IFERROR((BS70*Raw!AV70 - SUM(Raw!AV70, Raw!AW70, Raw!AX70, Raw!AY70)*SUM(Raw!AV70, Raw!AZ70, Raw!BD70, Raw!BH70)) / SQRT((BS70*SUM(Raw!AV70, Raw!AW70, Raw!AX70, Raw!AY70) - SUM(Raw!AV70, Raw!AW70, Raw!AX70, Raw!AY70)^2) * (BS70*SUM(Raw!AV70, Raw!AZ70, Raw!BD70, Raw!BH70) - SUM(Raw!AV70, Raw!AZ70, Raw!BD70, Raw!BH70)^2)), 0), "No Contingency Table"), "Not Included")</f>
        <v>Not Included</v>
      </c>
      <c r="BU70" s="11" t="str">
        <f>IF(BQ70, IF(COUNTIF(Raw!AV70:BK70, "&gt;=0") = 16, SUM(Raw!BK70,Raw!BJ70,Raw!BI70,Raw!BG70,Raw!BF70,Raw!BE70,Raw!BC70,Raw!BB70,Raw!BA70,Raw!AV70)/SUM(Raw!AV70:BK70), "No Contingency Table"), "Not Included")</f>
        <v>Not Included</v>
      </c>
      <c r="BV70" s="11" t="str">
        <f>IF(BQ70, IF(COUNTIF(Raw!AV70:BK70, "&gt;=0") = 16,SUM(SUM(Raw!AV70,Raw!AW70,Raw!AX70,Raw!AY70)*SUM(Raw!AV70,Raw!AZ70,Raw!BD70,Raw!BH70),SUM(Raw!AZ70:BK70)*SUM(Raw!AW70,Raw!AX70,Raw!AY70,Raw!BA70,Raw!BB70,Raw!BC70,Raw!BE70,Raw!BF70,Raw!BG70,Raw!BI70,Raw!BJ70,Raw!BK70))/BS70^2,"No Contingency Table"), "Not Included")</f>
        <v>Not Included</v>
      </c>
      <c r="BW70" s="11" t="str">
        <f>IF(BQ70, IF(COUNTIF(Raw!AV70:BK70, "&gt;=0") = 16,(BU70-BV70) / (1 - BV70),"No Contingency Table"), "Not Included")</f>
        <v>Not Included</v>
      </c>
      <c r="BX70" s="11" t="b">
        <f t="shared" ref="BX70:BZ70" si="293">BQ70</f>
        <v>0</v>
      </c>
      <c r="BY70" s="11" t="str">
        <f t="shared" si="293"/>
        <v>Not Included</v>
      </c>
      <c r="BZ70" s="11" t="str">
        <f t="shared" si="293"/>
        <v>Not Included</v>
      </c>
      <c r="CA70" s="11" t="str">
        <f>IF(BX70, IF(COUNTIF(Raw!AV70:BK70, "&gt;=0") = 16, IFERROR((BZ70*Raw!BF70 - SUM(Raw!BD70, Raw!BE70, Raw!BF70, Raw!BG70)*SUM(Raw!BF70, Raw!AX70, Raw!BB70, Raw!BJ70)) / SQRT((BZ70*SUM(Raw!BD70, Raw!BE70, Raw!BF70, Raw!BG70) - SUM(Raw!BD70, Raw!BE70, Raw!BF70, Raw!BG70)^2) * (BZ70*SUM(Raw!BF70, Raw!AX70, Raw!BB70, Raw!BJ70) - SUM(Raw!BF70, Raw!AX70, Raw!BB70, Raw!BJ70)^2)), 0), "No Contingency Table"), "Not Included")</f>
        <v>Not Included</v>
      </c>
      <c r="CB70" s="11" t="str">
        <f>IF(BX70, IF(COUNTIF(Raw!AV70:BK70, "&gt;=0") = 16, SUM(Raw!AV70,Raw!AW70,Raw!AY70,Raw!AZ70,Raw!BA70,Raw!BC70,Raw!BF70,Raw!BH70,Raw!BI70,Raw!BK70) / SUM(Raw!AV70:BK70), "No Contingency Table"), "Not Included")</f>
        <v>Not Included</v>
      </c>
      <c r="CC70" s="11" t="str">
        <f>IF(BX70, IF(COUNTIF(Raw!AV70:BK70, "&gt;=0") = 16,SUM(SUM(Raw!BD70,Raw!BE70,Raw!BF70,Raw!BG70)*SUM(Raw!BF70,Raw!AX70,Raw!BB70,Raw!BJ70),SUM(Raw!AV70:BC70,Raw!BH70:BK70)*SUM(Raw!AV70,Raw!AW70,Raw!AY70,Raw!AZ70,Raw!BA70,Raw!BC70,Raw!BD70,Raw!BE70,Raw!BG70,Raw!BH70,Raw!BI70,Raw!BK70))/BZ70^2,"No Contingency Table"), "Not Included")</f>
        <v>Not Included</v>
      </c>
      <c r="CD70" s="11" t="str">
        <f>IF(BX70, IF(COUNTIF(Raw!AV70:BK70, "&gt;=0") = 16,(CB70 - CC70) / (1 - CC70+0.000001),"No Contingency Table"), "Not Included")</f>
        <v>Not Included</v>
      </c>
      <c r="CE70" s="11" t="b">
        <f t="shared" ref="CE70:CG70" si="294">BQ70</f>
        <v>0</v>
      </c>
      <c r="CF70" s="11" t="str">
        <f t="shared" si="294"/>
        <v>Not Included</v>
      </c>
      <c r="CG70" s="11" t="str">
        <f t="shared" si="294"/>
        <v>Not Included</v>
      </c>
      <c r="CH70" s="11" t="str">
        <f>IF(CE70, IF(COUNTIF(Raw!AV70:BK70, "&gt;=0") = 16, IFERROR((CG70*Raw!BA70 - SUM(Raw!BA70, Raw!AZ70, Raw!BB70, Raw!BC70)*SUM(Raw!BA70, Raw!AW70, Raw!BE70, Raw!BI70)) / SQRT((CG70*SUM(Raw!BA70, Raw!AZ70, Raw!BB70, Raw!BC70) - SUM(Raw!BA70, Raw!AZ70, Raw!BB70, Raw!BC70)^2) * (CG70*SUM(Raw!BA70, Raw!AW70, Raw!BE70, Raw!BI70) - SUM(Raw!BA70, Raw!AW70, Raw!BE70, Raw!BI70)^2)), 0), "No Contingency Table"), "Not Included")</f>
        <v>Not Included</v>
      </c>
      <c r="CI70" s="11" t="str">
        <f>IF(CE70, IF(COUNTIF(Raw!AV70:BK70, "&gt;=0") = 16, SUM(Raw!AV70,Raw!AX70,Raw!AY70,Raw!BA70,Raw!BD70,Raw!BF70,Raw!BG70,Raw!BH70,Raw!BJ70,Raw!BK70) / SUM(Raw!AV70:BK70), "No Contingency Table"), "Not Included")</f>
        <v>Not Included</v>
      </c>
      <c r="CJ70" s="61" t="str">
        <f>IF(BX70, IF(COUNTIF(Raw!AV70:BK70, "&gt;=0") = 16,SUM(SUM(Raw!AZ70,Raw!BA70,Raw!BB70,Raw!BC70)*SUM(Raw!BA70,Raw!AW70,Raw!BE70,Raw!BI70),SUM(Raw!AV70:AY70,Raw!BD70:BK70)*SUM(Raw!AV70,Raw!AX70,Raw!AY70,Raw!AZ70,Raw!BB70,Raw!BC70,Raw!BD70,Raw!BF70,Raw!BG70,Raw!BH70,Raw!BJ70,Raw!BK70))/CG70^2,"No Contingency Table"), "Not Included")</f>
        <v>Not Included</v>
      </c>
      <c r="CK70" s="11" t="str">
        <f>IF(BX70, IF(COUNTIF(Raw!AV70:BK70, "&gt;=0") = 16,(CI70 - CJ70) / (1 - CJ70),"No Contingency Table"), "Not Included")</f>
        <v>Not Included</v>
      </c>
      <c r="CL70" s="11" t="str">
        <f>IF(BQ70, IFERROR(Raw!AV70/SUM(Raw!AV70:AY70), 0), "Not Included")</f>
        <v>Not Included</v>
      </c>
      <c r="CM70" s="11" t="str">
        <f>IF(BQ70, IFERROR(Raw!BA70/SUM(Raw!AZ70:BC70), 0), "Not Included")</f>
        <v>Not Included</v>
      </c>
      <c r="CN70" s="11" t="str">
        <f>IF(BQ70, IFERROR(Raw!BF70/SUM(Raw!BD70:BG70), 0), "Not Included")</f>
        <v>Not Included</v>
      </c>
      <c r="CO70" s="11" t="str">
        <f>IF(BQ70, IFERROR(Raw!BK70/SUM(Raw!BH70:BK70), 0), "Not Included")</f>
        <v>Not Included</v>
      </c>
      <c r="CP70" s="11" t="str">
        <f>IF(BQ70, IFERROR(SUM(Raw!AV70,Raw!AX70,Raw!AY70,Raw!BD70,Raw!BF70,Raw!BG70,Raw!BH70,Raw!BJ70,Raw!BK70)/SUM(Raw!AV70,Raw!AW70,Raw!AX70,Raw!AY70,Raw!BD70,Raw!BE70,Raw!BF70,Raw!BG70,Raw!BH70,Raw!BI70,Raw!BJ70,Raw!BK70), 0), "Not Included")</f>
        <v>Not Included</v>
      </c>
      <c r="CQ70" s="11" t="str">
        <f>IF(BQ70, IFERROR(SUM(Raw!AV70:AX70,Raw!AZ70:BB70,Raw!BD70:BF70)/SUM(Raw!AV70:BF70), 0), "Not Included")</f>
        <v>Not Included</v>
      </c>
      <c r="CR70" s="11" t="str">
        <f>IF(BQ70, IFERROR(SUM(Raw!AV70:AY70), 0), "Not Included")</f>
        <v>Not Included</v>
      </c>
      <c r="CS70" s="11" t="str">
        <f>IF(BQ70, IFERROR(SUM(Raw!AZ70:BC70), 0), "Not Included")</f>
        <v>Not Included</v>
      </c>
      <c r="CT70" s="11" t="str">
        <f>IF(BQ70, IFERROR(SUM(Raw!BD70:BG70), 0), "Not Included")</f>
        <v>Not Included</v>
      </c>
      <c r="CU70" s="11" t="str">
        <f>IF(BQ70, IFERROR(SUM(Raw!BH70:BK70), 0), "Not Included")</f>
        <v>Not Included</v>
      </c>
      <c r="CV70" s="11" t="str">
        <f>IF(BQ70, IFERROR(SUM(Raw!AV70,Raw!AW70,Raw!AX70,Raw!AY70,Raw!BD70,Raw!BE70,Raw!BF70,Raw!BG70,Raw!BH70,Raw!BI70,Raw!BJ70,Raw!BK70), 0), "Not Included")</f>
        <v>Not Included</v>
      </c>
      <c r="CW70" s="11" t="str">
        <f>IF(BQ70, IFERROR(SUM(Raw!AV70:BF70), 0), "Not Included")</f>
        <v>Not Included</v>
      </c>
      <c r="CX70" s="11" t="str">
        <f>IF(BQ70, IFERROR((CR70*SUM(Raw!AV70,Raw!AZ70,Raw!BD70,Raw!BH70))/BS70/CR70, 0), "Not Included")</f>
        <v>Not Included</v>
      </c>
      <c r="CY70" s="11" t="str">
        <f>IF(BX70, IFERROR((CS70*SUM(Raw!BA70,Raw!AW70,Raw!BE70,Raw!BI70))/CG70/CS70, 0), "Not Included")</f>
        <v>Not Included</v>
      </c>
      <c r="CZ70" s="11" t="str">
        <f>IF(BX70, IFERROR((CT70*SUM(Raw!BF70,Raw!AX70,Raw!BB70,Raw!BJ70))/BZ70/CT70, 0), "Not Included")</f>
        <v>Not Included</v>
      </c>
      <c r="DA70" s="11" t="str">
        <f>IF(AY70, IFERROR((CU70*SUM(Raw!AY70,Raw!BC70,Raw!BG70,Raw!BK70))/AT70/CU70, 0), "Not Included")</f>
        <v>Not Included</v>
      </c>
      <c r="DB70" s="11" t="str">
        <f>IF(BX70, IFERROR((CV70*SUM(Raw!AV70,Raw!AX70,Raw!AY70,Raw!AZ70,Raw!BB70,Raw!BC70,Raw!BD70,Raw!BF70,Raw!BG70,Raw!BH70,Raw!BJ70,Raw!BK70))/CG70/CV70,0), "Not Included")</f>
        <v>Not Included</v>
      </c>
      <c r="DC70" s="11" t="str">
        <f>IF(AY70, IFERROR((CW70*SUM(Raw!AV70,Raw!AW70,Raw!AX70,Raw!AZ70,Raw!BA70,Raw!BB70,Raw!BD70,Raw!BE70,Raw!BF70,Raw!BH70,Raw!BI70,Raw!BJ70))/AT70/CW70,0), "Not Included")</f>
        <v>Not Included</v>
      </c>
    </row>
    <row r="71" spans="1:107" ht="12.75" customHeight="1">
      <c r="A71" s="11">
        <f>Raw!D71</f>
        <v>50</v>
      </c>
      <c r="B71" s="11" t="str">
        <f>Raw!A71</f>
        <v>Belsky et al. (1996)</v>
      </c>
      <c r="C71" s="11">
        <f>Raw!G71</f>
        <v>1</v>
      </c>
      <c r="D71" s="11" t="str">
        <f>Raw!E71</f>
        <v>Mother-child (Univ. Pitt.)</v>
      </c>
      <c r="E71" s="11" t="str">
        <f>CONCATENATE(IF(Raw!I71&lt;='Interval Definitions'!$B$2, 'Interval Definitions'!$A$2, IF(Raw!I71&lt;='Interval Definitions'!$B$3, 'Interval Definitions'!$A$3, IF(Raw!I71&lt;='Interval Definitions'!$B$4, 'Interval Definitions'!$A$4, IF(Raw!I71&lt;='Interval Definitions'!$B$5, 'Interval Definitions'!$A$5, "None")))), " - ", IF(Raw!J71&lt;='Interval Definitions'!$B$2, 'Interval Definitions'!$A$2, IF(Raw!J71&lt;='Interval Definitions'!$B$3, 'Interval Definitions'!$A$3, IF(Raw!J71&lt;='Interval Definitions'!$B$4, 'Interval Definitions'!$A$4, IF(Raw!J71&lt;='Interval Definitions'!$B$5, 'Interval Definitions'!$A$5, "None")))))</f>
        <v>Infancy - Infancy</v>
      </c>
      <c r="F71" s="11" t="b">
        <f>OR(NOT(ISBLANK(Raw!AF71)),NOT(ISBLANK(Raw!AG71)),NOT(ISBLANK(Raw!AH71)),NOT(ISBLANK(Raw!AI71)),COUNTIF(Raw!AA71:AD71, "&gt;=0") = 4)</f>
        <v>1</v>
      </c>
      <c r="G71" s="11" t="str">
        <f>IF(F71, IF(COUNTIF(Raw!AA71:AD71,"&gt;=0") = 4, "Contingency", IF(NOT(ISBLANK(Raw!AF71)), "Paper r", IF(NOT(ISBLANK(Raw!AG71)), "Pinquart", IF(NOT(ISBLANK(Raw!AH71)), "Fraley", "Paper chiSq")))), "Not Included")</f>
        <v>Contingency</v>
      </c>
      <c r="H71" s="15">
        <f>IF(F71,Raw!AE71,"Not Included")</f>
        <v>90</v>
      </c>
      <c r="I71" s="15">
        <f>IF(COUNTIF(Raw!AA71:AD71,"&gt;=0") = 4, SUM(Raw!AA71:AD71), "No Contingency Table")</f>
        <v>90</v>
      </c>
      <c r="J71" s="15">
        <f t="shared" si="0"/>
        <v>90</v>
      </c>
      <c r="K71" s="38">
        <f>IF(F71, IF(COUNTIF(Raw!AA71:AD71,"&gt;=0") = 4, IFERROR((I71*Raw!AA71 - SUM(Raw!AA71,Raw!AB71)*SUM(Raw!AA71,Raw!AD71)) / SQRT((I71*SUM(Raw!AA71,Raw!AB71) - SUM(Raw!AA71,Raw!AB71)^2) * (I71*SUM(Raw!AA71,Raw!AD71) - SUM(Raw!AA71,Raw!AD71)^2)), 0), "No Contingency Table"), "Not Included")</f>
        <v>-2.5482359571881278E-2</v>
      </c>
      <c r="L71" s="41">
        <f>IF(F71,IF(NOT(ISBLANK(Raw!AF71)), Raw!AF71, IF(NOT(ISBLANK(Raw!AG71)), Raw!AG71, IF(NOT(ISBLANK(Raw!AH71)), Raw!AH71, IF(NOT(ISBLANK(Raw!AI71)), SQRT(Raw!AI71/H71)*Raw!AJ71, "Not Reported")))),"Not Included")</f>
        <v>-0.03</v>
      </c>
      <c r="M71" s="43">
        <f t="shared" si="1"/>
        <v>-2.5482359571881278E-2</v>
      </c>
      <c r="N71" s="11">
        <f t="shared" si="2"/>
        <v>1</v>
      </c>
      <c r="O71" s="48" t="b">
        <f>OR(NOT(ISBLANK(Raw!AK71)), COUNTIF(Raw!AA71:AD71, "&gt;=0") = 4)</f>
        <v>1</v>
      </c>
      <c r="P71" s="24" t="str">
        <f>IF(O71,IF(COUNTIF(Raw!AA71:AD71,"&gt;=0") = 4,"Contingency", "Paper k"), "Not Included")</f>
        <v>Contingency</v>
      </c>
      <c r="Q71" s="48">
        <f>IF(O71, IF(COUNTIF(Raw!AA71:AD71,"&gt;=0") = 4,SUM(Raw!AA71,Raw!AC71)/H71,"No Contingency Table"), "Not Included")</f>
        <v>0.5</v>
      </c>
      <c r="R71" s="38">
        <f>IF(O71, IF(COUNTIF(Raw!AA71:AD71, "&gt;=0") = 4,SUM(SUM(Raw!AA71,Raw!AB71)*SUM(Raw!AA71,Raw!AD71),SUM(Raw!AC71,Raw!AD71)*SUM(Raw!AC71,Raw!AB71))/H71^2,"No Contingency Table"), "Not Included")</f>
        <v>0.51234567901234573</v>
      </c>
      <c r="S71" s="38">
        <f>IF(O71, IF(COUNTIF(Raw!AA71:AD71,"&gt;=0") = 4, IFERROR((Q71 - R71) / (1 - R71), "Could not calculate"), "No Contingency Table"), "Not Included")</f>
        <v>-2.5316455696202646E-2</v>
      </c>
      <c r="T71" s="52" t="str">
        <f>IF(O71,IF(NOT(ISBLANK(Raw!AK71)), Raw!AK71, "Not Reported"), "Not Included")</f>
        <v>Not Reported</v>
      </c>
      <c r="U71" s="38">
        <f t="shared" si="3"/>
        <v>-2.5316455696202646E-2</v>
      </c>
      <c r="V71" s="11" t="str">
        <f t="shared" si="4"/>
        <v>NA</v>
      </c>
      <c r="W71" s="11" t="b">
        <f>OR(NOT(ISBLANK(Raw!AU71)),COUNTIF(Raw!AL71:AT71,"&gt;=0") = 9)</f>
        <v>1</v>
      </c>
      <c r="X71" s="11" t="str">
        <f>IF(W71, IF(COUNTIF(Raw!AL71:AT71,"&gt;=0") = 9, "Contingency", "Paper k"), "Not Included")</f>
        <v>Contingency</v>
      </c>
      <c r="Y71" s="15">
        <f>IF(W71,IF(COUNTIF(Raw!AL71:AT71,"&gt;=0") = 9,SUM(Raw!AL71:AT71),"No Contingency Table"),"Not Included")</f>
        <v>90</v>
      </c>
      <c r="Z71" s="15">
        <f t="shared" si="5"/>
        <v>90</v>
      </c>
      <c r="AA71" s="11">
        <f>IF(W71,IF(COUNTIF(Raw!AL71:AT71,"&gt;=0") = 9,SUM(Raw!AL71,Raw!AP71,Raw!AT71)/Y71,"No Contingency Table"), "Not Included")</f>
        <v>0.45555555555555555</v>
      </c>
      <c r="AB71" s="11">
        <f>IF(W71,IF(COUNTIF(Raw!AL71:AT71,"&gt;=0") = 9,SUM(SUM(Raw!AL71,Raw!AM71,Raw!AN71)*SUM(Raw!AL71,Raw!AO71,Raw!AR71),SUM(Raw!AO71,Raw!AP71,Raw!AQ71)*SUM(Raw!AM71,Raw!AP71,Raw!AS71),SUM(Raw!AR71,Raw!AS71,Raw!AT71)*SUM(Raw!AN71,Raw!AQ71,Raw!AT71))/Y71^2,"No Contingency Table"), "Not Included")</f>
        <v>0.45876543209876541</v>
      </c>
      <c r="AC71" s="11">
        <f>IF(W71,IF(COUNTIF(Raw!AL71:AT71,"&gt;=0") = 9,(AA71 - AB71) / (1 - AB71),"No Contingency Table"), "Not Included")</f>
        <v>-5.93065693430655E-3</v>
      </c>
      <c r="AD71" s="11" t="str">
        <f>IF(W71, IF(NOT(ISBLANK(Raw!AU71)),Raw!AU71,"Not Reported"), "Not Included")</f>
        <v>Not Reported</v>
      </c>
      <c r="AE71" s="11">
        <f t="shared" si="6"/>
        <v>-5.93065693430655E-3</v>
      </c>
      <c r="AF71" s="11" t="str">
        <f t="shared" si="7"/>
        <v>NA</v>
      </c>
      <c r="AG71" s="11" t="b">
        <f>COUNTIF(Raw!AV71:BK71, "&gt;=0") = 16</f>
        <v>0</v>
      </c>
      <c r="AH71" s="11" t="str">
        <f>IF(AG71, IF(COUNTIF(Raw!AV71:BK71,"&gt;=0") = 16, "Contingency", "Paper k"), "Not Included")</f>
        <v>Not Included</v>
      </c>
      <c r="AI71" s="11" t="str">
        <f>IF(AG71,IF(COUNTIF(Raw!AV71:BK71,"&gt;=0") = 16,SUM(Raw!AV71:BK71),"No Contingency Table"),"Not Included")</f>
        <v>Not Included</v>
      </c>
      <c r="AJ71" s="15">
        <f t="shared" si="8"/>
        <v>90</v>
      </c>
      <c r="AK71" s="11" t="str">
        <f>IF(AG71,IF(COUNTIF(Raw!AV71:BK71,"&gt;=0") = 16,SUM(Raw!AV71,Raw!BA71,Raw!BF71,Raw!BK71)/AI71,"No Contingency Table"), "Not Included")</f>
        <v>Not Included</v>
      </c>
      <c r="AL71" s="11" t="str">
        <f>IF(AG71,IF(COUNTIF(Raw!AV71:BK71,"&gt;=0") = 16,SUM(SUM(Raw!AV71,Raw!AW71,Raw!AX71,Raw!AY71)*SUM(Raw!AV71,Raw!AZ71,Raw!BD71,Raw!BH71),SUM(Raw!AZ71,Raw!BA71,Raw!BB71,Raw!BC71)*SUM(Raw!AW71,Raw!BA71,Raw!BE71,Raw!BI71),SUM(Raw!BD71,Raw!BE71,Raw!BF71,Raw!BG71)*SUM(Raw!AX71,Raw!BB71,Raw!BF71,Raw!BJ71),SUM(Raw!BH71,Raw!BI71,Raw!BJ71,Raw!BK71)*SUM(Raw!AY71,Raw!BC71,Raw!BG71,Raw!BK71))/AI71^2,"No Contingency Table"), "Not Included")</f>
        <v>Not Included</v>
      </c>
      <c r="AM71" s="11" t="str">
        <f>IF(AG71,IF(COUNTIF(Raw!AV71:BK71,"&gt;=0") = 16,(AK71 - AL71) / (1 - AL71),"No Contingency Table"), "Not Included")</f>
        <v>Not Included</v>
      </c>
      <c r="AN71" s="11" t="str">
        <f>IF(NOT(ISBLANK(Raw!BL71)),Raw!BL71,"Not Reported")</f>
        <v>Not Reported</v>
      </c>
      <c r="AO71" s="11" t="str">
        <f t="shared" si="9"/>
        <v>Not Reported</v>
      </c>
      <c r="AP71" s="11" t="str">
        <f t="shared" si="10"/>
        <v>Not Included</v>
      </c>
      <c r="AQ71" s="11" t="b">
        <f t="shared" ref="AQ71:AR71" si="295">BQ71</f>
        <v>0</v>
      </c>
      <c r="AR71" s="11" t="str">
        <f t="shared" si="295"/>
        <v>Not Included</v>
      </c>
      <c r="AS71" s="11" t="str">
        <f t="shared" si="12"/>
        <v>Not Included</v>
      </c>
      <c r="AT71" s="11" t="str">
        <f t="shared" si="13"/>
        <v>Not Included</v>
      </c>
      <c r="AU71" s="11" t="str">
        <f>IF(AQ71, IF(COUNTIF(Raw!AV71:BK71, "&gt;=0") = 16, IFERROR((AT71*Raw!BK71 - SUM(Raw!BH71, Raw!BI71, Raw!BJ71, Raw!BK71)*SUM(Raw!AY71, Raw!BC71, Raw!BG71, Raw!BK71)) / SQRT((AT71*SUM(Raw!BH71, Raw!BI71, Raw!BJ71, Raw!BK71) - SUM(Raw!BH71, Raw!BI71, Raw!BJ71, Raw!BK71)^2) * (AT71*SUM(Raw!AY71, Raw!BC71, Raw!BG71, Raw!BK71) - SUM(Raw!AY71, Raw!BC71, Raw!BG71, Raw!BK71)^2)), 0), "No Contingency Table"), "Not Included")</f>
        <v>Not Included</v>
      </c>
      <c r="AV71" s="11" t="str">
        <f>IF(AQ71,IF(NOT(ISBLANK(Raw!BQ71)), Raw!BQ71, IF(NOT(ISBLANK(Raw!BR71)), Raw!BR71, "Not Reported")), "Not Included")</f>
        <v>Not Included</v>
      </c>
      <c r="AW71" s="57" t="str">
        <f t="shared" si="14"/>
        <v>Not Included</v>
      </c>
      <c r="AX71" s="11" t="str">
        <f t="shared" si="15"/>
        <v>Not Included</v>
      </c>
      <c r="AY71" s="11" t="b">
        <f t="shared" ref="AY71:AZ71" si="296">AQ71</f>
        <v>0</v>
      </c>
      <c r="AZ71" s="11" t="str">
        <f t="shared" si="296"/>
        <v>Not Included</v>
      </c>
      <c r="BA71" s="11" t="str">
        <f>IF(AY71, IF(COUNTIF(Raw!AV71:BK71, "&gt;=0") = 16, SUM(Raw!AV71,Raw!AW71,Raw!AX71,Raw!AZ71,Raw!BA71,Raw!BB71,Raw!BD71,Raw!BE71,Raw!BF71,Raw!BK71)/SUM(Raw!AV71:BK71), "No Contingency Table"), "Not Included")</f>
        <v>Not Included</v>
      </c>
      <c r="BB71" s="11" t="str">
        <f>IF(AY71, IF(COUNTIF(Raw!AV71:BK71, "&gt;=0") = 16,SUM(SUM(Raw!BH71,Raw!BI71,Raw!BJ71,Raw!BK71)*SUM(Raw!AY71,Raw!BC71,Raw!BG71,Raw!BK71),SUM(Raw!AV71:BG71)*SUM(Raw!AV71,Raw!AW71,Raw!AX71,Raw!AZ71,Raw!BA71,Raw!BB71,Raw!BD71,Raw!BE71,Raw!BF71,Raw!BH71,Raw!BI71,Raw!BJ71))/AT71^2,"No Contingency Table"), "Not Included")</f>
        <v>Not Included</v>
      </c>
      <c r="BC71" s="11" t="str">
        <f>IF(AY71, IF(COUNTIF(Raw!AV71:BK71, "&gt;=0") = 16,(BA71-BB71) / (1 - BB71),"No Contingency Table"), "Not Included")</f>
        <v>Not Included</v>
      </c>
      <c r="BD71" s="11" t="str">
        <f>IF(AY71,IF(NOT(ISBLANK(Raw!BT92)),Raw!BT92,"Not Reported"),"Not Included")</f>
        <v>Not Included</v>
      </c>
      <c r="BE71" s="11" t="str">
        <f t="shared" si="17"/>
        <v>Not Included</v>
      </c>
      <c r="BF71" s="11" t="str">
        <f t="shared" si="18"/>
        <v>Not Included</v>
      </c>
      <c r="BG71" s="11">
        <f>Raw!K71</f>
        <v>1996</v>
      </c>
      <c r="BH71" s="11" t="str">
        <f>IF(Raw!L71 = "USA","USA","Non-USA")</f>
        <v>USA</v>
      </c>
      <c r="BI71" s="11" t="str">
        <f>Raw!M71</f>
        <v>Ainsworth/Ainsworth</v>
      </c>
      <c r="BJ71" s="11">
        <f>Raw!N71</f>
        <v>1</v>
      </c>
      <c r="BK71" s="11">
        <f>Raw!P71</f>
        <v>0</v>
      </c>
      <c r="BL71" s="11">
        <f>Raw!Q71</f>
        <v>0</v>
      </c>
      <c r="BM71" s="11">
        <f>Raw!T71</f>
        <v>1</v>
      </c>
      <c r="BN71" s="11">
        <f>IFERROR(IF(AND(ISBLANK(Raw!U71), ISBLANK(Raw!V71), ISBLANK(Raw!W71), ISBLANK(Raw!X71)), "NA", IF(OR(NOT(ISBLANK(Raw!U71)), NOT(ISBLANK(Raw!W71))), AVERAGE(Raw!U71,Raw!W71), AVERAGE(Raw!V71,Raw!X71) + IF(Raw!Y71 = "2-way", R71, IF(Raw!Y71 = "3-way", AB71, IF(Raw!Y71 = "4-way", AL71, "NA")))*(1 - AVERAGE(Raw!V71,Raw!X71)))), "NA")</f>
        <v>0.95670123456790124</v>
      </c>
      <c r="BO71" s="11">
        <f>Raw!O71</f>
        <v>0</v>
      </c>
      <c r="BP71" s="11" t="str">
        <f>Raw!F71</f>
        <v>Female</v>
      </c>
      <c r="BQ71" s="11" t="b">
        <f>COUNTIF(Raw!AV71:BK71, "&gt;=0") = 16</f>
        <v>0</v>
      </c>
      <c r="BR71" s="11" t="str">
        <f t="shared" si="19"/>
        <v>Not Included</v>
      </c>
      <c r="BS71" s="11" t="str">
        <f t="shared" si="20"/>
        <v>Not Included</v>
      </c>
      <c r="BT71" s="11" t="str">
        <f>IF(BQ71, IF(COUNTIF(Raw!AV71:BK71, "&gt;=0") = 16, IFERROR((BS71*Raw!AV71 - SUM(Raw!AV71, Raw!AW71, Raw!AX71, Raw!AY71)*SUM(Raw!AV71, Raw!AZ71, Raw!BD71, Raw!BH71)) / SQRT((BS71*SUM(Raw!AV71, Raw!AW71, Raw!AX71, Raw!AY71) - SUM(Raw!AV71, Raw!AW71, Raw!AX71, Raw!AY71)^2) * (BS71*SUM(Raw!AV71, Raw!AZ71, Raw!BD71, Raw!BH71) - SUM(Raw!AV71, Raw!AZ71, Raw!BD71, Raw!BH71)^2)), 0), "No Contingency Table"), "Not Included")</f>
        <v>Not Included</v>
      </c>
      <c r="BU71" s="11" t="str">
        <f>IF(BQ71, IF(COUNTIF(Raw!AV71:BK71, "&gt;=0") = 16, SUM(Raw!BK71,Raw!BJ71,Raw!BI71,Raw!BG71,Raw!BF71,Raw!BE71,Raw!BC71,Raw!BB71,Raw!BA71,Raw!AV71)/SUM(Raw!AV71:BK71), "No Contingency Table"), "Not Included")</f>
        <v>Not Included</v>
      </c>
      <c r="BV71" s="11" t="str">
        <f>IF(BQ71, IF(COUNTIF(Raw!AV71:BK71, "&gt;=0") = 16,SUM(SUM(Raw!AV71,Raw!AW71,Raw!AX71,Raw!AY71)*SUM(Raw!AV71,Raw!AZ71,Raw!BD71,Raw!BH71),SUM(Raw!AZ71:BK71)*SUM(Raw!AW71,Raw!AX71,Raw!AY71,Raw!BA71,Raw!BB71,Raw!BC71,Raw!BE71,Raw!BF71,Raw!BG71,Raw!BI71,Raw!BJ71,Raw!BK71))/BS71^2,"No Contingency Table"), "Not Included")</f>
        <v>Not Included</v>
      </c>
      <c r="BW71" s="11" t="str">
        <f>IF(BQ71, IF(COUNTIF(Raw!AV71:BK71, "&gt;=0") = 16,(BU71-BV71) / (1 - BV71),"No Contingency Table"), "Not Included")</f>
        <v>Not Included</v>
      </c>
      <c r="BX71" s="11" t="b">
        <f t="shared" ref="BX71:BZ71" si="297">BQ71</f>
        <v>0</v>
      </c>
      <c r="BY71" s="11" t="str">
        <f t="shared" si="297"/>
        <v>Not Included</v>
      </c>
      <c r="BZ71" s="11" t="str">
        <f t="shared" si="297"/>
        <v>Not Included</v>
      </c>
      <c r="CA71" s="11" t="str">
        <f>IF(BX71, IF(COUNTIF(Raw!AV71:BK71, "&gt;=0") = 16, IFERROR((BZ71*Raw!BF71 - SUM(Raw!BD71, Raw!BE71, Raw!BF71, Raw!BG71)*SUM(Raw!BF71, Raw!AX71, Raw!BB71, Raw!BJ71)) / SQRT((BZ71*SUM(Raw!BD71, Raw!BE71, Raw!BF71, Raw!BG71) - SUM(Raw!BD71, Raw!BE71, Raw!BF71, Raw!BG71)^2) * (BZ71*SUM(Raw!BF71, Raw!AX71, Raw!BB71, Raw!BJ71) - SUM(Raw!BF71, Raw!AX71, Raw!BB71, Raw!BJ71)^2)), 0), "No Contingency Table"), "Not Included")</f>
        <v>Not Included</v>
      </c>
      <c r="CB71" s="11" t="str">
        <f>IF(BX71, IF(COUNTIF(Raw!AV71:BK71, "&gt;=0") = 16, SUM(Raw!AV71,Raw!AW71,Raw!AY71,Raw!AZ71,Raw!BA71,Raw!BC71,Raw!BF71,Raw!BH71,Raw!BI71,Raw!BK71) / SUM(Raw!AV71:BK71), "No Contingency Table"), "Not Included")</f>
        <v>Not Included</v>
      </c>
      <c r="CC71" s="11" t="str">
        <f>IF(BX71, IF(COUNTIF(Raw!AV71:BK71, "&gt;=0") = 16,SUM(SUM(Raw!BD71,Raw!BE71,Raw!BF71,Raw!BG71)*SUM(Raw!BF71,Raw!AX71,Raw!BB71,Raw!BJ71),SUM(Raw!AV71:BC71,Raw!BH71:BK71)*SUM(Raw!AV71,Raw!AW71,Raw!AY71,Raw!AZ71,Raw!BA71,Raw!BC71,Raw!BD71,Raw!BE71,Raw!BG71,Raw!BH71,Raw!BI71,Raw!BK71))/BZ71^2,"No Contingency Table"), "Not Included")</f>
        <v>Not Included</v>
      </c>
      <c r="CD71" s="11" t="str">
        <f>IF(BX71, IF(COUNTIF(Raw!AV71:BK71, "&gt;=0") = 16,(CB71 - CC71) / (1 - CC71+0.000001),"No Contingency Table"), "Not Included")</f>
        <v>Not Included</v>
      </c>
      <c r="CE71" s="11" t="b">
        <f t="shared" ref="CE71:CG71" si="298">BQ71</f>
        <v>0</v>
      </c>
      <c r="CF71" s="11" t="str">
        <f t="shared" si="298"/>
        <v>Not Included</v>
      </c>
      <c r="CG71" s="11" t="str">
        <f t="shared" si="298"/>
        <v>Not Included</v>
      </c>
      <c r="CH71" s="11" t="str">
        <f>IF(CE71, IF(COUNTIF(Raw!AV71:BK71, "&gt;=0") = 16, IFERROR((CG71*Raw!BA71 - SUM(Raw!BA71, Raw!AZ71, Raw!BB71, Raw!BC71)*SUM(Raw!BA71, Raw!AW71, Raw!BE71, Raw!BI71)) / SQRT((CG71*SUM(Raw!BA71, Raw!AZ71, Raw!BB71, Raw!BC71) - SUM(Raw!BA71, Raw!AZ71, Raw!BB71, Raw!BC71)^2) * (CG71*SUM(Raw!BA71, Raw!AW71, Raw!BE71, Raw!BI71) - SUM(Raw!BA71, Raw!AW71, Raw!BE71, Raw!BI71)^2)), 0), "No Contingency Table"), "Not Included")</f>
        <v>Not Included</v>
      </c>
      <c r="CI71" s="11" t="str">
        <f>IF(CE71, IF(COUNTIF(Raw!AV71:BK71, "&gt;=0") = 16, SUM(Raw!AV71,Raw!AX71,Raw!AY71,Raw!BA71,Raw!BD71,Raw!BF71,Raw!BG71,Raw!BH71,Raw!BJ71,Raw!BK71) / SUM(Raw!AV71:BK71), "No Contingency Table"), "Not Included")</f>
        <v>Not Included</v>
      </c>
      <c r="CJ71" s="61" t="str">
        <f>IF(BX71, IF(COUNTIF(Raw!AV71:BK71, "&gt;=0") = 16,SUM(SUM(Raw!AZ71,Raw!BA71,Raw!BB71,Raw!BC71)*SUM(Raw!BA71,Raw!AW71,Raw!BE71,Raw!BI71),SUM(Raw!AV71:AY71,Raw!BD71:BK71)*SUM(Raw!AV71,Raw!AX71,Raw!AY71,Raw!AZ71,Raw!BB71,Raw!BC71,Raw!BD71,Raw!BF71,Raw!BG71,Raw!BH71,Raw!BJ71,Raw!BK71))/CG71^2,"No Contingency Table"), "Not Included")</f>
        <v>Not Included</v>
      </c>
      <c r="CK71" s="11" t="str">
        <f>IF(BX71, IF(COUNTIF(Raw!AV71:BK71, "&gt;=0") = 16,(CI71 - CJ71) / (1 - CJ71),"No Contingency Table"), "Not Included")</f>
        <v>Not Included</v>
      </c>
      <c r="CL71" s="11" t="str">
        <f>IF(BQ71, IFERROR(Raw!AV71/SUM(Raw!AV71:AY71), 0), "Not Included")</f>
        <v>Not Included</v>
      </c>
      <c r="CM71" s="11" t="str">
        <f>IF(BQ71, IFERROR(Raw!BA71/SUM(Raw!AZ71:BC71), 0), "Not Included")</f>
        <v>Not Included</v>
      </c>
      <c r="CN71" s="11" t="str">
        <f>IF(BQ71, IFERROR(Raw!BF71/SUM(Raw!BD71:BG71), 0), "Not Included")</f>
        <v>Not Included</v>
      </c>
      <c r="CO71" s="11" t="str">
        <f>IF(BQ71, IFERROR(Raw!BK71/SUM(Raw!BH71:BK71), 0), "Not Included")</f>
        <v>Not Included</v>
      </c>
      <c r="CP71" s="11" t="str">
        <f>IF(BQ71, IFERROR(SUM(Raw!AV71,Raw!AX71,Raw!AY71,Raw!BD71,Raw!BF71,Raw!BG71,Raw!BH71,Raw!BJ71,Raw!BK71)/SUM(Raw!AV71,Raw!AW71,Raw!AX71,Raw!AY71,Raw!BD71,Raw!BE71,Raw!BF71,Raw!BG71,Raw!BH71,Raw!BI71,Raw!BJ71,Raw!BK71), 0), "Not Included")</f>
        <v>Not Included</v>
      </c>
      <c r="CQ71" s="11" t="str">
        <f>IF(BQ71, IFERROR(SUM(Raw!AV71:AX71,Raw!AZ71:BB71,Raw!BD71:BF71)/SUM(Raw!AV71:BF71), 0), "Not Included")</f>
        <v>Not Included</v>
      </c>
      <c r="CR71" s="11" t="str">
        <f>IF(BQ71, IFERROR(SUM(Raw!AV71:AY71), 0), "Not Included")</f>
        <v>Not Included</v>
      </c>
      <c r="CS71" s="11" t="str">
        <f>IF(BQ71, IFERROR(SUM(Raw!AZ71:BC71), 0), "Not Included")</f>
        <v>Not Included</v>
      </c>
      <c r="CT71" s="11" t="str">
        <f>IF(BQ71, IFERROR(SUM(Raw!BD71:BG71), 0), "Not Included")</f>
        <v>Not Included</v>
      </c>
      <c r="CU71" s="11" t="str">
        <f>IF(BQ71, IFERROR(SUM(Raw!BH71:BK71), 0), "Not Included")</f>
        <v>Not Included</v>
      </c>
      <c r="CV71" s="11" t="str">
        <f>IF(BQ71, IFERROR(SUM(Raw!AV71,Raw!AW71,Raw!AX71,Raw!AY71,Raw!BD71,Raw!BE71,Raw!BF71,Raw!BG71,Raw!BH71,Raw!BI71,Raw!BJ71,Raw!BK71), 0), "Not Included")</f>
        <v>Not Included</v>
      </c>
      <c r="CW71" s="11" t="str">
        <f>IF(BQ71, IFERROR(SUM(Raw!AV71:BF71), 0), "Not Included")</f>
        <v>Not Included</v>
      </c>
      <c r="CX71" s="11" t="str">
        <f>IF(BQ71, IFERROR((CR71*SUM(Raw!AV71,Raw!AZ71,Raw!BD71,Raw!BH71))/BS71/CR71, 0), "Not Included")</f>
        <v>Not Included</v>
      </c>
      <c r="CY71" s="11" t="str">
        <f>IF(BX71, IFERROR((CS71*SUM(Raw!BA71,Raw!AW71,Raw!BE71,Raw!BI71))/CG71/CS71, 0), "Not Included")</f>
        <v>Not Included</v>
      </c>
      <c r="CZ71" s="11" t="str">
        <f>IF(BX71, IFERROR((CT71*SUM(Raw!BF71,Raw!AX71,Raw!BB71,Raw!BJ71))/BZ71/CT71, 0), "Not Included")</f>
        <v>Not Included</v>
      </c>
      <c r="DA71" s="11" t="str">
        <f>IF(AY71, IFERROR((CU71*SUM(Raw!AY71,Raw!BC71,Raw!BG71,Raw!BK71))/AT71/CU71, 0), "Not Included")</f>
        <v>Not Included</v>
      </c>
      <c r="DB71" s="11" t="str">
        <f>IF(BX71, IFERROR((CV71*SUM(Raw!AV71,Raw!AX71,Raw!AY71,Raw!AZ71,Raw!BB71,Raw!BC71,Raw!BD71,Raw!BF71,Raw!BG71,Raw!BH71,Raw!BJ71,Raw!BK71))/CG71/CV71,0), "Not Included")</f>
        <v>Not Included</v>
      </c>
      <c r="DC71" s="11" t="str">
        <f>IF(AY71, IFERROR((CW71*SUM(Raw!AV71,Raw!AW71,Raw!AX71,Raw!AZ71,Raw!BA71,Raw!BB71,Raw!BD71,Raw!BE71,Raw!BF71,Raw!BH71,Raw!BI71,Raw!BJ71))/AT71/CW71,0), "Not Included")</f>
        <v>Not Included</v>
      </c>
    </row>
    <row r="72" spans="1:107" ht="12.75" customHeight="1">
      <c r="A72" s="11">
        <f>Raw!D72</f>
        <v>51</v>
      </c>
      <c r="B72" s="11" t="str">
        <f>Raw!A72</f>
        <v>Main &amp; Weston (1981)</v>
      </c>
      <c r="C72" s="11">
        <f>Raw!G72</f>
        <v>1</v>
      </c>
      <c r="D72" s="11" t="str">
        <f>Raw!E72</f>
        <v>Mother-child</v>
      </c>
      <c r="E72" s="11" t="str">
        <f>CONCATENATE(IF(Raw!I72&lt;='Interval Definitions'!$B$2, 'Interval Definitions'!$A$2, IF(Raw!I72&lt;='Interval Definitions'!$B$3, 'Interval Definitions'!$A$3, IF(Raw!I72&lt;='Interval Definitions'!$B$4, 'Interval Definitions'!$A$4, IF(Raw!I72&lt;='Interval Definitions'!$B$5, 'Interval Definitions'!$A$5, "None")))), " - ", IF(Raw!J72&lt;='Interval Definitions'!$B$2, 'Interval Definitions'!$A$2, IF(Raw!J72&lt;='Interval Definitions'!$B$3, 'Interval Definitions'!$A$3, IF(Raw!J72&lt;='Interval Definitions'!$B$4, 'Interval Definitions'!$A$4, IF(Raw!J72&lt;='Interval Definitions'!$B$5, 'Interval Definitions'!$A$5, "None")))))</f>
        <v>Infancy - Toddlerhood</v>
      </c>
      <c r="F72" s="11" t="b">
        <f>OR(NOT(ISBLANK(Raw!AF72)),NOT(ISBLANK(Raw!AG72)),NOT(ISBLANK(Raw!AH72)),NOT(ISBLANK(Raw!AI72)),COUNTIF(Raw!AA72:AD72, "&gt;=0") = 4)</f>
        <v>1</v>
      </c>
      <c r="G72" s="11" t="str">
        <f>IF(F72, IF(COUNTIF(Raw!AA72:AD72,"&gt;=0") = 4, "Contingency", IF(NOT(ISBLANK(Raw!AF72)), "Paper r", IF(NOT(ISBLANK(Raw!AG72)), "Pinquart", IF(NOT(ISBLANK(Raw!AH72)), "Fraley", "Paper chiSq")))), "Not Included")</f>
        <v>Pinquart</v>
      </c>
      <c r="H72" s="15">
        <f>IF(F72,Raw!AE72,"Not Included")</f>
        <v>15</v>
      </c>
      <c r="I72" s="15" t="str">
        <f>IF(COUNTIF(Raw!AA72:AD72,"&gt;=0") = 4, SUM(Raw!AA72:AD72), "No Contingency Table")</f>
        <v>No Contingency Table</v>
      </c>
      <c r="J72" s="15">
        <f t="shared" si="0"/>
        <v>15</v>
      </c>
      <c r="K72" s="38" t="str">
        <f>IF(F72, IF(COUNTIF(Raw!AA72:AD72,"&gt;=0") = 4, IFERROR((I72*Raw!AA72 - SUM(Raw!AA72,Raw!AB72)*SUM(Raw!AA72,Raw!AD72)) / SQRT((I72*SUM(Raw!AA72,Raw!AB72) - SUM(Raw!AA72,Raw!AB72)^2) * (I72*SUM(Raw!AA72,Raw!AD72) - SUM(Raw!AA72,Raw!AD72)^2)), 0), "No Contingency Table"), "Not Included")</f>
        <v>No Contingency Table</v>
      </c>
      <c r="L72" s="41">
        <f>IF(F72,IF(NOT(ISBLANK(Raw!AF72)), Raw!AF72, IF(NOT(ISBLANK(Raw!AG72)), Raw!AG72, IF(NOT(ISBLANK(Raw!AH72)), Raw!AH72, IF(NOT(ISBLANK(Raw!AI72)), SQRT(Raw!AI72/H72)*Raw!AJ72, "Not Reported")))),"Not Included")</f>
        <v>0.46</v>
      </c>
      <c r="M72" s="43">
        <f t="shared" si="1"/>
        <v>0.46</v>
      </c>
      <c r="N72" s="11" t="str">
        <f t="shared" si="2"/>
        <v>NA</v>
      </c>
      <c r="O72" s="48" t="b">
        <f>OR(NOT(ISBLANK(Raw!AK72)), COUNTIF(Raw!AA72:AD72, "&gt;=0") = 4)</f>
        <v>0</v>
      </c>
      <c r="P72" s="24" t="str">
        <f>IF(O72,IF(COUNTIF(Raw!AA72:AD72,"&gt;=0") = 4,"Contingency", "Paper k"), "Not Included")</f>
        <v>Not Included</v>
      </c>
      <c r="Q72" s="48" t="str">
        <f>IF(O72, IF(COUNTIF(Raw!AA72:AD72,"&gt;=0") = 4,SUM(Raw!AA72,Raw!AC72)/H72,"No Contingency Table"), "Not Included")</f>
        <v>Not Included</v>
      </c>
      <c r="R72" s="38" t="str">
        <f>IF(O72, IF(COUNTIF(Raw!AA72:AD72, "&gt;=0") = 4,SUM(SUM(Raw!AA72,Raw!AB72)*SUM(Raw!AA72,Raw!AD72),SUM(Raw!AC72,Raw!AD72)*SUM(Raw!AC72,Raw!AB72))/H72^2,"No Contingency Table"), "Not Included")</f>
        <v>Not Included</v>
      </c>
      <c r="S72" s="38" t="str">
        <f>IF(O72, IF(COUNTIF(Raw!AA72:AD72,"&gt;=0") = 4, IFERROR((Q72 - R72) / (1 - R72), "Could not calculate"), "No Contingency Table"), "Not Included")</f>
        <v>Not Included</v>
      </c>
      <c r="T72" s="52" t="str">
        <f>IF(O72,IF(NOT(ISBLANK(Raw!AK72)), Raw!AK72, "Not Reported"), "Not Included")</f>
        <v>Not Included</v>
      </c>
      <c r="U72" s="11" t="str">
        <f t="shared" si="3"/>
        <v>Not Included</v>
      </c>
      <c r="V72" s="11" t="str">
        <f t="shared" si="4"/>
        <v>Not Included</v>
      </c>
      <c r="W72" s="11" t="b">
        <f>OR(NOT(ISBLANK(Raw!AU72)),COUNTIF(Raw!AL72:AT72,"&gt;=0") = 9)</f>
        <v>0</v>
      </c>
      <c r="X72" s="11" t="str">
        <f>IF(W72, IF(COUNTIF(Raw!AL72:AT72,"&gt;=0") = 9, "Contingency", "Paper k"), "Not Included")</f>
        <v>Not Included</v>
      </c>
      <c r="Y72" s="11" t="str">
        <f>IF(W72,IF(COUNTIF(Raw!AL72:AT72,"&gt;=0") = 9,SUM(Raw!AL72:AT72),"No Contingency Table"),"Not Included")</f>
        <v>Not Included</v>
      </c>
      <c r="Z72" s="11" t="str">
        <f t="shared" si="5"/>
        <v>Not Included</v>
      </c>
      <c r="AA72" s="11" t="str">
        <f>IF(W72,IF(COUNTIF(Raw!AL72:AT72,"&gt;=0") = 9,SUM(Raw!AL72,Raw!AP72,Raw!AT72)/Y72,"No Contingency Table"), "Not Included")</f>
        <v>Not Included</v>
      </c>
      <c r="AB72" s="11" t="str">
        <f>IF(W72,IF(COUNTIF(Raw!AL72:AT72,"&gt;=0") = 9,SUM(SUM(Raw!AL72,Raw!AM72,Raw!AN72)*SUM(Raw!AL72,Raw!AO72,Raw!AR72),SUM(Raw!AO72,Raw!AP72,Raw!AQ72)*SUM(Raw!AM72,Raw!AP72,Raw!AS72),SUM(Raw!AR72,Raw!AS72,Raw!AT72)*SUM(Raw!AN72,Raw!AQ72,Raw!AT72))/Y72^2,"No Contingency Table"), "Not Included")</f>
        <v>Not Included</v>
      </c>
      <c r="AC72" s="11" t="str">
        <f>IF(W72,IF(COUNTIF(Raw!AL72:AT72,"&gt;=0") = 9,(AA72 - AB72) / (1 - AB72),"No Contingency Table"), "Not Included")</f>
        <v>Not Included</v>
      </c>
      <c r="AD72" s="11" t="str">
        <f>IF(W72, IF(NOT(ISBLANK(Raw!AU72)),Raw!AU72,"Not Reported"), "Not Included")</f>
        <v>Not Included</v>
      </c>
      <c r="AE72" s="11" t="str">
        <f t="shared" si="6"/>
        <v>Not Included</v>
      </c>
      <c r="AF72" s="11" t="str">
        <f t="shared" si="7"/>
        <v>Not Included</v>
      </c>
      <c r="AG72" s="11" t="b">
        <f>COUNTIF(Raw!AV72:BK72, "&gt;=0") = 16</f>
        <v>0</v>
      </c>
      <c r="AH72" s="11" t="str">
        <f>IF(AG72, IF(COUNTIF(Raw!AV72:BK72,"&gt;=0") = 16, "Contingency", "Paper k"), "Not Included")</f>
        <v>Not Included</v>
      </c>
      <c r="AI72" s="11" t="str">
        <f>IF(AG72,IF(COUNTIF(Raw!AV72:BK72,"&gt;=0") = 16,SUM(Raw!AV72:BK72),"No Contingency Table"),"Not Included")</f>
        <v>Not Included</v>
      </c>
      <c r="AJ72" s="15">
        <f t="shared" si="8"/>
        <v>15</v>
      </c>
      <c r="AK72" s="11" t="str">
        <f>IF(AG72,IF(COUNTIF(Raw!AV72:BK72,"&gt;=0") = 16,SUM(Raw!AV72,Raw!BA72,Raw!BF72,Raw!BK72)/AI72,"No Contingency Table"), "Not Included")</f>
        <v>Not Included</v>
      </c>
      <c r="AL72" s="11" t="str">
        <f>IF(AG72,IF(COUNTIF(Raw!AV72:BK72,"&gt;=0") = 16,SUM(SUM(Raw!AV72,Raw!AW72,Raw!AX72,Raw!AY72)*SUM(Raw!AV72,Raw!AZ72,Raw!BD72,Raw!BH72),SUM(Raw!AZ72,Raw!BA72,Raw!BB72,Raw!BC72)*SUM(Raw!AW72,Raw!BA72,Raw!BE72,Raw!BI72),SUM(Raw!BD72,Raw!BE72,Raw!BF72,Raw!BG72)*SUM(Raw!AX72,Raw!BB72,Raw!BF72,Raw!BJ72),SUM(Raw!BH72,Raw!BI72,Raw!BJ72,Raw!BK72)*SUM(Raw!AY72,Raw!BC72,Raw!BG72,Raw!BK72))/AI72^2,"No Contingency Table"), "Not Included")</f>
        <v>Not Included</v>
      </c>
      <c r="AM72" s="11" t="str">
        <f>IF(AG72,IF(COUNTIF(Raw!AV72:BK72,"&gt;=0") = 16,(AK72 - AL72) / (1 - AL72),"No Contingency Table"), "Not Included")</f>
        <v>Not Included</v>
      </c>
      <c r="AN72" s="11" t="str">
        <f>IF(NOT(ISBLANK(Raw!BL72)),Raw!BL72,"Not Reported")</f>
        <v>Not Reported</v>
      </c>
      <c r="AO72" s="11" t="str">
        <f t="shared" si="9"/>
        <v>Not Reported</v>
      </c>
      <c r="AP72" s="11" t="str">
        <f t="shared" si="10"/>
        <v>Not Included</v>
      </c>
      <c r="AQ72" s="11" t="b">
        <f t="shared" ref="AQ72:AR72" si="299">BQ72</f>
        <v>0</v>
      </c>
      <c r="AR72" s="11" t="str">
        <f t="shared" si="299"/>
        <v>Not Included</v>
      </c>
      <c r="AS72" s="11" t="str">
        <f t="shared" si="12"/>
        <v>Not Included</v>
      </c>
      <c r="AT72" s="11" t="str">
        <f t="shared" si="13"/>
        <v>Not Included</v>
      </c>
      <c r="AU72" s="11" t="str">
        <f>IF(AQ72, IF(COUNTIF(Raw!AV72:BK72, "&gt;=0") = 16, IFERROR((AT72*Raw!BK72 - SUM(Raw!BH72, Raw!BI72, Raw!BJ72, Raw!BK72)*SUM(Raw!AY72, Raw!BC72, Raw!BG72, Raw!BK72)) / SQRT((AT72*SUM(Raw!BH72, Raw!BI72, Raw!BJ72, Raw!BK72) - SUM(Raw!BH72, Raw!BI72, Raw!BJ72, Raw!BK72)^2) * (AT72*SUM(Raw!AY72, Raw!BC72, Raw!BG72, Raw!BK72) - SUM(Raw!AY72, Raw!BC72, Raw!BG72, Raw!BK72)^2)), 0), "No Contingency Table"), "Not Included")</f>
        <v>Not Included</v>
      </c>
      <c r="AV72" s="11" t="str">
        <f>IF(AQ72,IF(NOT(ISBLANK(Raw!BQ72)), Raw!BQ72, IF(NOT(ISBLANK(Raw!BR72)), Raw!BR72, "Not Reported")), "Not Included")</f>
        <v>Not Included</v>
      </c>
      <c r="AW72" s="57" t="str">
        <f t="shared" si="14"/>
        <v>Not Included</v>
      </c>
      <c r="AX72" s="11" t="str">
        <f t="shared" si="15"/>
        <v>Not Included</v>
      </c>
      <c r="AY72" s="11" t="b">
        <f t="shared" ref="AY72:AZ72" si="300">AQ72</f>
        <v>0</v>
      </c>
      <c r="AZ72" s="11" t="str">
        <f t="shared" si="300"/>
        <v>Not Included</v>
      </c>
      <c r="BA72" s="11" t="str">
        <f>IF(AY72, IF(COUNTIF(Raw!AV72:BK72, "&gt;=0") = 16, SUM(Raw!AV72,Raw!AW72,Raw!AX72,Raw!AZ72,Raw!BA72,Raw!BB72,Raw!BD72,Raw!BE72,Raw!BF72,Raw!BK72)/SUM(Raw!AV72:BK72), "No Contingency Table"), "Not Included")</f>
        <v>Not Included</v>
      </c>
      <c r="BB72" s="11" t="str">
        <f>IF(AY72, IF(COUNTIF(Raw!AV72:BK72, "&gt;=0") = 16,SUM(SUM(Raw!BH72,Raw!BI72,Raw!BJ72,Raw!BK72)*SUM(Raw!AY72,Raw!BC72,Raw!BG72,Raw!BK72),SUM(Raw!AV72:BG72)*SUM(Raw!AV72,Raw!AW72,Raw!AX72,Raw!AZ72,Raw!BA72,Raw!BB72,Raw!BD72,Raw!BE72,Raw!BF72,Raw!BH72,Raw!BI72,Raw!BJ72))/AT72^2,"No Contingency Table"), "Not Included")</f>
        <v>Not Included</v>
      </c>
      <c r="BC72" s="11" t="str">
        <f>IF(AY72, IF(COUNTIF(Raw!AV72:BK72, "&gt;=0") = 16,(BA72-BB72) / (1 - BB72),"No Contingency Table"), "Not Included")</f>
        <v>Not Included</v>
      </c>
      <c r="BD72" s="11" t="str">
        <f>IF(AY72,IF(NOT(ISBLANK(Raw!BT93)),Raw!BT93,"Not Reported"),"Not Included")</f>
        <v>Not Included</v>
      </c>
      <c r="BE72" s="11" t="str">
        <f t="shared" si="17"/>
        <v>Not Included</v>
      </c>
      <c r="BF72" s="11" t="str">
        <f t="shared" si="18"/>
        <v>Not Included</v>
      </c>
      <c r="BG72" s="11">
        <f>Raw!K72</f>
        <v>1981</v>
      </c>
      <c r="BH72" s="11" t="str">
        <f>IF(Raw!L72 = "USA","USA","Non-USA")</f>
        <v>USA</v>
      </c>
      <c r="BI72" s="11" t="str">
        <f>Raw!M72</f>
        <v>Ainsworth/Ainsworth</v>
      </c>
      <c r="BJ72" s="11">
        <f>Raw!N72</f>
        <v>1</v>
      </c>
      <c r="BK72" s="11">
        <f>Raw!P72</f>
        <v>0</v>
      </c>
      <c r="BL72" s="11">
        <f>Raw!Q72</f>
        <v>0</v>
      </c>
      <c r="BM72" s="11">
        <f>Raw!T72</f>
        <v>1</v>
      </c>
      <c r="BN72" s="11">
        <f>IFERROR(IF(AND(ISBLANK(Raw!U72), ISBLANK(Raw!V72), ISBLANK(Raw!W72), ISBLANK(Raw!X72)), "NA", IF(OR(NOT(ISBLANK(Raw!U72)), NOT(ISBLANK(Raw!W72))), AVERAGE(Raw!U72,Raw!W72), AVERAGE(Raw!V72,Raw!X72) + IF(Raw!Y72 = "2-way", R72, IF(Raw!Y72 = "3-way", AB72, IF(Raw!Y72 = "4-way", AL72, "NA")))*(1 - AVERAGE(Raw!V72,Raw!X72)))), "NA")</f>
        <v>0.94</v>
      </c>
      <c r="BO72" s="11">
        <f>Raw!O72</f>
        <v>0</v>
      </c>
      <c r="BP72" s="11" t="str">
        <f>Raw!F72</f>
        <v>Female</v>
      </c>
      <c r="BQ72" s="11" t="b">
        <f>COUNTIF(Raw!AV72:BK72, "&gt;=0") = 16</f>
        <v>0</v>
      </c>
      <c r="BR72" s="11" t="str">
        <f t="shared" si="19"/>
        <v>Not Included</v>
      </c>
      <c r="BS72" s="11" t="str">
        <f t="shared" si="20"/>
        <v>Not Included</v>
      </c>
      <c r="BT72" s="11" t="str">
        <f>IF(BQ72, IF(COUNTIF(Raw!AV72:BK72, "&gt;=0") = 16, IFERROR((BS72*Raw!AV72 - SUM(Raw!AV72, Raw!AW72, Raw!AX72, Raw!AY72)*SUM(Raw!AV72, Raw!AZ72, Raw!BD72, Raw!BH72)) / SQRT((BS72*SUM(Raw!AV72, Raw!AW72, Raw!AX72, Raw!AY72) - SUM(Raw!AV72, Raw!AW72, Raw!AX72, Raw!AY72)^2) * (BS72*SUM(Raw!AV72, Raw!AZ72, Raw!BD72, Raw!BH72) - SUM(Raw!AV72, Raw!AZ72, Raw!BD72, Raw!BH72)^2)), 0), "No Contingency Table"), "Not Included")</f>
        <v>Not Included</v>
      </c>
      <c r="BU72" s="11" t="str">
        <f>IF(BQ72, IF(COUNTIF(Raw!AV72:BK72, "&gt;=0") = 16, SUM(Raw!BK72,Raw!BJ72,Raw!BI72,Raw!BG72,Raw!BF72,Raw!BE72,Raw!BC72,Raw!BB72,Raw!BA72,Raw!AV72)/SUM(Raw!AV72:BK72), "No Contingency Table"), "Not Included")</f>
        <v>Not Included</v>
      </c>
      <c r="BV72" s="11" t="str">
        <f>IF(BQ72, IF(COUNTIF(Raw!AV72:BK72, "&gt;=0") = 16,SUM(SUM(Raw!AV72,Raw!AW72,Raw!AX72,Raw!AY72)*SUM(Raw!AV72,Raw!AZ72,Raw!BD72,Raw!BH72),SUM(Raw!AZ72:BK72)*SUM(Raw!AW72,Raw!AX72,Raw!AY72,Raw!BA72,Raw!BB72,Raw!BC72,Raw!BE72,Raw!BF72,Raw!BG72,Raw!BI72,Raw!BJ72,Raw!BK72))/BS72^2,"No Contingency Table"), "Not Included")</f>
        <v>Not Included</v>
      </c>
      <c r="BW72" s="11" t="str">
        <f>IF(BQ72, IF(COUNTIF(Raw!AV72:BK72, "&gt;=0") = 16,(BU72-BV72) / (1 - BV72),"No Contingency Table"), "Not Included")</f>
        <v>Not Included</v>
      </c>
      <c r="BX72" s="11" t="b">
        <f t="shared" ref="BX72:BZ72" si="301">BQ72</f>
        <v>0</v>
      </c>
      <c r="BY72" s="11" t="str">
        <f t="shared" si="301"/>
        <v>Not Included</v>
      </c>
      <c r="BZ72" s="11" t="str">
        <f t="shared" si="301"/>
        <v>Not Included</v>
      </c>
      <c r="CA72" s="11" t="str">
        <f>IF(BX72, IF(COUNTIF(Raw!AV72:BK72, "&gt;=0") = 16, IFERROR((BZ72*Raw!BF72 - SUM(Raw!BD72, Raw!BE72, Raw!BF72, Raw!BG72)*SUM(Raw!BF72, Raw!AX72, Raw!BB72, Raw!BJ72)) / SQRT((BZ72*SUM(Raw!BD72, Raw!BE72, Raw!BF72, Raw!BG72) - SUM(Raw!BD72, Raw!BE72, Raw!BF72, Raw!BG72)^2) * (BZ72*SUM(Raw!BF72, Raw!AX72, Raw!BB72, Raw!BJ72) - SUM(Raw!BF72, Raw!AX72, Raw!BB72, Raw!BJ72)^2)), 0), "No Contingency Table"), "Not Included")</f>
        <v>Not Included</v>
      </c>
      <c r="CB72" s="11" t="str">
        <f>IF(BX72, IF(COUNTIF(Raw!AV72:BK72, "&gt;=0") = 16, SUM(Raw!AV72,Raw!AW72,Raw!AY72,Raw!AZ72,Raw!BA72,Raw!BC72,Raw!BF72,Raw!BH72,Raw!BI72,Raw!BK72) / SUM(Raw!AV72:BK72), "No Contingency Table"), "Not Included")</f>
        <v>Not Included</v>
      </c>
      <c r="CC72" s="11" t="str">
        <f>IF(BX72, IF(COUNTIF(Raw!AV72:BK72, "&gt;=0") = 16,SUM(SUM(Raw!BD72,Raw!BE72,Raw!BF72,Raw!BG72)*SUM(Raw!BF72,Raw!AX72,Raw!BB72,Raw!BJ72),SUM(Raw!AV72:BC72,Raw!BH72:BK72)*SUM(Raw!AV72,Raw!AW72,Raw!AY72,Raw!AZ72,Raw!BA72,Raw!BC72,Raw!BD72,Raw!BE72,Raw!BG72,Raw!BH72,Raw!BI72,Raw!BK72))/BZ72^2,"No Contingency Table"), "Not Included")</f>
        <v>Not Included</v>
      </c>
      <c r="CD72" s="11" t="str">
        <f>IF(BX72, IF(COUNTIF(Raw!AV72:BK72, "&gt;=0") = 16,(CB72 - CC72) / (1 - CC72+0.000001),"No Contingency Table"), "Not Included")</f>
        <v>Not Included</v>
      </c>
      <c r="CE72" s="11" t="b">
        <f t="shared" ref="CE72:CG72" si="302">BQ72</f>
        <v>0</v>
      </c>
      <c r="CF72" s="11" t="str">
        <f t="shared" si="302"/>
        <v>Not Included</v>
      </c>
      <c r="CG72" s="11" t="str">
        <f t="shared" si="302"/>
        <v>Not Included</v>
      </c>
      <c r="CH72" s="11" t="str">
        <f>IF(CE72, IF(COUNTIF(Raw!AV72:BK72, "&gt;=0") = 16, IFERROR((CG72*Raw!BA72 - SUM(Raw!BA72, Raw!AZ72, Raw!BB72, Raw!BC72)*SUM(Raw!BA72, Raw!AW72, Raw!BE72, Raw!BI72)) / SQRT((CG72*SUM(Raw!BA72, Raw!AZ72, Raw!BB72, Raw!BC72) - SUM(Raw!BA72, Raw!AZ72, Raw!BB72, Raw!BC72)^2) * (CG72*SUM(Raw!BA72, Raw!AW72, Raw!BE72, Raw!BI72) - SUM(Raw!BA72, Raw!AW72, Raw!BE72, Raw!BI72)^2)), 0), "No Contingency Table"), "Not Included")</f>
        <v>Not Included</v>
      </c>
      <c r="CI72" s="11" t="str">
        <f>IF(CE72, IF(COUNTIF(Raw!AV72:BK72, "&gt;=0") = 16, SUM(Raw!AV72,Raw!AX72,Raw!AY72,Raw!BA72,Raw!BD72,Raw!BF72,Raw!BG72,Raw!BH72,Raw!BJ72,Raw!BK72) / SUM(Raw!AV72:BK72), "No Contingency Table"), "Not Included")</f>
        <v>Not Included</v>
      </c>
      <c r="CJ72" s="61" t="str">
        <f>IF(BX72, IF(COUNTIF(Raw!AV72:BK72, "&gt;=0") = 16,SUM(SUM(Raw!AZ72,Raw!BA72,Raw!BB72,Raw!BC72)*SUM(Raw!BA72,Raw!AW72,Raw!BE72,Raw!BI72),SUM(Raw!AV72:AY72,Raw!BD72:BK72)*SUM(Raw!AV72,Raw!AX72,Raw!AY72,Raw!AZ72,Raw!BB72,Raw!BC72,Raw!BD72,Raw!BF72,Raw!BG72,Raw!BH72,Raw!BJ72,Raw!BK72))/CG72^2,"No Contingency Table"), "Not Included")</f>
        <v>Not Included</v>
      </c>
      <c r="CK72" s="11" t="str">
        <f>IF(BX72, IF(COUNTIF(Raw!AV72:BK72, "&gt;=0") = 16,(CI72 - CJ72) / (1 - CJ72),"No Contingency Table"), "Not Included")</f>
        <v>Not Included</v>
      </c>
      <c r="CL72" s="11" t="str">
        <f>IF(BQ72, IFERROR(Raw!AV72/SUM(Raw!AV72:AY72), 0), "Not Included")</f>
        <v>Not Included</v>
      </c>
      <c r="CM72" s="11" t="str">
        <f>IF(BQ72, IFERROR(Raw!BA72/SUM(Raw!AZ72:BC72), 0), "Not Included")</f>
        <v>Not Included</v>
      </c>
      <c r="CN72" s="11" t="str">
        <f>IF(BQ72, IFERROR(Raw!BF72/SUM(Raw!BD72:BG72), 0), "Not Included")</f>
        <v>Not Included</v>
      </c>
      <c r="CO72" s="11" t="str">
        <f>IF(BQ72, IFERROR(Raw!BK72/SUM(Raw!BH72:BK72), 0), "Not Included")</f>
        <v>Not Included</v>
      </c>
      <c r="CP72" s="11" t="str">
        <f>IF(BQ72, IFERROR(SUM(Raw!AV72,Raw!AX72,Raw!AY72,Raw!BD72,Raw!BF72,Raw!BG72,Raw!BH72,Raw!BJ72,Raw!BK72)/SUM(Raw!AV72,Raw!AW72,Raw!AX72,Raw!AY72,Raw!BD72,Raw!BE72,Raw!BF72,Raw!BG72,Raw!BH72,Raw!BI72,Raw!BJ72,Raw!BK72), 0), "Not Included")</f>
        <v>Not Included</v>
      </c>
      <c r="CQ72" s="11" t="str">
        <f>IF(BQ72, IFERROR(SUM(Raw!AV72:AX72,Raw!AZ72:BB72,Raw!BD72:BF72)/SUM(Raw!AV72:BF72), 0), "Not Included")</f>
        <v>Not Included</v>
      </c>
      <c r="CR72" s="11" t="str">
        <f>IF(BQ72, IFERROR(SUM(Raw!AV72:AY72), 0), "Not Included")</f>
        <v>Not Included</v>
      </c>
      <c r="CS72" s="11" t="str">
        <f>IF(BQ72, IFERROR(SUM(Raw!AZ72:BC72), 0), "Not Included")</f>
        <v>Not Included</v>
      </c>
      <c r="CT72" s="11" t="str">
        <f>IF(BQ72, IFERROR(SUM(Raw!BD72:BG72), 0), "Not Included")</f>
        <v>Not Included</v>
      </c>
      <c r="CU72" s="11" t="str">
        <f>IF(BQ72, IFERROR(SUM(Raw!BH72:BK72), 0), "Not Included")</f>
        <v>Not Included</v>
      </c>
      <c r="CV72" s="11" t="str">
        <f>IF(BQ72, IFERROR(SUM(Raw!AV72,Raw!AW72,Raw!AX72,Raw!AY72,Raw!BD72,Raw!BE72,Raw!BF72,Raw!BG72,Raw!BH72,Raw!BI72,Raw!BJ72,Raw!BK72), 0), "Not Included")</f>
        <v>Not Included</v>
      </c>
      <c r="CW72" s="11" t="str">
        <f>IF(BQ72, IFERROR(SUM(Raw!AV72:BF72), 0), "Not Included")</f>
        <v>Not Included</v>
      </c>
      <c r="CX72" s="11" t="str">
        <f>IF(BQ72, IFERROR((CR72*SUM(Raw!AV72,Raw!AZ72,Raw!BD72,Raw!BH72))/BS72/CR72, 0), "Not Included")</f>
        <v>Not Included</v>
      </c>
      <c r="CY72" s="11" t="str">
        <f>IF(BX72, IFERROR((CS72*SUM(Raw!BA72,Raw!AW72,Raw!BE72,Raw!BI72))/CG72/CS72, 0), "Not Included")</f>
        <v>Not Included</v>
      </c>
      <c r="CZ72" s="11" t="str">
        <f>IF(BX72, IFERROR((CT72*SUM(Raw!BF72,Raw!AX72,Raw!BB72,Raw!BJ72))/BZ72/CT72, 0), "Not Included")</f>
        <v>Not Included</v>
      </c>
      <c r="DA72" s="11" t="str">
        <f>IF(AY72, IFERROR((CU72*SUM(Raw!AY72,Raw!BC72,Raw!BG72,Raw!BK72))/AT72/CU72, 0), "Not Included")</f>
        <v>Not Included</v>
      </c>
      <c r="DB72" s="11" t="str">
        <f>IF(BX72, IFERROR((CV72*SUM(Raw!AV72,Raw!AX72,Raw!AY72,Raw!AZ72,Raw!BB72,Raw!BC72,Raw!BD72,Raw!BF72,Raw!BG72,Raw!BH72,Raw!BJ72,Raw!BK72))/CG72/CV72,0), "Not Included")</f>
        <v>Not Included</v>
      </c>
      <c r="DC72" s="11" t="str">
        <f>IF(AY72, IFERROR((CW72*SUM(Raw!AV72,Raw!AW72,Raw!AX72,Raw!AZ72,Raw!BA72,Raw!BB72,Raw!BD72,Raw!BE72,Raw!BF72,Raw!BH72,Raw!BI72,Raw!BJ72))/AT72/CW72,0), "Not Included")</f>
        <v>Not Included</v>
      </c>
    </row>
    <row r="73" spans="1:107" ht="12.75" customHeight="1">
      <c r="A73" s="11">
        <f>Raw!D73</f>
        <v>51</v>
      </c>
      <c r="B73" s="11" t="str">
        <f>Raw!A73</f>
        <v>Main &amp; Weston (1981)</v>
      </c>
      <c r="C73" s="11">
        <f>Raw!G73</f>
        <v>2</v>
      </c>
      <c r="D73" s="11" t="str">
        <f>Raw!E73</f>
        <v>Father-child</v>
      </c>
      <c r="E73" s="11" t="str">
        <f>CONCATENATE(IF(Raw!I73&lt;='Interval Definitions'!$B$2, 'Interval Definitions'!$A$2, IF(Raw!I73&lt;='Interval Definitions'!$B$3, 'Interval Definitions'!$A$3, IF(Raw!I73&lt;='Interval Definitions'!$B$4, 'Interval Definitions'!$A$4, IF(Raw!I73&lt;='Interval Definitions'!$B$5, 'Interval Definitions'!$A$5, "None")))), " - ", IF(Raw!J73&lt;='Interval Definitions'!$B$2, 'Interval Definitions'!$A$2, IF(Raw!J73&lt;='Interval Definitions'!$B$3, 'Interval Definitions'!$A$3, IF(Raw!J73&lt;='Interval Definitions'!$B$4, 'Interval Definitions'!$A$4, IF(Raw!J73&lt;='Interval Definitions'!$B$5, 'Interval Definitions'!$A$5, "None")))))</f>
        <v>Infancy - Toddlerhood</v>
      </c>
      <c r="F73" s="11" t="b">
        <f>OR(NOT(ISBLANK(Raw!AF73)),NOT(ISBLANK(Raw!AG73)),NOT(ISBLANK(Raw!AH73)),NOT(ISBLANK(Raw!AI73)),COUNTIF(Raw!AA73:AD73, "&gt;=0") = 4)</f>
        <v>1</v>
      </c>
      <c r="G73" s="11" t="str">
        <f>IF(F73, IF(COUNTIF(Raw!AA73:AD73,"&gt;=0") = 4, "Contingency", IF(NOT(ISBLANK(Raw!AF73)), "Paper r", IF(NOT(ISBLANK(Raw!AG73)), "Pinquart", IF(NOT(ISBLANK(Raw!AH73)), "Fraley", "Paper chiSq")))), "Not Included")</f>
        <v>Pinquart</v>
      </c>
      <c r="H73" s="15">
        <f>IF(F73,Raw!AE73,"Not Included")</f>
        <v>15</v>
      </c>
      <c r="I73" s="15" t="str">
        <f>IF(COUNTIF(Raw!AA73:AD73,"&gt;=0") = 4, SUM(Raw!AA73:AD73), "No Contingency Table")</f>
        <v>No Contingency Table</v>
      </c>
      <c r="J73" s="15">
        <f t="shared" si="0"/>
        <v>15</v>
      </c>
      <c r="K73" s="38" t="str">
        <f>IF(F73, IF(COUNTIF(Raw!AA73:AD73,"&gt;=0") = 4, IFERROR((I73*Raw!AA73 - SUM(Raw!AA73,Raw!AB73)*SUM(Raw!AA73,Raw!AD73)) / SQRT((I73*SUM(Raw!AA73,Raw!AB73) - SUM(Raw!AA73,Raw!AB73)^2) * (I73*SUM(Raw!AA73,Raw!AD73) - SUM(Raw!AA73,Raw!AD73)^2)), 0), "No Contingency Table"), "Not Included")</f>
        <v>No Contingency Table</v>
      </c>
      <c r="L73" s="41">
        <f>IF(F73,IF(NOT(ISBLANK(Raw!AF73)), Raw!AF73, IF(NOT(ISBLANK(Raw!AG73)), Raw!AG73, IF(NOT(ISBLANK(Raw!AH73)), Raw!AH73, IF(NOT(ISBLANK(Raw!AI73)), SQRT(Raw!AI73/H73)*Raw!AJ73, "Not Reported")))),"Not Included")</f>
        <v>0.73</v>
      </c>
      <c r="M73" s="43">
        <f t="shared" si="1"/>
        <v>0.73</v>
      </c>
      <c r="N73" s="11" t="str">
        <f t="shared" si="2"/>
        <v>NA</v>
      </c>
      <c r="O73" s="48" t="b">
        <f>OR(NOT(ISBLANK(Raw!AK73)), COUNTIF(Raw!AA73:AD73, "&gt;=0") = 4)</f>
        <v>0</v>
      </c>
      <c r="P73" s="24" t="str">
        <f>IF(O73,IF(COUNTIF(Raw!AA73:AD73,"&gt;=0") = 4,"Contingency", "Paper k"), "Not Included")</f>
        <v>Not Included</v>
      </c>
      <c r="Q73" s="48" t="str">
        <f>IF(O73, IF(COUNTIF(Raw!AA73:AD73,"&gt;=0") = 4,SUM(Raw!AA73,Raw!AC73)/H73,"No Contingency Table"), "Not Included")</f>
        <v>Not Included</v>
      </c>
      <c r="R73" s="38" t="str">
        <f>IF(O73, IF(COUNTIF(Raw!AA73:AD73, "&gt;=0") = 4,SUM(SUM(Raw!AA73,Raw!AB73)*SUM(Raw!AA73,Raw!AD73),SUM(Raw!AC73,Raw!AD73)*SUM(Raw!AC73,Raw!AB73))/H73^2,"No Contingency Table"), "Not Included")</f>
        <v>Not Included</v>
      </c>
      <c r="S73" s="38" t="str">
        <f>IF(O73, IF(COUNTIF(Raw!AA73:AD73,"&gt;=0") = 4, IFERROR((Q73 - R73) / (1 - R73), "Could not calculate"), "No Contingency Table"), "Not Included")</f>
        <v>Not Included</v>
      </c>
      <c r="T73" s="52" t="str">
        <f>IF(O73,IF(NOT(ISBLANK(Raw!AK73)), Raw!AK73, "Not Reported"), "Not Included")</f>
        <v>Not Included</v>
      </c>
      <c r="U73" s="11" t="str">
        <f t="shared" si="3"/>
        <v>Not Included</v>
      </c>
      <c r="V73" s="11" t="str">
        <f t="shared" si="4"/>
        <v>Not Included</v>
      </c>
      <c r="W73" s="11" t="b">
        <f>OR(NOT(ISBLANK(Raw!AU73)),COUNTIF(Raw!AL73:AT73,"&gt;=0") = 9)</f>
        <v>0</v>
      </c>
      <c r="X73" s="11" t="str">
        <f>IF(W73, IF(COUNTIF(Raw!AL73:AT73,"&gt;=0") = 9, "Contingency", "Paper k"), "Not Included")</f>
        <v>Not Included</v>
      </c>
      <c r="Y73" s="11" t="str">
        <f>IF(W73,IF(COUNTIF(Raw!AL73:AT73,"&gt;=0") = 9,SUM(Raw!AL73:AT73),"No Contingency Table"),"Not Included")</f>
        <v>Not Included</v>
      </c>
      <c r="Z73" s="11" t="str">
        <f t="shared" si="5"/>
        <v>Not Included</v>
      </c>
      <c r="AA73" s="11" t="str">
        <f>IF(W73,IF(COUNTIF(Raw!AL73:AT73,"&gt;=0") = 9,SUM(Raw!AL73,Raw!AP73,Raw!AT73)/Y73,"No Contingency Table"), "Not Included")</f>
        <v>Not Included</v>
      </c>
      <c r="AB73" s="11" t="str">
        <f>IF(W73,IF(COUNTIF(Raw!AL73:AT73,"&gt;=0") = 9,SUM(SUM(Raw!AL73,Raw!AM73,Raw!AN73)*SUM(Raw!AL73,Raw!AO73,Raw!AR73),SUM(Raw!AO73,Raw!AP73,Raw!AQ73)*SUM(Raw!AM73,Raw!AP73,Raw!AS73),SUM(Raw!AR73,Raw!AS73,Raw!AT73)*SUM(Raw!AN73,Raw!AQ73,Raw!AT73))/Y73^2,"No Contingency Table"), "Not Included")</f>
        <v>Not Included</v>
      </c>
      <c r="AC73" s="11" t="str">
        <f>IF(W73,IF(COUNTIF(Raw!AL73:AT73,"&gt;=0") = 9,(AA73 - AB73) / (1 - AB73),"No Contingency Table"), "Not Included")</f>
        <v>Not Included</v>
      </c>
      <c r="AD73" s="11" t="str">
        <f>IF(W73, IF(NOT(ISBLANK(Raw!AU73)),Raw!AU73,"Not Reported"), "Not Included")</f>
        <v>Not Included</v>
      </c>
      <c r="AE73" s="11" t="str">
        <f t="shared" si="6"/>
        <v>Not Included</v>
      </c>
      <c r="AF73" s="11" t="str">
        <f t="shared" si="7"/>
        <v>Not Included</v>
      </c>
      <c r="AG73" s="11" t="b">
        <f>COUNTIF(Raw!AV73:BK73, "&gt;=0") = 16</f>
        <v>0</v>
      </c>
      <c r="AH73" s="11" t="str">
        <f>IF(AG73, IF(COUNTIF(Raw!AV73:BK73,"&gt;=0") = 16, "Contingency", "Paper k"), "Not Included")</f>
        <v>Not Included</v>
      </c>
      <c r="AI73" s="11" t="str">
        <f>IF(AG73,IF(COUNTIF(Raw!AV73:BK73,"&gt;=0") = 16,SUM(Raw!AV73:BK73),"No Contingency Table"),"Not Included")</f>
        <v>Not Included</v>
      </c>
      <c r="AJ73" s="15">
        <f t="shared" si="8"/>
        <v>15</v>
      </c>
      <c r="AK73" s="11" t="str">
        <f>IF(AG73,IF(COUNTIF(Raw!AV73:BK73,"&gt;=0") = 16,SUM(Raw!AV73,Raw!BA73,Raw!BF73,Raw!BK73)/AI73,"No Contingency Table"), "Not Included")</f>
        <v>Not Included</v>
      </c>
      <c r="AL73" s="11" t="str">
        <f>IF(AG73,IF(COUNTIF(Raw!AV73:BK73,"&gt;=0") = 16,SUM(SUM(Raw!AV73,Raw!AW73,Raw!AX73,Raw!AY73)*SUM(Raw!AV73,Raw!AZ73,Raw!BD73,Raw!BH73),SUM(Raw!AZ73,Raw!BA73,Raw!BB73,Raw!BC73)*SUM(Raw!AW73,Raw!BA73,Raw!BE73,Raw!BI73),SUM(Raw!BD73,Raw!BE73,Raw!BF73,Raw!BG73)*SUM(Raw!AX73,Raw!BB73,Raw!BF73,Raw!BJ73),SUM(Raw!BH73,Raw!BI73,Raw!BJ73,Raw!BK73)*SUM(Raw!AY73,Raw!BC73,Raw!BG73,Raw!BK73))/AI73^2,"No Contingency Table"), "Not Included")</f>
        <v>Not Included</v>
      </c>
      <c r="AM73" s="11" t="str">
        <f>IF(AG73,IF(COUNTIF(Raw!AV73:BK73,"&gt;=0") = 16,(AK73 - AL73) / (1 - AL73),"No Contingency Table"), "Not Included")</f>
        <v>Not Included</v>
      </c>
      <c r="AN73" s="11" t="str">
        <f>IF(NOT(ISBLANK(Raw!BL73)),Raw!BL73,"Not Reported")</f>
        <v>Not Reported</v>
      </c>
      <c r="AO73" s="11" t="str">
        <f t="shared" si="9"/>
        <v>Not Reported</v>
      </c>
      <c r="AP73" s="11" t="str">
        <f t="shared" si="10"/>
        <v>Not Included</v>
      </c>
      <c r="AQ73" s="11" t="b">
        <f t="shared" ref="AQ73:AR73" si="303">BQ73</f>
        <v>0</v>
      </c>
      <c r="AR73" s="11" t="str">
        <f t="shared" si="303"/>
        <v>Not Included</v>
      </c>
      <c r="AS73" s="11" t="str">
        <f t="shared" si="12"/>
        <v>Not Included</v>
      </c>
      <c r="AT73" s="11" t="str">
        <f t="shared" si="13"/>
        <v>Not Included</v>
      </c>
      <c r="AU73" s="11" t="str">
        <f>IF(AQ73, IF(COUNTIF(Raw!AV73:BK73, "&gt;=0") = 16, IFERROR((AT73*Raw!BK73 - SUM(Raw!BH73, Raw!BI73, Raw!BJ73, Raw!BK73)*SUM(Raw!AY73, Raw!BC73, Raw!BG73, Raw!BK73)) / SQRT((AT73*SUM(Raw!BH73, Raw!BI73, Raw!BJ73, Raw!BK73) - SUM(Raw!BH73, Raw!BI73, Raw!BJ73, Raw!BK73)^2) * (AT73*SUM(Raw!AY73, Raw!BC73, Raw!BG73, Raw!BK73) - SUM(Raw!AY73, Raw!BC73, Raw!BG73, Raw!BK73)^2)), 0), "No Contingency Table"), "Not Included")</f>
        <v>Not Included</v>
      </c>
      <c r="AV73" s="11" t="str">
        <f>IF(AQ73,IF(NOT(ISBLANK(Raw!BQ73)), Raw!BQ73, IF(NOT(ISBLANK(Raw!BR73)), Raw!BR73, "Not Reported")), "Not Included")</f>
        <v>Not Included</v>
      </c>
      <c r="AW73" s="57" t="str">
        <f t="shared" si="14"/>
        <v>Not Included</v>
      </c>
      <c r="AX73" s="11" t="str">
        <f t="shared" si="15"/>
        <v>Not Included</v>
      </c>
      <c r="AY73" s="11" t="b">
        <f t="shared" ref="AY73:AZ73" si="304">AQ73</f>
        <v>0</v>
      </c>
      <c r="AZ73" s="11" t="str">
        <f t="shared" si="304"/>
        <v>Not Included</v>
      </c>
      <c r="BA73" s="11" t="str">
        <f>IF(AY73, IF(COUNTIF(Raw!AV73:BK73, "&gt;=0") = 16, SUM(Raw!AV73,Raw!AW73,Raw!AX73,Raw!AZ73,Raw!BA73,Raw!BB73,Raw!BD73,Raw!BE73,Raw!BF73,Raw!BK73)/SUM(Raw!AV73:BK73), "No Contingency Table"), "Not Included")</f>
        <v>Not Included</v>
      </c>
      <c r="BB73" s="11" t="str">
        <f>IF(AY73, IF(COUNTIF(Raw!AV73:BK73, "&gt;=0") = 16,SUM(SUM(Raw!BH73,Raw!BI73,Raw!BJ73,Raw!BK73)*SUM(Raw!AY73,Raw!BC73,Raw!BG73,Raw!BK73),SUM(Raw!AV73:BG73)*SUM(Raw!AV73,Raw!AW73,Raw!AX73,Raw!AZ73,Raw!BA73,Raw!BB73,Raw!BD73,Raw!BE73,Raw!BF73,Raw!BH73,Raw!BI73,Raw!BJ73))/AT73^2,"No Contingency Table"), "Not Included")</f>
        <v>Not Included</v>
      </c>
      <c r="BC73" s="11" t="str">
        <f>IF(AY73, IF(COUNTIF(Raw!AV73:BK73, "&gt;=0") = 16,(BA73-BB73) / (1 - BB73),"No Contingency Table"), "Not Included")</f>
        <v>Not Included</v>
      </c>
      <c r="BD73" s="11" t="str">
        <f>IF(AY73,IF(NOT(ISBLANK(Raw!BT94)),Raw!BT94,"Not Reported"),"Not Included")</f>
        <v>Not Included</v>
      </c>
      <c r="BE73" s="11" t="str">
        <f t="shared" si="17"/>
        <v>Not Included</v>
      </c>
      <c r="BF73" s="11" t="str">
        <f t="shared" si="18"/>
        <v>Not Included</v>
      </c>
      <c r="BG73" s="11">
        <f>Raw!K73</f>
        <v>1981</v>
      </c>
      <c r="BH73" s="11" t="str">
        <f>IF(Raw!L73 = "USA","USA","Non-USA")</f>
        <v>USA</v>
      </c>
      <c r="BI73" s="11" t="str">
        <f>Raw!M73</f>
        <v>Ainsworth/Ainsworth</v>
      </c>
      <c r="BJ73" s="11">
        <f>Raw!N73</f>
        <v>1</v>
      </c>
      <c r="BK73" s="11">
        <f>Raw!P73</f>
        <v>0</v>
      </c>
      <c r="BL73" s="11">
        <f>Raw!Q73</f>
        <v>0</v>
      </c>
      <c r="BM73" s="11">
        <f>Raw!T73</f>
        <v>1</v>
      </c>
      <c r="BN73" s="11">
        <f>IFERROR(IF(AND(ISBLANK(Raw!U73), ISBLANK(Raw!V73), ISBLANK(Raw!W73), ISBLANK(Raw!X73)), "NA", IF(OR(NOT(ISBLANK(Raw!U73)), NOT(ISBLANK(Raw!W73))), AVERAGE(Raw!U73,Raw!W73), AVERAGE(Raw!V73,Raw!X73) + IF(Raw!Y73 = "2-way", R73, IF(Raw!Y73 = "3-way", AB73, IF(Raw!Y73 = "4-way", AL73, "NA")))*(1 - AVERAGE(Raw!V73,Raw!X73)))), "NA")</f>
        <v>0.94</v>
      </c>
      <c r="BO73" s="11">
        <f>Raw!O73</f>
        <v>0</v>
      </c>
      <c r="BP73" s="11" t="str">
        <f>Raw!F73</f>
        <v>Male</v>
      </c>
      <c r="BQ73" s="11" t="b">
        <f>COUNTIF(Raw!AV73:BK73, "&gt;=0") = 16</f>
        <v>0</v>
      </c>
      <c r="BR73" s="11" t="str">
        <f t="shared" si="19"/>
        <v>Not Included</v>
      </c>
      <c r="BS73" s="11" t="str">
        <f t="shared" si="20"/>
        <v>Not Included</v>
      </c>
      <c r="BT73" s="11" t="str">
        <f>IF(BQ73, IF(COUNTIF(Raw!AV73:BK73, "&gt;=0") = 16, IFERROR((BS73*Raw!AV73 - SUM(Raw!AV73, Raw!AW73, Raw!AX73, Raw!AY73)*SUM(Raw!AV73, Raw!AZ73, Raw!BD73, Raw!BH73)) / SQRT((BS73*SUM(Raw!AV73, Raw!AW73, Raw!AX73, Raw!AY73) - SUM(Raw!AV73, Raw!AW73, Raw!AX73, Raw!AY73)^2) * (BS73*SUM(Raw!AV73, Raw!AZ73, Raw!BD73, Raw!BH73) - SUM(Raw!AV73, Raw!AZ73, Raw!BD73, Raw!BH73)^2)), 0), "No Contingency Table"), "Not Included")</f>
        <v>Not Included</v>
      </c>
      <c r="BU73" s="11" t="str">
        <f>IF(BQ73, IF(COUNTIF(Raw!AV73:BK73, "&gt;=0") = 16, SUM(Raw!BK73,Raw!BJ73,Raw!BI73,Raw!BG73,Raw!BF73,Raw!BE73,Raw!BC73,Raw!BB73,Raw!BA73,Raw!AV73)/SUM(Raw!AV73:BK73), "No Contingency Table"), "Not Included")</f>
        <v>Not Included</v>
      </c>
      <c r="BV73" s="11" t="str">
        <f>IF(BQ73, IF(COUNTIF(Raw!AV73:BK73, "&gt;=0") = 16,SUM(SUM(Raw!AV73,Raw!AW73,Raw!AX73,Raw!AY73)*SUM(Raw!AV73,Raw!AZ73,Raw!BD73,Raw!BH73),SUM(Raw!AZ73:BK73)*SUM(Raw!AW73,Raw!AX73,Raw!AY73,Raw!BA73,Raw!BB73,Raw!BC73,Raw!BE73,Raw!BF73,Raw!BG73,Raw!BI73,Raw!BJ73,Raw!BK73))/BS73^2,"No Contingency Table"), "Not Included")</f>
        <v>Not Included</v>
      </c>
      <c r="BW73" s="11" t="str">
        <f>IF(BQ73, IF(COUNTIF(Raw!AV73:BK73, "&gt;=0") = 16,(BU73-BV73) / (1 - BV73),"No Contingency Table"), "Not Included")</f>
        <v>Not Included</v>
      </c>
      <c r="BX73" s="11" t="b">
        <f t="shared" ref="BX73:BZ73" si="305">BQ73</f>
        <v>0</v>
      </c>
      <c r="BY73" s="11" t="str">
        <f t="shared" si="305"/>
        <v>Not Included</v>
      </c>
      <c r="BZ73" s="11" t="str">
        <f t="shared" si="305"/>
        <v>Not Included</v>
      </c>
      <c r="CA73" s="11" t="str">
        <f>IF(BX73, IF(COUNTIF(Raw!AV73:BK73, "&gt;=0") = 16, IFERROR((BZ73*Raw!BF73 - SUM(Raw!BD73, Raw!BE73, Raw!BF73, Raw!BG73)*SUM(Raw!BF73, Raw!AX73, Raw!BB73, Raw!BJ73)) / SQRT((BZ73*SUM(Raw!BD73, Raw!BE73, Raw!BF73, Raw!BG73) - SUM(Raw!BD73, Raw!BE73, Raw!BF73, Raw!BG73)^2) * (BZ73*SUM(Raw!BF73, Raw!AX73, Raw!BB73, Raw!BJ73) - SUM(Raw!BF73, Raw!AX73, Raw!BB73, Raw!BJ73)^2)), 0), "No Contingency Table"), "Not Included")</f>
        <v>Not Included</v>
      </c>
      <c r="CB73" s="11" t="str">
        <f>IF(BX73, IF(COUNTIF(Raw!AV73:BK73, "&gt;=0") = 16, SUM(Raw!AV73,Raw!AW73,Raw!AY73,Raw!AZ73,Raw!BA73,Raw!BC73,Raw!BF73,Raw!BH73,Raw!BI73,Raw!BK73) / SUM(Raw!AV73:BK73), "No Contingency Table"), "Not Included")</f>
        <v>Not Included</v>
      </c>
      <c r="CC73" s="11" t="str">
        <f>IF(BX73, IF(COUNTIF(Raw!AV73:BK73, "&gt;=0") = 16,SUM(SUM(Raw!BD73,Raw!BE73,Raw!BF73,Raw!BG73)*SUM(Raw!BF73,Raw!AX73,Raw!BB73,Raw!BJ73),SUM(Raw!AV73:BC73,Raw!BH73:BK73)*SUM(Raw!AV73,Raw!AW73,Raw!AY73,Raw!AZ73,Raw!BA73,Raw!BC73,Raw!BD73,Raw!BE73,Raw!BG73,Raw!BH73,Raw!BI73,Raw!BK73))/BZ73^2,"No Contingency Table"), "Not Included")</f>
        <v>Not Included</v>
      </c>
      <c r="CD73" s="11" t="str">
        <f>IF(BX73, IF(COUNTIF(Raw!AV73:BK73, "&gt;=0") = 16,(CB73 - CC73) / (1 - CC73+0.000001),"No Contingency Table"), "Not Included")</f>
        <v>Not Included</v>
      </c>
      <c r="CE73" s="11" t="b">
        <f t="shared" ref="CE73:CG73" si="306">BQ73</f>
        <v>0</v>
      </c>
      <c r="CF73" s="11" t="str">
        <f t="shared" si="306"/>
        <v>Not Included</v>
      </c>
      <c r="CG73" s="11" t="str">
        <f t="shared" si="306"/>
        <v>Not Included</v>
      </c>
      <c r="CH73" s="11" t="str">
        <f>IF(CE73, IF(COUNTIF(Raw!AV73:BK73, "&gt;=0") = 16, IFERROR((CG73*Raw!BA73 - SUM(Raw!BA73, Raw!AZ73, Raw!BB73, Raw!BC73)*SUM(Raw!BA73, Raw!AW73, Raw!BE73, Raw!BI73)) / SQRT((CG73*SUM(Raw!BA73, Raw!AZ73, Raw!BB73, Raw!BC73) - SUM(Raw!BA73, Raw!AZ73, Raw!BB73, Raw!BC73)^2) * (CG73*SUM(Raw!BA73, Raw!AW73, Raw!BE73, Raw!BI73) - SUM(Raw!BA73, Raw!AW73, Raw!BE73, Raw!BI73)^2)), 0), "No Contingency Table"), "Not Included")</f>
        <v>Not Included</v>
      </c>
      <c r="CI73" s="11" t="str">
        <f>IF(CE73, IF(COUNTIF(Raw!AV73:BK73, "&gt;=0") = 16, SUM(Raw!AV73,Raw!AX73,Raw!AY73,Raw!BA73,Raw!BD73,Raw!BF73,Raw!BG73,Raw!BH73,Raw!BJ73,Raw!BK73) / SUM(Raw!AV73:BK73), "No Contingency Table"), "Not Included")</f>
        <v>Not Included</v>
      </c>
      <c r="CJ73" s="61" t="str">
        <f>IF(BX73, IF(COUNTIF(Raw!AV73:BK73, "&gt;=0") = 16,SUM(SUM(Raw!AZ73,Raw!BA73,Raw!BB73,Raw!BC73)*SUM(Raw!BA73,Raw!AW73,Raw!BE73,Raw!BI73),SUM(Raw!AV73:AY73,Raw!BD73:BK73)*SUM(Raw!AV73,Raw!AX73,Raw!AY73,Raw!AZ73,Raw!BB73,Raw!BC73,Raw!BD73,Raw!BF73,Raw!BG73,Raw!BH73,Raw!BJ73,Raw!BK73))/CG73^2,"No Contingency Table"), "Not Included")</f>
        <v>Not Included</v>
      </c>
      <c r="CK73" s="11" t="str">
        <f>IF(BX73, IF(COUNTIF(Raw!AV73:BK73, "&gt;=0") = 16,(CI73 - CJ73) / (1 - CJ73),"No Contingency Table"), "Not Included")</f>
        <v>Not Included</v>
      </c>
      <c r="CL73" s="11" t="str">
        <f>IF(BQ73, IFERROR(Raw!AV73/SUM(Raw!AV73:AY73), 0), "Not Included")</f>
        <v>Not Included</v>
      </c>
      <c r="CM73" s="11" t="str">
        <f>IF(BQ73, IFERROR(Raw!BA73/SUM(Raw!AZ73:BC73), 0), "Not Included")</f>
        <v>Not Included</v>
      </c>
      <c r="CN73" s="11" t="str">
        <f>IF(BQ73, IFERROR(Raw!BF73/SUM(Raw!BD73:BG73), 0), "Not Included")</f>
        <v>Not Included</v>
      </c>
      <c r="CO73" s="11" t="str">
        <f>IF(BQ73, IFERROR(Raw!BK73/SUM(Raw!BH73:BK73), 0), "Not Included")</f>
        <v>Not Included</v>
      </c>
      <c r="CP73" s="11" t="str">
        <f>IF(BQ73, IFERROR(SUM(Raw!AV73,Raw!AX73,Raw!AY73,Raw!BD73,Raw!BF73,Raw!BG73,Raw!BH73,Raw!BJ73,Raw!BK73)/SUM(Raw!AV73,Raw!AW73,Raw!AX73,Raw!AY73,Raw!BD73,Raw!BE73,Raw!BF73,Raw!BG73,Raw!BH73,Raw!BI73,Raw!BJ73,Raw!BK73), 0), "Not Included")</f>
        <v>Not Included</v>
      </c>
      <c r="CQ73" s="11" t="str">
        <f>IF(BQ73, IFERROR(SUM(Raw!AV73:AX73,Raw!AZ73:BB73,Raw!BD73:BF73)/SUM(Raw!AV73:BF73), 0), "Not Included")</f>
        <v>Not Included</v>
      </c>
      <c r="CR73" s="11" t="str">
        <f>IF(BQ73, IFERROR(SUM(Raw!AV73:AY73), 0), "Not Included")</f>
        <v>Not Included</v>
      </c>
      <c r="CS73" s="11" t="str">
        <f>IF(BQ73, IFERROR(SUM(Raw!AZ73:BC73), 0), "Not Included")</f>
        <v>Not Included</v>
      </c>
      <c r="CT73" s="11" t="str">
        <f>IF(BQ73, IFERROR(SUM(Raw!BD73:BG73), 0), "Not Included")</f>
        <v>Not Included</v>
      </c>
      <c r="CU73" s="11" t="str">
        <f>IF(BQ73, IFERROR(SUM(Raw!BH73:BK73), 0), "Not Included")</f>
        <v>Not Included</v>
      </c>
      <c r="CV73" s="11" t="str">
        <f>IF(BQ73, IFERROR(SUM(Raw!AV73,Raw!AW73,Raw!AX73,Raw!AY73,Raw!BD73,Raw!BE73,Raw!BF73,Raw!BG73,Raw!BH73,Raw!BI73,Raw!BJ73,Raw!BK73), 0), "Not Included")</f>
        <v>Not Included</v>
      </c>
      <c r="CW73" s="11" t="str">
        <f>IF(BQ73, IFERROR(SUM(Raw!AV73:BF73), 0), "Not Included")</f>
        <v>Not Included</v>
      </c>
      <c r="CX73" s="11" t="str">
        <f>IF(BQ73, IFERROR((CR73*SUM(Raw!AV73,Raw!AZ73,Raw!BD73,Raw!BH73))/BS73/CR73, 0), "Not Included")</f>
        <v>Not Included</v>
      </c>
      <c r="CY73" s="11" t="str">
        <f>IF(BX73, IFERROR((CS73*SUM(Raw!BA73,Raw!AW73,Raw!BE73,Raw!BI73))/CG73/CS73, 0), "Not Included")</f>
        <v>Not Included</v>
      </c>
      <c r="CZ73" s="11" t="str">
        <f>IF(BX73, IFERROR((CT73*SUM(Raw!BF73,Raw!AX73,Raw!BB73,Raw!BJ73))/BZ73/CT73, 0), "Not Included")</f>
        <v>Not Included</v>
      </c>
      <c r="DA73" s="11" t="str">
        <f>IF(AY73, IFERROR((CU73*SUM(Raw!AY73,Raw!BC73,Raw!BG73,Raw!BK73))/AT73/CU73, 0), "Not Included")</f>
        <v>Not Included</v>
      </c>
      <c r="DB73" s="11" t="str">
        <f>IF(BX73, IFERROR((CV73*SUM(Raw!AV73,Raw!AX73,Raw!AY73,Raw!AZ73,Raw!BB73,Raw!BC73,Raw!BD73,Raw!BF73,Raw!BG73,Raw!BH73,Raw!BJ73,Raw!BK73))/CG73/CV73,0), "Not Included")</f>
        <v>Not Included</v>
      </c>
      <c r="DC73" s="11" t="str">
        <f>IF(AY73, IFERROR((CW73*SUM(Raw!AV73,Raw!AW73,Raw!AX73,Raw!AZ73,Raw!BA73,Raw!BB73,Raw!BD73,Raw!BE73,Raw!BF73,Raw!BH73,Raw!BI73,Raw!BJ73))/AT73/CW73,0), "Not Included")</f>
        <v>Not Included</v>
      </c>
    </row>
    <row r="74" spans="1:107" ht="12.75" customHeight="1">
      <c r="A74" s="11">
        <f>Raw!D74</f>
        <v>52</v>
      </c>
      <c r="B74" s="11" t="str">
        <f>Raw!A74</f>
        <v>Meins, Bureau &amp; Fernyhough (2017)</v>
      </c>
      <c r="C74" s="11">
        <f>Raw!G74</f>
        <v>1</v>
      </c>
      <c r="D74" s="11" t="str">
        <f>Raw!E74</f>
        <v>Mother-child</v>
      </c>
      <c r="E74" s="11" t="str">
        <f>CONCATENATE(IF(Raw!I74&lt;='Interval Definitions'!$B$2, 'Interval Definitions'!$A$2, IF(Raw!I74&lt;='Interval Definitions'!$B$3, 'Interval Definitions'!$A$3, IF(Raw!I74&lt;='Interval Definitions'!$B$4, 'Interval Definitions'!$A$4, IF(Raw!I74&lt;='Interval Definitions'!$B$5, 'Interval Definitions'!$A$5, "None")))), " - ", IF(Raw!J74&lt;='Interval Definitions'!$B$2, 'Interval Definitions'!$A$2, IF(Raw!J74&lt;='Interval Definitions'!$B$3, 'Interval Definitions'!$A$3, IF(Raw!J74&lt;='Interval Definitions'!$B$4, 'Interval Definitions'!$A$4, IF(Raw!J74&lt;='Interval Definitions'!$B$5, 'Interval Definitions'!$A$5, "None")))))</f>
        <v>Infancy - Preschool</v>
      </c>
      <c r="F74" s="11" t="b">
        <f>OR(NOT(ISBLANK(Raw!AF74)),NOT(ISBLANK(Raw!AG74)),NOT(ISBLANK(Raw!AH74)),NOT(ISBLANK(Raw!AI74)),COUNTIF(Raw!AA74:AD74, "&gt;=0") = 4)</f>
        <v>1</v>
      </c>
      <c r="G74" s="11" t="str">
        <f>IF(F74, IF(COUNTIF(Raw!AA74:AD74,"&gt;=0") = 4, "Contingency", IF(NOT(ISBLANK(Raw!AF74)), "Paper r", IF(NOT(ISBLANK(Raw!AG74)), "Pinquart", IF(NOT(ISBLANK(Raw!AH74)), "Fraley", "Paper chiSq")))), "Not Included")</f>
        <v>Contingency</v>
      </c>
      <c r="H74" s="15">
        <f>IF(F74,Raw!AE74,"Not Included")</f>
        <v>164</v>
      </c>
      <c r="I74" s="15">
        <f>IF(COUNTIF(Raw!AA74:AD74,"&gt;=0") = 4, SUM(Raw!AA74:AD74), "No Contingency Table")</f>
        <v>164</v>
      </c>
      <c r="J74" s="15">
        <f t="shared" si="0"/>
        <v>164</v>
      </c>
      <c r="K74" s="38">
        <f>IF(F74, IF(COUNTIF(Raw!AA74:AD74,"&gt;=0") = 4, IFERROR((I74*Raw!AA74 - SUM(Raw!AA74,Raw!AB74)*SUM(Raw!AA74,Raw!AD74)) / SQRT((I74*SUM(Raw!AA74,Raw!AB74) - SUM(Raw!AA74,Raw!AB74)^2) * (I74*SUM(Raw!AA74,Raw!AD74) - SUM(Raw!AA74,Raw!AD74)^2)), 0), "No Contingency Table"), "Not Included")</f>
        <v>0.3547822395064098</v>
      </c>
      <c r="L74" s="41" t="str">
        <f>IF(F74,IF(NOT(ISBLANK(Raw!AF74)), Raw!AF74, IF(NOT(ISBLANK(Raw!AG74)), Raw!AG74, IF(NOT(ISBLANK(Raw!AH74)), Raw!AH74, IF(NOT(ISBLANK(Raw!AI74)), SQRT(Raw!AI74/H74)*Raw!AJ74, "Not Reported")))),"Not Included")</f>
        <v>Not Reported</v>
      </c>
      <c r="M74" s="43">
        <f t="shared" si="1"/>
        <v>0.3547822395064098</v>
      </c>
      <c r="N74" s="11" t="str">
        <f t="shared" si="2"/>
        <v>NA</v>
      </c>
      <c r="O74" s="48" t="b">
        <f>OR(NOT(ISBLANK(Raw!AK74)), COUNTIF(Raw!AA74:AD74, "&gt;=0") = 4)</f>
        <v>1</v>
      </c>
      <c r="P74" s="24" t="str">
        <f>IF(O74,IF(COUNTIF(Raw!AA74:AD74,"&gt;=0") = 4,"Contingency", "Paper k"), "Not Included")</f>
        <v>Contingency</v>
      </c>
      <c r="Q74" s="48">
        <f>IF(O74, IF(COUNTIF(Raw!AA74:AD74,"&gt;=0") = 4,SUM(Raw!AA74,Raw!AC74)/H74,"No Contingency Table"), "Not Included")</f>
        <v>0.67682926829268297</v>
      </c>
      <c r="R74" s="38">
        <f>IF(O74, IF(COUNTIF(Raw!AA74:AD74, "&gt;=0") = 4,SUM(SUM(Raw!AA74,Raw!AB74)*SUM(Raw!AA74,Raw!AD74),SUM(Raw!AC74,Raw!AD74)*SUM(Raw!AC74,Raw!AB74))/H74^2,"No Contingency Table"), "Not Included")</f>
        <v>0.51041046995835815</v>
      </c>
      <c r="S74" s="38">
        <f>IF(O74, IF(COUNTIF(Raw!AA74:AD74,"&gt;=0") = 4, IFERROR((Q74 - R74) / (1 - R74), "Could not calculate"), "No Contingency Table"), "Not Included")</f>
        <v>0.33991494532199279</v>
      </c>
      <c r="T74" s="52">
        <f>IF(O74,IF(NOT(ISBLANK(Raw!AK74)), Raw!AK74, "Not Reported"), "Not Included")</f>
        <v>0.34</v>
      </c>
      <c r="U74" s="38">
        <f t="shared" si="3"/>
        <v>0.33991494532199279</v>
      </c>
      <c r="V74" s="11">
        <f t="shared" si="4"/>
        <v>1</v>
      </c>
      <c r="W74" s="11" t="b">
        <f>OR(NOT(ISBLANK(Raw!AU74)),COUNTIF(Raw!AL74:AT74,"&gt;=0") = 9)</f>
        <v>0</v>
      </c>
      <c r="X74" s="11" t="str">
        <f>IF(W74, IF(COUNTIF(Raw!AL74:AT74,"&gt;=0") = 9, "Contingency", "Paper k"), "Not Included")</f>
        <v>Not Included</v>
      </c>
      <c r="Y74" s="11" t="str">
        <f>IF(W74,IF(COUNTIF(Raw!AL74:AT74,"&gt;=0") = 9,SUM(Raw!AL74:AT74),"No Contingency Table"),"Not Included")</f>
        <v>Not Included</v>
      </c>
      <c r="Z74" s="11" t="str">
        <f t="shared" si="5"/>
        <v>Not Included</v>
      </c>
      <c r="AA74" s="11" t="str">
        <f>IF(W74,IF(COUNTIF(Raw!AL74:AT74,"&gt;=0") = 9,SUM(Raw!AL74,Raw!AP74,Raw!AT74)/Y74,"No Contingency Table"), "Not Included")</f>
        <v>Not Included</v>
      </c>
      <c r="AB74" s="11" t="str">
        <f>IF(W74,IF(COUNTIF(Raw!AL74:AT74,"&gt;=0") = 9,SUM(SUM(Raw!AL74,Raw!AM74,Raw!AN74)*SUM(Raw!AL74,Raw!AO74,Raw!AR74),SUM(Raw!AO74,Raw!AP74,Raw!AQ74)*SUM(Raw!AM74,Raw!AP74,Raw!AS74),SUM(Raw!AR74,Raw!AS74,Raw!AT74)*SUM(Raw!AN74,Raw!AQ74,Raw!AT74))/Y74^2,"No Contingency Table"), "Not Included")</f>
        <v>Not Included</v>
      </c>
      <c r="AC74" s="11" t="str">
        <f>IF(W74,IF(COUNTIF(Raw!AL74:AT74,"&gt;=0") = 9,(AA74 - AB74) / (1 - AB74),"No Contingency Table"), "Not Included")</f>
        <v>Not Included</v>
      </c>
      <c r="AD74" s="11" t="str">
        <f>IF(W74, IF(NOT(ISBLANK(Raw!AU74)),Raw!AU74,"Not Reported"), "Not Included")</f>
        <v>Not Included</v>
      </c>
      <c r="AE74" s="11" t="str">
        <f t="shared" si="6"/>
        <v>Not Included</v>
      </c>
      <c r="AF74" s="11" t="str">
        <f t="shared" si="7"/>
        <v>Not Included</v>
      </c>
      <c r="AG74" s="11" t="b">
        <f>COUNTIF(Raw!AV74:BK74, "&gt;=0") = 16</f>
        <v>1</v>
      </c>
      <c r="AH74" s="11" t="str">
        <f>IF(AG74, IF(COUNTIF(Raw!AV74:BK74,"&gt;=0") = 16, "Contingency", "Paper k"), "Not Included")</f>
        <v>Contingency</v>
      </c>
      <c r="AI74" s="15">
        <f>IF(AG74,IF(COUNTIF(Raw!AV74:BK74,"&gt;=0") = 16,SUM(Raw!AV74:BK74),"No Contingency Table"),"Not Included")</f>
        <v>164</v>
      </c>
      <c r="AJ74" s="15">
        <f t="shared" si="8"/>
        <v>164</v>
      </c>
      <c r="AK74" s="11">
        <f>IF(AG74,IF(COUNTIF(Raw!AV74:BK74,"&gt;=0") = 16,SUM(Raw!AV74,Raw!BA74,Raw!BF74,Raw!BK74)/AI74,"No Contingency Table"), "Not Included")</f>
        <v>0.56097560975609762</v>
      </c>
      <c r="AL74" s="11">
        <f>IF(AG74,IF(COUNTIF(Raw!AV74:BK74,"&gt;=0") = 16,SUM(SUM(Raw!AV74,Raw!AW74,Raw!AX74,Raw!AY74)*SUM(Raw!AV74,Raw!AZ74,Raw!BD74,Raw!BH74),SUM(Raw!AZ74,Raw!BA74,Raw!BB74,Raw!BC74)*SUM(Raw!AW74,Raw!BA74,Raw!BE74,Raw!BI74),SUM(Raw!BD74,Raw!BE74,Raw!BF74,Raw!BG74)*SUM(Raw!AX74,Raw!BB74,Raw!BF74,Raw!BJ74),SUM(Raw!BH74,Raw!BI74,Raw!BJ74,Raw!BK74)*SUM(Raw!AY74,Raw!BC74,Raw!BG74,Raw!BK74))/AI74^2,"No Contingency Table"), "Not Included")</f>
        <v>0.40139797739440808</v>
      </c>
      <c r="AM74" s="11">
        <f>IF(AG74,IF(COUNTIF(Raw!AV74:BK74,"&gt;=0") = 16,(AK74 - AL74) / (1 - AL74),"No Contingency Table"), "Not Included")</f>
        <v>0.26658385093167714</v>
      </c>
      <c r="AN74" s="32">
        <f>IF(NOT(ISBLANK(Raw!BL74)),Raw!BL74,"Not Reported")</f>
        <v>0.27</v>
      </c>
      <c r="AO74" s="11">
        <f t="shared" si="9"/>
        <v>0.26658385093167714</v>
      </c>
      <c r="AP74" s="11">
        <f t="shared" si="10"/>
        <v>1</v>
      </c>
      <c r="AQ74" s="11" t="b">
        <f t="shared" ref="AQ74:AR74" si="307">BQ74</f>
        <v>1</v>
      </c>
      <c r="AR74" s="11" t="str">
        <f t="shared" si="307"/>
        <v>Contingency</v>
      </c>
      <c r="AS74" s="15">
        <f t="shared" si="12"/>
        <v>164</v>
      </c>
      <c r="AT74" s="15">
        <f t="shared" si="13"/>
        <v>164</v>
      </c>
      <c r="AU74" s="11">
        <f>IF(AQ74, IF(COUNTIF(Raw!AV74:BK74, "&gt;=0") = 16, IFERROR((AT74*Raw!BK74 - SUM(Raw!BH74, Raw!BI74, Raw!BJ74, Raw!BK74)*SUM(Raw!AY74, Raw!BC74, Raw!BG74, Raw!BK74)) / SQRT((AT74*SUM(Raw!BH74, Raw!BI74, Raw!BJ74, Raw!BK74) - SUM(Raw!BH74, Raw!BI74, Raw!BJ74, Raw!BK74)^2) * (AT74*SUM(Raw!AY74, Raw!BC74, Raw!BG74, Raw!BK74) - SUM(Raw!AY74, Raw!BC74, Raw!BG74, Raw!BK74)^2)), 0), "No Contingency Table"), "Not Included")</f>
        <v>0.29789312761674813</v>
      </c>
      <c r="AV74" s="11" t="str">
        <f>IF(AQ74,IF(NOT(ISBLANK(Raw!BQ74)), Raw!BQ74, IF(NOT(ISBLANK(Raw!BR74)), Raw!BR74, "Not Reported")), "Not Included")</f>
        <v>Not Reported</v>
      </c>
      <c r="AW74" s="57">
        <f t="shared" si="14"/>
        <v>0.29789312761674813</v>
      </c>
      <c r="AX74" s="11" t="str">
        <f t="shared" si="15"/>
        <v>NA</v>
      </c>
      <c r="AY74" s="11" t="b">
        <f t="shared" ref="AY74:AZ74" si="308">AQ74</f>
        <v>1</v>
      </c>
      <c r="AZ74" s="11" t="str">
        <f t="shared" si="308"/>
        <v>Contingency</v>
      </c>
      <c r="BA74" s="11">
        <f>IF(AY74, IF(COUNTIF(Raw!AV74:BK74, "&gt;=0") = 16, SUM(Raw!AV74,Raw!AW74,Raw!AX74,Raw!AZ74,Raw!BA74,Raw!BB74,Raw!BD74,Raw!BE74,Raw!BF74,Raw!BK74)/SUM(Raw!AV74:BK74), "No Contingency Table"), "Not Included")</f>
        <v>0.75609756097560976</v>
      </c>
      <c r="BB74" s="11">
        <f>IF(AY74, IF(COUNTIF(Raw!AV74:BK74, "&gt;=0") = 16,SUM(SUM(Raw!BH74,Raw!BI74,Raw!BJ74,Raw!BK74)*SUM(Raw!AY74,Raw!BC74,Raw!BG74,Raw!BK74),SUM(Raw!AV74:BG74)*SUM(Raw!AV74,Raw!AW74,Raw!AX74,Raw!AZ74,Raw!BA74,Raw!BB74,Raw!BD74,Raw!BE74,Raw!BF74,Raw!BH74,Raw!BI74,Raw!BJ74))/AT74^2,"No Contingency Table"), "Not Included")</f>
        <v>0.67668054729327776</v>
      </c>
      <c r="BC74" s="11">
        <f>IF(AY74, IF(COUNTIF(Raw!AV74:BK74, "&gt;=0") = 16,(BA74-BB74) / (1 - BB74),"No Contingency Table"), "Not Included")</f>
        <v>0.24563017479300842</v>
      </c>
      <c r="BD74" s="11" t="str">
        <f>IF(AY74,IF(NOT(ISBLANK(Raw!BT95)),Raw!BT95,"Not Reported"),"Not Included")</f>
        <v>Not Reported</v>
      </c>
      <c r="BE74" s="11">
        <f t="shared" si="17"/>
        <v>0.24563017479300842</v>
      </c>
      <c r="BF74" s="11" t="str">
        <f t="shared" si="18"/>
        <v>NA</v>
      </c>
      <c r="BG74" s="11">
        <f>Raw!K74</f>
        <v>2017</v>
      </c>
      <c r="BH74" s="11" t="str">
        <f>IF(Raw!L74 = "USA","USA","Non-USA")</f>
        <v>Non-USA</v>
      </c>
      <c r="BI74" s="11" t="str">
        <f>Raw!M74</f>
        <v>Ainsworth/Cassidy-Marvin</v>
      </c>
      <c r="BJ74" s="11">
        <f>Raw!N74</f>
        <v>0</v>
      </c>
      <c r="BK74" s="11">
        <f>Raw!P74</f>
        <v>0</v>
      </c>
      <c r="BL74" s="11">
        <f>Raw!Q74</f>
        <v>0</v>
      </c>
      <c r="BM74" s="11">
        <f>Raw!T74</f>
        <v>1</v>
      </c>
      <c r="BN74" s="11">
        <f>IFERROR(IF(AND(ISBLANK(Raw!U74), ISBLANK(Raw!V74), ISBLANK(Raw!W74), ISBLANK(Raw!X74)), "NA", IF(OR(NOT(ISBLANK(Raw!U74)), NOT(ISBLANK(Raw!W74))), AVERAGE(Raw!U74,Raw!W74), AVERAGE(Raw!V74,Raw!X74) + IF(Raw!Y74 = "2-way", R74, IF(Raw!Y74 = "3-way", AB74, IF(Raw!Y74 = "4-way", AL74, "NA")))*(1 - AVERAGE(Raw!V74,Raw!X74)))), "NA")</f>
        <v>0.87728658536585358</v>
      </c>
      <c r="BO74" s="11">
        <f>Raw!O74</f>
        <v>0</v>
      </c>
      <c r="BP74" s="11" t="str">
        <f>Raw!F74</f>
        <v>Female</v>
      </c>
      <c r="BQ74" s="11" t="b">
        <f>COUNTIF(Raw!AV74:BK74, "&gt;=0") = 16</f>
        <v>1</v>
      </c>
      <c r="BR74" s="11" t="str">
        <f t="shared" si="19"/>
        <v>Contingency</v>
      </c>
      <c r="BS74" s="15">
        <f t="shared" si="20"/>
        <v>164</v>
      </c>
      <c r="BT74" s="11">
        <f>IF(BQ74, IF(COUNTIF(Raw!AV74:BK74, "&gt;=0") = 16, IFERROR((BS74*Raw!AV74 - SUM(Raw!AV74, Raw!AW74, Raw!AX74, Raw!AY74)*SUM(Raw!AV74, Raw!AZ74, Raw!BD74, Raw!BH74)) / SQRT((BS74*SUM(Raw!AV74, Raw!AW74, Raw!AX74, Raw!AY74) - SUM(Raw!AV74, Raw!AW74, Raw!AX74, Raw!AY74)^2) * (BS74*SUM(Raw!AV74, Raw!AZ74, Raw!BD74, Raw!BH74) - SUM(Raw!AV74, Raw!AZ74, Raw!BD74, Raw!BH74)^2)), 0), "No Contingency Table"), "Not Included")</f>
        <v>0.18838269061123289</v>
      </c>
      <c r="BU74" s="11">
        <f>IF(BQ74, IF(COUNTIF(Raw!AV74:BK74, "&gt;=0") = 16, SUM(Raw!BK74,Raw!BJ74,Raw!BI74,Raw!BG74,Raw!BF74,Raw!BE74,Raw!BC74,Raw!BB74,Raw!BA74,Raw!AV74)/SUM(Raw!AV74:BK74), "No Contingency Table"), "Not Included")</f>
        <v>0.81097560975609762</v>
      </c>
      <c r="BV74" s="11">
        <f>IF(BQ74, IF(COUNTIF(Raw!AV74:BK74, "&gt;=0") = 16,SUM(SUM(Raw!AV74,Raw!AW74,Raw!AX74,Raw!AY74)*SUM(Raw!AV74,Raw!AZ74,Raw!BD74,Raw!BH74),SUM(Raw!AZ74:BK74)*SUM(Raw!AW74,Raw!AX74,Raw!AY74,Raw!BA74,Raw!BB74,Raw!BC74,Raw!BE74,Raw!BF74,Raw!BG74,Raw!BI74,Raw!BJ74,Raw!BK74))/BS74^2,"No Contingency Table"), "Not Included")</f>
        <v>0.77453896490184415</v>
      </c>
      <c r="BW74" s="11">
        <f>IF(BQ74, IF(COUNTIF(Raw!AV74:BK74, "&gt;=0") = 16,(BU74-BV74) / (1 - BV74),"No Contingency Table"), "Not Included")</f>
        <v>0.16160949868073898</v>
      </c>
      <c r="BX74" s="11" t="b">
        <f t="shared" ref="BX74:BZ74" si="309">BQ74</f>
        <v>1</v>
      </c>
      <c r="BY74" s="11" t="str">
        <f t="shared" si="309"/>
        <v>Contingency</v>
      </c>
      <c r="BZ74" s="15">
        <f t="shared" si="309"/>
        <v>164</v>
      </c>
      <c r="CA74" s="11">
        <f>IF(BX74, IF(COUNTIF(Raw!AV74:BK74, "&gt;=0") = 16, IFERROR((BZ74*Raw!BF74 - SUM(Raw!BD74, Raw!BE74, Raw!BF74, Raw!BG74)*SUM(Raw!BF74, Raw!AX74, Raw!BB74, Raw!BJ74)) / SQRT((BZ74*SUM(Raw!BD74, Raw!BE74, Raw!BF74, Raw!BG74) - SUM(Raw!BD74, Raw!BE74, Raw!BF74, Raw!BG74)^2) * (BZ74*SUM(Raw!BF74, Raw!AX74, Raw!BB74, Raw!BJ74) - SUM(Raw!BF74, Raw!AX74, Raw!BB74, Raw!BJ74)^2)), 0), "No Contingency Table"), "Not Included")</f>
        <v>0.26162433649661387</v>
      </c>
      <c r="CB74" s="11">
        <f>IF(BX74, IF(COUNTIF(Raw!AV74:BK74, "&gt;=0") = 16, SUM(Raw!AV74,Raw!AW74,Raw!AY74,Raw!AZ74,Raw!BA74,Raw!BC74,Raw!BF74,Raw!BH74,Raw!BI74,Raw!BK74) / SUM(Raw!AV74:BK74), "No Contingency Table"), "Not Included")</f>
        <v>0.87804878048780488</v>
      </c>
      <c r="CC74" s="11">
        <f>IF(BX74, IF(COUNTIF(Raw!AV74:BK74, "&gt;=0") = 16,SUM(SUM(Raw!BD74,Raw!BE74,Raw!BF74,Raw!BG74)*SUM(Raw!BF74,Raw!AX74,Raw!BB74,Raw!BJ74),SUM(Raw!AV74:BC74,Raw!BH74:BK74)*SUM(Raw!AV74,Raw!AW74,Raw!AY74,Raw!AZ74,Raw!BA74,Raw!BC74,Raw!BD74,Raw!BE74,Raw!BG74,Raw!BH74,Raw!BI74,Raw!BK74))/BZ74^2,"No Contingency Table"), "Not Included")</f>
        <v>0.8411659726353361</v>
      </c>
      <c r="CD74" s="11">
        <f>IF(BX74, IF(COUNTIF(Raw!AV74:BK74, "&gt;=0") = 16,(CB74 - CC74) / (1 - CC74+0.000001),"No Contingency Table"), "Not Included")</f>
        <v>0.23220827587224072</v>
      </c>
      <c r="CE74" s="11" t="b">
        <f t="shared" ref="CE74:CG74" si="310">BQ74</f>
        <v>1</v>
      </c>
      <c r="CF74" s="11" t="str">
        <f t="shared" si="310"/>
        <v>Contingency</v>
      </c>
      <c r="CG74" s="15">
        <f t="shared" si="310"/>
        <v>164</v>
      </c>
      <c r="CH74" s="11">
        <f>IF(CE74, IF(COUNTIF(Raw!AV74:BK74, "&gt;=0") = 16, IFERROR((CG74*Raw!BA74 - SUM(Raw!BA74, Raw!AZ74, Raw!BB74, Raw!BC74)*SUM(Raw!BA74, Raw!AW74, Raw!BE74, Raw!BI74)) / SQRT((CG74*SUM(Raw!BA74, Raw!AZ74, Raw!BB74, Raw!BC74) - SUM(Raw!BA74, Raw!AZ74, Raw!BB74, Raw!BC74)^2) * (CG74*SUM(Raw!BA74, Raw!AW74, Raw!BE74, Raw!BI74) - SUM(Raw!BA74, Raw!AW74, Raw!BE74, Raw!BI74)^2)), 0), "No Contingency Table"), "Not Included")</f>
        <v>0.3547822395064098</v>
      </c>
      <c r="CI74" s="11">
        <f>IF(CE74, IF(COUNTIF(Raw!AV74:BK74, "&gt;=0") = 16, SUM(Raw!AV74,Raw!AX74,Raw!AY74,Raw!BA74,Raw!BD74,Raw!BF74,Raw!BG74,Raw!BH74,Raw!BJ74,Raw!BK74) / SUM(Raw!AV74:BK74), "No Contingency Table"), "Not Included")</f>
        <v>0.67682926829268297</v>
      </c>
      <c r="CJ74" s="61">
        <f>IF(BX74, IF(COUNTIF(Raw!AV74:BK74, "&gt;=0") = 16,SUM(SUM(Raw!AZ74,Raw!BA74,Raw!BB74,Raw!BC74)*SUM(Raw!BA74,Raw!AW74,Raw!BE74,Raw!BI74),SUM(Raw!AV74:AY74,Raw!BD74:BK74)*SUM(Raw!AV74,Raw!AX74,Raw!AY74,Raw!AZ74,Raw!BB74,Raw!BC74,Raw!BD74,Raw!BF74,Raw!BG74,Raw!BH74,Raw!BJ74,Raw!BK74))/CG74^2,"No Contingency Table"), "Not Included")</f>
        <v>0.51041046995835815</v>
      </c>
      <c r="CK74" s="11">
        <f>IF(BX74, IF(COUNTIF(Raw!AV74:BK74, "&gt;=0") = 16,(CI74 - CJ74) / (1 - CJ74),"No Contingency Table"), "Not Included")</f>
        <v>0.33991494532199279</v>
      </c>
      <c r="CL74" s="11">
        <f>IF(BQ74, IFERROR(Raw!AV74/SUM(Raw!AV74:AY74), 0), "Not Included")</f>
        <v>0.16666666666666666</v>
      </c>
      <c r="CM74" s="11">
        <f>IF(BQ74, IFERROR(Raw!BA74/SUM(Raw!AZ74:BC74), 0), "Not Included")</f>
        <v>0.65454545454545454</v>
      </c>
      <c r="CN74" s="11">
        <f>IF(BQ74, IFERROR(Raw!BF74/SUM(Raw!BD74:BG74), 0), "Not Included")</f>
        <v>0.5</v>
      </c>
      <c r="CO74" s="11">
        <f>IF(BQ74, IFERROR(Raw!BK74/SUM(Raw!BH74:BK74), 0), "Not Included")</f>
        <v>0.6875</v>
      </c>
      <c r="CP74" s="11">
        <f>IF(BQ74, IFERROR(SUM(Raw!AV74,Raw!AX74,Raw!AY74,Raw!BD74,Raw!BF74,Raw!BG74,Raw!BH74,Raw!BJ74,Raw!BK74)/SUM(Raw!AV74,Raw!AW74,Raw!AX74,Raw!AY74,Raw!BD74,Raw!BE74,Raw!BF74,Raw!BG74,Raw!BH74,Raw!BI74,Raw!BJ74,Raw!BK74), 0), "Not Included")</f>
        <v>0.72222222222222221</v>
      </c>
      <c r="CQ74" s="11">
        <f>IF(BQ74, IFERROR(SUM(Raw!AV74:AX74,Raw!AZ74:BB74,Raw!BD74:BF74)/SUM(Raw!AV74:BF74), 0), "Not Included")</f>
        <v>0.76351351351351349</v>
      </c>
      <c r="CR74" s="11">
        <f>IF(BQ74, IFERROR(SUM(Raw!AV74:AY74), 0), "Not Included")</f>
        <v>30</v>
      </c>
      <c r="CS74" s="11">
        <f>IF(BQ74, IFERROR(SUM(Raw!AZ74:BC74), 0), "Not Included")</f>
        <v>110</v>
      </c>
      <c r="CT74" s="11">
        <f>IF(BQ74, IFERROR(SUM(Raw!BD74:BG74), 0), "Not Included")</f>
        <v>8</v>
      </c>
      <c r="CU74" s="11">
        <f>IF(BQ74, IFERROR(SUM(Raw!BH74:BK74), 0), "Not Included")</f>
        <v>16</v>
      </c>
      <c r="CV74" s="11">
        <f>IF(BQ74, IFERROR(SUM(Raw!AV74,Raw!AW74,Raw!AX74,Raw!AY74,Raw!BD74,Raw!BE74,Raw!BF74,Raw!BG74,Raw!BH74,Raw!BI74,Raw!BJ74,Raw!BK74), 0), "Not Included")</f>
        <v>54</v>
      </c>
      <c r="CW74" s="11">
        <f>IF(BQ74, IFERROR(SUM(Raw!AV74:BF74), 0), "Not Included")</f>
        <v>148</v>
      </c>
      <c r="CX74" s="11">
        <f>IF(BQ74, IFERROR((CR74*SUM(Raw!AV74,Raw!AZ74,Raw!BD74,Raw!BH74))/BS74/CR74, 0), "Not Included")</f>
        <v>6.7073170731707321E-2</v>
      </c>
      <c r="CY74" s="11">
        <f>IF(BX74, IFERROR((CS74*SUM(Raw!BA74,Raw!AW74,Raw!BE74,Raw!BI74))/CG74/CS74, 0), "Not Included")</f>
        <v>0.53048780487804881</v>
      </c>
      <c r="CZ74" s="11">
        <f>IF(BX74, IFERROR((CT74*SUM(Raw!BF74,Raw!AX74,Raw!BB74,Raw!BJ74))/BZ74/CT74, 0), "Not Included")</f>
        <v>0.12195121951219512</v>
      </c>
      <c r="DA74" s="11">
        <f>IF(AY74, IFERROR((CU74*SUM(Raw!AY74,Raw!BC74,Raw!BG74,Raw!BK74))/AT74/CU74, 0), "Not Included")</f>
        <v>0.28048780487804881</v>
      </c>
      <c r="DB74" s="11">
        <f>IF(BX74, IFERROR((CV74*SUM(Raw!AV74,Raw!AX74,Raw!AY74,Raw!AZ74,Raw!BB74,Raw!BC74,Raw!BD74,Raw!BF74,Raw!BG74,Raw!BH74,Raw!BJ74,Raw!BK74))/CG74/CV74,0), "Not Included")</f>
        <v>0.46951219512195125</v>
      </c>
      <c r="DC74" s="11">
        <f>IF(AY74, IFERROR((CW74*SUM(Raw!AV74,Raw!AW74,Raw!AX74,Raw!AZ74,Raw!BA74,Raw!BB74,Raw!BD74,Raw!BE74,Raw!BF74,Raw!BH74,Raw!BI74,Raw!BJ74))/AT74/CW74,0), "Not Included")</f>
        <v>0.71951219512195119</v>
      </c>
    </row>
    <row r="75" spans="1:107" ht="12.75" customHeight="1">
      <c r="A75" s="11">
        <f>Raw!D75</f>
        <v>52</v>
      </c>
      <c r="B75" s="11" t="str">
        <f>Raw!A75</f>
        <v>Meins, Bureau &amp; Fernyhough (2017)</v>
      </c>
      <c r="C75" s="11">
        <f>Raw!G75</f>
        <v>2</v>
      </c>
      <c r="D75" s="11" t="str">
        <f>Raw!E75</f>
        <v>Mother-child</v>
      </c>
      <c r="E75" s="11" t="str">
        <f>CONCATENATE(IF(Raw!I75&lt;='Interval Definitions'!$B$2, 'Interval Definitions'!$A$2, IF(Raw!I75&lt;='Interval Definitions'!$B$3, 'Interval Definitions'!$A$3, IF(Raw!I75&lt;='Interval Definitions'!$B$4, 'Interval Definitions'!$A$4, IF(Raw!I75&lt;='Interval Definitions'!$B$5, 'Interval Definitions'!$A$5, "None")))), " - ", IF(Raw!J75&lt;='Interval Definitions'!$B$2, 'Interval Definitions'!$A$2, IF(Raw!J75&lt;='Interval Definitions'!$B$3, 'Interval Definitions'!$A$3, IF(Raw!J75&lt;='Interval Definitions'!$B$4, 'Interval Definitions'!$A$4, IF(Raw!J75&lt;='Interval Definitions'!$B$5, 'Interval Definitions'!$A$5, "None")))))</f>
        <v>Infancy - Preschool</v>
      </c>
      <c r="F75" s="11" t="b">
        <f>OR(NOT(ISBLANK(Raw!AF75)),NOT(ISBLANK(Raw!AG75)),NOT(ISBLANK(Raw!AH75)),NOT(ISBLANK(Raw!AI75)),COUNTIF(Raw!AA75:AD75, "&gt;=0") = 4)</f>
        <v>1</v>
      </c>
      <c r="G75" s="11" t="str">
        <f>IF(F75, IF(COUNTIF(Raw!AA75:AD75,"&gt;=0") = 4, "Contingency", IF(NOT(ISBLANK(Raw!AF75)), "Paper r", IF(NOT(ISBLANK(Raw!AG75)), "Pinquart", IF(NOT(ISBLANK(Raw!AH75)), "Fraley", "Paper chiSq")))), "Not Included")</f>
        <v>Contingency</v>
      </c>
      <c r="H75" s="15">
        <f>IF(F75,Raw!AE75,"Not Included")</f>
        <v>128</v>
      </c>
      <c r="I75" s="15">
        <f>IF(COUNTIF(Raw!AA75:AD75,"&gt;=0") = 4, SUM(Raw!AA75:AD75), "No Contingency Table")</f>
        <v>128</v>
      </c>
      <c r="J75" s="15">
        <f t="shared" si="0"/>
        <v>128</v>
      </c>
      <c r="K75" s="38">
        <f>IF(F75, IF(COUNTIF(Raw!AA75:AD75,"&gt;=0") = 4, IFERROR((I75*Raw!AA75 - SUM(Raw!AA75,Raw!AB75)*SUM(Raw!AA75,Raw!AD75)) / SQRT((I75*SUM(Raw!AA75,Raw!AB75) - SUM(Raw!AA75,Raw!AB75)^2) * (I75*SUM(Raw!AA75,Raw!AD75) - SUM(Raw!AA75,Raw!AD75)^2)), 0), "No Contingency Table"), "Not Included")</f>
        <v>0.22645670159598288</v>
      </c>
      <c r="L75" s="41" t="str">
        <f>IF(F75,IF(NOT(ISBLANK(Raw!AF75)), Raw!AF75, IF(NOT(ISBLANK(Raw!AG75)), Raw!AG75, IF(NOT(ISBLANK(Raw!AH75)), Raw!AH75, IF(NOT(ISBLANK(Raw!AI75)), SQRT(Raw!AI75/H75)*Raw!AJ75, "Not Reported")))),"Not Included")</f>
        <v>Not Reported</v>
      </c>
      <c r="M75" s="43">
        <f t="shared" si="1"/>
        <v>0.22645670159598288</v>
      </c>
      <c r="N75" s="11" t="str">
        <f t="shared" si="2"/>
        <v>NA</v>
      </c>
      <c r="O75" s="48" t="b">
        <f>OR(NOT(ISBLANK(Raw!AK75)), COUNTIF(Raw!AA75:AD75, "&gt;=0") = 4)</f>
        <v>1</v>
      </c>
      <c r="P75" s="24" t="str">
        <f>IF(O75,IF(COUNTIF(Raw!AA75:AD75,"&gt;=0") = 4,"Contingency", "Paper k"), "Not Included")</f>
        <v>Contingency</v>
      </c>
      <c r="Q75" s="48">
        <f>IF(O75, IF(COUNTIF(Raw!AA75:AD75,"&gt;=0") = 4,SUM(Raw!AA75,Raw!AC75)/H75,"No Contingency Table"), "Not Included")</f>
        <v>0.6328125</v>
      </c>
      <c r="R75" s="38">
        <f>IF(O75, IF(COUNTIF(Raw!AA75:AD75, "&gt;=0") = 4,SUM(SUM(Raw!AA75,Raw!AB75)*SUM(Raw!AA75,Raw!AD75),SUM(Raw!AC75,Raw!AD75)*SUM(Raw!AC75,Raw!AB75))/H75^2,"No Contingency Table"), "Not Included")</f>
        <v>0.52685546875</v>
      </c>
      <c r="S75" s="38">
        <f>IF(O75, IF(COUNTIF(Raw!AA75:AD75,"&gt;=0") = 4, IFERROR((Q75 - R75) / (1 - R75), "Could not calculate"), "No Contingency Table"), "Not Included")</f>
        <v>0.22394220846233232</v>
      </c>
      <c r="T75" s="52">
        <f>IF(O75,IF(NOT(ISBLANK(Raw!AK75)), Raw!AK75, "Not Reported"), "Not Included")</f>
        <v>0.24</v>
      </c>
      <c r="U75" s="38">
        <f t="shared" si="3"/>
        <v>0.22394220846233232</v>
      </c>
      <c r="V75" s="11">
        <f t="shared" si="4"/>
        <v>0</v>
      </c>
      <c r="W75" s="11" t="b">
        <f>OR(NOT(ISBLANK(Raw!AU75)),COUNTIF(Raw!AL75:AT75,"&gt;=0") = 9)</f>
        <v>0</v>
      </c>
      <c r="X75" s="11" t="str">
        <f>IF(W75, IF(COUNTIF(Raw!AL75:AT75,"&gt;=0") = 9, "Contingency", "Paper k"), "Not Included")</f>
        <v>Not Included</v>
      </c>
      <c r="Y75" s="11" t="str">
        <f>IF(W75,IF(COUNTIF(Raw!AL75:AT75,"&gt;=0") = 9,SUM(Raw!AL75:AT75),"No Contingency Table"),"Not Included")</f>
        <v>Not Included</v>
      </c>
      <c r="Z75" s="11" t="str">
        <f t="shared" si="5"/>
        <v>Not Included</v>
      </c>
      <c r="AA75" s="11" t="str">
        <f>IF(W75,IF(COUNTIF(Raw!AL75:AT75,"&gt;=0") = 9,SUM(Raw!AL75,Raw!AP75,Raw!AT75)/Y75,"No Contingency Table"), "Not Included")</f>
        <v>Not Included</v>
      </c>
      <c r="AB75" s="11" t="str">
        <f>IF(W75,IF(COUNTIF(Raw!AL75:AT75,"&gt;=0") = 9,SUM(SUM(Raw!AL75,Raw!AM75,Raw!AN75)*SUM(Raw!AL75,Raw!AO75,Raw!AR75),SUM(Raw!AO75,Raw!AP75,Raw!AQ75)*SUM(Raw!AM75,Raw!AP75,Raw!AS75),SUM(Raw!AR75,Raw!AS75,Raw!AT75)*SUM(Raw!AN75,Raw!AQ75,Raw!AT75))/Y75^2,"No Contingency Table"), "Not Included")</f>
        <v>Not Included</v>
      </c>
      <c r="AC75" s="11" t="str">
        <f>IF(W75,IF(COUNTIF(Raw!AL75:AT75,"&gt;=0") = 9,(AA75 - AB75) / (1 - AB75),"No Contingency Table"), "Not Included")</f>
        <v>Not Included</v>
      </c>
      <c r="AD75" s="11" t="str">
        <f>IF(W75, IF(NOT(ISBLANK(Raw!AU75)),Raw!AU75,"Not Reported"), "Not Included")</f>
        <v>Not Included</v>
      </c>
      <c r="AE75" s="11" t="str">
        <f t="shared" si="6"/>
        <v>Not Included</v>
      </c>
      <c r="AF75" s="11" t="str">
        <f t="shared" si="7"/>
        <v>Not Included</v>
      </c>
      <c r="AG75" s="11" t="b">
        <f>COUNTIF(Raw!AV75:BK75, "&gt;=0") = 16</f>
        <v>1</v>
      </c>
      <c r="AH75" s="11" t="str">
        <f>IF(AG75, IF(COUNTIF(Raw!AV75:BK75,"&gt;=0") = 16, "Contingency", "Paper k"), "Not Included")</f>
        <v>Contingency</v>
      </c>
      <c r="AI75" s="15">
        <f>IF(AG75,IF(COUNTIF(Raw!AV75:BK75,"&gt;=0") = 16,SUM(Raw!AV75:BK75),"No Contingency Table"),"Not Included")</f>
        <v>128</v>
      </c>
      <c r="AJ75" s="15">
        <f t="shared" si="8"/>
        <v>128</v>
      </c>
      <c r="AK75" s="11">
        <f>IF(AG75,IF(COUNTIF(Raw!AV75:BK75,"&gt;=0") = 16,SUM(Raw!AV75,Raw!BA75,Raw!BF75,Raw!BK75)/AI75,"No Contingency Table"), "Not Included")</f>
        <v>0.5</v>
      </c>
      <c r="AL75" s="11">
        <f>IF(AG75,IF(COUNTIF(Raw!AV75:BK75,"&gt;=0") = 16,SUM(SUM(Raw!AV75,Raw!AW75,Raw!AX75,Raw!AY75)*SUM(Raw!AV75,Raw!AZ75,Raw!BD75,Raw!BH75),SUM(Raw!AZ75,Raw!BA75,Raw!BB75,Raw!BC75)*SUM(Raw!AW75,Raw!BA75,Raw!BE75,Raw!BI75),SUM(Raw!BD75,Raw!BE75,Raw!BF75,Raw!BG75)*SUM(Raw!AX75,Raw!BB75,Raw!BF75,Raw!BJ75),SUM(Raw!BH75,Raw!BI75,Raw!BJ75,Raw!BK75)*SUM(Raw!AY75,Raw!BC75,Raw!BG75,Raw!BK75))/AI75^2,"No Contingency Table"), "Not Included")</f>
        <v>0.427734375</v>
      </c>
      <c r="AM75" s="11">
        <f>IF(AG75,IF(COUNTIF(Raw!AV75:BK75,"&gt;=0") = 16,(AK75 - AL75) / (1 - AL75),"No Contingency Table"), "Not Included")</f>
        <v>0.12627986348122866</v>
      </c>
      <c r="AN75" s="32">
        <f>IF(NOT(ISBLANK(Raw!BL75)),Raw!BL75,"Not Reported")</f>
        <v>0.13</v>
      </c>
      <c r="AO75" s="11">
        <f t="shared" si="9"/>
        <v>0.12627986348122866</v>
      </c>
      <c r="AP75" s="11">
        <f t="shared" si="10"/>
        <v>1</v>
      </c>
      <c r="AQ75" s="11" t="b">
        <f t="shared" ref="AQ75:AR75" si="311">BQ75</f>
        <v>1</v>
      </c>
      <c r="AR75" s="11" t="str">
        <f t="shared" si="311"/>
        <v>Contingency</v>
      </c>
      <c r="AS75" s="15">
        <f t="shared" si="12"/>
        <v>128</v>
      </c>
      <c r="AT75" s="15">
        <f t="shared" si="13"/>
        <v>128</v>
      </c>
      <c r="AU75" s="11">
        <f>IF(AQ75, IF(COUNTIF(Raw!AV75:BK75, "&gt;=0") = 16, IFERROR((AT75*Raw!BK75 - SUM(Raw!BH75, Raw!BI75, Raw!BJ75, Raw!BK75)*SUM(Raw!AY75, Raw!BC75, Raw!BG75, Raw!BK75)) / SQRT((AT75*SUM(Raw!BH75, Raw!BI75, Raw!BJ75, Raw!BK75) - SUM(Raw!BH75, Raw!BI75, Raw!BJ75, Raw!BK75)^2) * (AT75*SUM(Raw!AY75, Raw!BC75, Raw!BG75, Raw!BK75) - SUM(Raw!AY75, Raw!BC75, Raw!BG75, Raw!BK75)^2)), 0), "No Contingency Table"), "Not Included")</f>
        <v>9.677843389250719E-2</v>
      </c>
      <c r="AV75" s="11" t="str">
        <f>IF(AQ75,IF(NOT(ISBLANK(Raw!BQ75)), Raw!BQ75, IF(NOT(ISBLANK(Raw!BR75)), Raw!BR75, "Not Reported")), "Not Included")</f>
        <v>Not Reported</v>
      </c>
      <c r="AW75" s="57">
        <f t="shared" si="14"/>
        <v>9.677843389250719E-2</v>
      </c>
      <c r="AX75" s="11" t="str">
        <f t="shared" si="15"/>
        <v>NA</v>
      </c>
      <c r="AY75" s="11" t="b">
        <f t="shared" ref="AY75:AZ75" si="312">AQ75</f>
        <v>1</v>
      </c>
      <c r="AZ75" s="11" t="str">
        <f t="shared" si="312"/>
        <v>Contingency</v>
      </c>
      <c r="BA75" s="11">
        <f>IF(AY75, IF(COUNTIF(Raw!AV75:BK75, "&gt;=0") = 16, SUM(Raw!AV75,Raw!AW75,Raw!AX75,Raw!AZ75,Raw!BA75,Raw!BB75,Raw!BD75,Raw!BE75,Raw!BF75,Raw!BK75)/SUM(Raw!AV75:BK75), "No Contingency Table"), "Not Included")</f>
        <v>0.7734375</v>
      </c>
      <c r="BB75" s="11">
        <f>IF(AY75, IF(COUNTIF(Raw!AV75:BK75, "&gt;=0") = 16,SUM(SUM(Raw!BH75,Raw!BI75,Raw!BJ75,Raw!BK75)*SUM(Raw!AY75,Raw!BC75,Raw!BG75,Raw!BK75),SUM(Raw!AV75:BG75)*SUM(Raw!AV75,Raw!AW75,Raw!AX75,Raw!AZ75,Raw!BA75,Raw!BB75,Raw!BD75,Raw!BE75,Raw!BF75,Raw!BH75,Raw!BI75,Raw!BJ75))/AT75^2,"No Contingency Table"), "Not Included")</f>
        <v>0.750244140625</v>
      </c>
      <c r="BC75" s="11">
        <f>IF(AY75, IF(COUNTIF(Raw!AV75:BK75, "&gt;=0") = 16,(BA75-BB75) / (1 - BB75),"No Contingency Table"), "Not Included")</f>
        <v>9.2864125122189639E-2</v>
      </c>
      <c r="BD75" s="11" t="str">
        <f>IF(AY75,IF(NOT(ISBLANK(Raw!BT96)),Raw!BT96,"Not Reported"),"Not Included")</f>
        <v>Not Reported</v>
      </c>
      <c r="BE75" s="11">
        <f t="shared" si="17"/>
        <v>9.2864125122189639E-2</v>
      </c>
      <c r="BF75" s="11" t="str">
        <f t="shared" si="18"/>
        <v>NA</v>
      </c>
      <c r="BG75" s="11">
        <f>Raw!K75</f>
        <v>2017</v>
      </c>
      <c r="BH75" s="11" t="str">
        <f>IF(Raw!L75 = "USA","USA","Non-USA")</f>
        <v>Non-USA</v>
      </c>
      <c r="BI75" s="11" t="str">
        <f>Raw!M75</f>
        <v>Ainsworth/Cassidy-Marvin</v>
      </c>
      <c r="BJ75" s="11">
        <f>Raw!N75</f>
        <v>0</v>
      </c>
      <c r="BK75" s="11">
        <f>Raw!P75</f>
        <v>0</v>
      </c>
      <c r="BL75" s="11">
        <f>Raw!Q75</f>
        <v>0</v>
      </c>
      <c r="BM75" s="11">
        <f>Raw!T75</f>
        <v>1</v>
      </c>
      <c r="BN75" s="11">
        <f>IFERROR(IF(AND(ISBLANK(Raw!U75), ISBLANK(Raw!V75), ISBLANK(Raw!W75), ISBLANK(Raw!X75)), "NA", IF(OR(NOT(ISBLANK(Raw!U75)), NOT(ISBLANK(Raw!W75))), AVERAGE(Raw!U75,Raw!W75), AVERAGE(Raw!V75,Raw!X75) + IF(Raw!Y75 = "2-way", R75, IF(Raw!Y75 = "3-way", AB75, IF(Raw!Y75 = "4-way", AL75, "NA")))*(1 - AVERAGE(Raw!V75,Raw!X75)))), "NA")</f>
        <v>0.86837890625000003</v>
      </c>
      <c r="BO75" s="11">
        <f>Raw!O75</f>
        <v>0</v>
      </c>
      <c r="BP75" s="11" t="str">
        <f>Raw!F75</f>
        <v>Female</v>
      </c>
      <c r="BQ75" s="11" t="b">
        <f>COUNTIF(Raw!AV75:BK75, "&gt;=0") = 16</f>
        <v>1</v>
      </c>
      <c r="BR75" s="11" t="str">
        <f t="shared" si="19"/>
        <v>Contingency</v>
      </c>
      <c r="BS75" s="15">
        <f t="shared" si="20"/>
        <v>128</v>
      </c>
      <c r="BT75" s="11">
        <f>IF(BQ75, IF(COUNTIF(Raw!AV75:BK75, "&gt;=0") = 16, IFERROR((BS75*Raw!AV75 - SUM(Raw!AV75, Raw!AW75, Raw!AX75, Raw!AY75)*SUM(Raw!AV75, Raw!AZ75, Raw!BD75, Raw!BH75)) / SQRT((BS75*SUM(Raw!AV75, Raw!AW75, Raw!AX75, Raw!AY75) - SUM(Raw!AV75, Raw!AW75, Raw!AX75, Raw!AY75)^2) * (BS75*SUM(Raw!AV75, Raw!AZ75, Raw!BD75, Raw!BH75) - SUM(Raw!AV75, Raw!AZ75, Raw!BD75, Raw!BH75)^2)), 0), "No Contingency Table"), "Not Included")</f>
        <v>7.4305926673193731E-2</v>
      </c>
      <c r="BU75" s="11">
        <f>IF(BQ75, IF(COUNTIF(Raw!AV75:BK75, "&gt;=0") = 16, SUM(Raw!BK75,Raw!BJ75,Raw!BI75,Raw!BG75,Raw!BF75,Raw!BE75,Raw!BC75,Raw!BB75,Raw!BA75,Raw!AV75)/SUM(Raw!AV75:BK75), "No Contingency Table"), "Not Included")</f>
        <v>0.78125</v>
      </c>
      <c r="BV75" s="11">
        <f>IF(BQ75, IF(COUNTIF(Raw!AV75:BK75, "&gt;=0") = 16,SUM(SUM(Raw!AV75,Raw!AW75,Raw!AX75,Raw!AY75)*SUM(Raw!AV75,Raw!AZ75,Raw!BD75,Raw!BH75),SUM(Raw!AZ75:BK75)*SUM(Raw!AW75,Raw!AX75,Raw!AY75,Raw!BA75,Raw!BB75,Raw!BC75,Raw!BE75,Raw!BF75,Raw!BG75,Raw!BI75,Raw!BJ75,Raw!BK75))/BS75^2,"No Contingency Table"), "Not Included")</f>
        <v>0.7652587890625</v>
      </c>
      <c r="BW75" s="11">
        <f>IF(BQ75, IF(COUNTIF(Raw!AV75:BK75, "&gt;=0") = 16,(BU75-BV75) / (1 - BV75),"No Contingency Table"), "Not Included")</f>
        <v>6.812272490899636E-2</v>
      </c>
      <c r="BX75" s="11" t="b">
        <f t="shared" ref="BX75:BZ75" si="313">BQ75</f>
        <v>1</v>
      </c>
      <c r="BY75" s="11" t="str">
        <f t="shared" si="313"/>
        <v>Contingency</v>
      </c>
      <c r="BZ75" s="15">
        <f t="shared" si="313"/>
        <v>128</v>
      </c>
      <c r="CA75" s="11">
        <f>IF(BX75, IF(COUNTIF(Raw!AV75:BK75, "&gt;=0") = 16, IFERROR((BZ75*Raw!BF75 - SUM(Raw!BD75, Raw!BE75, Raw!BF75, Raw!BG75)*SUM(Raw!BF75, Raw!AX75, Raw!BB75, Raw!BJ75)) / SQRT((BZ75*SUM(Raw!BD75, Raw!BE75, Raw!BF75, Raw!BG75) - SUM(Raw!BD75, Raw!BE75, Raw!BF75, Raw!BG75)^2) * (BZ75*SUM(Raw!BF75, Raw!AX75, Raw!BB75, Raw!BJ75) - SUM(Raw!BF75, Raw!AX75, Raw!BB75, Raw!BJ75)^2)), 0), "No Contingency Table"), "Not Included")</f>
        <v>-3.775185095397789E-3</v>
      </c>
      <c r="CB75" s="11">
        <f>IF(BX75, IF(COUNTIF(Raw!AV75:BK75, "&gt;=0") = 16, SUM(Raw!AV75,Raw!AW75,Raw!AY75,Raw!AZ75,Raw!BA75,Raw!BC75,Raw!BF75,Raw!BH75,Raw!BI75,Raw!BK75) / SUM(Raw!AV75:BK75), "No Contingency Table"), "Not Included")</f>
        <v>0.8125</v>
      </c>
      <c r="CC75" s="11">
        <f>IF(BX75, IF(COUNTIF(Raw!AV75:BK75, "&gt;=0") = 16,SUM(SUM(Raw!BD75,Raw!BE75,Raw!BF75,Raw!BG75)*SUM(Raw!BF75,Raw!AX75,Raw!BB75,Raw!BJ75),SUM(Raw!AV75:BC75,Raw!BH75:BK75)*SUM(Raw!AV75,Raw!AW75,Raw!AY75,Raw!AZ75,Raw!BA75,Raw!BC75,Raw!BD75,Raw!BE75,Raw!BG75,Raw!BH75,Raw!BI75,Raw!BK75))/BZ75^2,"No Contingency Table"), "Not Included")</f>
        <v>0.8131103515625</v>
      </c>
      <c r="CD75" s="11">
        <f>IF(BX75, IF(COUNTIF(Raw!AV75:BK75, "&gt;=0") = 16,(CB75 - CC75) / (1 - CC75+0.000001),"No Contingency Table"), "Not Included")</f>
        <v>-3.2658218461054452E-3</v>
      </c>
      <c r="CE75" s="11" t="b">
        <f t="shared" ref="CE75:CG75" si="314">BQ75</f>
        <v>1</v>
      </c>
      <c r="CF75" s="11" t="str">
        <f t="shared" si="314"/>
        <v>Contingency</v>
      </c>
      <c r="CG75" s="15">
        <f t="shared" si="314"/>
        <v>128</v>
      </c>
      <c r="CH75" s="11">
        <f>IF(CE75, IF(COUNTIF(Raw!AV75:BK75, "&gt;=0") = 16, IFERROR((CG75*Raw!BA75 - SUM(Raw!BA75, Raw!AZ75, Raw!BB75, Raw!BC75)*SUM(Raw!BA75, Raw!AW75, Raw!BE75, Raw!BI75)) / SQRT((CG75*SUM(Raw!BA75, Raw!AZ75, Raw!BB75, Raw!BC75) - SUM(Raw!BA75, Raw!AZ75, Raw!BB75, Raw!BC75)^2) * (CG75*SUM(Raw!BA75, Raw!AW75, Raw!BE75, Raw!BI75) - SUM(Raw!BA75, Raw!AW75, Raw!BE75, Raw!BI75)^2)), 0), "No Contingency Table"), "Not Included")</f>
        <v>0.22645670159598288</v>
      </c>
      <c r="CI75" s="11">
        <f>IF(CE75, IF(COUNTIF(Raw!AV75:BK75, "&gt;=0") = 16, SUM(Raw!AV75,Raw!AX75,Raw!AY75,Raw!BA75,Raw!BD75,Raw!BF75,Raw!BG75,Raw!BH75,Raw!BJ75,Raw!BK75) / SUM(Raw!AV75:BK75), "No Contingency Table"), "Not Included")</f>
        <v>0.6328125</v>
      </c>
      <c r="CJ75" s="61">
        <f>IF(BX75, IF(COUNTIF(Raw!AV75:BK75, "&gt;=0") = 16,SUM(SUM(Raw!AZ75,Raw!BA75,Raw!BB75,Raw!BC75)*SUM(Raw!BA75,Raw!AW75,Raw!BE75,Raw!BI75),SUM(Raw!AV75:AY75,Raw!BD75:BK75)*SUM(Raw!AV75,Raw!AX75,Raw!AY75,Raw!AZ75,Raw!BB75,Raw!BC75,Raw!BD75,Raw!BF75,Raw!BG75,Raw!BH75,Raw!BJ75,Raw!BK75))/CG75^2,"No Contingency Table"), "Not Included")</f>
        <v>0.52685546875</v>
      </c>
      <c r="CK75" s="11">
        <f>IF(BX75, IF(COUNTIF(Raw!AV75:BK75, "&gt;=0") = 16,(CI75 - CJ75) / (1 - CJ75),"No Contingency Table"), "Not Included")</f>
        <v>0.22394220846233232</v>
      </c>
      <c r="CL75" s="11">
        <f>IF(BQ75, IFERROR(Raw!AV75/SUM(Raw!AV75:AY75), 0), "Not Included")</f>
        <v>0.13043478260869565</v>
      </c>
      <c r="CM75" s="11">
        <f>IF(BQ75, IFERROR(Raw!BA75/SUM(Raw!AZ75:BC75), 0), "Not Included")</f>
        <v>0.66666666666666663</v>
      </c>
      <c r="CN75" s="11">
        <f>IF(BQ75, IFERROR(Raw!BF75/SUM(Raw!BD75:BG75), 0), "Not Included")</f>
        <v>0.14285714285714285</v>
      </c>
      <c r="CO75" s="11">
        <f>IF(BQ75, IFERROR(Raw!BK75/SUM(Raw!BH75:BK75), 0), "Not Included")</f>
        <v>0.2857142857142857</v>
      </c>
      <c r="CP75" s="11">
        <f>IF(BQ75, IFERROR(SUM(Raw!AV75,Raw!AX75,Raw!AY75,Raw!BD75,Raw!BF75,Raw!BG75,Raw!BH75,Raw!BJ75,Raw!BK75)/SUM(Raw!AV75,Raw!AW75,Raw!AX75,Raw!AY75,Raw!BD75,Raw!BE75,Raw!BF75,Raw!BG75,Raw!BH75,Raw!BI75,Raw!BJ75,Raw!BK75), 0), "Not Included")</f>
        <v>0.56818181818181823</v>
      </c>
      <c r="CQ75" s="11">
        <f>IF(BQ75, IFERROR(SUM(Raw!AV75:AX75,Raw!AZ75:BB75,Raw!BD75:BF75)/SUM(Raw!AV75:BF75), 0), "Not Included")</f>
        <v>0.83333333333333337</v>
      </c>
      <c r="CR75" s="11">
        <f>IF(BQ75, IFERROR(SUM(Raw!AV75:AY75), 0), "Not Included")</f>
        <v>23</v>
      </c>
      <c r="CS75" s="11">
        <f>IF(BQ75, IFERROR(SUM(Raw!AZ75:BC75), 0), "Not Included")</f>
        <v>84</v>
      </c>
      <c r="CT75" s="11">
        <f>IF(BQ75, IFERROR(SUM(Raw!BD75:BG75), 0), "Not Included")</f>
        <v>7</v>
      </c>
      <c r="CU75" s="11">
        <f>IF(BQ75, IFERROR(SUM(Raw!BH75:BK75), 0), "Not Included")</f>
        <v>14</v>
      </c>
      <c r="CV75" s="11">
        <f>IF(BQ75, IFERROR(SUM(Raw!AV75,Raw!AW75,Raw!AX75,Raw!AY75,Raw!BD75,Raw!BE75,Raw!BF75,Raw!BG75,Raw!BH75,Raw!BI75,Raw!BJ75,Raw!BK75), 0), "Not Included")</f>
        <v>44</v>
      </c>
      <c r="CW75" s="11">
        <f>IF(BQ75, IFERROR(SUM(Raw!AV75:BF75), 0), "Not Included")</f>
        <v>114</v>
      </c>
      <c r="CX75" s="11">
        <f>IF(BQ75, IFERROR((CR75*SUM(Raw!AV75,Raw!AZ75,Raw!BD75,Raw!BH75))/BS75/CR75, 0), "Not Included")</f>
        <v>8.59375E-2</v>
      </c>
      <c r="CY75" s="11">
        <f>IF(BX75, IFERROR((CS75*SUM(Raw!BA75,Raw!AW75,Raw!BE75,Raw!BI75))/CG75/CS75, 0), "Not Included")</f>
        <v>0.5859375</v>
      </c>
      <c r="CZ75" s="11">
        <f>IF(BX75, IFERROR((CT75*SUM(Raw!BF75,Raw!AX75,Raw!BB75,Raw!BJ75))/BZ75/CT75, 0), "Not Included")</f>
        <v>0.1484375</v>
      </c>
      <c r="DA75" s="11">
        <f>IF(AY75, IFERROR((CU75*SUM(Raw!AY75,Raw!BC75,Raw!BG75,Raw!BK75))/AT75/CU75, 0), "Not Included")</f>
        <v>0.1796875</v>
      </c>
      <c r="DB75" s="11">
        <f>IF(BX75, IFERROR((CV75*SUM(Raw!AV75,Raw!AX75,Raw!AY75,Raw!AZ75,Raw!BB75,Raw!BC75,Raw!BD75,Raw!BF75,Raw!BG75,Raw!BH75,Raw!BJ75,Raw!BK75))/CG75/CV75,0), "Not Included")</f>
        <v>0.4140625</v>
      </c>
      <c r="DC75" s="11">
        <f>IF(AY75, IFERROR((CW75*SUM(Raw!AV75,Raw!AW75,Raw!AX75,Raw!AZ75,Raw!BA75,Raw!BB75,Raw!BD75,Raw!BE75,Raw!BF75,Raw!BH75,Raw!BI75,Raw!BJ75))/AT75/CW75,0), "Not Included")</f>
        <v>0.8203125</v>
      </c>
    </row>
    <row r="76" spans="1:107" ht="12.75" customHeight="1">
      <c r="A76" s="11">
        <f>Raw!D76</f>
        <v>53</v>
      </c>
      <c r="B76" s="11" t="str">
        <f>Raw!A76</f>
        <v>Waters (1978)</v>
      </c>
      <c r="C76" s="11">
        <f>Raw!G76</f>
        <v>1</v>
      </c>
      <c r="D76" s="11" t="str">
        <f>Raw!E76</f>
        <v>Mother-child</v>
      </c>
      <c r="E76" s="11" t="str">
        <f>CONCATENATE(IF(Raw!I76&lt;='Interval Definitions'!$B$2, 'Interval Definitions'!$A$2, IF(Raw!I76&lt;='Interval Definitions'!$B$3, 'Interval Definitions'!$A$3, IF(Raw!I76&lt;='Interval Definitions'!$B$4, 'Interval Definitions'!$A$4, IF(Raw!I76&lt;='Interval Definitions'!$B$5, 'Interval Definitions'!$A$5, "None")))), " - ", IF(Raw!J76&lt;='Interval Definitions'!$B$2, 'Interval Definitions'!$A$2, IF(Raw!J76&lt;='Interval Definitions'!$B$3, 'Interval Definitions'!$A$3, IF(Raw!J76&lt;='Interval Definitions'!$B$4, 'Interval Definitions'!$A$4, IF(Raw!J76&lt;='Interval Definitions'!$B$5, 'Interval Definitions'!$A$5, "None")))))</f>
        <v>Infancy - Infancy</v>
      </c>
      <c r="F76" s="11" t="b">
        <f>OR(NOT(ISBLANK(Raw!AF76)),NOT(ISBLANK(Raw!AG76)),NOT(ISBLANK(Raw!AH76)),NOT(ISBLANK(Raw!AI76)),COUNTIF(Raw!AA76:AD76, "&gt;=0") = 4)</f>
        <v>1</v>
      </c>
      <c r="G76" s="11" t="str">
        <f>IF(F76, IF(COUNTIF(Raw!AA76:AD76,"&gt;=0") = 4, "Contingency", IF(NOT(ISBLANK(Raw!AF76)), "Paper r", IF(NOT(ISBLANK(Raw!AG76)), "Pinquart", IF(NOT(ISBLANK(Raw!AH76)), "Fraley", "Paper chiSq")))), "Not Included")</f>
        <v>Contingency</v>
      </c>
      <c r="H76" s="15">
        <f>IF(F76,Raw!AE76,"Not Included")</f>
        <v>50</v>
      </c>
      <c r="I76" s="15">
        <f>IF(COUNTIF(Raw!AA76:AD76,"&gt;=0") = 4, SUM(Raw!AA76:AD76), "No Contingency Table")</f>
        <v>50</v>
      </c>
      <c r="J76" s="15">
        <f t="shared" si="0"/>
        <v>50</v>
      </c>
      <c r="K76" s="38">
        <f>IF(F76, IF(COUNTIF(Raw!AA76:AD76,"&gt;=0") = 4, IFERROR((I76*Raw!AA76 - SUM(Raw!AA76,Raw!AB76)*SUM(Raw!AA76,Raw!AD76)) / SQRT((I76*SUM(Raw!AA76,Raw!AB76) - SUM(Raw!AA76,Raw!AB76)^2) * (I76*SUM(Raw!AA76,Raw!AD76) - SUM(Raw!AA76,Raw!AD76)^2)), 0), "No Contingency Table"), "Not Included")</f>
        <v>0.91855865354369171</v>
      </c>
      <c r="L76" s="41">
        <f>IF(F76,IF(NOT(ISBLANK(Raw!AF76)), Raw!AF76, IF(NOT(ISBLANK(Raw!AG76)), Raw!AG76, IF(NOT(ISBLANK(Raw!AH76)), Raw!AH76, IF(NOT(ISBLANK(Raw!AI76)), SQRT(Raw!AI76/H76)*Raw!AJ76, "Not Reported")))),"Not Included")</f>
        <v>0.92</v>
      </c>
      <c r="M76" s="43">
        <f t="shared" si="1"/>
        <v>0.91855865354369171</v>
      </c>
      <c r="N76" s="11">
        <f t="shared" si="2"/>
        <v>1</v>
      </c>
      <c r="O76" s="48" t="b">
        <f>OR(NOT(ISBLANK(Raw!AK76)), COUNTIF(Raw!AA76:AD76, "&gt;=0") = 4)</f>
        <v>1</v>
      </c>
      <c r="P76" s="24" t="str">
        <f>IF(O76,IF(COUNTIF(Raw!AA76:AD76,"&gt;=0") = 4,"Contingency", "Paper k"), "Not Included")</f>
        <v>Contingency</v>
      </c>
      <c r="Q76" s="48">
        <f>IF(O76, IF(COUNTIF(Raw!AA76:AD76,"&gt;=0") = 4,SUM(Raw!AA76,Raw!AC76)/H76,"No Contingency Table"), "Not Included")</f>
        <v>0.96</v>
      </c>
      <c r="R76" s="38">
        <f>IF(O76, IF(COUNTIF(Raw!AA76:AD76, "&gt;=0") = 4,SUM(SUM(Raw!AA76,Raw!AB76)*SUM(Raw!AA76,Raw!AD76),SUM(Raw!AC76,Raw!AD76)*SUM(Raw!AC76,Raw!AB76))/H76^2,"No Contingency Table"), "Not Included")</f>
        <v>0.52800000000000002</v>
      </c>
      <c r="S76" s="38">
        <f>IF(O76, IF(COUNTIF(Raw!AA76:AD76,"&gt;=0") = 4, IFERROR((Q76 - R76) / (1 - R76), "Could not calculate"), "No Contingency Table"), "Not Included")</f>
        <v>0.91525423728813549</v>
      </c>
      <c r="T76" s="52" t="str">
        <f>IF(O76,IF(NOT(ISBLANK(Raw!AK76)), Raw!AK76, "Not Reported"), "Not Included")</f>
        <v>Not Reported</v>
      </c>
      <c r="U76" s="38">
        <f t="shared" si="3"/>
        <v>0.91525423728813549</v>
      </c>
      <c r="V76" s="11" t="str">
        <f t="shared" si="4"/>
        <v>NA</v>
      </c>
      <c r="W76" s="11" t="b">
        <f>OR(NOT(ISBLANK(Raw!AU76)),COUNTIF(Raw!AL76:AT76,"&gt;=0") = 9)</f>
        <v>1</v>
      </c>
      <c r="X76" s="11" t="str">
        <f>IF(W76, IF(COUNTIF(Raw!AL76:AT76,"&gt;=0") = 9, "Contingency", "Paper k"), "Not Included")</f>
        <v>Contingency</v>
      </c>
      <c r="Y76" s="11">
        <f>IF(W76,IF(COUNTIF(Raw!AL76:AT76,"&gt;=0") = 9,SUM(Raw!AL76:AT76),"No Contingency Table"),"Not Included")</f>
        <v>50</v>
      </c>
      <c r="Z76" s="11">
        <f t="shared" si="5"/>
        <v>50</v>
      </c>
      <c r="AA76" s="11">
        <f>IF(W76,IF(COUNTIF(Raw!AL76:AT76,"&gt;=0") = 9,SUM(Raw!AL76,Raw!AP76,Raw!AT76)/Y76,"No Contingency Table"), "Not Included")</f>
        <v>0.96</v>
      </c>
      <c r="AB76" s="11">
        <f>IF(W76,IF(COUNTIF(Raw!AL76:AT76,"&gt;=0") = 9,SUM(SUM(Raw!AL76,Raw!AM76,Raw!AN76)*SUM(Raw!AL76,Raw!AO76,Raw!AR76),SUM(Raw!AO76,Raw!AP76,Raw!AQ76)*SUM(Raw!AM76,Raw!AP76,Raw!AS76),SUM(Raw!AR76,Raw!AS76,Raw!AT76)*SUM(Raw!AN76,Raw!AQ76,Raw!AT76))/Y76^2,"No Contingency Table"), "Not Included")</f>
        <v>0.45600000000000002</v>
      </c>
      <c r="AC76" s="11">
        <f>IF(W76,IF(COUNTIF(Raw!AL76:AT76,"&gt;=0") = 9,(AA76 - AB76) / (1 - AB76),"No Contingency Table"), "Not Included")</f>
        <v>0.92647058823529405</v>
      </c>
      <c r="AD76" s="32">
        <f>IF(W76, IF(NOT(ISBLANK(Raw!AU76)),Raw!AU76,"Not Reported"), "Not Included")</f>
        <v>0.92</v>
      </c>
      <c r="AE76" s="11">
        <f t="shared" si="6"/>
        <v>0.92647058823529405</v>
      </c>
      <c r="AF76" s="11">
        <f t="shared" si="7"/>
        <v>1</v>
      </c>
      <c r="AG76" s="11" t="b">
        <f>COUNTIF(Raw!AV76:BK76, "&gt;=0") = 16</f>
        <v>0</v>
      </c>
      <c r="AH76" s="11" t="str">
        <f>IF(AG76, IF(COUNTIF(Raw!AV76:BK76,"&gt;=0") = 16, "Contingency", "Paper k"), "Not Included")</f>
        <v>Not Included</v>
      </c>
      <c r="AI76" s="11" t="str">
        <f>IF(AG76,IF(COUNTIF(Raw!AV76:BK76,"&gt;=0") = 16,SUM(Raw!AV76:BK76),"No Contingency Table"),"Not Included")</f>
        <v>Not Included</v>
      </c>
      <c r="AJ76" s="15">
        <f t="shared" si="8"/>
        <v>50</v>
      </c>
      <c r="AK76" s="11" t="str">
        <f>IF(AG76,IF(COUNTIF(Raw!AV76:BK76,"&gt;=0") = 16,SUM(Raw!AV76,Raw!BA76,Raw!BF76,Raw!BK76)/AI76,"No Contingency Table"), "Not Included")</f>
        <v>Not Included</v>
      </c>
      <c r="AL76" s="11" t="str">
        <f>IF(AG76,IF(COUNTIF(Raw!AV76:BK76,"&gt;=0") = 16,SUM(SUM(Raw!AV76,Raw!AW76,Raw!AX76,Raw!AY76)*SUM(Raw!AV76,Raw!AZ76,Raw!BD76,Raw!BH76),SUM(Raw!AZ76,Raw!BA76,Raw!BB76,Raw!BC76)*SUM(Raw!AW76,Raw!BA76,Raw!BE76,Raw!BI76),SUM(Raw!BD76,Raw!BE76,Raw!BF76,Raw!BG76)*SUM(Raw!AX76,Raw!BB76,Raw!BF76,Raw!BJ76),SUM(Raw!BH76,Raw!BI76,Raw!BJ76,Raw!BK76)*SUM(Raw!AY76,Raw!BC76,Raw!BG76,Raw!BK76))/AI76^2,"No Contingency Table"), "Not Included")</f>
        <v>Not Included</v>
      </c>
      <c r="AM76" s="11" t="str">
        <f>IF(AG76,IF(COUNTIF(Raw!AV76:BK76,"&gt;=0") = 16,(AK76 - AL76) / (1 - AL76),"No Contingency Table"), "Not Included")</f>
        <v>Not Included</v>
      </c>
      <c r="AN76" s="11" t="str">
        <f>IF(NOT(ISBLANK(Raw!BL76)),Raw!BL76,"Not Reported")</f>
        <v>Not Reported</v>
      </c>
      <c r="AO76" s="11" t="str">
        <f t="shared" si="9"/>
        <v>Not Reported</v>
      </c>
      <c r="AP76" s="11" t="str">
        <f t="shared" si="10"/>
        <v>Not Included</v>
      </c>
      <c r="AQ76" s="11" t="b">
        <f t="shared" ref="AQ76:AR76" si="315">BQ76</f>
        <v>0</v>
      </c>
      <c r="AR76" s="11" t="str">
        <f t="shared" si="315"/>
        <v>Not Included</v>
      </c>
      <c r="AS76" s="11" t="str">
        <f t="shared" si="12"/>
        <v>Not Included</v>
      </c>
      <c r="AT76" s="11" t="str">
        <f t="shared" si="13"/>
        <v>Not Included</v>
      </c>
      <c r="AU76" s="11" t="str">
        <f>IF(AQ76, IF(COUNTIF(Raw!AV76:BK76, "&gt;=0") = 16, IFERROR((AT76*Raw!BK76 - SUM(Raw!BH76, Raw!BI76, Raw!BJ76, Raw!BK76)*SUM(Raw!AY76, Raw!BC76, Raw!BG76, Raw!BK76)) / SQRT((AT76*SUM(Raw!BH76, Raw!BI76, Raw!BJ76, Raw!BK76) - SUM(Raw!BH76, Raw!BI76, Raw!BJ76, Raw!BK76)^2) * (AT76*SUM(Raw!AY76, Raw!BC76, Raw!BG76, Raw!BK76) - SUM(Raw!AY76, Raw!BC76, Raw!BG76, Raw!BK76)^2)), 0), "No Contingency Table"), "Not Included")</f>
        <v>Not Included</v>
      </c>
      <c r="AV76" s="11" t="str">
        <f>IF(AQ76,IF(NOT(ISBLANK(Raw!BQ76)), Raw!BQ76, IF(NOT(ISBLANK(Raw!BR76)), Raw!BR76, "Not Reported")), "Not Included")</f>
        <v>Not Included</v>
      </c>
      <c r="AW76" s="57" t="str">
        <f t="shared" si="14"/>
        <v>Not Included</v>
      </c>
      <c r="AX76" s="11" t="str">
        <f t="shared" si="15"/>
        <v>Not Included</v>
      </c>
      <c r="AY76" s="11" t="b">
        <f t="shared" ref="AY76:AZ76" si="316">AQ76</f>
        <v>0</v>
      </c>
      <c r="AZ76" s="11" t="str">
        <f t="shared" si="316"/>
        <v>Not Included</v>
      </c>
      <c r="BA76" s="11" t="str">
        <f>IF(AY76, IF(COUNTIF(Raw!AV76:BK76, "&gt;=0") = 16, SUM(Raw!AV76,Raw!AW76,Raw!AX76,Raw!AZ76,Raw!BA76,Raw!BB76,Raw!BD76,Raw!BE76,Raw!BF76,Raw!BK76)/SUM(Raw!AV76:BK76), "No Contingency Table"), "Not Included")</f>
        <v>Not Included</v>
      </c>
      <c r="BB76" s="11" t="str">
        <f>IF(AY76, IF(COUNTIF(Raw!AV76:BK76, "&gt;=0") = 16,SUM(SUM(Raw!BH76,Raw!BI76,Raw!BJ76,Raw!BK76)*SUM(Raw!AY76,Raw!BC76,Raw!BG76,Raw!BK76),SUM(Raw!AV76:BG76)*SUM(Raw!AV76,Raw!AW76,Raw!AX76,Raw!AZ76,Raw!BA76,Raw!BB76,Raw!BD76,Raw!BE76,Raw!BF76,Raw!BH76,Raw!BI76,Raw!BJ76))/AT76^2,"No Contingency Table"), "Not Included")</f>
        <v>Not Included</v>
      </c>
      <c r="BC76" s="11" t="str">
        <f>IF(AY76, IF(COUNTIF(Raw!AV76:BK76, "&gt;=0") = 16,(BA76-BB76) / (1 - BB76),"No Contingency Table"), "Not Included")</f>
        <v>Not Included</v>
      </c>
      <c r="BD76" s="11" t="str">
        <f>IF(AY76,IF(NOT(ISBLANK(Raw!BT97)),Raw!BT97,"Not Reported"),"Not Included")</f>
        <v>Not Included</v>
      </c>
      <c r="BE76" s="11" t="str">
        <f t="shared" si="17"/>
        <v>Not Included</v>
      </c>
      <c r="BF76" s="11" t="str">
        <f t="shared" si="18"/>
        <v>Not Included</v>
      </c>
      <c r="BG76" s="11">
        <f>Raw!K76</f>
        <v>1978</v>
      </c>
      <c r="BH76" s="11" t="str">
        <f>IF(Raw!L76 = "USA","USA","Non-USA")</f>
        <v>USA</v>
      </c>
      <c r="BI76" s="11" t="str">
        <f>Raw!M76</f>
        <v>Ainsworth/Ainsworth</v>
      </c>
      <c r="BJ76" s="11">
        <f>Raw!N76</f>
        <v>1</v>
      </c>
      <c r="BK76" s="11">
        <f>Raw!P76</f>
        <v>0</v>
      </c>
      <c r="BL76" s="11">
        <f>Raw!Q76</f>
        <v>0</v>
      </c>
      <c r="BM76" s="11">
        <f>Raw!T76</f>
        <v>1</v>
      </c>
      <c r="BN76" s="11">
        <f>IFERROR(IF(AND(ISBLANK(Raw!U76), ISBLANK(Raw!V76), ISBLANK(Raw!W76), ISBLANK(Raw!X76)), "NA", IF(OR(NOT(ISBLANK(Raw!U76)), NOT(ISBLANK(Raw!W76))), AVERAGE(Raw!U76,Raw!W76), AVERAGE(Raw!V76,Raw!X76) + IF(Raw!Y76 = "2-way", R76, IF(Raw!Y76 = "3-way", AB76, IF(Raw!Y76 = "4-way", AL76, "NA")))*(1 - AVERAGE(Raw!V76,Raw!X76)))), "NA")</f>
        <v>0.92</v>
      </c>
      <c r="BO76" s="11">
        <f>Raw!O76</f>
        <v>0</v>
      </c>
      <c r="BP76" s="11" t="str">
        <f>Raw!F76</f>
        <v>Female</v>
      </c>
      <c r="BQ76" s="11" t="b">
        <f>COUNTIF(Raw!AV76:BK76, "&gt;=0") = 16</f>
        <v>0</v>
      </c>
      <c r="BR76" s="11" t="str">
        <f t="shared" si="19"/>
        <v>Not Included</v>
      </c>
      <c r="BS76" s="11" t="str">
        <f t="shared" si="20"/>
        <v>Not Included</v>
      </c>
      <c r="BT76" s="11" t="str">
        <f>IF(BQ76, IF(COUNTIF(Raw!AV76:BK76, "&gt;=0") = 16, IFERROR((BS76*Raw!AV76 - SUM(Raw!AV76, Raw!AW76, Raw!AX76, Raw!AY76)*SUM(Raw!AV76, Raw!AZ76, Raw!BD76, Raw!BH76)) / SQRT((BS76*SUM(Raw!AV76, Raw!AW76, Raw!AX76, Raw!AY76) - SUM(Raw!AV76, Raw!AW76, Raw!AX76, Raw!AY76)^2) * (BS76*SUM(Raw!AV76, Raw!AZ76, Raw!BD76, Raw!BH76) - SUM(Raw!AV76, Raw!AZ76, Raw!BD76, Raw!BH76)^2)), 0), "No Contingency Table"), "Not Included")</f>
        <v>Not Included</v>
      </c>
      <c r="BU76" s="11" t="str">
        <f>IF(BQ76, IF(COUNTIF(Raw!AV76:BK76, "&gt;=0") = 16, SUM(Raw!BK76,Raw!BJ76,Raw!BI76,Raw!BG76,Raw!BF76,Raw!BE76,Raw!BC76,Raw!BB76,Raw!BA76,Raw!AV76)/SUM(Raw!AV76:BK76), "No Contingency Table"), "Not Included")</f>
        <v>Not Included</v>
      </c>
      <c r="BV76" s="11" t="str">
        <f>IF(BQ76, IF(COUNTIF(Raw!AV76:BK76, "&gt;=0") = 16,SUM(SUM(Raw!AV76,Raw!AW76,Raw!AX76,Raw!AY76)*SUM(Raw!AV76,Raw!AZ76,Raw!BD76,Raw!BH76),SUM(Raw!AZ76:BK76)*SUM(Raw!AW76,Raw!AX76,Raw!AY76,Raw!BA76,Raw!BB76,Raw!BC76,Raw!BE76,Raw!BF76,Raw!BG76,Raw!BI76,Raw!BJ76,Raw!BK76))/BS76^2,"No Contingency Table"), "Not Included")</f>
        <v>Not Included</v>
      </c>
      <c r="BW76" s="11" t="str">
        <f>IF(BQ76, IF(COUNTIF(Raw!AV76:BK76, "&gt;=0") = 16,(BU76-BV76) / (1 - BV76),"No Contingency Table"), "Not Included")</f>
        <v>Not Included</v>
      </c>
      <c r="BX76" s="11" t="b">
        <f t="shared" ref="BX76:BZ76" si="317">BQ76</f>
        <v>0</v>
      </c>
      <c r="BY76" s="11" t="str">
        <f t="shared" si="317"/>
        <v>Not Included</v>
      </c>
      <c r="BZ76" s="11" t="str">
        <f t="shared" si="317"/>
        <v>Not Included</v>
      </c>
      <c r="CA76" s="11" t="str">
        <f>IF(BX76, IF(COUNTIF(Raw!AV76:BK76, "&gt;=0") = 16, IFERROR((BZ76*Raw!BF76 - SUM(Raw!BD76, Raw!BE76, Raw!BF76, Raw!BG76)*SUM(Raw!BF76, Raw!AX76, Raw!BB76, Raw!BJ76)) / SQRT((BZ76*SUM(Raw!BD76, Raw!BE76, Raw!BF76, Raw!BG76) - SUM(Raw!BD76, Raw!BE76, Raw!BF76, Raw!BG76)^2) * (BZ76*SUM(Raw!BF76, Raw!AX76, Raw!BB76, Raw!BJ76) - SUM(Raw!BF76, Raw!AX76, Raw!BB76, Raw!BJ76)^2)), 0), "No Contingency Table"), "Not Included")</f>
        <v>Not Included</v>
      </c>
      <c r="CB76" s="11" t="str">
        <f>IF(BX76, IF(COUNTIF(Raw!AV76:BK76, "&gt;=0") = 16, SUM(Raw!AV76,Raw!AW76,Raw!AY76,Raw!AZ76,Raw!BA76,Raw!BC76,Raw!BF76,Raw!BH76,Raw!BI76,Raw!BK76) / SUM(Raw!AV76:BK76), "No Contingency Table"), "Not Included")</f>
        <v>Not Included</v>
      </c>
      <c r="CC76" s="11" t="str">
        <f>IF(BX76, IF(COUNTIF(Raw!AV76:BK76, "&gt;=0") = 16,SUM(SUM(Raw!BD76,Raw!BE76,Raw!BF76,Raw!BG76)*SUM(Raw!BF76,Raw!AX76,Raw!BB76,Raw!BJ76),SUM(Raw!AV76:BC76,Raw!BH76:BK76)*SUM(Raw!AV76,Raw!AW76,Raw!AY76,Raw!AZ76,Raw!BA76,Raw!BC76,Raw!BD76,Raw!BE76,Raw!BG76,Raw!BH76,Raw!BI76,Raw!BK76))/BZ76^2,"No Contingency Table"), "Not Included")</f>
        <v>Not Included</v>
      </c>
      <c r="CD76" s="11" t="str">
        <f>IF(BX76, IF(COUNTIF(Raw!AV76:BK76, "&gt;=0") = 16,(CB76 - CC76) / (1 - CC76+0.000001),"No Contingency Table"), "Not Included")</f>
        <v>Not Included</v>
      </c>
      <c r="CE76" s="11" t="b">
        <f t="shared" ref="CE76:CG76" si="318">BQ76</f>
        <v>0</v>
      </c>
      <c r="CF76" s="11" t="str">
        <f t="shared" si="318"/>
        <v>Not Included</v>
      </c>
      <c r="CG76" s="11" t="str">
        <f t="shared" si="318"/>
        <v>Not Included</v>
      </c>
      <c r="CH76" s="11" t="str">
        <f>IF(CE76, IF(COUNTIF(Raw!AV76:BK76, "&gt;=0") = 16, IFERROR((CG76*Raw!BA76 - SUM(Raw!BA76, Raw!AZ76, Raw!BB76, Raw!BC76)*SUM(Raw!BA76, Raw!AW76, Raw!BE76, Raw!BI76)) / SQRT((CG76*SUM(Raw!BA76, Raw!AZ76, Raw!BB76, Raw!BC76) - SUM(Raw!BA76, Raw!AZ76, Raw!BB76, Raw!BC76)^2) * (CG76*SUM(Raw!BA76, Raw!AW76, Raw!BE76, Raw!BI76) - SUM(Raw!BA76, Raw!AW76, Raw!BE76, Raw!BI76)^2)), 0), "No Contingency Table"), "Not Included")</f>
        <v>Not Included</v>
      </c>
      <c r="CI76" s="11" t="str">
        <f>IF(CE76, IF(COUNTIF(Raw!AV76:BK76, "&gt;=0") = 16, SUM(Raw!AV76,Raw!AX76,Raw!AY76,Raw!BA76,Raw!BD76,Raw!BF76,Raw!BG76,Raw!BH76,Raw!BJ76,Raw!BK76) / SUM(Raw!AV76:BK76), "No Contingency Table"), "Not Included")</f>
        <v>Not Included</v>
      </c>
      <c r="CJ76" s="61" t="str">
        <f>IF(BX76, IF(COUNTIF(Raw!AV76:BK76, "&gt;=0") = 16,SUM(SUM(Raw!AZ76,Raw!BA76,Raw!BB76,Raw!BC76)*SUM(Raw!BA76,Raw!AW76,Raw!BE76,Raw!BI76),SUM(Raw!AV76:AY76,Raw!BD76:BK76)*SUM(Raw!AV76,Raw!AX76,Raw!AY76,Raw!AZ76,Raw!BB76,Raw!BC76,Raw!BD76,Raw!BF76,Raw!BG76,Raw!BH76,Raw!BJ76,Raw!BK76))/CG76^2,"No Contingency Table"), "Not Included")</f>
        <v>Not Included</v>
      </c>
      <c r="CK76" s="11" t="str">
        <f>IF(BX76, IF(COUNTIF(Raw!AV76:BK76, "&gt;=0") = 16,(CI76 - CJ76) / (1 - CJ76),"No Contingency Table"), "Not Included")</f>
        <v>Not Included</v>
      </c>
      <c r="CL76" s="11" t="str">
        <f>IF(BQ76, IFERROR(Raw!AV76/SUM(Raw!AV76:AY76), 0), "Not Included")</f>
        <v>Not Included</v>
      </c>
      <c r="CM76" s="11" t="str">
        <f>IF(BQ76, IFERROR(Raw!BA76/SUM(Raw!AZ76:BC76), 0), "Not Included")</f>
        <v>Not Included</v>
      </c>
      <c r="CN76" s="11" t="str">
        <f>IF(BQ76, IFERROR(Raw!BF76/SUM(Raw!BD76:BG76), 0), "Not Included")</f>
        <v>Not Included</v>
      </c>
      <c r="CO76" s="11" t="str">
        <f>IF(BQ76, IFERROR(Raw!BK76/SUM(Raw!BH76:BK76), 0), "Not Included")</f>
        <v>Not Included</v>
      </c>
      <c r="CP76" s="11" t="str">
        <f>IF(BQ76, IFERROR(SUM(Raw!AV76,Raw!AX76,Raw!AY76,Raw!BD76,Raw!BF76,Raw!BG76,Raw!BH76,Raw!BJ76,Raw!BK76)/SUM(Raw!AV76,Raw!AW76,Raw!AX76,Raw!AY76,Raw!BD76,Raw!BE76,Raw!BF76,Raw!BG76,Raw!BH76,Raw!BI76,Raw!BJ76,Raw!BK76), 0), "Not Included")</f>
        <v>Not Included</v>
      </c>
      <c r="CQ76" s="11" t="str">
        <f>IF(BQ76, IFERROR(SUM(Raw!AV76:AX76,Raw!AZ76:BB76,Raw!BD76:BF76)/SUM(Raw!AV76:BF76), 0), "Not Included")</f>
        <v>Not Included</v>
      </c>
      <c r="CR76" s="11" t="str">
        <f>IF(BQ76, IFERROR(SUM(Raw!AV76:AY76), 0), "Not Included")</f>
        <v>Not Included</v>
      </c>
      <c r="CS76" s="11" t="str">
        <f>IF(BQ76, IFERROR(SUM(Raw!AZ76:BC76), 0), "Not Included")</f>
        <v>Not Included</v>
      </c>
      <c r="CT76" s="11" t="str">
        <f>IF(BQ76, IFERROR(SUM(Raw!BD76:BG76), 0), "Not Included")</f>
        <v>Not Included</v>
      </c>
      <c r="CU76" s="11" t="str">
        <f>IF(BQ76, IFERROR(SUM(Raw!BH76:BK76), 0), "Not Included")</f>
        <v>Not Included</v>
      </c>
      <c r="CV76" s="11" t="str">
        <f>IF(BQ76, IFERROR(SUM(Raw!AV76,Raw!AW76,Raw!AX76,Raw!AY76,Raw!BD76,Raw!BE76,Raw!BF76,Raw!BG76,Raw!BH76,Raw!BI76,Raw!BJ76,Raw!BK76), 0), "Not Included")</f>
        <v>Not Included</v>
      </c>
      <c r="CW76" s="11" t="str">
        <f>IF(BQ76, IFERROR(SUM(Raw!AV76:BF76), 0), "Not Included")</f>
        <v>Not Included</v>
      </c>
      <c r="CX76" s="11" t="str">
        <f>IF(BQ76, IFERROR((CR76*SUM(Raw!AV76,Raw!AZ76,Raw!BD76,Raw!BH76))/BS76/CR76, 0), "Not Included")</f>
        <v>Not Included</v>
      </c>
      <c r="CY76" s="11" t="str">
        <f>IF(BX76, IFERROR((CS76*SUM(Raw!BA76,Raw!AW76,Raw!BE76,Raw!BI76))/CG76/CS76, 0), "Not Included")</f>
        <v>Not Included</v>
      </c>
      <c r="CZ76" s="11" t="str">
        <f>IF(BX76, IFERROR((CT76*SUM(Raw!BF76,Raw!AX76,Raw!BB76,Raw!BJ76))/BZ76/CT76, 0), "Not Included")</f>
        <v>Not Included</v>
      </c>
      <c r="DA76" s="11" t="str">
        <f>IF(AY76, IFERROR((CU76*SUM(Raw!AY76,Raw!BC76,Raw!BG76,Raw!BK76))/AT76/CU76, 0), "Not Included")</f>
        <v>Not Included</v>
      </c>
      <c r="DB76" s="11" t="str">
        <f>IF(BX76, IFERROR((CV76*SUM(Raw!AV76,Raw!AX76,Raw!AY76,Raw!AZ76,Raw!BB76,Raw!BC76,Raw!BD76,Raw!BF76,Raw!BG76,Raw!BH76,Raw!BJ76,Raw!BK76))/CG76/CV76,0), "Not Included")</f>
        <v>Not Included</v>
      </c>
      <c r="DC76" s="11" t="str">
        <f>IF(AY76, IFERROR((CW76*SUM(Raw!AV76,Raw!AW76,Raw!AX76,Raw!AZ76,Raw!BA76,Raw!BB76,Raw!BD76,Raw!BE76,Raw!BF76,Raw!BH76,Raw!BI76,Raw!BJ76))/AT76/CW76,0), "Not Included")</f>
        <v>Not Included</v>
      </c>
    </row>
    <row r="77" spans="1:107" ht="12.75" customHeight="1">
      <c r="A77" s="11">
        <f>Raw!D77</f>
        <v>54</v>
      </c>
      <c r="B77" s="11" t="str">
        <f>Raw!A77</f>
        <v>Lyons-Ruth et al. (1991)</v>
      </c>
      <c r="C77" s="11">
        <f>Raw!G77</f>
        <v>1</v>
      </c>
      <c r="D77" s="11" t="str">
        <f>Raw!E77</f>
        <v>Low income</v>
      </c>
      <c r="E77" s="11" t="str">
        <f>CONCATENATE(IF(Raw!I77&lt;='Interval Definitions'!$B$2, 'Interval Definitions'!$A$2, IF(Raw!I77&lt;='Interval Definitions'!$B$3, 'Interval Definitions'!$A$3, IF(Raw!I77&lt;='Interval Definitions'!$B$4, 'Interval Definitions'!$A$4, IF(Raw!I77&lt;='Interval Definitions'!$B$5, 'Interval Definitions'!$A$5, "None")))), " - ", IF(Raw!J77&lt;='Interval Definitions'!$B$2, 'Interval Definitions'!$A$2, IF(Raw!J77&lt;='Interval Definitions'!$B$3, 'Interval Definitions'!$A$3, IF(Raw!J77&lt;='Interval Definitions'!$B$4, 'Interval Definitions'!$A$4, IF(Raw!J77&lt;='Interval Definitions'!$B$5, 'Interval Definitions'!$A$5, "None")))))</f>
        <v>Infancy - Infancy</v>
      </c>
      <c r="F77" s="11" t="b">
        <f>OR(NOT(ISBLANK(Raw!AF77)),NOT(ISBLANK(Raw!AG77)),NOT(ISBLANK(Raw!AH77)),NOT(ISBLANK(Raw!AI77)),COUNTIF(Raw!AA77:AD77, "&gt;=0") = 4)</f>
        <v>1</v>
      </c>
      <c r="G77" s="11" t="str">
        <f>IF(F77, IF(COUNTIF(Raw!AA77:AD77,"&gt;=0") = 4, "Contingency", IF(NOT(ISBLANK(Raw!AF77)), "Paper r", IF(NOT(ISBLANK(Raw!AG77)), "Pinquart", IF(NOT(ISBLANK(Raw!AH77)), "Fraley", "Paper chiSq")))), "Not Included")</f>
        <v>Contingency</v>
      </c>
      <c r="H77" s="15">
        <f>IF(F77,Raw!AE77,"Not Included")</f>
        <v>46</v>
      </c>
      <c r="I77" s="15">
        <f>IF(COUNTIF(Raw!AA77:AD77,"&gt;=0") = 4, SUM(Raw!AA77:AD77), "No Contingency Table")</f>
        <v>46</v>
      </c>
      <c r="J77" s="15">
        <f t="shared" si="0"/>
        <v>46</v>
      </c>
      <c r="K77" s="38">
        <f>IF(F77, IF(COUNTIF(Raw!AA77:AD77,"&gt;=0") = 4, IFERROR((I77*Raw!AA77 - SUM(Raw!AA77,Raw!AB77)*SUM(Raw!AA77,Raw!AD77)) / SQRT((I77*SUM(Raw!AA77,Raw!AB77) - SUM(Raw!AA77,Raw!AB77)^2) * (I77*SUM(Raw!AA77,Raw!AD77) - SUM(Raw!AA77,Raw!AD77)^2)), 0), "No Contingency Table"), "Not Included")</f>
        <v>-2.7888667551135855E-2</v>
      </c>
      <c r="L77" s="41">
        <f>IF(F77,IF(NOT(ISBLANK(Raw!AF77)), Raw!AF77, IF(NOT(ISBLANK(Raw!AG77)), Raw!AG77, IF(NOT(ISBLANK(Raw!AH77)), Raw!AH77, IF(NOT(ISBLANK(Raw!AI77)), SQRT(Raw!AI77/H77)*Raw!AJ77, "Not Reported")))),"Not Included")</f>
        <v>-0.03</v>
      </c>
      <c r="M77" s="43">
        <f t="shared" si="1"/>
        <v>-2.7888667551135855E-2</v>
      </c>
      <c r="N77" s="11">
        <f t="shared" si="2"/>
        <v>1</v>
      </c>
      <c r="O77" s="48" t="b">
        <f>OR(NOT(ISBLANK(Raw!AK77)), COUNTIF(Raw!AA77:AD77, "&gt;=0") = 4)</f>
        <v>1</v>
      </c>
      <c r="P77" s="24" t="str">
        <f>IF(O77,IF(COUNTIF(Raw!AA77:AD77,"&gt;=0") = 4,"Contingency", "Paper k"), "Not Included")</f>
        <v>Contingency</v>
      </c>
      <c r="Q77" s="48">
        <f>IF(O77, IF(COUNTIF(Raw!AA77:AD77,"&gt;=0") = 4,SUM(Raw!AA77,Raw!AC77)/H77,"No Contingency Table"), "Not Included")</f>
        <v>0.5</v>
      </c>
      <c r="R77" s="38">
        <f>IF(O77, IF(COUNTIF(Raw!AA77:AD77, "&gt;=0") = 4,SUM(SUM(Raw!AA77,Raw!AB77)*SUM(Raw!AA77,Raw!AD77),SUM(Raw!AC77,Raw!AD77)*SUM(Raw!AC77,Raw!AB77))/H77^2,"No Contingency Table"), "Not Included")</f>
        <v>0.51323251417769378</v>
      </c>
      <c r="S77" s="38">
        <f>IF(O77, IF(COUNTIF(Raw!AA77:AD77,"&gt;=0") = 4, IFERROR((Q77 - R77) / (1 - R77), "Could not calculate"), "No Contingency Table"), "Not Included")</f>
        <v>-2.7184466019417507E-2</v>
      </c>
      <c r="T77" s="52" t="str">
        <f>IF(O77,IF(NOT(ISBLANK(Raw!AK77)), Raw!AK77, "Not Reported"), "Not Included")</f>
        <v>Not Reported</v>
      </c>
      <c r="U77" s="38">
        <f t="shared" si="3"/>
        <v>-2.7184466019417507E-2</v>
      </c>
      <c r="V77" s="11" t="str">
        <f t="shared" si="4"/>
        <v>NA</v>
      </c>
      <c r="W77" s="11" t="b">
        <f>OR(NOT(ISBLANK(Raw!AU77)),COUNTIF(Raw!AL77:AT77,"&gt;=0") = 9)</f>
        <v>0</v>
      </c>
      <c r="X77" s="11" t="str">
        <f>IF(W77, IF(COUNTIF(Raw!AL77:AT77,"&gt;=0") = 9, "Contingency", "Paper k"), "Not Included")</f>
        <v>Not Included</v>
      </c>
      <c r="Y77" s="11" t="str">
        <f>IF(W77,IF(COUNTIF(Raw!AL77:AT77,"&gt;=0") = 9,SUM(Raw!AL77:AT77),"No Contingency Table"),"Not Included")</f>
        <v>Not Included</v>
      </c>
      <c r="Z77" s="11" t="str">
        <f t="shared" si="5"/>
        <v>Not Included</v>
      </c>
      <c r="AA77" s="11" t="str">
        <f>IF(W77,IF(COUNTIF(Raw!AL77:AT77,"&gt;=0") = 9,SUM(Raw!AL77,Raw!AP77,Raw!AT77)/Y77,"No Contingency Table"), "Not Included")</f>
        <v>Not Included</v>
      </c>
      <c r="AB77" s="11" t="str">
        <f>IF(W77,IF(COUNTIF(Raw!AL77:AT77,"&gt;=0") = 9,SUM(SUM(Raw!AL77,Raw!AM77,Raw!AN77)*SUM(Raw!AL77,Raw!AO77,Raw!AR77),SUM(Raw!AO77,Raw!AP77,Raw!AQ77)*SUM(Raw!AM77,Raw!AP77,Raw!AS77),SUM(Raw!AR77,Raw!AS77,Raw!AT77)*SUM(Raw!AN77,Raw!AQ77,Raw!AT77))/Y77^2,"No Contingency Table"), "Not Included")</f>
        <v>Not Included</v>
      </c>
      <c r="AC77" s="11" t="str">
        <f>IF(W77,IF(COUNTIF(Raw!AL77:AT77,"&gt;=0") = 9,(AA77 - AB77) / (1 - AB77),"No Contingency Table"), "Not Included")</f>
        <v>Not Included</v>
      </c>
      <c r="AD77" s="11" t="str">
        <f>IF(W77, IF(NOT(ISBLANK(Raw!AU77)),Raw!AU77,"Not Reported"), "Not Included")</f>
        <v>Not Included</v>
      </c>
      <c r="AE77" s="11" t="str">
        <f t="shared" si="6"/>
        <v>Not Included</v>
      </c>
      <c r="AF77" s="11" t="str">
        <f t="shared" si="7"/>
        <v>Not Included</v>
      </c>
      <c r="AG77" s="11" t="b">
        <f>COUNTIF(Raw!AV77:BK77, "&gt;=0") = 16</f>
        <v>0</v>
      </c>
      <c r="AH77" s="11" t="str">
        <f>IF(AG77, IF(COUNTIF(Raw!AV77:BK77,"&gt;=0") = 16, "Contingency", "Paper k"), "Not Included")</f>
        <v>Not Included</v>
      </c>
      <c r="AI77" s="11" t="str">
        <f>IF(AG77,IF(COUNTIF(Raw!AV77:BK77,"&gt;=0") = 16,SUM(Raw!AV77:BK77),"No Contingency Table"),"Not Included")</f>
        <v>Not Included</v>
      </c>
      <c r="AJ77" s="15">
        <f t="shared" si="8"/>
        <v>46</v>
      </c>
      <c r="AK77" s="11" t="str">
        <f>IF(AG77,IF(COUNTIF(Raw!AV77:BK77,"&gt;=0") = 16,SUM(Raw!AV77,Raw!BA77,Raw!BF77,Raw!BK77)/AI77,"No Contingency Table"), "Not Included")</f>
        <v>Not Included</v>
      </c>
      <c r="AL77" s="11" t="str">
        <f>IF(AG77,IF(COUNTIF(Raw!AV77:BK77,"&gt;=0") = 16,SUM(SUM(Raw!AV77,Raw!AW77,Raw!AX77,Raw!AY77)*SUM(Raw!AV77,Raw!AZ77,Raw!BD77,Raw!BH77),SUM(Raw!AZ77,Raw!BA77,Raw!BB77,Raw!BC77)*SUM(Raw!AW77,Raw!BA77,Raw!BE77,Raw!BI77),SUM(Raw!BD77,Raw!BE77,Raw!BF77,Raw!BG77)*SUM(Raw!AX77,Raw!BB77,Raw!BF77,Raw!BJ77),SUM(Raw!BH77,Raw!BI77,Raw!BJ77,Raw!BK77)*SUM(Raw!AY77,Raw!BC77,Raw!BG77,Raw!BK77))/AI77^2,"No Contingency Table"), "Not Included")</f>
        <v>Not Included</v>
      </c>
      <c r="AM77" s="11" t="str">
        <f>IF(AG77,IF(COUNTIF(Raw!AV77:BK77,"&gt;=0") = 16,(AK77 - AL77) / (1 - AL77),"No Contingency Table"), "Not Included")</f>
        <v>Not Included</v>
      </c>
      <c r="AN77" s="11" t="str">
        <f>IF(NOT(ISBLANK(Raw!BL77)),Raw!BL77,"Not Reported")</f>
        <v>Not Reported</v>
      </c>
      <c r="AO77" s="11" t="str">
        <f t="shared" si="9"/>
        <v>Not Reported</v>
      </c>
      <c r="AP77" s="11" t="str">
        <f t="shared" si="10"/>
        <v>Not Included</v>
      </c>
      <c r="AQ77" s="11" t="b">
        <f t="shared" ref="AQ77:AR77" si="319">BQ77</f>
        <v>0</v>
      </c>
      <c r="AR77" s="11" t="str">
        <f t="shared" si="319"/>
        <v>Not Included</v>
      </c>
      <c r="AS77" s="11" t="str">
        <f t="shared" si="12"/>
        <v>Not Included</v>
      </c>
      <c r="AT77" s="11" t="str">
        <f t="shared" si="13"/>
        <v>Not Included</v>
      </c>
      <c r="AU77" s="11" t="str">
        <f>IF(AQ77, IF(COUNTIF(Raw!AV77:BK77, "&gt;=0") = 16, IFERROR((AT77*Raw!BK77 - SUM(Raw!BH77, Raw!BI77, Raw!BJ77, Raw!BK77)*SUM(Raw!AY77, Raw!BC77, Raw!BG77, Raw!BK77)) / SQRT((AT77*SUM(Raw!BH77, Raw!BI77, Raw!BJ77, Raw!BK77) - SUM(Raw!BH77, Raw!BI77, Raw!BJ77, Raw!BK77)^2) * (AT77*SUM(Raw!AY77, Raw!BC77, Raw!BG77, Raw!BK77) - SUM(Raw!AY77, Raw!BC77, Raw!BG77, Raw!BK77)^2)), 0), "No Contingency Table"), "Not Included")</f>
        <v>Not Included</v>
      </c>
      <c r="AV77" s="11" t="str">
        <f>IF(AQ77,IF(NOT(ISBLANK(Raw!BQ77)), Raw!BQ77, IF(NOT(ISBLANK(Raw!BR77)), Raw!BR77, "Not Reported")), "Not Included")</f>
        <v>Not Included</v>
      </c>
      <c r="AW77" s="57" t="str">
        <f t="shared" si="14"/>
        <v>Not Included</v>
      </c>
      <c r="AX77" s="11" t="str">
        <f t="shared" si="15"/>
        <v>Not Included</v>
      </c>
      <c r="AY77" s="11" t="b">
        <f t="shared" ref="AY77:AZ77" si="320">AQ77</f>
        <v>0</v>
      </c>
      <c r="AZ77" s="11" t="str">
        <f t="shared" si="320"/>
        <v>Not Included</v>
      </c>
      <c r="BA77" s="11" t="str">
        <f>IF(AY77, IF(COUNTIF(Raw!AV77:BK77, "&gt;=0") = 16, SUM(Raw!AV77,Raw!AW77,Raw!AX77,Raw!AZ77,Raw!BA77,Raw!BB77,Raw!BD77,Raw!BE77,Raw!BF77,Raw!BK77)/SUM(Raw!AV77:BK77), "No Contingency Table"), "Not Included")</f>
        <v>Not Included</v>
      </c>
      <c r="BB77" s="11" t="str">
        <f>IF(AY77, IF(COUNTIF(Raw!AV77:BK77, "&gt;=0") = 16,SUM(SUM(Raw!BH77,Raw!BI77,Raw!BJ77,Raw!BK77)*SUM(Raw!AY77,Raw!BC77,Raw!BG77,Raw!BK77),SUM(Raw!AV77:BG77)*SUM(Raw!AV77,Raw!AW77,Raw!AX77,Raw!AZ77,Raw!BA77,Raw!BB77,Raw!BD77,Raw!BE77,Raw!BF77,Raw!BH77,Raw!BI77,Raw!BJ77))/AT77^2,"No Contingency Table"), "Not Included")</f>
        <v>Not Included</v>
      </c>
      <c r="BC77" s="11" t="str">
        <f>IF(AY77, IF(COUNTIF(Raw!AV77:BK77, "&gt;=0") = 16,(BA77-BB77) / (1 - BB77),"No Contingency Table"), "Not Included")</f>
        <v>Not Included</v>
      </c>
      <c r="BD77" s="11" t="str">
        <f>IF(AY77,IF(NOT(ISBLANK(Raw!BT98)),Raw!BT98,"Not Reported"),"Not Included")</f>
        <v>Not Included</v>
      </c>
      <c r="BE77" s="11" t="str">
        <f t="shared" si="17"/>
        <v>Not Included</v>
      </c>
      <c r="BF77" s="11" t="str">
        <f t="shared" si="18"/>
        <v>Not Included</v>
      </c>
      <c r="BG77" s="11">
        <f>Raw!K77</f>
        <v>1991</v>
      </c>
      <c r="BH77" s="11" t="str">
        <f>IF(Raw!L77 = "USA","USA","Non-USA")</f>
        <v>USA</v>
      </c>
      <c r="BI77" s="11" t="str">
        <f>Raw!M77</f>
        <v>Ainsworth/Ainsworth</v>
      </c>
      <c r="BJ77" s="11">
        <f>Raw!N77</f>
        <v>1</v>
      </c>
      <c r="BK77" s="11">
        <f>Raw!P77</f>
        <v>1</v>
      </c>
      <c r="BL77" s="11">
        <f>Raw!Q77</f>
        <v>0</v>
      </c>
      <c r="BM77" s="11">
        <f>Raw!T77</f>
        <v>1</v>
      </c>
      <c r="BN77" s="11">
        <f>IFERROR(IF(AND(ISBLANK(Raw!U77), ISBLANK(Raw!V77), ISBLANK(Raw!W77), ISBLANK(Raw!X77)), "NA", IF(OR(NOT(ISBLANK(Raw!U77)), NOT(ISBLANK(Raw!W77))), AVERAGE(Raw!U77,Raw!W77), AVERAGE(Raw!V77,Raw!X77) + IF(Raw!Y77 = "2-way", R77, IF(Raw!Y77 = "3-way", AB77, IF(Raw!Y77 = "4-way", AL77, "NA")))*(1 - AVERAGE(Raw!V77,Raw!X77)))), "NA")</f>
        <v>0.86</v>
      </c>
      <c r="BO77" s="11">
        <f>Raw!O77</f>
        <v>1</v>
      </c>
      <c r="BP77" s="11" t="str">
        <f>Raw!F77</f>
        <v>Female</v>
      </c>
      <c r="BQ77" s="11" t="b">
        <f>COUNTIF(Raw!AV77:BK77, "&gt;=0") = 16</f>
        <v>0</v>
      </c>
      <c r="BR77" s="11" t="str">
        <f t="shared" si="19"/>
        <v>Not Included</v>
      </c>
      <c r="BS77" s="11" t="str">
        <f t="shared" si="20"/>
        <v>Not Included</v>
      </c>
      <c r="BT77" s="11" t="str">
        <f>IF(BQ77, IF(COUNTIF(Raw!AV77:BK77, "&gt;=0") = 16, IFERROR((BS77*Raw!AV77 - SUM(Raw!AV77, Raw!AW77, Raw!AX77, Raw!AY77)*SUM(Raw!AV77, Raw!AZ77, Raw!BD77, Raw!BH77)) / SQRT((BS77*SUM(Raw!AV77, Raw!AW77, Raw!AX77, Raw!AY77) - SUM(Raw!AV77, Raw!AW77, Raw!AX77, Raw!AY77)^2) * (BS77*SUM(Raw!AV77, Raw!AZ77, Raw!BD77, Raw!BH77) - SUM(Raw!AV77, Raw!AZ77, Raw!BD77, Raw!BH77)^2)), 0), "No Contingency Table"), "Not Included")</f>
        <v>Not Included</v>
      </c>
      <c r="BU77" s="11" t="str">
        <f>IF(BQ77, IF(COUNTIF(Raw!AV77:BK77, "&gt;=0") = 16, SUM(Raw!BK77,Raw!BJ77,Raw!BI77,Raw!BG77,Raw!BF77,Raw!BE77,Raw!BC77,Raw!BB77,Raw!BA77,Raw!AV77)/SUM(Raw!AV77:BK77), "No Contingency Table"), "Not Included")</f>
        <v>Not Included</v>
      </c>
      <c r="BV77" s="11" t="str">
        <f>IF(BQ77, IF(COUNTIF(Raw!AV77:BK77, "&gt;=0") = 16,SUM(SUM(Raw!AV77,Raw!AW77,Raw!AX77,Raw!AY77)*SUM(Raw!AV77,Raw!AZ77,Raw!BD77,Raw!BH77),SUM(Raw!AZ77:BK77)*SUM(Raw!AW77,Raw!AX77,Raw!AY77,Raw!BA77,Raw!BB77,Raw!BC77,Raw!BE77,Raw!BF77,Raw!BG77,Raw!BI77,Raw!BJ77,Raw!BK77))/BS77^2,"No Contingency Table"), "Not Included")</f>
        <v>Not Included</v>
      </c>
      <c r="BW77" s="11" t="str">
        <f>IF(BQ77, IF(COUNTIF(Raw!AV77:BK77, "&gt;=0") = 16,(BU77-BV77) / (1 - BV77),"No Contingency Table"), "Not Included")</f>
        <v>Not Included</v>
      </c>
      <c r="BX77" s="11" t="b">
        <f t="shared" ref="BX77:BZ77" si="321">BQ77</f>
        <v>0</v>
      </c>
      <c r="BY77" s="11" t="str">
        <f t="shared" si="321"/>
        <v>Not Included</v>
      </c>
      <c r="BZ77" s="11" t="str">
        <f t="shared" si="321"/>
        <v>Not Included</v>
      </c>
      <c r="CA77" s="11" t="str">
        <f>IF(BX77, IF(COUNTIF(Raw!AV77:BK77, "&gt;=0") = 16, IFERROR((BZ77*Raw!BF77 - SUM(Raw!BD77, Raw!BE77, Raw!BF77, Raw!BG77)*SUM(Raw!BF77, Raw!AX77, Raw!BB77, Raw!BJ77)) / SQRT((BZ77*SUM(Raw!BD77, Raw!BE77, Raw!BF77, Raw!BG77) - SUM(Raw!BD77, Raw!BE77, Raw!BF77, Raw!BG77)^2) * (BZ77*SUM(Raw!BF77, Raw!AX77, Raw!BB77, Raw!BJ77) - SUM(Raw!BF77, Raw!AX77, Raw!BB77, Raw!BJ77)^2)), 0), "No Contingency Table"), "Not Included")</f>
        <v>Not Included</v>
      </c>
      <c r="CB77" s="11" t="str">
        <f>IF(BX77, IF(COUNTIF(Raw!AV77:BK77, "&gt;=0") = 16, SUM(Raw!AV77,Raw!AW77,Raw!AY77,Raw!AZ77,Raw!BA77,Raw!BC77,Raw!BF77,Raw!BH77,Raw!BI77,Raw!BK77) / SUM(Raw!AV77:BK77), "No Contingency Table"), "Not Included")</f>
        <v>Not Included</v>
      </c>
      <c r="CC77" s="11" t="str">
        <f>IF(BX77, IF(COUNTIF(Raw!AV77:BK77, "&gt;=0") = 16,SUM(SUM(Raw!BD77,Raw!BE77,Raw!BF77,Raw!BG77)*SUM(Raw!BF77,Raw!AX77,Raw!BB77,Raw!BJ77),SUM(Raw!AV77:BC77,Raw!BH77:BK77)*SUM(Raw!AV77,Raw!AW77,Raw!AY77,Raw!AZ77,Raw!BA77,Raw!BC77,Raw!BD77,Raw!BE77,Raw!BG77,Raw!BH77,Raw!BI77,Raw!BK77))/BZ77^2,"No Contingency Table"), "Not Included")</f>
        <v>Not Included</v>
      </c>
      <c r="CD77" s="11" t="str">
        <f>IF(BX77, IF(COUNTIF(Raw!AV77:BK77, "&gt;=0") = 16,(CB77 - CC77) / (1 - CC77+0.000001),"No Contingency Table"), "Not Included")</f>
        <v>Not Included</v>
      </c>
      <c r="CE77" s="11" t="b">
        <f t="shared" ref="CE77:CG77" si="322">BQ77</f>
        <v>0</v>
      </c>
      <c r="CF77" s="11" t="str">
        <f t="shared" si="322"/>
        <v>Not Included</v>
      </c>
      <c r="CG77" s="11" t="str">
        <f t="shared" si="322"/>
        <v>Not Included</v>
      </c>
      <c r="CH77" s="11" t="str">
        <f>IF(CE77, IF(COUNTIF(Raw!AV77:BK77, "&gt;=0") = 16, IFERROR((CG77*Raw!BA77 - SUM(Raw!BA77, Raw!AZ77, Raw!BB77, Raw!BC77)*SUM(Raw!BA77, Raw!AW77, Raw!BE77, Raw!BI77)) / SQRT((CG77*SUM(Raw!BA77, Raw!AZ77, Raw!BB77, Raw!BC77) - SUM(Raw!BA77, Raw!AZ77, Raw!BB77, Raw!BC77)^2) * (CG77*SUM(Raw!BA77, Raw!AW77, Raw!BE77, Raw!BI77) - SUM(Raw!BA77, Raw!AW77, Raw!BE77, Raw!BI77)^2)), 0), "No Contingency Table"), "Not Included")</f>
        <v>Not Included</v>
      </c>
      <c r="CI77" s="11" t="str">
        <f>IF(CE77, IF(COUNTIF(Raw!AV77:BK77, "&gt;=0") = 16, SUM(Raw!AV77,Raw!AX77,Raw!AY77,Raw!BA77,Raw!BD77,Raw!BF77,Raw!BG77,Raw!BH77,Raw!BJ77,Raw!BK77) / SUM(Raw!AV77:BK77), "No Contingency Table"), "Not Included")</f>
        <v>Not Included</v>
      </c>
      <c r="CJ77" s="61" t="str">
        <f>IF(BX77, IF(COUNTIF(Raw!AV77:BK77, "&gt;=0") = 16,SUM(SUM(Raw!AZ77,Raw!BA77,Raw!BB77,Raw!BC77)*SUM(Raw!BA77,Raw!AW77,Raw!BE77,Raw!BI77),SUM(Raw!AV77:AY77,Raw!BD77:BK77)*SUM(Raw!AV77,Raw!AX77,Raw!AY77,Raw!AZ77,Raw!BB77,Raw!BC77,Raw!BD77,Raw!BF77,Raw!BG77,Raw!BH77,Raw!BJ77,Raw!BK77))/CG77^2,"No Contingency Table"), "Not Included")</f>
        <v>Not Included</v>
      </c>
      <c r="CK77" s="11" t="str">
        <f>IF(BX77, IF(COUNTIF(Raw!AV77:BK77, "&gt;=0") = 16,(CI77 - CJ77) / (1 - CJ77),"No Contingency Table"), "Not Included")</f>
        <v>Not Included</v>
      </c>
      <c r="CL77" s="11" t="str">
        <f>IF(BQ77, IFERROR(Raw!AV77/SUM(Raw!AV77:AY77), 0), "Not Included")</f>
        <v>Not Included</v>
      </c>
      <c r="CM77" s="11" t="str">
        <f>IF(BQ77, IFERROR(Raw!BA77/SUM(Raw!AZ77:BC77), 0), "Not Included")</f>
        <v>Not Included</v>
      </c>
      <c r="CN77" s="11" t="str">
        <f>IF(BQ77, IFERROR(Raw!BF77/SUM(Raw!BD77:BG77), 0), "Not Included")</f>
        <v>Not Included</v>
      </c>
      <c r="CO77" s="11" t="str">
        <f>IF(BQ77, IFERROR(Raw!BK77/SUM(Raw!BH77:BK77), 0), "Not Included")</f>
        <v>Not Included</v>
      </c>
      <c r="CP77" s="11" t="str">
        <f>IF(BQ77, IFERROR(SUM(Raw!AV77,Raw!AX77,Raw!AY77,Raw!BD77,Raw!BF77,Raw!BG77,Raw!BH77,Raw!BJ77,Raw!BK77)/SUM(Raw!AV77,Raw!AW77,Raw!AX77,Raw!AY77,Raw!BD77,Raw!BE77,Raw!BF77,Raw!BG77,Raw!BH77,Raw!BI77,Raw!BJ77,Raw!BK77), 0), "Not Included")</f>
        <v>Not Included</v>
      </c>
      <c r="CQ77" s="11" t="str">
        <f>IF(BQ77, IFERROR(SUM(Raw!AV77:AX77,Raw!AZ77:BB77,Raw!BD77:BF77)/SUM(Raw!AV77:BF77), 0), "Not Included")</f>
        <v>Not Included</v>
      </c>
      <c r="CR77" s="11" t="str">
        <f>IF(BQ77, IFERROR(SUM(Raw!AV77:AY77), 0), "Not Included")</f>
        <v>Not Included</v>
      </c>
      <c r="CS77" s="11" t="str">
        <f>IF(BQ77, IFERROR(SUM(Raw!AZ77:BC77), 0), "Not Included")</f>
        <v>Not Included</v>
      </c>
      <c r="CT77" s="11" t="str">
        <f>IF(BQ77, IFERROR(SUM(Raw!BD77:BG77), 0), "Not Included")</f>
        <v>Not Included</v>
      </c>
      <c r="CU77" s="11" t="str">
        <f>IF(BQ77, IFERROR(SUM(Raw!BH77:BK77), 0), "Not Included")</f>
        <v>Not Included</v>
      </c>
      <c r="CV77" s="11" t="str">
        <f>IF(BQ77, IFERROR(SUM(Raw!AV77,Raw!AW77,Raw!AX77,Raw!AY77,Raw!BD77,Raw!BE77,Raw!BF77,Raw!BG77,Raw!BH77,Raw!BI77,Raw!BJ77,Raw!BK77), 0), "Not Included")</f>
        <v>Not Included</v>
      </c>
      <c r="CW77" s="11" t="str">
        <f>IF(BQ77, IFERROR(SUM(Raw!AV77:BF77), 0), "Not Included")</f>
        <v>Not Included</v>
      </c>
      <c r="CX77" s="11" t="str">
        <f>IF(BQ77, IFERROR((CR77*SUM(Raw!AV77,Raw!AZ77,Raw!BD77,Raw!BH77))/BS77/CR77, 0), "Not Included")</f>
        <v>Not Included</v>
      </c>
      <c r="CY77" s="11" t="str">
        <f>IF(BX77, IFERROR((CS77*SUM(Raw!BA77,Raw!AW77,Raw!BE77,Raw!BI77))/CG77/CS77, 0), "Not Included")</f>
        <v>Not Included</v>
      </c>
      <c r="CZ77" s="11" t="str">
        <f>IF(BX77, IFERROR((CT77*SUM(Raw!BF77,Raw!AX77,Raw!BB77,Raw!BJ77))/BZ77/CT77, 0), "Not Included")</f>
        <v>Not Included</v>
      </c>
      <c r="DA77" s="11" t="str">
        <f>IF(AY77, IFERROR((CU77*SUM(Raw!AY77,Raw!BC77,Raw!BG77,Raw!BK77))/AT77/CU77, 0), "Not Included")</f>
        <v>Not Included</v>
      </c>
      <c r="DB77" s="11" t="str">
        <f>IF(BX77, IFERROR((CV77*SUM(Raw!AV77,Raw!AX77,Raw!AY77,Raw!AZ77,Raw!BB77,Raw!BC77,Raw!BD77,Raw!BF77,Raw!BG77,Raw!BH77,Raw!BJ77,Raw!BK77))/CG77/CV77,0), "Not Included")</f>
        <v>Not Included</v>
      </c>
      <c r="DC77" s="11" t="str">
        <f>IF(AY77, IFERROR((CW77*SUM(Raw!AV77,Raw!AW77,Raw!AX77,Raw!AZ77,Raw!BA77,Raw!BB77,Raw!BD77,Raw!BE77,Raw!BF77,Raw!BH77,Raw!BI77,Raw!BJ77))/AT77/CW77,0), "Not Included")</f>
        <v>Not Included</v>
      </c>
    </row>
    <row r="78" spans="1:107" ht="12.75" customHeight="1">
      <c r="A78" s="11">
        <f>Raw!D78</f>
        <v>55</v>
      </c>
      <c r="B78" s="11" t="str">
        <f>Raw!A78</f>
        <v>Ziegenhain &amp; Wolff (2000)</v>
      </c>
      <c r="C78" s="11">
        <f>Raw!G78</f>
        <v>1</v>
      </c>
      <c r="D78" s="11" t="str">
        <f>Raw!E78</f>
        <v>Mother-child</v>
      </c>
      <c r="E78" s="11" t="str">
        <f>CONCATENATE(IF(Raw!I78&lt;='Interval Definitions'!$B$2, 'Interval Definitions'!$A$2, IF(Raw!I78&lt;='Interval Definitions'!$B$3, 'Interval Definitions'!$A$3, IF(Raw!I78&lt;='Interval Definitions'!$B$4, 'Interval Definitions'!$A$4, IF(Raw!I78&lt;='Interval Definitions'!$B$5, 'Interval Definitions'!$A$5, "None")))), " - ", IF(Raw!J78&lt;='Interval Definitions'!$B$2, 'Interval Definitions'!$A$2, IF(Raw!J78&lt;='Interval Definitions'!$B$3, 'Interval Definitions'!$A$3, IF(Raw!J78&lt;='Interval Definitions'!$B$4, 'Interval Definitions'!$A$4, IF(Raw!J78&lt;='Interval Definitions'!$B$5, 'Interval Definitions'!$A$5, "None")))))</f>
        <v>Infancy - Infancy</v>
      </c>
      <c r="F78" s="11" t="b">
        <f>OR(NOT(ISBLANK(Raw!AF78)),NOT(ISBLANK(Raw!AG78)),NOT(ISBLANK(Raw!AH78)),NOT(ISBLANK(Raw!AI78)),COUNTIF(Raw!AA78:AD78, "&gt;=0") = 4)</f>
        <v>1</v>
      </c>
      <c r="G78" s="11" t="str">
        <f>IF(F78, IF(COUNTIF(Raw!AA78:AD78,"&gt;=0") = 4, "Contingency", IF(NOT(ISBLANK(Raw!AF78)), "Paper r", IF(NOT(ISBLANK(Raw!AG78)), "Pinquart", IF(NOT(ISBLANK(Raw!AH78)), "Fraley", "Paper chiSq")))), "Not Included")</f>
        <v>Contingency</v>
      </c>
      <c r="H78" s="15">
        <f>IF(F78,Raw!AE78,"Not Included")</f>
        <v>35</v>
      </c>
      <c r="I78" s="15">
        <f>IF(COUNTIF(Raw!AA78:AD78,"&gt;=0") = 4, SUM(Raw!AA78:AD78), "No Contingency Table")</f>
        <v>35</v>
      </c>
      <c r="J78" s="15">
        <f t="shared" si="0"/>
        <v>35</v>
      </c>
      <c r="K78" s="38">
        <f>IF(F78, IF(COUNTIF(Raw!AA78:AD78,"&gt;=0") = 4, IFERROR((I78*Raw!AA78 - SUM(Raw!AA78,Raw!AB78)*SUM(Raw!AA78,Raw!AD78)) / SQRT((I78*SUM(Raw!AA78,Raw!AB78) - SUM(Raw!AA78,Raw!AB78)^2) * (I78*SUM(Raw!AA78,Raw!AD78) - SUM(Raw!AA78,Raw!AD78)^2)), 0), "No Contingency Table"), "Not Included")</f>
        <v>0.25573907949350599</v>
      </c>
      <c r="L78" s="41">
        <f>IF(F78,IF(NOT(ISBLANK(Raw!AF78)), Raw!AF78, IF(NOT(ISBLANK(Raw!AG78)), Raw!AG78, IF(NOT(ISBLANK(Raw!AH78)), Raw!AH78, IF(NOT(ISBLANK(Raw!AI78)), SQRT(Raw!AI78/H78)*Raw!AJ78, "Not Reported")))),"Not Included")</f>
        <v>0.26</v>
      </c>
      <c r="M78" s="43">
        <f t="shared" si="1"/>
        <v>0.25573907949350599</v>
      </c>
      <c r="N78" s="11">
        <f t="shared" si="2"/>
        <v>1</v>
      </c>
      <c r="O78" s="48" t="b">
        <f>OR(NOT(ISBLANK(Raw!AK78)), COUNTIF(Raw!AA78:AD78, "&gt;=0") = 4)</f>
        <v>1</v>
      </c>
      <c r="P78" s="24" t="str">
        <f>IF(O78,IF(COUNTIF(Raw!AA78:AD78,"&gt;=0") = 4,"Contingency", "Paper k"), "Not Included")</f>
        <v>Contingency</v>
      </c>
      <c r="Q78" s="48">
        <f>IF(O78, IF(COUNTIF(Raw!AA78:AD78,"&gt;=0") = 4,SUM(Raw!AA78,Raw!AC78)/H78,"No Contingency Table"), "Not Included")</f>
        <v>0.62857142857142856</v>
      </c>
      <c r="R78" s="38">
        <f>IF(O78, IF(COUNTIF(Raw!AA78:AD78, "&gt;=0") = 4,SUM(SUM(Raw!AA78,Raw!AB78)*SUM(Raw!AA78,Raw!AD78),SUM(Raw!AC78,Raw!AD78)*SUM(Raw!AC78,Raw!AB78))/H78^2,"No Contingency Table"), "Not Included")</f>
        <v>0.50122448979591838</v>
      </c>
      <c r="S78" s="38">
        <f>IF(O78, IF(COUNTIF(Raw!AA78:AD78,"&gt;=0") = 4, IFERROR((Q78 - R78) / (1 - R78), "Could not calculate"), "No Contingency Table"), "Not Included")</f>
        <v>0.25531914893617019</v>
      </c>
      <c r="T78" s="52" t="str">
        <f>IF(O78,IF(NOT(ISBLANK(Raw!AK78)), Raw!AK78, "Not Reported"), "Not Included")</f>
        <v>Not Reported</v>
      </c>
      <c r="U78" s="38">
        <f t="shared" si="3"/>
        <v>0.25531914893617019</v>
      </c>
      <c r="V78" s="11" t="str">
        <f t="shared" si="4"/>
        <v>NA</v>
      </c>
      <c r="W78" s="11" t="b">
        <f>OR(NOT(ISBLANK(Raw!AU78)),COUNTIF(Raw!AL78:AT78,"&gt;=0") = 9)</f>
        <v>0</v>
      </c>
      <c r="X78" s="11" t="str">
        <f>IF(W78, IF(COUNTIF(Raw!AL78:AT78,"&gt;=0") = 9, "Contingency", "Paper k"), "Not Included")</f>
        <v>Not Included</v>
      </c>
      <c r="Y78" s="11" t="str">
        <f>IF(W78,IF(COUNTIF(Raw!AL78:AT78,"&gt;=0") = 9,SUM(Raw!AL78:AT78),"No Contingency Table"),"Not Included")</f>
        <v>Not Included</v>
      </c>
      <c r="Z78" s="11" t="str">
        <f t="shared" si="5"/>
        <v>Not Included</v>
      </c>
      <c r="AA78" s="11" t="str">
        <f>IF(W78,IF(COUNTIF(Raw!AL78:AT78,"&gt;=0") = 9,SUM(Raw!AL78,Raw!AP78,Raw!AT78)/Y78,"No Contingency Table"), "Not Included")</f>
        <v>Not Included</v>
      </c>
      <c r="AB78" s="11" t="str">
        <f>IF(W78,IF(COUNTIF(Raw!AL78:AT78,"&gt;=0") = 9,SUM(SUM(Raw!AL78,Raw!AM78,Raw!AN78)*SUM(Raw!AL78,Raw!AO78,Raw!AR78),SUM(Raw!AO78,Raw!AP78,Raw!AQ78)*SUM(Raw!AM78,Raw!AP78,Raw!AS78),SUM(Raw!AR78,Raw!AS78,Raw!AT78)*SUM(Raw!AN78,Raw!AQ78,Raw!AT78))/Y78^2,"No Contingency Table"), "Not Included")</f>
        <v>Not Included</v>
      </c>
      <c r="AC78" s="11" t="str">
        <f>IF(W78,IF(COUNTIF(Raw!AL78:AT78,"&gt;=0") = 9,(AA78 - AB78) / (1 - AB78),"No Contingency Table"), "Not Included")</f>
        <v>Not Included</v>
      </c>
      <c r="AD78" s="11" t="str">
        <f>IF(W78, IF(NOT(ISBLANK(Raw!AU78)),Raw!AU78,"Not Reported"), "Not Included")</f>
        <v>Not Included</v>
      </c>
      <c r="AE78" s="11" t="str">
        <f t="shared" si="6"/>
        <v>Not Included</v>
      </c>
      <c r="AF78" s="11" t="str">
        <f t="shared" si="7"/>
        <v>Not Included</v>
      </c>
      <c r="AG78" s="11" t="b">
        <f>COUNTIF(Raw!AV78:BK78, "&gt;=0") = 16</f>
        <v>1</v>
      </c>
      <c r="AH78" s="11" t="str">
        <f>IF(AG78, IF(COUNTIF(Raw!AV78:BK78,"&gt;=0") = 16, "Contingency", "Paper k"), "Not Included")</f>
        <v>Contingency</v>
      </c>
      <c r="AI78" s="11">
        <f>IF(AG78,IF(COUNTIF(Raw!AV78:BK78,"&gt;=0") = 16,SUM(Raw!AV78:BK78),"No Contingency Table"),"Not Included")</f>
        <v>35</v>
      </c>
      <c r="AJ78" s="11">
        <f t="shared" si="8"/>
        <v>35</v>
      </c>
      <c r="AK78" s="11">
        <f>IF(AG78,IF(COUNTIF(Raw!AV78:BK78,"&gt;=0") = 16,SUM(Raw!AV78,Raw!BA78,Raw!BF78,Raw!BK78)/AI78,"No Contingency Table"), "Not Included")</f>
        <v>0.51428571428571423</v>
      </c>
      <c r="AL78" s="11">
        <f>IF(AG78,IF(COUNTIF(Raw!AV78:BK78,"&gt;=0") = 16,SUM(SUM(Raw!AV78,Raw!AW78,Raw!AX78,Raw!AY78)*SUM(Raw!AV78,Raw!AZ78,Raw!BD78,Raw!BH78),SUM(Raw!AZ78,Raw!BA78,Raw!BB78,Raw!BC78)*SUM(Raw!AW78,Raw!BA78,Raw!BE78,Raw!BI78),SUM(Raw!BD78,Raw!BE78,Raw!BF78,Raw!BG78)*SUM(Raw!AX78,Raw!BB78,Raw!BF78,Raw!BJ78),SUM(Raw!BH78,Raw!BI78,Raw!BJ78,Raw!BK78)*SUM(Raw!AY78,Raw!BC78,Raw!BG78,Raw!BK78))/AI78^2,"No Contingency Table"), "Not Included")</f>
        <v>0.34367346938775512</v>
      </c>
      <c r="AM78" s="11">
        <f>IF(AG78,IF(COUNTIF(Raw!AV78:BK78,"&gt;=0") = 16,(AK78 - AL78) / (1 - AL78),"No Contingency Table"), "Not Included")</f>
        <v>0.2599502487562188</v>
      </c>
      <c r="AN78" s="11" t="str">
        <f>IF(NOT(ISBLANK(Raw!BL78)),Raw!BL78,"Not Reported")</f>
        <v>Not Reported</v>
      </c>
      <c r="AO78" s="11">
        <f t="shared" si="9"/>
        <v>0.2599502487562188</v>
      </c>
      <c r="AP78" s="11" t="str">
        <f t="shared" si="10"/>
        <v>NA</v>
      </c>
      <c r="AQ78" s="11" t="b">
        <f t="shared" ref="AQ78:AR78" si="323">BQ78</f>
        <v>1</v>
      </c>
      <c r="AR78" s="11" t="str">
        <f t="shared" si="323"/>
        <v>Contingency</v>
      </c>
      <c r="AS78" s="11">
        <f t="shared" si="12"/>
        <v>35</v>
      </c>
      <c r="AT78" s="11">
        <f t="shared" si="13"/>
        <v>35</v>
      </c>
      <c r="AU78" s="11">
        <f>IF(AQ78, IF(COUNTIF(Raw!AV78:BK78, "&gt;=0") = 16, IFERROR((AT78*Raw!BK78 - SUM(Raw!BH78, Raw!BI78, Raw!BJ78, Raw!BK78)*SUM(Raw!AY78, Raw!BC78, Raw!BG78, Raw!BK78)) / SQRT((AT78*SUM(Raw!BH78, Raw!BI78, Raw!BJ78, Raw!BK78) - SUM(Raw!BH78, Raw!BI78, Raw!BJ78, Raw!BK78)^2) * (AT78*SUM(Raw!AY78, Raw!BC78, Raw!BG78, Raw!BK78) - SUM(Raw!AY78, Raw!BC78, Raw!BG78, Raw!BK78)^2)), 0), "No Contingency Table"), "Not Included")</f>
        <v>0.27695585470349865</v>
      </c>
      <c r="AV78" s="11" t="str">
        <f>IF(AQ78,IF(NOT(ISBLANK(Raw!BQ78)), Raw!BQ78, IF(NOT(ISBLANK(Raw!BR78)), Raw!BR78, "Not Reported")), "Not Included")</f>
        <v>Not Reported</v>
      </c>
      <c r="AW78" s="57">
        <f t="shared" si="14"/>
        <v>0.27695585470349865</v>
      </c>
      <c r="AX78" s="11" t="str">
        <f t="shared" si="15"/>
        <v>NA</v>
      </c>
      <c r="AY78" s="11" t="b">
        <f t="shared" ref="AY78:AZ78" si="324">AQ78</f>
        <v>1</v>
      </c>
      <c r="AZ78" s="11" t="str">
        <f t="shared" si="324"/>
        <v>Contingency</v>
      </c>
      <c r="BA78" s="11">
        <f>IF(AY78, IF(COUNTIF(Raw!AV78:BK78, "&gt;=0") = 16, SUM(Raw!AV78,Raw!AW78,Raw!AX78,Raw!AZ78,Raw!BA78,Raw!BB78,Raw!BD78,Raw!BE78,Raw!BF78,Raw!BK78)/SUM(Raw!AV78:BK78), "No Contingency Table"), "Not Included")</f>
        <v>0.7142857142857143</v>
      </c>
      <c r="BB78" s="11">
        <f>IF(AY78, IF(COUNTIF(Raw!AV78:BK78, "&gt;=0") = 16,SUM(SUM(Raw!BH78,Raw!BI78,Raw!BJ78,Raw!BK78)*SUM(Raw!AY78,Raw!BC78,Raw!BG78,Raw!BK78),SUM(Raw!AV78:BG78)*SUM(Raw!AV78,Raw!AW78,Raw!AX78,Raw!AZ78,Raw!BA78,Raw!BB78,Raw!BD78,Raw!BE78,Raw!BF78,Raw!BH78,Raw!BI78,Raw!BJ78))/AT78^2,"No Contingency Table"), "Not Included")</f>
        <v>0.61142857142857143</v>
      </c>
      <c r="BC78" s="11">
        <f>IF(AY78, IF(COUNTIF(Raw!AV78:BK78, "&gt;=0") = 16,(BA78-BB78) / (1 - BB78),"No Contingency Table"), "Not Included")</f>
        <v>0.26470588235294124</v>
      </c>
      <c r="BD78" s="11" t="str">
        <f>IF(AY78,IF(NOT(ISBLANK(Raw!BT99)),Raw!BT99,"Not Reported"),"Not Included")</f>
        <v>Not Reported</v>
      </c>
      <c r="BE78" s="11">
        <f t="shared" si="17"/>
        <v>0.26470588235294124</v>
      </c>
      <c r="BF78" s="11" t="str">
        <f t="shared" si="18"/>
        <v>NA</v>
      </c>
      <c r="BG78" s="11">
        <f>Raw!K78</f>
        <v>2000</v>
      </c>
      <c r="BH78" s="11" t="str">
        <f>IF(Raw!L78 = "USA","USA","Non-USA")</f>
        <v>Non-USA</v>
      </c>
      <c r="BI78" s="11" t="str">
        <f>Raw!M78</f>
        <v>Ainsworth/Ainsworth</v>
      </c>
      <c r="BJ78" s="11">
        <f>Raw!N78</f>
        <v>1</v>
      </c>
      <c r="BK78" s="11">
        <f>Raw!P78</f>
        <v>0</v>
      </c>
      <c r="BL78" s="11">
        <f>Raw!Q78</f>
        <v>0</v>
      </c>
      <c r="BM78" s="11">
        <f>Raw!T78</f>
        <v>1</v>
      </c>
      <c r="BN78" s="11" t="str">
        <f>IFERROR(IF(AND(ISBLANK(Raw!U78), ISBLANK(Raw!V78), ISBLANK(Raw!W78), ISBLANK(Raw!X78)), "NA", IF(OR(NOT(ISBLANK(Raw!U78)), NOT(ISBLANK(Raw!W78))), AVERAGE(Raw!U78,Raw!W78), AVERAGE(Raw!V78,Raw!X78) + IF(Raw!Y78 = "2-way", R78, IF(Raw!Y78 = "3-way", AB78, IF(Raw!Y78 = "4-way", AL78, "NA")))*(1 - AVERAGE(Raw!V78,Raw!X78)))), "NA")</f>
        <v>NA</v>
      </c>
      <c r="BO78" s="11">
        <f>Raw!O78</f>
        <v>0</v>
      </c>
      <c r="BP78" s="11" t="str">
        <f>Raw!F78</f>
        <v>Female</v>
      </c>
      <c r="BQ78" s="11" t="b">
        <f>COUNTIF(Raw!AV78:BK78, "&gt;=0") = 16</f>
        <v>1</v>
      </c>
      <c r="BR78" s="11" t="str">
        <f t="shared" si="19"/>
        <v>Contingency</v>
      </c>
      <c r="BS78" s="11">
        <f t="shared" si="20"/>
        <v>35</v>
      </c>
      <c r="BT78" s="11">
        <f>IF(BQ78, IF(COUNTIF(Raw!AV78:BK78, "&gt;=0") = 16, IFERROR((BS78*Raw!AV78 - SUM(Raw!AV78, Raw!AW78, Raw!AX78, Raw!AY78)*SUM(Raw!AV78, Raw!AZ78, Raw!BD78, Raw!BH78)) / SQRT((BS78*SUM(Raw!AV78, Raw!AW78, Raw!AX78, Raw!AY78) - SUM(Raw!AV78, Raw!AW78, Raw!AX78, Raw!AY78)^2) * (BS78*SUM(Raw!AV78, Raw!AZ78, Raw!BD78, Raw!BH78) - SUM(Raw!AV78, Raw!AZ78, Raw!BD78, Raw!BH78)^2)), 0), "No Contingency Table"), "Not Included")</f>
        <v>0.30246429052072016</v>
      </c>
      <c r="BU78" s="11">
        <f>IF(BQ78, IF(COUNTIF(Raw!AV78:BK78, "&gt;=0") = 16, SUM(Raw!BK78,Raw!BJ78,Raw!BI78,Raw!BG78,Raw!BF78,Raw!BE78,Raw!BC78,Raw!BB78,Raw!BA78,Raw!AV78)/SUM(Raw!AV78:BK78), "No Contingency Table"), "Not Included")</f>
        <v>0.74285714285714288</v>
      </c>
      <c r="BV78" s="11">
        <f>IF(BQ78, IF(COUNTIF(Raw!AV78:BK78, "&gt;=0") = 16,SUM(SUM(Raw!AV78,Raw!AW78,Raw!AX78,Raw!AY78)*SUM(Raw!AV78,Raw!AZ78,Raw!BD78,Raw!BH78),SUM(Raw!AZ78:BK78)*SUM(Raw!AW78,Raw!AX78,Raw!AY78,Raw!BA78,Raw!BB78,Raw!BC78,Raw!BE78,Raw!BF78,Raw!BG78,Raw!BI78,Raw!BJ78,Raw!BK78))/BS78^2,"No Contingency Table"), "Not Included")</f>
        <v>0.63183673469387758</v>
      </c>
      <c r="BW78" s="11">
        <f>IF(BQ78, IF(COUNTIF(Raw!AV78:BK78, "&gt;=0") = 16,(BU78-BV78) / (1 - BV78),"No Contingency Table"), "Not Included")</f>
        <v>0.30155210643015523</v>
      </c>
      <c r="BX78" s="11" t="b">
        <f t="shared" ref="BX78:BZ78" si="325">BQ78</f>
        <v>1</v>
      </c>
      <c r="BY78" s="11" t="str">
        <f t="shared" si="325"/>
        <v>Contingency</v>
      </c>
      <c r="BZ78" s="11">
        <f t="shared" si="325"/>
        <v>35</v>
      </c>
      <c r="CA78" s="11">
        <f>IF(BX78, IF(COUNTIF(Raw!AV78:BK78, "&gt;=0") = 16, IFERROR((BZ78*Raw!BF78 - SUM(Raw!BD78, Raw!BE78, Raw!BF78, Raw!BG78)*SUM(Raw!BF78, Raw!AX78, Raw!BB78, Raw!BJ78)) / SQRT((BZ78*SUM(Raw!BD78, Raw!BE78, Raw!BF78, Raw!BG78) - SUM(Raw!BD78, Raw!BE78, Raw!BF78, Raw!BG78)^2) * (BZ78*SUM(Raw!BF78, Raw!AX78, Raw!BB78, Raw!BJ78) - SUM(Raw!BF78, Raw!AX78, Raw!BB78, Raw!BJ78)^2)), 0), "No Contingency Table"), "Not Included")</f>
        <v>0</v>
      </c>
      <c r="CB78" s="11">
        <f>IF(BX78, IF(COUNTIF(Raw!AV78:BK78, "&gt;=0") = 16, SUM(Raw!AV78,Raw!AW78,Raw!AY78,Raw!AZ78,Raw!BA78,Raw!BC78,Raw!BF78,Raw!BH78,Raw!BI78,Raw!BK78) / SUM(Raw!AV78:BK78), "No Contingency Table"), "Not Included")</f>
        <v>0.94285714285714284</v>
      </c>
      <c r="CC78" s="11">
        <f>IF(BX78, IF(COUNTIF(Raw!AV78:BK78, "&gt;=0") = 16,SUM(SUM(Raw!BD78,Raw!BE78,Raw!BF78,Raw!BG78)*SUM(Raw!BF78,Raw!AX78,Raw!BB78,Raw!BJ78),SUM(Raw!AV78:BC78,Raw!BH78:BK78)*SUM(Raw!AV78,Raw!AW78,Raw!AY78,Raw!AZ78,Raw!BA78,Raw!BC78,Raw!BD78,Raw!BE78,Raw!BG78,Raw!BH78,Raw!BI78,Raw!BK78))/BZ78^2,"No Contingency Table"), "Not Included")</f>
        <v>0.94285714285714284</v>
      </c>
      <c r="CD78" s="11">
        <f>IF(BX78, IF(COUNTIF(Raw!AV78:BK78, "&gt;=0") = 16,(CB78 - CC78) / (1 - CC78+0.000001),"No Contingency Table"), "Not Included")</f>
        <v>0</v>
      </c>
      <c r="CE78" s="11" t="b">
        <f t="shared" ref="CE78:CG78" si="326">BQ78</f>
        <v>1</v>
      </c>
      <c r="CF78" s="11" t="str">
        <f t="shared" si="326"/>
        <v>Contingency</v>
      </c>
      <c r="CG78" s="11">
        <f t="shared" si="326"/>
        <v>35</v>
      </c>
      <c r="CH78" s="11">
        <f>IF(CE78, IF(COUNTIF(Raw!AV78:BK78, "&gt;=0") = 16, IFERROR((CG78*Raw!BA78 - SUM(Raw!BA78, Raw!AZ78, Raw!BB78, Raw!BC78)*SUM(Raw!BA78, Raw!AW78, Raw!BE78, Raw!BI78)) / SQRT((CG78*SUM(Raw!BA78, Raw!AZ78, Raw!BB78, Raw!BC78) - SUM(Raw!BA78, Raw!AZ78, Raw!BB78, Raw!BC78)^2) * (CG78*SUM(Raw!BA78, Raw!AW78, Raw!BE78, Raw!BI78) - SUM(Raw!BA78, Raw!AW78, Raw!BE78, Raw!BI78)^2)), 0), "No Contingency Table"), "Not Included")</f>
        <v>0.25573907949350599</v>
      </c>
      <c r="CI78" s="11">
        <f>IF(CE78, IF(COUNTIF(Raw!AV78:BK78, "&gt;=0") = 16, SUM(Raw!AV78,Raw!AX78,Raw!AY78,Raw!BA78,Raw!BD78,Raw!BF78,Raw!BG78,Raw!BH78,Raw!BJ78,Raw!BK78) / SUM(Raw!AV78:BK78), "No Contingency Table"), "Not Included")</f>
        <v>0.62857142857142856</v>
      </c>
      <c r="CJ78" s="61">
        <f>IF(BX78, IF(COUNTIF(Raw!AV78:BK78, "&gt;=0") = 16,SUM(SUM(Raw!AZ78,Raw!BA78,Raw!BB78,Raw!BC78)*SUM(Raw!BA78,Raw!AW78,Raw!BE78,Raw!BI78),SUM(Raw!AV78:AY78,Raw!BD78:BK78)*SUM(Raw!AV78,Raw!AX78,Raw!AY78,Raw!AZ78,Raw!BB78,Raw!BC78,Raw!BD78,Raw!BF78,Raw!BG78,Raw!BH78,Raw!BJ78,Raw!BK78))/CG78^2,"No Contingency Table"), "Not Included")</f>
        <v>0.50122448979591838</v>
      </c>
      <c r="CK78" s="11">
        <f>IF(BX78, IF(COUNTIF(Raw!AV78:BK78, "&gt;=0") = 16,(CI78 - CJ78) / (1 - CJ78),"No Contingency Table"), "Not Included")</f>
        <v>0.25531914893617019</v>
      </c>
      <c r="CL78" s="11">
        <f>IF(BQ78, IFERROR(Raw!AV78/SUM(Raw!AV78:AY78), 0), "Not Included")</f>
        <v>0.5</v>
      </c>
      <c r="CM78" s="11">
        <f>IF(BQ78, IFERROR(Raw!BA78/SUM(Raw!AZ78:BC78), 0), "Not Included")</f>
        <v>0.625</v>
      </c>
      <c r="CN78" s="11">
        <f>IF(BQ78, IFERROR(Raw!BF78/SUM(Raw!BD78:BG78), 0), "Not Included")</f>
        <v>0</v>
      </c>
      <c r="CO78" s="11">
        <f>IF(BQ78, IFERROR(Raw!BK78/SUM(Raw!BH78:BK78), 0), "Not Included")</f>
        <v>0.36363636363636365</v>
      </c>
      <c r="CP78" s="11">
        <f>IF(BQ78, IFERROR(SUM(Raw!AV78,Raw!AX78,Raw!AY78,Raw!BD78,Raw!BF78,Raw!BG78,Raw!BH78,Raw!BJ78,Raw!BK78)/SUM(Raw!AV78,Raw!AW78,Raw!AX78,Raw!AY78,Raw!BD78,Raw!BE78,Raw!BF78,Raw!BG78,Raw!BH78,Raw!BI78,Raw!BJ78,Raw!BK78), 0), "Not Included")</f>
        <v>0.63157894736842102</v>
      </c>
      <c r="CQ78" s="11">
        <f>IF(BQ78, IFERROR(SUM(Raw!AV78:AX78,Raw!AZ78:BB78,Raw!BD78:BF78)/SUM(Raw!AV78:BF78), 0), "Not Included")</f>
        <v>0.875</v>
      </c>
      <c r="CR78" s="11">
        <f>IF(BQ78, IFERROR(SUM(Raw!AV78:AY78), 0), "Not Included")</f>
        <v>8</v>
      </c>
      <c r="CS78" s="11">
        <f>IF(BQ78, IFERROR(SUM(Raw!AZ78:BC78), 0), "Not Included")</f>
        <v>16</v>
      </c>
      <c r="CT78" s="11">
        <f>IF(BQ78, IFERROR(SUM(Raw!BD78:BG78), 0), "Not Included")</f>
        <v>0</v>
      </c>
      <c r="CU78" s="11">
        <f>IF(BQ78, IFERROR(SUM(Raw!BH78:BK78), 0), "Not Included")</f>
        <v>11</v>
      </c>
      <c r="CV78" s="11">
        <f>IF(BQ78, IFERROR(SUM(Raw!AV78,Raw!AW78,Raw!AX78,Raw!AY78,Raw!BD78,Raw!BE78,Raw!BF78,Raw!BG78,Raw!BH78,Raw!BI78,Raw!BJ78,Raw!BK78), 0), "Not Included")</f>
        <v>19</v>
      </c>
      <c r="CW78" s="11">
        <f>IF(BQ78, IFERROR(SUM(Raw!AV78:BF78), 0), "Not Included")</f>
        <v>24</v>
      </c>
      <c r="CX78" s="11">
        <f>IF(BQ78, IFERROR((CR78*SUM(Raw!AV78,Raw!AZ78,Raw!BD78,Raw!BH78))/BS78/CR78, 0), "Not Included")</f>
        <v>0.25714285714285712</v>
      </c>
      <c r="CY78" s="11">
        <f>IF(BX78, IFERROR((CS78*SUM(Raw!BA78,Raw!AW78,Raw!BE78,Raw!BI78))/CG78/CS78, 0), "Not Included")</f>
        <v>0.48571428571428571</v>
      </c>
      <c r="CZ78" s="11">
        <f>IF(BX78, IFERROR((CT78*SUM(Raw!BF78,Raw!AX78,Raw!BB78,Raw!BJ78))/BZ78/CT78, 0), "Not Included")</f>
        <v>0</v>
      </c>
      <c r="DA78" s="11">
        <f>IF(AY78, IFERROR((CU78*SUM(Raw!AY78,Raw!BC78,Raw!BG78,Raw!BK78))/AT78/CU78, 0), "Not Included")</f>
        <v>0.2</v>
      </c>
      <c r="DB78" s="11">
        <f>IF(BX78, IFERROR((CV78*SUM(Raw!AV78,Raw!AX78,Raw!AY78,Raw!AZ78,Raw!BB78,Raw!BC78,Raw!BD78,Raw!BF78,Raw!BG78,Raw!BH78,Raw!BJ78,Raw!BK78))/CG78/CV78,0), "Not Included")</f>
        <v>0.51428571428571435</v>
      </c>
      <c r="DC78" s="11">
        <f>IF(AY78, IFERROR((CW78*SUM(Raw!AV78,Raw!AW78,Raw!AX78,Raw!AZ78,Raw!BA78,Raw!BB78,Raw!BD78,Raw!BE78,Raw!BF78,Raw!BH78,Raw!BI78,Raw!BJ78))/AT78/CW78,0), "Not Included")</f>
        <v>0.79999999999999993</v>
      </c>
    </row>
    <row r="79" spans="1:107" ht="12.75" customHeight="1">
      <c r="A79" s="11">
        <f>Raw!D79</f>
        <v>56</v>
      </c>
      <c r="B79" s="11" t="str">
        <f>Raw!A79</f>
        <v>Edwards et al. (2004)</v>
      </c>
      <c r="C79" s="11">
        <f>Raw!G79</f>
        <v>1</v>
      </c>
      <c r="D79" s="11" t="str">
        <f>Raw!E79</f>
        <v>Mother-child</v>
      </c>
      <c r="E79" s="11" t="str">
        <f>CONCATENATE(IF(Raw!I79&lt;='Interval Definitions'!$B$2, 'Interval Definitions'!$A$2, IF(Raw!I79&lt;='Interval Definitions'!$B$3, 'Interval Definitions'!$A$3, IF(Raw!I79&lt;='Interval Definitions'!$B$4, 'Interval Definitions'!$A$4, IF(Raw!I79&lt;='Interval Definitions'!$B$5, 'Interval Definitions'!$A$5, "None")))), " - ", IF(Raw!J79&lt;='Interval Definitions'!$B$2, 'Interval Definitions'!$A$2, IF(Raw!J79&lt;='Interval Definitions'!$B$3, 'Interval Definitions'!$A$3, IF(Raw!J79&lt;='Interval Definitions'!$B$4, 'Interval Definitions'!$A$4, IF(Raw!J79&lt;='Interval Definitions'!$B$5, 'Interval Definitions'!$A$5, "None")))))</f>
        <v>Infancy - Infancy</v>
      </c>
      <c r="F79" s="11" t="b">
        <f>OR(NOT(ISBLANK(Raw!AF79)),NOT(ISBLANK(Raw!AG79)),NOT(ISBLANK(Raw!AH79)),NOT(ISBLANK(Raw!AI79)),COUNTIF(Raw!AA79:AD79, "&gt;=0") = 4)</f>
        <v>1</v>
      </c>
      <c r="G79" s="11" t="str">
        <f>IF(F79, IF(COUNTIF(Raw!AA79:AD79,"&gt;=0") = 4, "Contingency", IF(NOT(ISBLANK(Raw!AF79)), "Paper r", IF(NOT(ISBLANK(Raw!AG79)), "Pinquart", IF(NOT(ISBLANK(Raw!AH79)), "Fraley", "Paper chiSq")))), "Not Included")</f>
        <v>Contingency</v>
      </c>
      <c r="H79" s="15">
        <f>IF(F79,Raw!AE79,"Not Included")</f>
        <v>217</v>
      </c>
      <c r="I79" s="15">
        <f>IF(COUNTIF(Raw!AA79:AD79,"&gt;=0") = 4, SUM(Raw!AA79:AD79), "No Contingency Table")</f>
        <v>217</v>
      </c>
      <c r="J79" s="15">
        <f t="shared" si="0"/>
        <v>217</v>
      </c>
      <c r="K79" s="38">
        <f>IF(F79, IF(COUNTIF(Raw!AA79:AD79,"&gt;=0") = 4, IFERROR((I79*Raw!AA79 - SUM(Raw!AA79,Raw!AB79)*SUM(Raw!AA79,Raw!AD79)) / SQRT((I79*SUM(Raw!AA79,Raw!AB79) - SUM(Raw!AA79,Raw!AB79)^2) * (I79*SUM(Raw!AA79,Raw!AD79) - SUM(Raw!AA79,Raw!AD79)^2)), 0), "No Contingency Table"), "Not Included")</f>
        <v>0.25863644879044961</v>
      </c>
      <c r="L79" s="41">
        <f>IF(F79,IF(NOT(ISBLANK(Raw!AF79)), Raw!AF79, IF(NOT(ISBLANK(Raw!AG79)), Raw!AG79, IF(NOT(ISBLANK(Raw!AH79)), Raw!AH79, IF(NOT(ISBLANK(Raw!AI79)), SQRT(Raw!AI79/H79)*Raw!AJ79, "Not Reported")))),"Not Included")</f>
        <v>0.26</v>
      </c>
      <c r="M79" s="43">
        <f t="shared" si="1"/>
        <v>0.25863644879044961</v>
      </c>
      <c r="N79" s="11">
        <f t="shared" si="2"/>
        <v>1</v>
      </c>
      <c r="O79" s="48" t="b">
        <f>OR(NOT(ISBLANK(Raw!AK79)), COUNTIF(Raw!AA79:AD79, "&gt;=0") = 4)</f>
        <v>1</v>
      </c>
      <c r="P79" s="24" t="str">
        <f>IF(O79,IF(COUNTIF(Raw!AA79:AD79,"&gt;=0") = 4,"Contingency", "Paper k"), "Not Included")</f>
        <v>Contingency</v>
      </c>
      <c r="Q79" s="48">
        <f>IF(O79, IF(COUNTIF(Raw!AA79:AD79,"&gt;=0") = 4,SUM(Raw!AA79,Raw!AC79)/H79,"No Contingency Table"), "Not Included")</f>
        <v>0.66359447004608296</v>
      </c>
      <c r="R79" s="38">
        <f>IF(O79, IF(COUNTIF(Raw!AA79:AD79, "&gt;=0") = 4,SUM(SUM(Raw!AA79,Raw!AB79)*SUM(Raw!AA79,Raw!AD79),SUM(Raw!AC79,Raw!AD79)*SUM(Raw!AC79,Raw!AB79))/H79^2,"No Contingency Table"), "Not Included")</f>
        <v>0.54624222217503027</v>
      </c>
      <c r="S79" s="38">
        <f>IF(O79, IF(COUNTIF(Raw!AA79:AD79,"&gt;=0") = 4, IFERROR((Q79 - R79) / (1 - R79), "Could not calculate"), "No Contingency Table"), "Not Included")</f>
        <v>0.25862311040389385</v>
      </c>
      <c r="T79" s="52" t="str">
        <f>IF(O79,IF(NOT(ISBLANK(Raw!AK79)), Raw!AK79, "Not Reported"), "Not Included")</f>
        <v>Not Reported</v>
      </c>
      <c r="U79" s="38">
        <f t="shared" si="3"/>
        <v>0.25862311040389385</v>
      </c>
      <c r="V79" s="11" t="str">
        <f t="shared" si="4"/>
        <v>NA</v>
      </c>
      <c r="W79" s="11" t="b">
        <f>OR(NOT(ISBLANK(Raw!AU79)),COUNTIF(Raw!AL79:AT79,"&gt;=0") = 9)</f>
        <v>0</v>
      </c>
      <c r="X79" s="11" t="str">
        <f>IF(W79, IF(COUNTIF(Raw!AL79:AT79,"&gt;=0") = 9, "Contingency", "Paper k"), "Not Included")</f>
        <v>Not Included</v>
      </c>
      <c r="Y79" s="11" t="str">
        <f>IF(W79,IF(COUNTIF(Raw!AL79:AT79,"&gt;=0") = 9,SUM(Raw!AL79:AT79),"No Contingency Table"),"Not Included")</f>
        <v>Not Included</v>
      </c>
      <c r="Z79" s="11" t="str">
        <f t="shared" si="5"/>
        <v>Not Included</v>
      </c>
      <c r="AA79" s="11" t="str">
        <f>IF(W79,IF(COUNTIF(Raw!AL79:AT79,"&gt;=0") = 9,SUM(Raw!AL79,Raw!AP79,Raw!AT79)/Y79,"No Contingency Table"), "Not Included")</f>
        <v>Not Included</v>
      </c>
      <c r="AB79" s="11" t="str">
        <f>IF(W79,IF(COUNTIF(Raw!AL79:AT79,"&gt;=0") = 9,SUM(SUM(Raw!AL79,Raw!AM79,Raw!AN79)*SUM(Raw!AL79,Raw!AO79,Raw!AR79),SUM(Raw!AO79,Raw!AP79,Raw!AQ79)*SUM(Raw!AM79,Raw!AP79,Raw!AS79),SUM(Raw!AR79,Raw!AS79,Raw!AT79)*SUM(Raw!AN79,Raw!AQ79,Raw!AT79))/Y79^2,"No Contingency Table"), "Not Included")</f>
        <v>Not Included</v>
      </c>
      <c r="AC79" s="11" t="str">
        <f>IF(W79,IF(COUNTIF(Raw!AL79:AT79,"&gt;=0") = 9,(AA79 - AB79) / (1 - AB79),"No Contingency Table"), "Not Included")</f>
        <v>Not Included</v>
      </c>
      <c r="AD79" s="11" t="str">
        <f>IF(W79, IF(NOT(ISBLANK(Raw!AU79)),Raw!AU79,"Not Reported"), "Not Included")</f>
        <v>Not Included</v>
      </c>
      <c r="AE79" s="11" t="str">
        <f t="shared" si="6"/>
        <v>Not Included</v>
      </c>
      <c r="AF79" s="11" t="str">
        <f t="shared" si="7"/>
        <v>Not Included</v>
      </c>
      <c r="AG79" s="11" t="b">
        <f>COUNTIF(Raw!AV79:BK79, "&gt;=0") = 16</f>
        <v>1</v>
      </c>
      <c r="AH79" s="11" t="str">
        <f>IF(AG79, IF(COUNTIF(Raw!AV79:BK79,"&gt;=0") = 16, "Contingency", "Paper k"), "Not Included")</f>
        <v>Contingency</v>
      </c>
      <c r="AI79" s="11">
        <f>IF(AG79,IF(COUNTIF(Raw!AV79:BK79,"&gt;=0") = 16,SUM(Raw!AV79:BK79),"No Contingency Table"),"Not Included")</f>
        <v>217</v>
      </c>
      <c r="AJ79" s="11">
        <f t="shared" si="8"/>
        <v>217</v>
      </c>
      <c r="AK79" s="11">
        <f>IF(AG79,IF(COUNTIF(Raw!AV79:BK79,"&gt;=0") = 16,SUM(Raw!AV79,Raw!BA79,Raw!BF79,Raw!BK79)/AI79,"No Contingency Table"), "Not Included")</f>
        <v>0.59447004608294929</v>
      </c>
      <c r="AL79" s="11">
        <f>IF(AG79,IF(COUNTIF(Raw!AV79:BK79,"&gt;=0") = 16,SUM(SUM(Raw!AV79,Raw!AW79,Raw!AX79,Raw!AY79)*SUM(Raw!AV79,Raw!AZ79,Raw!BD79,Raw!BH79),SUM(Raw!AZ79,Raw!BA79,Raw!BB79,Raw!BC79)*SUM(Raw!AW79,Raw!BA79,Raw!BE79,Raw!BI79),SUM(Raw!BD79,Raw!BE79,Raw!BF79,Raw!BG79)*SUM(Raw!AX79,Raw!BB79,Raw!BF79,Raw!BJ79),SUM(Raw!BH79,Raw!BI79,Raw!BJ79,Raw!BK79)*SUM(Raw!AY79,Raw!BC79,Raw!BG79,Raw!BK79))/AI79^2,"No Contingency Table"), "Not Included")</f>
        <v>0.46560767907579265</v>
      </c>
      <c r="AM79" s="11">
        <f>IF(AG79,IF(COUNTIF(Raw!AV79:BK79,"&gt;=0") = 16,(AK79 - AL79) / (1 - AL79),"No Contingency Table"), "Not Included")</f>
        <v>0.24113813384199645</v>
      </c>
      <c r="AN79" s="32">
        <f>IF(NOT(ISBLANK(Raw!BL79)),Raw!BL79,"Not Reported")</f>
        <v>0.24</v>
      </c>
      <c r="AO79" s="11">
        <f t="shared" si="9"/>
        <v>0.24113813384199645</v>
      </c>
      <c r="AP79" s="11">
        <f t="shared" si="10"/>
        <v>1</v>
      </c>
      <c r="AQ79" s="11" t="b">
        <f t="shared" ref="AQ79:AR79" si="327">BQ79</f>
        <v>1</v>
      </c>
      <c r="AR79" s="11" t="str">
        <f t="shared" si="327"/>
        <v>Contingency</v>
      </c>
      <c r="AS79" s="11">
        <f t="shared" si="12"/>
        <v>217</v>
      </c>
      <c r="AT79" s="11">
        <f t="shared" si="13"/>
        <v>217</v>
      </c>
      <c r="AU79" s="11">
        <f>IF(AQ79, IF(COUNTIF(Raw!AV79:BK79, "&gt;=0") = 16, IFERROR((AT79*Raw!BK79 - SUM(Raw!BH79, Raw!BI79, Raw!BJ79, Raw!BK79)*SUM(Raw!AY79, Raw!BC79, Raw!BG79, Raw!BK79)) / SQRT((AT79*SUM(Raw!BH79, Raw!BI79, Raw!BJ79, Raw!BK79) - SUM(Raw!BH79, Raw!BI79, Raw!BJ79, Raw!BK79)^2) * (AT79*SUM(Raw!AY79, Raw!BC79, Raw!BG79, Raw!BK79) - SUM(Raw!AY79, Raw!BC79, Raw!BG79, Raw!BK79)^2)), 0), "No Contingency Table"), "Not Included")</f>
        <v>0.19461463464062351</v>
      </c>
      <c r="AV79" s="11" t="str">
        <f>IF(AQ79,IF(NOT(ISBLANK(Raw!BQ79)), Raw!BQ79, IF(NOT(ISBLANK(Raw!BR79)), Raw!BR79, "Not Reported")), "Not Included")</f>
        <v>Not Reported</v>
      </c>
      <c r="AW79" s="57">
        <f t="shared" si="14"/>
        <v>0.19461463464062351</v>
      </c>
      <c r="AX79" s="11" t="str">
        <f t="shared" si="15"/>
        <v>NA</v>
      </c>
      <c r="AY79" s="11" t="b">
        <f t="shared" ref="AY79:AZ79" si="328">AQ79</f>
        <v>1</v>
      </c>
      <c r="AZ79" s="11" t="str">
        <f t="shared" si="328"/>
        <v>Contingency</v>
      </c>
      <c r="BA79" s="11">
        <f>IF(AY79, IF(COUNTIF(Raw!AV79:BK79, "&gt;=0") = 16, SUM(Raw!AV79,Raw!AW79,Raw!AX79,Raw!AZ79,Raw!BA79,Raw!BB79,Raw!BD79,Raw!BE79,Raw!BF79,Raw!BK79)/SUM(Raw!AV79:BK79), "No Contingency Table"), "Not Included")</f>
        <v>0.85253456221198154</v>
      </c>
      <c r="BB79" s="11">
        <f>IF(AY79, IF(COUNTIF(Raw!AV79:BK79, "&gt;=0") = 16,SUM(SUM(Raw!BH79,Raw!BI79,Raw!BJ79,Raw!BK79)*SUM(Raw!AY79,Raw!BC79,Raw!BG79,Raw!BK79),SUM(Raw!AV79:BG79)*SUM(Raw!AV79,Raw!AW79,Raw!AX79,Raw!AZ79,Raw!BA79,Raw!BB79,Raw!BD79,Raw!BE79,Raw!BF79,Raw!BH79,Raw!BI79,Raw!BJ79))/AT79^2,"No Contingency Table"), "Not Included")</f>
        <v>0.81740958610291148</v>
      </c>
      <c r="BC79" s="11">
        <f>IF(AY79, IF(COUNTIF(Raw!AV79:BK79, "&gt;=0") = 16,(BA79-BB79) / (1 - BB79),"No Contingency Table"), "Not Included")</f>
        <v>0.19237031867876248</v>
      </c>
      <c r="BD79" s="11" t="str">
        <f>IF(AY79,IF(NOT(ISBLANK(Raw!BT100)),Raw!BT100,"Not Reported"),"Not Included")</f>
        <v>Not Reported</v>
      </c>
      <c r="BE79" s="11">
        <f t="shared" si="17"/>
        <v>0.19237031867876248</v>
      </c>
      <c r="BF79" s="11" t="str">
        <f t="shared" si="18"/>
        <v>NA</v>
      </c>
      <c r="BG79" s="11">
        <f>Raw!K79</f>
        <v>2004</v>
      </c>
      <c r="BH79" s="11" t="str">
        <f>IF(Raw!L79 = "USA","USA","Non-USA")</f>
        <v>USA</v>
      </c>
      <c r="BI79" s="11" t="str">
        <f>Raw!M79</f>
        <v>Ainsworth/Ainsworth</v>
      </c>
      <c r="BJ79" s="11">
        <f>Raw!N79</f>
        <v>1</v>
      </c>
      <c r="BK79" s="11">
        <f>Raw!P79</f>
        <v>1</v>
      </c>
      <c r="BL79" s="11">
        <f>Raw!Q79</f>
        <v>0</v>
      </c>
      <c r="BM79" s="11">
        <f>Raw!T79</f>
        <v>1</v>
      </c>
      <c r="BN79" s="11">
        <f>IFERROR(IF(AND(ISBLANK(Raw!U79), ISBLANK(Raw!V79), ISBLANK(Raw!W79), ISBLANK(Raw!X79)), "NA", IF(OR(NOT(ISBLANK(Raw!U79)), NOT(ISBLANK(Raw!W79))), AVERAGE(Raw!U79,Raw!W79), AVERAGE(Raw!V79,Raw!X79) + IF(Raw!Y79 = "2-way", R79, IF(Raw!Y79 = "3-way", AB79, IF(Raw!Y79 = "4-way", AL79, "NA")))*(1 - AVERAGE(Raw!V79,Raw!X79)))), "NA")</f>
        <v>0.89</v>
      </c>
      <c r="BO79" s="11">
        <f>Raw!O79</f>
        <v>0</v>
      </c>
      <c r="BP79" s="11" t="str">
        <f>Raw!F79</f>
        <v>Female</v>
      </c>
      <c r="BQ79" s="11" t="b">
        <f>COUNTIF(Raw!AV79:BK79, "&gt;=0") = 16</f>
        <v>1</v>
      </c>
      <c r="BR79" s="11" t="str">
        <f t="shared" si="19"/>
        <v>Contingency</v>
      </c>
      <c r="BS79" s="11">
        <f t="shared" si="20"/>
        <v>217</v>
      </c>
      <c r="BT79" s="11">
        <f>IF(BQ79, IF(COUNTIF(Raw!AV79:BK79, "&gt;=0") = 16, IFERROR((BS79*Raw!AV79 - SUM(Raw!AV79, Raw!AW79, Raw!AX79, Raw!AY79)*SUM(Raw!AV79, Raw!AZ79, Raw!BD79, Raw!BH79)) / SQRT((BS79*SUM(Raw!AV79, Raw!AW79, Raw!AX79, Raw!AY79) - SUM(Raw!AV79, Raw!AW79, Raw!AX79, Raw!AY79)^2) * (BS79*SUM(Raw!AV79, Raw!AZ79, Raw!BD79, Raw!BH79) - SUM(Raw!AV79, Raw!AZ79, Raw!BD79, Raw!BH79)^2)), 0), "No Contingency Table"), "Not Included")</f>
        <v>0.21242117318300735</v>
      </c>
      <c r="BU79" s="11">
        <f>IF(BQ79, IF(COUNTIF(Raw!AV79:BK79, "&gt;=0") = 16, SUM(Raw!BK79,Raw!BJ79,Raw!BI79,Raw!BG79,Raw!BF79,Raw!BE79,Raw!BC79,Raw!BB79,Raw!BA79,Raw!AV79)/SUM(Raw!AV79:BK79), "No Contingency Table"), "Not Included")</f>
        <v>0.82027649769585254</v>
      </c>
      <c r="BV79" s="11">
        <f>IF(BQ79, IF(COUNTIF(Raw!AV79:BK79, "&gt;=0") = 16,SUM(SUM(Raw!AV79,Raw!AW79,Raw!AX79,Raw!AY79)*SUM(Raw!AV79,Raw!AZ79,Raw!BD79,Raw!BH79),SUM(Raw!AZ79:BK79)*SUM(Raw!AW79,Raw!AX79,Raw!AY79,Raw!BA79,Raw!BB79,Raw!BC79,Raw!BE79,Raw!BF79,Raw!BG79,Raw!BI79,Raw!BJ79,Raw!BK79))/BS79^2,"No Contingency Table"), "Not Included")</f>
        <v>0.7718150735840642</v>
      </c>
      <c r="BW79" s="11">
        <f>IF(BQ79, IF(COUNTIF(Raw!AV79:BK79, "&gt;=0") = 16,(BU79-BV79) / (1 - BV79),"No Contingency Table"), "Not Included")</f>
        <v>0.2123778501628665</v>
      </c>
      <c r="BX79" s="11" t="b">
        <f t="shared" ref="BX79:BZ79" si="329">BQ79</f>
        <v>1</v>
      </c>
      <c r="BY79" s="11" t="str">
        <f t="shared" si="329"/>
        <v>Contingency</v>
      </c>
      <c r="BZ79" s="11">
        <f t="shared" si="329"/>
        <v>217</v>
      </c>
      <c r="CA79" s="11">
        <f>IF(BX79, IF(COUNTIF(Raw!AV79:BK79, "&gt;=0") = 16, IFERROR((BZ79*Raw!BF79 - SUM(Raw!BD79, Raw!BE79, Raw!BF79, Raw!BG79)*SUM(Raw!BF79, Raw!AX79, Raw!BB79, Raw!BJ79)) / SQRT((BZ79*SUM(Raw!BD79, Raw!BE79, Raw!BF79, Raw!BG79) - SUM(Raw!BD79, Raw!BE79, Raw!BF79, Raw!BG79)^2) * (BZ79*SUM(Raw!BF79, Raw!AX79, Raw!BB79, Raw!BJ79) - SUM(Raw!BF79, Raw!AX79, Raw!BB79, Raw!BJ79)^2)), 0), "No Contingency Table"), "Not Included")</f>
        <v>0.28060334472627085</v>
      </c>
      <c r="CB79" s="11">
        <f>IF(BX79, IF(COUNTIF(Raw!AV79:BK79, "&gt;=0") = 16, SUM(Raw!AV79,Raw!AW79,Raw!AY79,Raw!AZ79,Raw!BA79,Raw!BC79,Raw!BF79,Raw!BH79,Raw!BI79,Raw!BK79) / SUM(Raw!AV79:BK79), "No Contingency Table"), "Not Included")</f>
        <v>0.85253456221198154</v>
      </c>
      <c r="CC79" s="11">
        <f>IF(BX79, IF(COUNTIF(Raw!AV79:BK79, "&gt;=0") = 16,SUM(SUM(Raw!BD79,Raw!BE79,Raw!BF79,Raw!BG79)*SUM(Raw!BF79,Raw!AX79,Raw!BB79,Raw!BJ79),SUM(Raw!AV79:BC79,Raw!BH79:BK79)*SUM(Raw!AV79,Raw!AW79,Raw!AY79,Raw!AZ79,Raw!BA79,Raw!BC79,Raw!BD79,Raw!BE79,Raw!BG79,Raw!BH79,Raw!BI79,Raw!BK79))/BZ79^2,"No Contingency Table"), "Not Included")</f>
        <v>0.79574847628957934</v>
      </c>
      <c r="CD79" s="11">
        <f>IF(BX79, IF(COUNTIF(Raw!AV79:BK79, "&gt;=0") = 16,(CB79 - CC79) / (1 - CC79+0.000001),"No Contingency Table"), "Not Included")</f>
        <v>0.27801901729699441</v>
      </c>
      <c r="CE79" s="11" t="b">
        <f t="shared" ref="CE79:CG79" si="330">BQ79</f>
        <v>1</v>
      </c>
      <c r="CF79" s="11" t="str">
        <f t="shared" si="330"/>
        <v>Contingency</v>
      </c>
      <c r="CG79" s="11">
        <f t="shared" si="330"/>
        <v>217</v>
      </c>
      <c r="CH79" s="11">
        <f>IF(CE79, IF(COUNTIF(Raw!AV79:BK79, "&gt;=0") = 16, IFERROR((CG79*Raw!BA79 - SUM(Raw!BA79, Raw!AZ79, Raw!BB79, Raw!BC79)*SUM(Raw!BA79, Raw!AW79, Raw!BE79, Raw!BI79)) / SQRT((CG79*SUM(Raw!BA79, Raw!AZ79, Raw!BB79, Raw!BC79) - SUM(Raw!BA79, Raw!AZ79, Raw!BB79, Raw!BC79)^2) * (CG79*SUM(Raw!BA79, Raw!AW79, Raw!BE79, Raw!BI79) - SUM(Raw!BA79, Raw!AW79, Raw!BE79, Raw!BI79)^2)), 0), "No Contingency Table"), "Not Included")</f>
        <v>0.25863644879044961</v>
      </c>
      <c r="CI79" s="11">
        <f>IF(CE79, IF(COUNTIF(Raw!AV79:BK79, "&gt;=0") = 16, SUM(Raw!AV79,Raw!AX79,Raw!AY79,Raw!BA79,Raw!BD79,Raw!BF79,Raw!BG79,Raw!BH79,Raw!BJ79,Raw!BK79) / SUM(Raw!AV79:BK79), "No Contingency Table"), "Not Included")</f>
        <v>0.66359447004608296</v>
      </c>
      <c r="CJ79" s="61">
        <f>IF(BX79, IF(COUNTIF(Raw!AV79:BK79, "&gt;=0") = 16,SUM(SUM(Raw!AZ79,Raw!BA79,Raw!BB79,Raw!BC79)*SUM(Raw!BA79,Raw!AW79,Raw!BE79,Raw!BI79),SUM(Raw!AV79:AY79,Raw!BD79:BK79)*SUM(Raw!AV79,Raw!AX79,Raw!AY79,Raw!AZ79,Raw!BB79,Raw!BC79,Raw!BD79,Raw!BF79,Raw!BG79,Raw!BH79,Raw!BJ79,Raw!BK79))/CG79^2,"No Contingency Table"), "Not Included")</f>
        <v>0.54624222217503027</v>
      </c>
      <c r="CK79" s="11">
        <f>IF(BX79, IF(COUNTIF(Raw!AV79:BK79, "&gt;=0") = 16,(CI79 - CJ79) / (1 - CJ79),"No Contingency Table"), "Not Included")</f>
        <v>0.25862311040389385</v>
      </c>
      <c r="CL79" s="11">
        <f>IF(BQ79, IFERROR(Raw!AV79/SUM(Raw!AV79:AY79), 0), "Not Included")</f>
        <v>0.31034482758620691</v>
      </c>
      <c r="CM79" s="11">
        <f>IF(BQ79, IFERROR(Raw!BA79/SUM(Raw!AZ79:BC79), 0), "Not Included")</f>
        <v>0.74468085106382975</v>
      </c>
      <c r="CN79" s="11">
        <f>IF(BQ79, IFERROR(Raw!BF79/SUM(Raw!BD79:BG79), 0), "Not Included")</f>
        <v>0.32142857142857145</v>
      </c>
      <c r="CO79" s="11">
        <f>IF(BQ79, IFERROR(Raw!BK79/SUM(Raw!BH79:BK79), 0), "Not Included")</f>
        <v>0.31578947368421051</v>
      </c>
      <c r="CP79" s="11">
        <f>IF(BQ79, IFERROR(SUM(Raw!AV79,Raw!AX79,Raw!AY79,Raw!BD79,Raw!BF79,Raw!BG79,Raw!BH79,Raw!BJ79,Raw!BK79)/SUM(Raw!AV79,Raw!AW79,Raw!AX79,Raw!AY79,Raw!BD79,Raw!BE79,Raw!BF79,Raw!BG79,Raw!BH79,Raw!BI79,Raw!BJ79,Raw!BK79), 0), "Not Included")</f>
        <v>0.51315789473684215</v>
      </c>
      <c r="CQ79" s="11">
        <f>IF(BQ79, IFERROR(SUM(Raw!AV79:AX79,Raw!AZ79:BB79,Raw!BD79:BF79)/SUM(Raw!AV79:BF79), 0), "Not Included")</f>
        <v>0.92268041237113407</v>
      </c>
      <c r="CR79" s="11">
        <f>IF(BQ79, IFERROR(SUM(Raw!AV79:AY79), 0), "Not Included")</f>
        <v>29</v>
      </c>
      <c r="CS79" s="11">
        <f>IF(BQ79, IFERROR(SUM(Raw!AZ79:BC79), 0), "Not Included")</f>
        <v>141</v>
      </c>
      <c r="CT79" s="11">
        <f>IF(BQ79, IFERROR(SUM(Raw!BD79:BG79), 0), "Not Included")</f>
        <v>28</v>
      </c>
      <c r="CU79" s="11">
        <f>IF(BQ79, IFERROR(SUM(Raw!BH79:BK79), 0), "Not Included")</f>
        <v>19</v>
      </c>
      <c r="CV79" s="11">
        <f>IF(BQ79, IFERROR(SUM(Raw!AV79,Raw!AW79,Raw!AX79,Raw!AY79,Raw!BD79,Raw!BE79,Raw!BF79,Raw!BG79,Raw!BH79,Raw!BI79,Raw!BJ79,Raw!BK79), 0), "Not Included")</f>
        <v>76</v>
      </c>
      <c r="CW79" s="11">
        <f>IF(BQ79, IFERROR(SUM(Raw!AV79:BF79), 0), "Not Included")</f>
        <v>194</v>
      </c>
      <c r="CX79" s="11">
        <f>IF(BQ79, IFERROR((CR79*SUM(Raw!AV79,Raw!AZ79,Raw!BD79,Raw!BH79))/BS79/CR79, 0), "Not Included")</f>
        <v>0.12903225806451613</v>
      </c>
      <c r="CY79" s="11">
        <f>IF(BX79, IFERROR((CS79*SUM(Raw!BA79,Raw!AW79,Raw!BE79,Raw!BI79))/CG79/CS79, 0), "Not Included")</f>
        <v>0.65437788018433185</v>
      </c>
      <c r="CZ79" s="11">
        <f>IF(BX79, IFERROR((CT79*SUM(Raw!BF79,Raw!AX79,Raw!BB79,Raw!BJ79))/BZ79/CT79, 0), "Not Included")</f>
        <v>0.10138248847926268</v>
      </c>
      <c r="DA79" s="11">
        <f>IF(AY79, IFERROR((CU79*SUM(Raw!AY79,Raw!BC79,Raw!BG79,Raw!BK79))/AT79/CU79, 0), "Not Included")</f>
        <v>0.1152073732718894</v>
      </c>
      <c r="DB79" s="11">
        <f>IF(BX79, IFERROR((CV79*SUM(Raw!AV79,Raw!AX79,Raw!AY79,Raw!AZ79,Raw!BB79,Raw!BC79,Raw!BD79,Raw!BF79,Raw!BG79,Raw!BH79,Raw!BJ79,Raw!BK79))/CG79/CV79,0), "Not Included")</f>
        <v>0.34562211981566821</v>
      </c>
      <c r="DC79" s="11">
        <f>IF(AY79, IFERROR((CW79*SUM(Raw!AV79,Raw!AW79,Raw!AX79,Raw!AZ79,Raw!BA79,Raw!BB79,Raw!BD79,Raw!BE79,Raw!BF79,Raw!BH79,Raw!BI79,Raw!BJ79))/AT79/CW79,0), "Not Included")</f>
        <v>0.88479262672811065</v>
      </c>
    </row>
    <row r="80" spans="1:107" ht="12.75" customHeight="1">
      <c r="A80" s="11">
        <f>Raw!D80</f>
        <v>56</v>
      </c>
      <c r="B80" s="11" t="str">
        <f>Raw!A80</f>
        <v>Edwards et al. (2004)</v>
      </c>
      <c r="C80" s="11">
        <f>Raw!G80</f>
        <v>2</v>
      </c>
      <c r="D80" s="11" t="str">
        <f>Raw!E80</f>
        <v>Father-child</v>
      </c>
      <c r="E80" s="11" t="str">
        <f>CONCATENATE(IF(Raw!I80&lt;='Interval Definitions'!$B$2, 'Interval Definitions'!$A$2, IF(Raw!I80&lt;='Interval Definitions'!$B$3, 'Interval Definitions'!$A$3, IF(Raw!I80&lt;='Interval Definitions'!$B$4, 'Interval Definitions'!$A$4, IF(Raw!I80&lt;='Interval Definitions'!$B$5, 'Interval Definitions'!$A$5, "None")))), " - ", IF(Raw!J80&lt;='Interval Definitions'!$B$2, 'Interval Definitions'!$A$2, IF(Raw!J80&lt;='Interval Definitions'!$B$3, 'Interval Definitions'!$A$3, IF(Raw!J80&lt;='Interval Definitions'!$B$4, 'Interval Definitions'!$A$4, IF(Raw!J80&lt;='Interval Definitions'!$B$5, 'Interval Definitions'!$A$5, "None")))))</f>
        <v>Infancy - Infancy</v>
      </c>
      <c r="F80" s="11" t="b">
        <f>OR(NOT(ISBLANK(Raw!AF80)),NOT(ISBLANK(Raw!AG80)),NOT(ISBLANK(Raw!AH80)),NOT(ISBLANK(Raw!AI80)),COUNTIF(Raw!AA80:AD80, "&gt;=0") = 4)</f>
        <v>1</v>
      </c>
      <c r="G80" s="11" t="str">
        <f>IF(F80, IF(COUNTIF(Raw!AA80:AD80,"&gt;=0") = 4, "Contingency", IF(NOT(ISBLANK(Raw!AF80)), "Paper r", IF(NOT(ISBLANK(Raw!AG80)), "Pinquart", IF(NOT(ISBLANK(Raw!AH80)), "Fraley", "Paper chiSq")))), "Not Included")</f>
        <v>Contingency</v>
      </c>
      <c r="H80" s="15">
        <f>IF(F80,Raw!AE80,"Not Included")</f>
        <v>208</v>
      </c>
      <c r="I80" s="15">
        <f>IF(COUNTIF(Raw!AA80:AD80,"&gt;=0") = 4, SUM(Raw!AA80:AD80), "No Contingency Table")</f>
        <v>208</v>
      </c>
      <c r="J80" s="15">
        <f t="shared" si="0"/>
        <v>208</v>
      </c>
      <c r="K80" s="38">
        <f>IF(F80, IF(COUNTIF(Raw!AA80:AD80,"&gt;=0") = 4, IFERROR((I80*Raw!AA80 - SUM(Raw!AA80,Raw!AB80)*SUM(Raw!AA80,Raw!AD80)) / SQRT((I80*SUM(Raw!AA80,Raw!AB80) - SUM(Raw!AA80,Raw!AB80)^2) * (I80*SUM(Raw!AA80,Raw!AD80) - SUM(Raw!AA80,Raw!AD80)^2)), 0), "No Contingency Table"), "Not Included")</f>
        <v>0.19937273211628315</v>
      </c>
      <c r="L80" s="41">
        <f>IF(F80,IF(NOT(ISBLANK(Raw!AF80)), Raw!AF80, IF(NOT(ISBLANK(Raw!AG80)), Raw!AG80, IF(NOT(ISBLANK(Raw!AH80)), Raw!AH80, IF(NOT(ISBLANK(Raw!AI80)), SQRT(Raw!AI80/H80)*Raw!AJ80, "Not Reported")))),"Not Included")</f>
        <v>0.2</v>
      </c>
      <c r="M80" s="43">
        <f t="shared" si="1"/>
        <v>0.19937273211628315</v>
      </c>
      <c r="N80" s="11">
        <f t="shared" si="2"/>
        <v>1</v>
      </c>
      <c r="O80" s="48" t="b">
        <f>OR(NOT(ISBLANK(Raw!AK80)), COUNTIF(Raw!AA80:AD80, "&gt;=0") = 4)</f>
        <v>1</v>
      </c>
      <c r="P80" s="24" t="str">
        <f>IF(O80,IF(COUNTIF(Raw!AA80:AD80,"&gt;=0") = 4,"Contingency", "Paper k"), "Not Included")</f>
        <v>Contingency</v>
      </c>
      <c r="Q80" s="48">
        <f>IF(O80, IF(COUNTIF(Raw!AA80:AD80,"&gt;=0") = 4,SUM(Raw!AA80,Raw!AC80)/H80,"No Contingency Table"), "Not Included")</f>
        <v>0.62019230769230771</v>
      </c>
      <c r="R80" s="38">
        <f>IF(O80, IF(COUNTIF(Raw!AA80:AD80, "&gt;=0") = 4,SUM(SUM(Raw!AA80,Raw!AB80)*SUM(Raw!AA80,Raw!AD80),SUM(Raw!AC80,Raw!AD80)*SUM(Raw!AC80,Raw!AB80))/H80^2,"No Contingency Table"), "Not Included")</f>
        <v>0.52634985207100593</v>
      </c>
      <c r="S80" s="38">
        <f>IF(O80, IF(COUNTIF(Raw!AA80:AD80,"&gt;=0") = 4, IFERROR((Q80 - R80) / (1 - R80), "Could not calculate"), "No Contingency Table"), "Not Included")</f>
        <v>0.19812609798945932</v>
      </c>
      <c r="T80" s="52" t="str">
        <f>IF(O80,IF(NOT(ISBLANK(Raw!AK80)), Raw!AK80, "Not Reported"), "Not Included")</f>
        <v>Not Reported</v>
      </c>
      <c r="U80" s="38">
        <f t="shared" si="3"/>
        <v>0.19812609798945932</v>
      </c>
      <c r="V80" s="11" t="str">
        <f t="shared" si="4"/>
        <v>NA</v>
      </c>
      <c r="W80" s="11" t="b">
        <f>OR(NOT(ISBLANK(Raw!AU80)),COUNTIF(Raw!AL80:AT80,"&gt;=0") = 9)</f>
        <v>0</v>
      </c>
      <c r="X80" s="11" t="str">
        <f>IF(W80, IF(COUNTIF(Raw!AL80:AT80,"&gt;=0") = 9, "Contingency", "Paper k"), "Not Included")</f>
        <v>Not Included</v>
      </c>
      <c r="Y80" s="11" t="str">
        <f>IF(W80,IF(COUNTIF(Raw!AL80:AT80,"&gt;=0") = 9,SUM(Raw!AL80:AT80),"No Contingency Table"),"Not Included")</f>
        <v>Not Included</v>
      </c>
      <c r="Z80" s="11" t="str">
        <f t="shared" si="5"/>
        <v>Not Included</v>
      </c>
      <c r="AA80" s="11" t="str">
        <f>IF(W80,IF(COUNTIF(Raw!AL80:AT80,"&gt;=0") = 9,SUM(Raw!AL80,Raw!AP80,Raw!AT80)/Y80,"No Contingency Table"), "Not Included")</f>
        <v>Not Included</v>
      </c>
      <c r="AB80" s="11" t="str">
        <f>IF(W80,IF(COUNTIF(Raw!AL80:AT80,"&gt;=0") = 9,SUM(SUM(Raw!AL80,Raw!AM80,Raw!AN80)*SUM(Raw!AL80,Raw!AO80,Raw!AR80),SUM(Raw!AO80,Raw!AP80,Raw!AQ80)*SUM(Raw!AM80,Raw!AP80,Raw!AS80),SUM(Raw!AR80,Raw!AS80,Raw!AT80)*SUM(Raw!AN80,Raw!AQ80,Raw!AT80))/Y80^2,"No Contingency Table"), "Not Included")</f>
        <v>Not Included</v>
      </c>
      <c r="AC80" s="11" t="str">
        <f>IF(W80,IF(COUNTIF(Raw!AL80:AT80,"&gt;=0") = 9,(AA80 - AB80) / (1 - AB80),"No Contingency Table"), "Not Included")</f>
        <v>Not Included</v>
      </c>
      <c r="AD80" s="11" t="str">
        <f>IF(W80, IF(NOT(ISBLANK(Raw!AU80)),Raw!AU80,"Not Reported"), "Not Included")</f>
        <v>Not Included</v>
      </c>
      <c r="AE80" s="11" t="str">
        <f t="shared" si="6"/>
        <v>Not Included</v>
      </c>
      <c r="AF80" s="11" t="str">
        <f t="shared" si="7"/>
        <v>Not Included</v>
      </c>
      <c r="AG80" s="11" t="b">
        <f>COUNTIF(Raw!AV80:BK80, "&gt;=0") = 16</f>
        <v>1</v>
      </c>
      <c r="AH80" s="11" t="str">
        <f>IF(AG80, IF(COUNTIF(Raw!AV80:BK80,"&gt;=0") = 16, "Contingency", "Paper k"), "Not Included")</f>
        <v>Contingency</v>
      </c>
      <c r="AI80" s="11">
        <f>IF(AG80,IF(COUNTIF(Raw!AV80:BK80,"&gt;=0") = 16,SUM(Raw!AV80:BK80),"No Contingency Table"),"Not Included")</f>
        <v>208</v>
      </c>
      <c r="AJ80" s="11">
        <f t="shared" si="8"/>
        <v>208</v>
      </c>
      <c r="AK80" s="11">
        <f>IF(AG80,IF(COUNTIF(Raw!AV80:BK80,"&gt;=0") = 16,SUM(Raw!AV80,Raw!BA80,Raw!BF80,Raw!BK80)/AI80,"No Contingency Table"), "Not Included")</f>
        <v>0.53365384615384615</v>
      </c>
      <c r="AL80" s="11">
        <f>IF(AG80,IF(COUNTIF(Raw!AV80:BK80,"&gt;=0") = 16,SUM(SUM(Raw!AV80,Raw!AW80,Raw!AX80,Raw!AY80)*SUM(Raw!AV80,Raw!AZ80,Raw!BD80,Raw!BH80),SUM(Raw!AZ80,Raw!BA80,Raw!BB80,Raw!BC80)*SUM(Raw!AW80,Raw!BA80,Raw!BE80,Raw!BI80),SUM(Raw!BD80,Raw!BE80,Raw!BF80,Raw!BG80)*SUM(Raw!AX80,Raw!BB80,Raw!BF80,Raw!BJ80),SUM(Raw!BH80,Raw!BI80,Raw!BJ80,Raw!BK80)*SUM(Raw!AY80,Raw!BC80,Raw!BG80,Raw!BK80))/AI80^2,"No Contingency Table"), "Not Included")</f>
        <v>0.42987241124260356</v>
      </c>
      <c r="AM80" s="11">
        <f>IF(AG80,IF(COUNTIF(Raw!AV80:BK80,"&gt;=0") = 16,(AK80 - AL80) / (1 - AL80),"No Contingency Table"), "Not Included")</f>
        <v>0.18203194680937321</v>
      </c>
      <c r="AN80" s="32">
        <f>IF(NOT(ISBLANK(Raw!BL80)),Raw!BL80,"Not Reported")</f>
        <v>0.18</v>
      </c>
      <c r="AO80" s="11">
        <f t="shared" si="9"/>
        <v>0.18203194680937321</v>
      </c>
      <c r="AP80" s="11">
        <f t="shared" si="10"/>
        <v>1</v>
      </c>
      <c r="AQ80" s="11" t="b">
        <f t="shared" ref="AQ80:AR80" si="331">BQ80</f>
        <v>1</v>
      </c>
      <c r="AR80" s="11" t="str">
        <f t="shared" si="331"/>
        <v>Contingency</v>
      </c>
      <c r="AS80" s="11">
        <f t="shared" si="12"/>
        <v>208</v>
      </c>
      <c r="AT80" s="11">
        <f t="shared" si="13"/>
        <v>208</v>
      </c>
      <c r="AU80" s="11">
        <f>IF(AQ80, IF(COUNTIF(Raw!AV80:BK80, "&gt;=0") = 16, IFERROR((AT80*Raw!BK80 - SUM(Raw!BH80, Raw!BI80, Raw!BJ80, Raw!BK80)*SUM(Raw!AY80, Raw!BC80, Raw!BG80, Raw!BK80)) / SQRT((AT80*SUM(Raw!BH80, Raw!BI80, Raw!BJ80, Raw!BK80) - SUM(Raw!BH80, Raw!BI80, Raw!BJ80, Raw!BK80)^2) * (AT80*SUM(Raw!AY80, Raw!BC80, Raw!BG80, Raw!BK80) - SUM(Raw!AY80, Raw!BC80, Raw!BG80, Raw!BK80)^2)), 0), "No Contingency Table"), "Not Included")</f>
        <v>0.19828262934121135</v>
      </c>
      <c r="AV80" s="11" t="str">
        <f>IF(AQ80,IF(NOT(ISBLANK(Raw!BQ80)), Raw!BQ80, IF(NOT(ISBLANK(Raw!BR80)), Raw!BR80, "Not Reported")), "Not Included")</f>
        <v>Not Reported</v>
      </c>
      <c r="AW80" s="57">
        <f t="shared" si="14"/>
        <v>0.19828262934121135</v>
      </c>
      <c r="AX80" s="11" t="str">
        <f t="shared" si="15"/>
        <v>NA</v>
      </c>
      <c r="AY80" s="11" t="b">
        <f t="shared" ref="AY80:AZ80" si="332">AQ80</f>
        <v>1</v>
      </c>
      <c r="AZ80" s="11" t="str">
        <f t="shared" si="332"/>
        <v>Contingency</v>
      </c>
      <c r="BA80" s="11">
        <f>IF(AY80, IF(COUNTIF(Raw!AV80:BK80, "&gt;=0") = 16, SUM(Raw!AV80,Raw!AW80,Raw!AX80,Raw!AZ80,Raw!BA80,Raw!BB80,Raw!BD80,Raw!BE80,Raw!BF80,Raw!BK80)/SUM(Raw!AV80:BK80), "No Contingency Table"), "Not Included")</f>
        <v>0.83173076923076927</v>
      </c>
      <c r="BB80" s="11">
        <f>IF(AY80, IF(COUNTIF(Raw!AV80:BK80, "&gt;=0") = 16,SUM(SUM(Raw!BH80,Raw!BI80,Raw!BJ80,Raw!BK80)*SUM(Raw!AY80,Raw!BC80,Raw!BG80,Raw!BK80),SUM(Raw!AV80:BG80)*SUM(Raw!AV80,Raw!AW80,Raw!AX80,Raw!AZ80,Raw!BA80,Raw!BB80,Raw!BD80,Raw!BE80,Raw!BF80,Raw!BH80,Raw!BI80,Raw!BJ80))/AT80^2,"No Contingency Table"), "Not Included")</f>
        <v>0.7912352071005917</v>
      </c>
      <c r="BC80" s="11">
        <f>IF(AY80, IF(COUNTIF(Raw!AV80:BK80, "&gt;=0") = 16,(BA80-BB80) / (1 - BB80),"No Contingency Table"), "Not Included")</f>
        <v>0.19397697077059373</v>
      </c>
      <c r="BD80" s="11" t="str">
        <f>IF(AY80,IF(NOT(ISBLANK(Raw!BT101)),Raw!BT101,"Not Reported"),"Not Included")</f>
        <v>Not Reported</v>
      </c>
      <c r="BE80" s="11">
        <f t="shared" si="17"/>
        <v>0.19397697077059373</v>
      </c>
      <c r="BF80" s="11" t="str">
        <f t="shared" si="18"/>
        <v>NA</v>
      </c>
      <c r="BG80" s="11">
        <f>Raw!K80</f>
        <v>2004</v>
      </c>
      <c r="BH80" s="11" t="str">
        <f>IF(Raw!L80 = "USA","USA","Non-USA")</f>
        <v>USA</v>
      </c>
      <c r="BI80" s="11" t="str">
        <f>Raw!M80</f>
        <v>Ainsworth/Ainsworth</v>
      </c>
      <c r="BJ80" s="11">
        <f>Raw!N80</f>
        <v>1</v>
      </c>
      <c r="BK80" s="11">
        <f>Raw!P80</f>
        <v>1</v>
      </c>
      <c r="BL80" s="11">
        <f>Raw!Q80</f>
        <v>0</v>
      </c>
      <c r="BM80" s="11">
        <f>Raw!T80</f>
        <v>1</v>
      </c>
      <c r="BN80" s="11">
        <f>IFERROR(IF(AND(ISBLANK(Raw!U80), ISBLANK(Raw!V80), ISBLANK(Raw!W80), ISBLANK(Raw!X80)), "NA", IF(OR(NOT(ISBLANK(Raw!U80)), NOT(ISBLANK(Raw!W80))), AVERAGE(Raw!U80,Raw!W80), AVERAGE(Raw!V80,Raw!X80) + IF(Raw!Y80 = "2-way", R80, IF(Raw!Y80 = "3-way", AB80, IF(Raw!Y80 = "4-way", AL80, "NA")))*(1 - AVERAGE(Raw!V80,Raw!X80)))), "NA")</f>
        <v>0.89</v>
      </c>
      <c r="BO80" s="11">
        <f>Raw!O80</f>
        <v>0</v>
      </c>
      <c r="BP80" s="11" t="str">
        <f>Raw!F80</f>
        <v>Male</v>
      </c>
      <c r="BQ80" s="11" t="b">
        <f>COUNTIF(Raw!AV80:BK80, "&gt;=0") = 16</f>
        <v>1</v>
      </c>
      <c r="BR80" s="11" t="str">
        <f t="shared" si="19"/>
        <v>Contingency</v>
      </c>
      <c r="BS80" s="11">
        <f t="shared" si="20"/>
        <v>208</v>
      </c>
      <c r="BT80" s="11">
        <f>IF(BQ80, IF(COUNTIF(Raw!AV80:BK80, "&gt;=0") = 16, IFERROR((BS80*Raw!AV80 - SUM(Raw!AV80, Raw!AW80, Raw!AX80, Raw!AY80)*SUM(Raw!AV80, Raw!AZ80, Raw!BD80, Raw!BH80)) / SQRT((BS80*SUM(Raw!AV80, Raw!AW80, Raw!AX80, Raw!AY80) - SUM(Raw!AV80, Raw!AW80, Raw!AX80, Raw!AY80)^2) * (BS80*SUM(Raw!AV80, Raw!AZ80, Raw!BD80, Raw!BH80) - SUM(Raw!AV80, Raw!AZ80, Raw!BD80, Raw!BH80)^2)), 0), "No Contingency Table"), "Not Included")</f>
        <v>0.10507246376811594</v>
      </c>
      <c r="BU80" s="11">
        <f>IF(BQ80, IF(COUNTIF(Raw!AV80:BK80, "&gt;=0") = 16, SUM(Raw!BK80,Raw!BJ80,Raw!BI80,Raw!BG80,Raw!BF80,Raw!BE80,Raw!BC80,Raw!BB80,Raw!BA80,Raw!AV80)/SUM(Raw!AV80:BK80), "No Contingency Table"), "Not Included")</f>
        <v>0.81730769230769229</v>
      </c>
      <c r="BV80" s="11">
        <f>IF(BQ80, IF(COUNTIF(Raw!AV80:BK80, "&gt;=0") = 16,SUM(SUM(Raw!AV80,Raw!AW80,Raw!AX80,Raw!AY80)*SUM(Raw!AV80,Raw!AZ80,Raw!BD80,Raw!BH80),SUM(Raw!AZ80:BK80)*SUM(Raw!AW80,Raw!AX80,Raw!AY80,Raw!BA80,Raw!BB80,Raw!BC80,Raw!BE80,Raw!BF80,Raw!BG80,Raw!BI80,Raw!BJ80,Raw!BK80))/BS80^2,"No Contingency Table"), "Not Included")</f>
        <v>0.79585798816568043</v>
      </c>
      <c r="BW80" s="11">
        <f>IF(BQ80, IF(COUNTIF(Raw!AV80:BK80, "&gt;=0") = 16,(BU80-BV80) / (1 - BV80),"No Contingency Table"), "Not Included")</f>
        <v>0.10507246376811605</v>
      </c>
      <c r="BX80" s="11" t="b">
        <f t="shared" ref="BX80:BZ80" si="333">BQ80</f>
        <v>1</v>
      </c>
      <c r="BY80" s="11" t="str">
        <f t="shared" si="333"/>
        <v>Contingency</v>
      </c>
      <c r="BZ80" s="11">
        <f t="shared" si="333"/>
        <v>208</v>
      </c>
      <c r="CA80" s="11">
        <f>IF(BX80, IF(COUNTIF(Raw!AV80:BK80, "&gt;=0") = 16, IFERROR((BZ80*Raw!BF80 - SUM(Raw!BD80, Raw!BE80, Raw!BF80, Raw!BG80)*SUM(Raw!BF80, Raw!AX80, Raw!BB80, Raw!BJ80)) / SQRT((BZ80*SUM(Raw!BD80, Raw!BE80, Raw!BF80, Raw!BG80) - SUM(Raw!BD80, Raw!BE80, Raw!BF80, Raw!BG80)^2) * (BZ80*SUM(Raw!BF80, Raw!AX80, Raw!BB80, Raw!BJ80) - SUM(Raw!BF80, Raw!AX80, Raw!BB80, Raw!BJ80)^2)), 0), "No Contingency Table"), "Not Included")</f>
        <v>0.20422836997460841</v>
      </c>
      <c r="CB80" s="11">
        <f>IF(BX80, IF(COUNTIF(Raw!AV80:BK80, "&gt;=0") = 16, SUM(Raw!AV80,Raw!AW80,Raw!AY80,Raw!AZ80,Raw!BA80,Raw!BC80,Raw!BF80,Raw!BH80,Raw!BI80,Raw!BK80) / SUM(Raw!AV80:BK80), "No Contingency Table"), "Not Included")</f>
        <v>0.79807692307692313</v>
      </c>
      <c r="CC80" s="11">
        <f>IF(BX80, IF(COUNTIF(Raw!AV80:BK80, "&gt;=0") = 16,SUM(SUM(Raw!BD80,Raw!BE80,Raw!BF80,Raw!BG80)*SUM(Raw!BF80,Raw!AX80,Raw!BB80,Raw!BJ80),SUM(Raw!AV80:BC80,Raw!BH80:BK80)*SUM(Raw!AV80,Raw!AW80,Raw!AY80,Raw!AZ80,Raw!BA80,Raw!BC80,Raw!BD80,Raw!BE80,Raw!BG80,Raw!BH80,Raw!BI80,Raw!BK80))/BZ80^2,"No Contingency Table"), "Not Included")</f>
        <v>0.74630177514792895</v>
      </c>
      <c r="CD80" s="11">
        <f>IF(BX80, IF(COUNTIF(Raw!AV80:BK80, "&gt;=0") = 16,(CB80 - CC80) / (1 - CC80+0.000001),"No Contingency Table"), "Not Included")</f>
        <v>0.20408082822950543</v>
      </c>
      <c r="CE80" s="11" t="b">
        <f t="shared" ref="CE80:CG80" si="334">BQ80</f>
        <v>1</v>
      </c>
      <c r="CF80" s="11" t="str">
        <f t="shared" si="334"/>
        <v>Contingency</v>
      </c>
      <c r="CG80" s="11">
        <f t="shared" si="334"/>
        <v>208</v>
      </c>
      <c r="CH80" s="11">
        <f>IF(CE80, IF(COUNTIF(Raw!AV80:BK80, "&gt;=0") = 16, IFERROR((CG80*Raw!BA80 - SUM(Raw!BA80, Raw!AZ80, Raw!BB80, Raw!BC80)*SUM(Raw!BA80, Raw!AW80, Raw!BE80, Raw!BI80)) / SQRT((CG80*SUM(Raw!BA80, Raw!AZ80, Raw!BB80, Raw!BC80) - SUM(Raw!BA80, Raw!AZ80, Raw!BB80, Raw!BC80)^2) * (CG80*SUM(Raw!BA80, Raw!AW80, Raw!BE80, Raw!BI80) - SUM(Raw!BA80, Raw!AW80, Raw!BE80, Raw!BI80)^2)), 0), "No Contingency Table"), "Not Included")</f>
        <v>0.19937273211628315</v>
      </c>
      <c r="CI80" s="11">
        <f>IF(CE80, IF(COUNTIF(Raw!AV80:BK80, "&gt;=0") = 16, SUM(Raw!AV80,Raw!AX80,Raw!AY80,Raw!BA80,Raw!BD80,Raw!BF80,Raw!BG80,Raw!BH80,Raw!BJ80,Raw!BK80) / SUM(Raw!AV80:BK80), "No Contingency Table"), "Not Included")</f>
        <v>0.62019230769230771</v>
      </c>
      <c r="CJ80" s="61">
        <f>IF(BX80, IF(COUNTIF(Raw!AV80:BK80, "&gt;=0") = 16,SUM(SUM(Raw!AZ80,Raw!BA80,Raw!BB80,Raw!BC80)*SUM(Raw!BA80,Raw!AW80,Raw!BE80,Raw!BI80),SUM(Raw!AV80:AY80,Raw!BD80:BK80)*SUM(Raw!AV80,Raw!AX80,Raw!AY80,Raw!AZ80,Raw!BB80,Raw!BC80,Raw!BD80,Raw!BF80,Raw!BG80,Raw!BH80,Raw!BJ80,Raw!BK80))/CG80^2,"No Contingency Table"), "Not Included")</f>
        <v>0.52634985207100593</v>
      </c>
      <c r="CK80" s="11">
        <f>IF(BX80, IF(COUNTIF(Raw!AV80:BK80, "&gt;=0") = 16,(CI80 - CJ80) / (1 - CJ80),"No Contingency Table"), "Not Included")</f>
        <v>0.19812609798945932</v>
      </c>
      <c r="CL80" s="11">
        <f>IF(BQ80, IFERROR(Raw!AV80/SUM(Raw!AV80:AY80), 0), "Not Included")</f>
        <v>0.20833333333333334</v>
      </c>
      <c r="CM80" s="11">
        <f>IF(BQ80, IFERROR(Raw!BA80/SUM(Raw!AZ80:BC80), 0), "Not Included")</f>
        <v>0.72357723577235777</v>
      </c>
      <c r="CN80" s="11">
        <f>IF(BQ80, IFERROR(Raw!BF80/SUM(Raw!BD80:BG80), 0), "Not Included")</f>
        <v>0.3125</v>
      </c>
      <c r="CO80" s="11">
        <f>IF(BQ80, IFERROR(Raw!BK80/SUM(Raw!BH80:BK80), 0), "Not Included")</f>
        <v>0.2413793103448276</v>
      </c>
      <c r="CP80" s="11">
        <f>IF(BQ80, IFERROR(SUM(Raw!AV80,Raw!AX80,Raw!AY80,Raw!BD80,Raw!BF80,Raw!BG80,Raw!BH80,Raw!BJ80,Raw!BK80)/SUM(Raw!AV80,Raw!AW80,Raw!AX80,Raw!AY80,Raw!BD80,Raw!BE80,Raw!BF80,Raw!BG80,Raw!BH80,Raw!BI80,Raw!BJ80,Raw!BK80), 0), "Not Included")</f>
        <v>0.47058823529411764</v>
      </c>
      <c r="CQ80" s="11">
        <f>IF(BQ80, IFERROR(SUM(Raw!AV80:AX80,Raw!AZ80:BB80,Raw!BD80:BF80)/SUM(Raw!AV80:BF80), 0), "Not Included")</f>
        <v>0.94318181818181823</v>
      </c>
      <c r="CR80" s="11">
        <f>IF(BQ80, IFERROR(SUM(Raw!AV80:AY80), 0), "Not Included")</f>
        <v>24</v>
      </c>
      <c r="CS80" s="11">
        <f>IF(BQ80, IFERROR(SUM(Raw!AZ80:BC80), 0), "Not Included")</f>
        <v>123</v>
      </c>
      <c r="CT80" s="11">
        <f>IF(BQ80, IFERROR(SUM(Raw!BD80:BG80), 0), "Not Included")</f>
        <v>32</v>
      </c>
      <c r="CU80" s="11">
        <f>IF(BQ80, IFERROR(SUM(Raw!BH80:BK80), 0), "Not Included")</f>
        <v>29</v>
      </c>
      <c r="CV80" s="11">
        <f>IF(BQ80, IFERROR(SUM(Raw!AV80,Raw!AW80,Raw!AX80,Raw!AY80,Raw!BD80,Raw!BE80,Raw!BF80,Raw!BG80,Raw!BH80,Raw!BI80,Raw!BJ80,Raw!BK80), 0), "Not Included")</f>
        <v>85</v>
      </c>
      <c r="CW80" s="11">
        <f>IF(BQ80, IFERROR(SUM(Raw!AV80:BF80), 0), "Not Included")</f>
        <v>176</v>
      </c>
      <c r="CX80" s="11">
        <f>IF(BQ80, IFERROR((CR80*SUM(Raw!AV80,Raw!AZ80,Raw!BD80,Raw!BH80))/BS80/CR80, 0), "Not Included")</f>
        <v>0.11538461538461538</v>
      </c>
      <c r="CY80" s="11">
        <f>IF(BX80, IFERROR((CS80*SUM(Raw!BA80,Raw!AW80,Raw!BE80,Raw!BI80))/CG80/CS80, 0), "Not Included")</f>
        <v>0.64423076923076916</v>
      </c>
      <c r="CZ80" s="11">
        <f>IF(BX80, IFERROR((CT80*SUM(Raw!BF80,Raw!AX80,Raw!BB80,Raw!BJ80))/BZ80/CT80, 0), "Not Included")</f>
        <v>0.14423076923076922</v>
      </c>
      <c r="DA80" s="11">
        <f>IF(AY80, IFERROR((CU80*SUM(Raw!AY80,Raw!BC80,Raw!BG80,Raw!BK80))/AT80/CU80, 0), "Not Included")</f>
        <v>9.6153846153846145E-2</v>
      </c>
      <c r="DB80" s="11">
        <f>IF(BX80, IFERROR((CV80*SUM(Raw!AV80,Raw!AX80,Raw!AY80,Raw!AZ80,Raw!BB80,Raw!BC80,Raw!BD80,Raw!BF80,Raw!BG80,Raw!BH80,Raw!BJ80,Raw!BK80))/CG80/CV80,0), "Not Included")</f>
        <v>0.35576923076923078</v>
      </c>
      <c r="DC80" s="11">
        <f>IF(AY80, IFERROR((CW80*SUM(Raw!AV80,Raw!AW80,Raw!AX80,Raw!AZ80,Raw!BA80,Raw!BB80,Raw!BD80,Raw!BE80,Raw!BF80,Raw!BH80,Raw!BI80,Raw!BJ80))/AT80/CW80,0), "Not Included")</f>
        <v>0.90384615384615374</v>
      </c>
    </row>
    <row r="81" spans="1:107" ht="12.75" customHeight="1">
      <c r="A81" s="11">
        <f>Raw!D81</f>
        <v>57</v>
      </c>
      <c r="B81" s="11" t="str">
        <f>Raw!A81</f>
        <v>Ahnert et al. (2004)</v>
      </c>
      <c r="C81" s="11">
        <f>Raw!G81</f>
        <v>1</v>
      </c>
      <c r="D81" s="11" t="str">
        <f>Raw!E81</f>
        <v>Mother-child</v>
      </c>
      <c r="E81" s="11" t="str">
        <f>CONCATENATE(IF(Raw!I81&lt;='Interval Definitions'!$B$2, 'Interval Definitions'!$A$2, IF(Raw!I81&lt;='Interval Definitions'!$B$3, 'Interval Definitions'!$A$3, IF(Raw!I81&lt;='Interval Definitions'!$B$4, 'Interval Definitions'!$A$4, IF(Raw!I81&lt;='Interval Definitions'!$B$5, 'Interval Definitions'!$A$5, "None")))), " - ", IF(Raw!J81&lt;='Interval Definitions'!$B$2, 'Interval Definitions'!$A$2, IF(Raw!J81&lt;='Interval Definitions'!$B$3, 'Interval Definitions'!$A$3, IF(Raw!J81&lt;='Interval Definitions'!$B$4, 'Interval Definitions'!$A$4, IF(Raw!J81&lt;='Interval Definitions'!$B$5, 'Interval Definitions'!$A$5, "None")))))</f>
        <v>Infancy - Infancy</v>
      </c>
      <c r="F81" s="11" t="b">
        <f>OR(NOT(ISBLANK(Raw!AF81)),NOT(ISBLANK(Raw!AG81)),NOT(ISBLANK(Raw!AH81)),NOT(ISBLANK(Raw!AI81)),COUNTIF(Raw!AA81:AD81, "&gt;=0") = 4)</f>
        <v>1</v>
      </c>
      <c r="G81" s="11" t="str">
        <f>IF(F81, IF(COUNTIF(Raw!AA81:AD81,"&gt;=0") = 4, "Contingency", IF(NOT(ISBLANK(Raw!AF81)), "Paper r", IF(NOT(ISBLANK(Raw!AG81)), "Pinquart", IF(NOT(ISBLANK(Raw!AH81)), "Fraley", "Paper chiSq")))), "Not Included")</f>
        <v>Contingency</v>
      </c>
      <c r="H81" s="15">
        <f>IF(F81,Raw!AE81,"Not Included")</f>
        <v>56</v>
      </c>
      <c r="I81" s="15">
        <f>IF(COUNTIF(Raw!AA81:AD81,"&gt;=0") = 4, SUM(Raw!AA81:AD81), "No Contingency Table")</f>
        <v>56</v>
      </c>
      <c r="J81" s="15">
        <f t="shared" si="0"/>
        <v>56</v>
      </c>
      <c r="K81" s="38">
        <f>IF(F81, IF(COUNTIF(Raw!AA81:AD81,"&gt;=0") = 4, IFERROR((I81*Raw!AA81 - SUM(Raw!AA81,Raw!AB81)*SUM(Raw!AA81,Raw!AD81)) / SQRT((I81*SUM(Raw!AA81,Raw!AB81) - SUM(Raw!AA81,Raw!AB81)^2) * (I81*SUM(Raw!AA81,Raw!AD81) - SUM(Raw!AA81,Raw!AD81)^2)), 0), "No Contingency Table"), "Not Included")</f>
        <v>0.17868542247296582</v>
      </c>
      <c r="L81" s="41">
        <f>IF(F81,IF(NOT(ISBLANK(Raw!AF81)), Raw!AF81, IF(NOT(ISBLANK(Raw!AG81)), Raw!AG81, IF(NOT(ISBLANK(Raw!AH81)), Raw!AH81, IF(NOT(ISBLANK(Raw!AI81)), SQRT(Raw!AI81/H81)*Raw!AJ81, "Not Reported")))),"Not Included")</f>
        <v>0.18</v>
      </c>
      <c r="M81" s="43">
        <f t="shared" si="1"/>
        <v>0.17868542247296582</v>
      </c>
      <c r="N81" s="11">
        <f t="shared" si="2"/>
        <v>1</v>
      </c>
      <c r="O81" s="48" t="b">
        <f>OR(NOT(ISBLANK(Raw!AK81)), COUNTIF(Raw!AA81:AD81, "&gt;=0") = 4)</f>
        <v>1</v>
      </c>
      <c r="P81" s="24" t="str">
        <f>IF(O81,IF(COUNTIF(Raw!AA81:AD81,"&gt;=0") = 4,"Contingency", "Paper k"), "Not Included")</f>
        <v>Contingency</v>
      </c>
      <c r="Q81" s="48">
        <f>IF(O81, IF(COUNTIF(Raw!AA81:AD81,"&gt;=0") = 4,SUM(Raw!AA81,Raw!AC81)/H81,"No Contingency Table"), "Not Included")</f>
        <v>0.5892857142857143</v>
      </c>
      <c r="R81" s="38">
        <f>IF(O81, IF(COUNTIF(Raw!AA81:AD81, "&gt;=0") = 4,SUM(SUM(Raw!AA81,Raw!AB81)*SUM(Raw!AA81,Raw!AD81),SUM(Raw!AC81,Raw!AD81)*SUM(Raw!AC81,Raw!AB81))/H81^2,"No Contingency Table"), "Not Included")</f>
        <v>0.5</v>
      </c>
      <c r="S81" s="38">
        <f>IF(O81, IF(COUNTIF(Raw!AA81:AD81,"&gt;=0") = 4, IFERROR((Q81 - R81) / (1 - R81), "Could not calculate"), "No Contingency Table"), "Not Included")</f>
        <v>0.1785714285714286</v>
      </c>
      <c r="T81" s="52" t="str">
        <f>IF(O81,IF(NOT(ISBLANK(Raw!AK81)), Raw!AK81, "Not Reported"), "Not Included")</f>
        <v>Not Reported</v>
      </c>
      <c r="U81" s="38">
        <f t="shared" si="3"/>
        <v>0.1785714285714286</v>
      </c>
      <c r="V81" s="11" t="str">
        <f t="shared" si="4"/>
        <v>NA</v>
      </c>
      <c r="W81" s="11" t="b">
        <f>OR(NOT(ISBLANK(Raw!AU81)),COUNTIF(Raw!AL81:AT81,"&gt;=0") = 9)</f>
        <v>0</v>
      </c>
      <c r="X81" s="11" t="str">
        <f>IF(W81, IF(COUNTIF(Raw!AL81:AT81,"&gt;=0") = 9, "Contingency", "Paper k"), "Not Included")</f>
        <v>Not Included</v>
      </c>
      <c r="Y81" s="11" t="str">
        <f>IF(W81,IF(COUNTIF(Raw!AL81:AT81,"&gt;=0") = 9,SUM(Raw!AL81:AT81),"No Contingency Table"),"Not Included")</f>
        <v>Not Included</v>
      </c>
      <c r="Z81" s="11" t="str">
        <f t="shared" si="5"/>
        <v>Not Included</v>
      </c>
      <c r="AA81" s="11" t="str">
        <f>IF(W81,IF(COUNTIF(Raw!AL81:AT81,"&gt;=0") = 9,SUM(Raw!AL81,Raw!AP81,Raw!AT81)/Y81,"No Contingency Table"), "Not Included")</f>
        <v>Not Included</v>
      </c>
      <c r="AB81" s="11" t="str">
        <f>IF(W81,IF(COUNTIF(Raw!AL81:AT81,"&gt;=0") = 9,SUM(SUM(Raw!AL81,Raw!AM81,Raw!AN81)*SUM(Raw!AL81,Raw!AO81,Raw!AR81),SUM(Raw!AO81,Raw!AP81,Raw!AQ81)*SUM(Raw!AM81,Raw!AP81,Raw!AS81),SUM(Raw!AR81,Raw!AS81,Raw!AT81)*SUM(Raw!AN81,Raw!AQ81,Raw!AT81))/Y81^2,"No Contingency Table"), "Not Included")</f>
        <v>Not Included</v>
      </c>
      <c r="AC81" s="11" t="str">
        <f>IF(W81,IF(COUNTIF(Raw!AL81:AT81,"&gt;=0") = 9,(AA81 - AB81) / (1 - AB81),"No Contingency Table"), "Not Included")</f>
        <v>Not Included</v>
      </c>
      <c r="AD81" s="11" t="str">
        <f>IF(W81, IF(NOT(ISBLANK(Raw!AU81)),Raw!AU81,"Not Reported"), "Not Included")</f>
        <v>Not Included</v>
      </c>
      <c r="AE81" s="11" t="str">
        <f t="shared" si="6"/>
        <v>Not Included</v>
      </c>
      <c r="AF81" s="11" t="str">
        <f t="shared" si="7"/>
        <v>Not Included</v>
      </c>
      <c r="AG81" s="11" t="b">
        <f>COUNTIF(Raw!AV81:BK81, "&gt;=0") = 16</f>
        <v>0</v>
      </c>
      <c r="AH81" s="11" t="str">
        <f>IF(AG81, IF(COUNTIF(Raw!AV81:BK81,"&gt;=0") = 16, "Contingency", "Paper k"), "Not Included")</f>
        <v>Not Included</v>
      </c>
      <c r="AI81" s="11" t="str">
        <f>IF(AG81,IF(COUNTIF(Raw!AV81:BK81,"&gt;=0") = 16,SUM(Raw!AV81:BK81),"No Contingency Table"),"Not Included")</f>
        <v>Not Included</v>
      </c>
      <c r="AJ81" s="15">
        <f t="shared" si="8"/>
        <v>56</v>
      </c>
      <c r="AK81" s="11" t="str">
        <f>IF(AG81,IF(COUNTIF(Raw!AV81:BK81,"&gt;=0") = 16,SUM(Raw!AV81,Raw!BA81,Raw!BF81,Raw!BK81)/AI81,"No Contingency Table"), "Not Included")</f>
        <v>Not Included</v>
      </c>
      <c r="AL81" s="11" t="str">
        <f>IF(AG81,IF(COUNTIF(Raw!AV81:BK81,"&gt;=0") = 16,SUM(SUM(Raw!AV81,Raw!AW81,Raw!AX81,Raw!AY81)*SUM(Raw!AV81,Raw!AZ81,Raw!BD81,Raw!BH81),SUM(Raw!AZ81,Raw!BA81,Raw!BB81,Raw!BC81)*SUM(Raw!AW81,Raw!BA81,Raw!BE81,Raw!BI81),SUM(Raw!BD81,Raw!BE81,Raw!BF81,Raw!BG81)*SUM(Raw!AX81,Raw!BB81,Raw!BF81,Raw!BJ81),SUM(Raw!BH81,Raw!BI81,Raw!BJ81,Raw!BK81)*SUM(Raw!AY81,Raw!BC81,Raw!BG81,Raw!BK81))/AI81^2,"No Contingency Table"), "Not Included")</f>
        <v>Not Included</v>
      </c>
      <c r="AM81" s="11" t="str">
        <f>IF(AG81,IF(COUNTIF(Raw!AV81:BK81,"&gt;=0") = 16,(AK81 - AL81) / (1 - AL81),"No Contingency Table"), "Not Included")</f>
        <v>Not Included</v>
      </c>
      <c r="AN81" s="11" t="str">
        <f>IF(NOT(ISBLANK(Raw!BL81)),Raw!BL81,"Not Reported")</f>
        <v>Not Reported</v>
      </c>
      <c r="AO81" s="11" t="str">
        <f t="shared" si="9"/>
        <v>Not Reported</v>
      </c>
      <c r="AP81" s="11" t="str">
        <f t="shared" si="10"/>
        <v>Not Included</v>
      </c>
      <c r="AQ81" s="11" t="b">
        <f t="shared" ref="AQ81:AR81" si="335">BQ81</f>
        <v>0</v>
      </c>
      <c r="AR81" s="11" t="str">
        <f t="shared" si="335"/>
        <v>Not Included</v>
      </c>
      <c r="AS81" s="11" t="str">
        <f t="shared" si="12"/>
        <v>Not Included</v>
      </c>
      <c r="AT81" s="11" t="str">
        <f t="shared" si="13"/>
        <v>Not Included</v>
      </c>
      <c r="AU81" s="11" t="str">
        <f>IF(AQ81, IF(COUNTIF(Raw!AV81:BK81, "&gt;=0") = 16, IFERROR((AT81*Raw!BK81 - SUM(Raw!BH81, Raw!BI81, Raw!BJ81, Raw!BK81)*SUM(Raw!AY81, Raw!BC81, Raw!BG81, Raw!BK81)) / SQRT((AT81*SUM(Raw!BH81, Raw!BI81, Raw!BJ81, Raw!BK81) - SUM(Raw!BH81, Raw!BI81, Raw!BJ81, Raw!BK81)^2) * (AT81*SUM(Raw!AY81, Raw!BC81, Raw!BG81, Raw!BK81) - SUM(Raw!AY81, Raw!BC81, Raw!BG81, Raw!BK81)^2)), 0), "No Contingency Table"), "Not Included")</f>
        <v>Not Included</v>
      </c>
      <c r="AV81" s="11" t="str">
        <f>IF(AQ81,IF(NOT(ISBLANK(Raw!BQ81)), Raw!BQ81, IF(NOT(ISBLANK(Raw!BR81)), Raw!BR81, "Not Reported")), "Not Included")</f>
        <v>Not Included</v>
      </c>
      <c r="AW81" s="57" t="str">
        <f t="shared" si="14"/>
        <v>Not Included</v>
      </c>
      <c r="AX81" s="11" t="str">
        <f t="shared" si="15"/>
        <v>Not Included</v>
      </c>
      <c r="AY81" s="11" t="b">
        <f t="shared" ref="AY81:AZ81" si="336">AQ81</f>
        <v>0</v>
      </c>
      <c r="AZ81" s="11" t="str">
        <f t="shared" si="336"/>
        <v>Not Included</v>
      </c>
      <c r="BA81" s="11" t="str">
        <f>IF(AY81, IF(COUNTIF(Raw!AV81:BK81, "&gt;=0") = 16, SUM(Raw!AV81,Raw!AW81,Raw!AX81,Raw!AZ81,Raw!BA81,Raw!BB81,Raw!BD81,Raw!BE81,Raw!BF81,Raw!BK81)/SUM(Raw!AV81:BK81), "No Contingency Table"), "Not Included")</f>
        <v>Not Included</v>
      </c>
      <c r="BB81" s="11" t="str">
        <f>IF(AY81, IF(COUNTIF(Raw!AV81:BK81, "&gt;=0") = 16,SUM(SUM(Raw!BH81,Raw!BI81,Raw!BJ81,Raw!BK81)*SUM(Raw!AY81,Raw!BC81,Raw!BG81,Raw!BK81),SUM(Raw!AV81:BG81)*SUM(Raw!AV81,Raw!AW81,Raw!AX81,Raw!AZ81,Raw!BA81,Raw!BB81,Raw!BD81,Raw!BE81,Raw!BF81,Raw!BH81,Raw!BI81,Raw!BJ81))/AT81^2,"No Contingency Table"), "Not Included")</f>
        <v>Not Included</v>
      </c>
      <c r="BC81" s="11" t="str">
        <f>IF(AY81, IF(COUNTIF(Raw!AV81:BK81, "&gt;=0") = 16,(BA81-BB81) / (1 - BB81),"No Contingency Table"), "Not Included")</f>
        <v>Not Included</v>
      </c>
      <c r="BD81" s="11" t="str">
        <f>IF(AY81,IF(NOT(ISBLANK(Raw!BT102)),Raw!BT102,"Not Reported"),"Not Included")</f>
        <v>Not Included</v>
      </c>
      <c r="BE81" s="11" t="str">
        <f t="shared" si="17"/>
        <v>Not Included</v>
      </c>
      <c r="BF81" s="11" t="str">
        <f t="shared" si="18"/>
        <v>Not Included</v>
      </c>
      <c r="BG81" s="11">
        <f>Raw!K81</f>
        <v>2004</v>
      </c>
      <c r="BH81" s="11" t="str">
        <f>IF(Raw!L81 = "USA","USA","Non-USA")</f>
        <v>Non-USA</v>
      </c>
      <c r="BI81" s="11" t="str">
        <f>Raw!M81</f>
        <v>Ainsworth/Ainsworth</v>
      </c>
      <c r="BJ81" s="11">
        <f>Raw!N81</f>
        <v>1</v>
      </c>
      <c r="BK81" s="11">
        <f>Raw!P81</f>
        <v>0</v>
      </c>
      <c r="BL81" s="11">
        <f>Raw!Q81</f>
        <v>0</v>
      </c>
      <c r="BM81" s="11">
        <f>Raw!T81</f>
        <v>1</v>
      </c>
      <c r="BN81" s="11">
        <f>IFERROR(IF(AND(ISBLANK(Raw!U81), ISBLANK(Raw!V81), ISBLANK(Raw!W81), ISBLANK(Raw!X81)), "NA", IF(OR(NOT(ISBLANK(Raw!U81)), NOT(ISBLANK(Raw!W81))), AVERAGE(Raw!U81,Raw!W81), AVERAGE(Raw!V81,Raw!X81) + IF(Raw!Y81 = "2-way", R81, IF(Raw!Y81 = "3-way", AB81, IF(Raw!Y81 = "4-way", AL81, "NA")))*(1 - AVERAGE(Raw!V81,Raw!X81)))), "NA")</f>
        <v>0.89</v>
      </c>
      <c r="BO81" s="11">
        <f>Raw!O81</f>
        <v>0</v>
      </c>
      <c r="BP81" s="11" t="str">
        <f>Raw!F81</f>
        <v>Female</v>
      </c>
      <c r="BQ81" s="11" t="b">
        <f>COUNTIF(Raw!AV81:BK81, "&gt;=0") = 16</f>
        <v>0</v>
      </c>
      <c r="BR81" s="11" t="str">
        <f t="shared" si="19"/>
        <v>Not Included</v>
      </c>
      <c r="BS81" s="11" t="str">
        <f t="shared" si="20"/>
        <v>Not Included</v>
      </c>
      <c r="BT81" s="11" t="str">
        <f>IF(BQ81, IF(COUNTIF(Raw!AV81:BK81, "&gt;=0") = 16, IFERROR((BS81*Raw!AV81 - SUM(Raw!AV81, Raw!AW81, Raw!AX81, Raw!AY81)*SUM(Raw!AV81, Raw!AZ81, Raw!BD81, Raw!BH81)) / SQRT((BS81*SUM(Raw!AV81, Raw!AW81, Raw!AX81, Raw!AY81) - SUM(Raw!AV81, Raw!AW81, Raw!AX81, Raw!AY81)^2) * (BS81*SUM(Raw!AV81, Raw!AZ81, Raw!BD81, Raw!BH81) - SUM(Raw!AV81, Raw!AZ81, Raw!BD81, Raw!BH81)^2)), 0), "No Contingency Table"), "Not Included")</f>
        <v>Not Included</v>
      </c>
      <c r="BU81" s="11" t="str">
        <f>IF(BQ81, IF(COUNTIF(Raw!AV81:BK81, "&gt;=0") = 16, SUM(Raw!BK81,Raw!BJ81,Raw!BI81,Raw!BG81,Raw!BF81,Raw!BE81,Raw!BC81,Raw!BB81,Raw!BA81,Raw!AV81)/SUM(Raw!AV81:BK81), "No Contingency Table"), "Not Included")</f>
        <v>Not Included</v>
      </c>
      <c r="BV81" s="11" t="str">
        <f>IF(BQ81, IF(COUNTIF(Raw!AV81:BK81, "&gt;=0") = 16,SUM(SUM(Raw!AV81,Raw!AW81,Raw!AX81,Raw!AY81)*SUM(Raw!AV81,Raw!AZ81,Raw!BD81,Raw!BH81),SUM(Raw!AZ81:BK81)*SUM(Raw!AW81,Raw!AX81,Raw!AY81,Raw!BA81,Raw!BB81,Raw!BC81,Raw!BE81,Raw!BF81,Raw!BG81,Raw!BI81,Raw!BJ81,Raw!BK81))/BS81^2,"No Contingency Table"), "Not Included")</f>
        <v>Not Included</v>
      </c>
      <c r="BW81" s="11" t="str">
        <f>IF(BQ81, IF(COUNTIF(Raw!AV81:BK81, "&gt;=0") = 16,(BU81-BV81) / (1 - BV81),"No Contingency Table"), "Not Included")</f>
        <v>Not Included</v>
      </c>
      <c r="BX81" s="11" t="b">
        <f t="shared" ref="BX81:BZ81" si="337">BQ81</f>
        <v>0</v>
      </c>
      <c r="BY81" s="11" t="str">
        <f t="shared" si="337"/>
        <v>Not Included</v>
      </c>
      <c r="BZ81" s="11" t="str">
        <f t="shared" si="337"/>
        <v>Not Included</v>
      </c>
      <c r="CA81" s="11" t="str">
        <f>IF(BX81, IF(COUNTIF(Raw!AV81:BK81, "&gt;=0") = 16, IFERROR((BZ81*Raw!BF81 - SUM(Raw!BD81, Raw!BE81, Raw!BF81, Raw!BG81)*SUM(Raw!BF81, Raw!AX81, Raw!BB81, Raw!BJ81)) / SQRT((BZ81*SUM(Raw!BD81, Raw!BE81, Raw!BF81, Raw!BG81) - SUM(Raw!BD81, Raw!BE81, Raw!BF81, Raw!BG81)^2) * (BZ81*SUM(Raw!BF81, Raw!AX81, Raw!BB81, Raw!BJ81) - SUM(Raw!BF81, Raw!AX81, Raw!BB81, Raw!BJ81)^2)), 0), "No Contingency Table"), "Not Included")</f>
        <v>Not Included</v>
      </c>
      <c r="CB81" s="11" t="str">
        <f>IF(BX81, IF(COUNTIF(Raw!AV81:BK81, "&gt;=0") = 16, SUM(Raw!AV81,Raw!AW81,Raw!AY81,Raw!AZ81,Raw!BA81,Raw!BC81,Raw!BF81,Raw!BH81,Raw!BI81,Raw!BK81) / SUM(Raw!AV81:BK81), "No Contingency Table"), "Not Included")</f>
        <v>Not Included</v>
      </c>
      <c r="CC81" s="11" t="str">
        <f>IF(BX81, IF(COUNTIF(Raw!AV81:BK81, "&gt;=0") = 16,SUM(SUM(Raw!BD81,Raw!BE81,Raw!BF81,Raw!BG81)*SUM(Raw!BF81,Raw!AX81,Raw!BB81,Raw!BJ81),SUM(Raw!AV81:BC81,Raw!BH81:BK81)*SUM(Raw!AV81,Raw!AW81,Raw!AY81,Raw!AZ81,Raw!BA81,Raw!BC81,Raw!BD81,Raw!BE81,Raw!BG81,Raw!BH81,Raw!BI81,Raw!BK81))/BZ81^2,"No Contingency Table"), "Not Included")</f>
        <v>Not Included</v>
      </c>
      <c r="CD81" s="11" t="str">
        <f>IF(BX81, IF(COUNTIF(Raw!AV81:BK81, "&gt;=0") = 16,(CB81 - CC81) / (1 - CC81+0.000001),"No Contingency Table"), "Not Included")</f>
        <v>Not Included</v>
      </c>
      <c r="CE81" s="11" t="b">
        <f t="shared" ref="CE81:CG81" si="338">BQ81</f>
        <v>0</v>
      </c>
      <c r="CF81" s="11" t="str">
        <f t="shared" si="338"/>
        <v>Not Included</v>
      </c>
      <c r="CG81" s="11" t="str">
        <f t="shared" si="338"/>
        <v>Not Included</v>
      </c>
      <c r="CH81" s="11" t="str">
        <f>IF(CE81, IF(COUNTIF(Raw!AV81:BK81, "&gt;=0") = 16, IFERROR((CG81*Raw!BA81 - SUM(Raw!BA81, Raw!AZ81, Raw!BB81, Raw!BC81)*SUM(Raw!BA81, Raw!AW81, Raw!BE81, Raw!BI81)) / SQRT((CG81*SUM(Raw!BA81, Raw!AZ81, Raw!BB81, Raw!BC81) - SUM(Raw!BA81, Raw!AZ81, Raw!BB81, Raw!BC81)^2) * (CG81*SUM(Raw!BA81, Raw!AW81, Raw!BE81, Raw!BI81) - SUM(Raw!BA81, Raw!AW81, Raw!BE81, Raw!BI81)^2)), 0), "No Contingency Table"), "Not Included")</f>
        <v>Not Included</v>
      </c>
      <c r="CI81" s="11" t="str">
        <f>IF(CE81, IF(COUNTIF(Raw!AV81:BK81, "&gt;=0") = 16, SUM(Raw!AV81,Raw!AX81,Raw!AY81,Raw!BA81,Raw!BD81,Raw!BF81,Raw!BG81,Raw!BH81,Raw!BJ81,Raw!BK81) / SUM(Raw!AV81:BK81), "No Contingency Table"), "Not Included")</f>
        <v>Not Included</v>
      </c>
      <c r="CJ81" s="61" t="str">
        <f>IF(BX81, IF(COUNTIF(Raw!AV81:BK81, "&gt;=0") = 16,SUM(SUM(Raw!AZ81,Raw!BA81,Raw!BB81,Raw!BC81)*SUM(Raw!BA81,Raw!AW81,Raw!BE81,Raw!BI81),SUM(Raw!AV81:AY81,Raw!BD81:BK81)*SUM(Raw!AV81,Raw!AX81,Raw!AY81,Raw!AZ81,Raw!BB81,Raw!BC81,Raw!BD81,Raw!BF81,Raw!BG81,Raw!BH81,Raw!BJ81,Raw!BK81))/CG81^2,"No Contingency Table"), "Not Included")</f>
        <v>Not Included</v>
      </c>
      <c r="CK81" s="11" t="str">
        <f>IF(BX81, IF(COUNTIF(Raw!AV81:BK81, "&gt;=0") = 16,(CI81 - CJ81) / (1 - CJ81),"No Contingency Table"), "Not Included")</f>
        <v>Not Included</v>
      </c>
      <c r="CL81" s="11" t="str">
        <f>IF(BQ81, IFERROR(Raw!AV81/SUM(Raw!AV81:AY81), 0), "Not Included")</f>
        <v>Not Included</v>
      </c>
      <c r="CM81" s="11" t="str">
        <f>IF(BQ81, IFERROR(Raw!BA81/SUM(Raw!AZ81:BC81), 0), "Not Included")</f>
        <v>Not Included</v>
      </c>
      <c r="CN81" s="11" t="str">
        <f>IF(BQ81, IFERROR(Raw!BF81/SUM(Raw!BD81:BG81), 0), "Not Included")</f>
        <v>Not Included</v>
      </c>
      <c r="CO81" s="11" t="str">
        <f>IF(BQ81, IFERROR(Raw!BK81/SUM(Raw!BH81:BK81), 0), "Not Included")</f>
        <v>Not Included</v>
      </c>
      <c r="CP81" s="11" t="str">
        <f>IF(BQ81, IFERROR(SUM(Raw!AV81,Raw!AX81,Raw!AY81,Raw!BD81,Raw!BF81,Raw!BG81,Raw!BH81,Raw!BJ81,Raw!BK81)/SUM(Raw!AV81,Raw!AW81,Raw!AX81,Raw!AY81,Raw!BD81,Raw!BE81,Raw!BF81,Raw!BG81,Raw!BH81,Raw!BI81,Raw!BJ81,Raw!BK81), 0), "Not Included")</f>
        <v>Not Included</v>
      </c>
      <c r="CQ81" s="11" t="str">
        <f>IF(BQ81, IFERROR(SUM(Raw!AV81:AX81,Raw!AZ81:BB81,Raw!BD81:BF81)/SUM(Raw!AV81:BF81), 0), "Not Included")</f>
        <v>Not Included</v>
      </c>
      <c r="CR81" s="11" t="str">
        <f>IF(BQ81, IFERROR(SUM(Raw!AV81:AY81), 0), "Not Included")</f>
        <v>Not Included</v>
      </c>
      <c r="CS81" s="11" t="str">
        <f>IF(BQ81, IFERROR(SUM(Raw!AZ81:BC81), 0), "Not Included")</f>
        <v>Not Included</v>
      </c>
      <c r="CT81" s="11" t="str">
        <f>IF(BQ81, IFERROR(SUM(Raw!BD81:BG81), 0), "Not Included")</f>
        <v>Not Included</v>
      </c>
      <c r="CU81" s="11" t="str">
        <f>IF(BQ81, IFERROR(SUM(Raw!BH81:BK81), 0), "Not Included")</f>
        <v>Not Included</v>
      </c>
      <c r="CV81" s="11" t="str">
        <f>IF(BQ81, IFERROR(SUM(Raw!AV81,Raw!AW81,Raw!AX81,Raw!AY81,Raw!BD81,Raw!BE81,Raw!BF81,Raw!BG81,Raw!BH81,Raw!BI81,Raw!BJ81,Raw!BK81), 0), "Not Included")</f>
        <v>Not Included</v>
      </c>
      <c r="CW81" s="11" t="str">
        <f>IF(BQ81, IFERROR(SUM(Raw!AV81:BF81), 0), "Not Included")</f>
        <v>Not Included</v>
      </c>
      <c r="CX81" s="11" t="str">
        <f>IF(BQ81, IFERROR((CR81*SUM(Raw!AV81,Raw!AZ81,Raw!BD81,Raw!BH81))/BS81/CR81, 0), "Not Included")</f>
        <v>Not Included</v>
      </c>
      <c r="CY81" s="11" t="str">
        <f>IF(BX81, IFERROR((CS81*SUM(Raw!BA81,Raw!AW81,Raw!BE81,Raw!BI81))/CG81/CS81, 0), "Not Included")</f>
        <v>Not Included</v>
      </c>
      <c r="CZ81" s="11" t="str">
        <f>IF(BX81, IFERROR((CT81*SUM(Raw!BF81,Raw!AX81,Raw!BB81,Raw!BJ81))/BZ81/CT81, 0), "Not Included")</f>
        <v>Not Included</v>
      </c>
      <c r="DA81" s="11" t="str">
        <f>IF(AY81, IFERROR((CU81*SUM(Raw!AY81,Raw!BC81,Raw!BG81,Raw!BK81))/AT81/CU81, 0), "Not Included")</f>
        <v>Not Included</v>
      </c>
      <c r="DB81" s="11" t="str">
        <f>IF(BX81, IFERROR((CV81*SUM(Raw!AV81,Raw!AX81,Raw!AY81,Raw!AZ81,Raw!BB81,Raw!BC81,Raw!BD81,Raw!BF81,Raw!BG81,Raw!BH81,Raw!BJ81,Raw!BK81))/CG81/CV81,0), "Not Included")</f>
        <v>Not Included</v>
      </c>
      <c r="DC81" s="11" t="str">
        <f>IF(AY81, IFERROR((CW81*SUM(Raw!AV81,Raw!AW81,Raw!AX81,Raw!AZ81,Raw!BA81,Raw!BB81,Raw!BD81,Raw!BE81,Raw!BF81,Raw!BH81,Raw!BI81,Raw!BJ81))/AT81/CW81,0), "Not Included")</f>
        <v>Not Included</v>
      </c>
    </row>
    <row r="82" spans="1:107" ht="12.75" customHeight="1">
      <c r="A82" s="11">
        <f>Raw!D82</f>
        <v>58</v>
      </c>
      <c r="B82" s="11" t="str">
        <f>Raw!A82</f>
        <v>Connell (1977)</v>
      </c>
      <c r="C82" s="11">
        <f>Raw!G82</f>
        <v>1</v>
      </c>
      <c r="D82" s="11" t="str">
        <f>Raw!E82</f>
        <v>Mother-child</v>
      </c>
      <c r="E82" s="11" t="str">
        <f>CONCATENATE(IF(Raw!I82&lt;='Interval Definitions'!$B$2, 'Interval Definitions'!$A$2, IF(Raw!I82&lt;='Interval Definitions'!$B$3, 'Interval Definitions'!$A$3, IF(Raw!I82&lt;='Interval Definitions'!$B$4, 'Interval Definitions'!$A$4, IF(Raw!I82&lt;='Interval Definitions'!$B$5, 'Interval Definitions'!$A$5, "None")))), " - ", IF(Raw!J82&lt;='Interval Definitions'!$B$2, 'Interval Definitions'!$A$2, IF(Raw!J82&lt;='Interval Definitions'!$B$3, 'Interval Definitions'!$A$3, IF(Raw!J82&lt;='Interval Definitions'!$B$4, 'Interval Definitions'!$A$4, IF(Raw!J82&lt;='Interval Definitions'!$B$5, 'Interval Definitions'!$A$5, "None")))))</f>
        <v>Infancy - Infancy</v>
      </c>
      <c r="F82" s="11" t="b">
        <f>OR(NOT(ISBLANK(Raw!AF82)),NOT(ISBLANK(Raw!AG82)),NOT(ISBLANK(Raw!AH82)),NOT(ISBLANK(Raw!AI82)),COUNTIF(Raw!AA82:AD82, "&gt;=0") = 4)</f>
        <v>1</v>
      </c>
      <c r="G82" s="11" t="str">
        <f>IF(F82, IF(COUNTIF(Raw!AA82:AD82,"&gt;=0") = 4, "Contingency", IF(NOT(ISBLANK(Raw!AF82)), "Paper r", IF(NOT(ISBLANK(Raw!AG82)), "Pinquart", IF(NOT(ISBLANK(Raw!AH82)), "Fraley", "Paper chiSq")))), "Not Included")</f>
        <v>Contingency</v>
      </c>
      <c r="H82" s="15">
        <f>IF(F82,Raw!AE82,"Not Included")</f>
        <v>47</v>
      </c>
      <c r="I82" s="15">
        <f>IF(COUNTIF(Raw!AA82:AD82,"&gt;=0") = 4, SUM(Raw!AA82:AD82), "No Contingency Table")</f>
        <v>47</v>
      </c>
      <c r="J82" s="15">
        <f t="shared" si="0"/>
        <v>47</v>
      </c>
      <c r="K82" s="38">
        <f>IF(F82, IF(COUNTIF(Raw!AA82:AD82,"&gt;=0") = 4, IFERROR((I82*Raw!AA82 - SUM(Raw!AA82,Raw!AB82)*SUM(Raw!AA82,Raw!AD82)) / SQRT((I82*SUM(Raw!AA82,Raw!AB82) - SUM(Raw!AA82,Raw!AB82)^2) * (I82*SUM(Raw!AA82,Raw!AD82) - SUM(Raw!AA82,Raw!AD82)^2)), 0), "No Contingency Table"), "Not Included")</f>
        <v>0.58057312083845325</v>
      </c>
      <c r="L82" s="41" t="str">
        <f>IF(F82,IF(NOT(ISBLANK(Raw!AF82)), Raw!AF82, IF(NOT(ISBLANK(Raw!AG82)), Raw!AG82, IF(NOT(ISBLANK(Raw!AH82)), Raw!AH82, IF(NOT(ISBLANK(Raw!AI82)), SQRT(Raw!AI82/H82)*Raw!AJ82, "Not Reported")))),"Not Included")</f>
        <v>Not Reported</v>
      </c>
      <c r="M82" s="43">
        <f t="shared" si="1"/>
        <v>0.58057312083845325</v>
      </c>
      <c r="N82" s="11" t="str">
        <f t="shared" si="2"/>
        <v>NA</v>
      </c>
      <c r="O82" s="48" t="b">
        <f>OR(NOT(ISBLANK(Raw!AK82)), COUNTIF(Raw!AA82:AD82, "&gt;=0") = 4)</f>
        <v>1</v>
      </c>
      <c r="P82" s="24" t="str">
        <f>IF(O82,IF(COUNTIF(Raw!AA82:AD82,"&gt;=0") = 4,"Contingency", "Paper k"), "Not Included")</f>
        <v>Contingency</v>
      </c>
      <c r="Q82" s="48">
        <f>IF(O82, IF(COUNTIF(Raw!AA82:AD82,"&gt;=0") = 4,SUM(Raw!AA82,Raw!AC82)/H82,"No Contingency Table"), "Not Included")</f>
        <v>0.80851063829787229</v>
      </c>
      <c r="R82" s="38">
        <f>IF(O82, IF(COUNTIF(Raw!AA82:AD82, "&gt;=0") = 4,SUM(SUM(Raw!AA82,Raw!AB82)*SUM(Raw!AA82,Raw!AD82),SUM(Raw!AC82,Raw!AD82)*SUM(Raw!AC82,Raw!AB82))/H82^2,"No Contingency Table"), "Not Included")</f>
        <v>0.5441376188320507</v>
      </c>
      <c r="S82" s="38">
        <f>IF(O82, IF(COUNTIF(Raw!AA82:AD82,"&gt;=0") = 4, IFERROR((Q82 - R82) / (1 - R82), "Could not calculate"), "No Contingency Table"), "Not Included")</f>
        <v>0.57994041708043687</v>
      </c>
      <c r="T82" s="52" t="str">
        <f>IF(O82,IF(NOT(ISBLANK(Raw!AK82)), Raw!AK82, "Not Reported"), "Not Included")</f>
        <v>Not Reported</v>
      </c>
      <c r="U82" s="38">
        <f t="shared" si="3"/>
        <v>0.57994041708043687</v>
      </c>
      <c r="V82" s="11" t="str">
        <f t="shared" si="4"/>
        <v>NA</v>
      </c>
      <c r="W82" s="11" t="b">
        <f>OR(NOT(ISBLANK(Raw!AU82)),COUNTIF(Raw!AL82:AT82,"&gt;=0") = 9)</f>
        <v>1</v>
      </c>
      <c r="X82" s="11" t="str">
        <f>IF(W82, IF(COUNTIF(Raw!AL82:AT82,"&gt;=0") = 9, "Contingency", "Paper k"), "Not Included")</f>
        <v>Contingency</v>
      </c>
      <c r="Y82" s="11">
        <f>IF(W82,IF(COUNTIF(Raw!AL82:AT82,"&gt;=0") = 9,SUM(Raw!AL82:AT82),"No Contingency Table"),"Not Included")</f>
        <v>47</v>
      </c>
      <c r="Z82" s="11">
        <f t="shared" si="5"/>
        <v>47</v>
      </c>
      <c r="AA82" s="11">
        <f>IF(W82,IF(COUNTIF(Raw!AL82:AT82,"&gt;=0") = 9,SUM(Raw!AL82,Raw!AP82,Raw!AT82)/Y82,"No Contingency Table"), "Not Included")</f>
        <v>0.80851063829787229</v>
      </c>
      <c r="AB82" s="11">
        <f>IF(W82,IF(COUNTIF(Raw!AL82:AT82,"&gt;=0") = 9,SUM(SUM(Raw!AL82,Raw!AM82,Raw!AN82)*SUM(Raw!AL82,Raw!AO82,Raw!AR82),SUM(Raw!AO82,Raw!AP82,Raw!AQ82)*SUM(Raw!AM82,Raw!AP82,Raw!AS82),SUM(Raw!AR82,Raw!AS82,Raw!AT82)*SUM(Raw!AN82,Raw!AQ82,Raw!AT82))/Y82^2,"No Contingency Table"), "Not Included")</f>
        <v>0.51788139429606161</v>
      </c>
      <c r="AC82" s="11">
        <f>IF(W82,IF(COUNTIF(Raw!AL82:AT82,"&gt;=0") = 9,(AA82 - AB82) / (1 - AB82),"No Contingency Table"), "Not Included")</f>
        <v>0.60281690140845057</v>
      </c>
      <c r="AD82" s="11" t="str">
        <f>IF(W82, IF(NOT(ISBLANK(Raw!AU82)),Raw!AU82,"Not Reported"), "Not Included")</f>
        <v>Not Reported</v>
      </c>
      <c r="AE82" s="11">
        <f t="shared" si="6"/>
        <v>0.60281690140845057</v>
      </c>
      <c r="AF82" s="11" t="str">
        <f t="shared" si="7"/>
        <v>NA</v>
      </c>
      <c r="AG82" s="11" t="b">
        <f>COUNTIF(Raw!AV82:BK82, "&gt;=0") = 16</f>
        <v>0</v>
      </c>
      <c r="AH82" s="11" t="str">
        <f>IF(AG82, IF(COUNTIF(Raw!AV82:BK82,"&gt;=0") = 16, "Contingency", "Paper k"), "Not Included")</f>
        <v>Not Included</v>
      </c>
      <c r="AI82" s="11" t="str">
        <f>IF(AG82,IF(COUNTIF(Raw!AV82:BK82,"&gt;=0") = 16,SUM(Raw!AV82:BK82),"No Contingency Table"),"Not Included")</f>
        <v>Not Included</v>
      </c>
      <c r="AJ82" s="15">
        <f t="shared" si="8"/>
        <v>47</v>
      </c>
      <c r="AK82" s="11" t="str">
        <f>IF(AG82,IF(COUNTIF(Raw!AV82:BK82,"&gt;=0") = 16,SUM(Raw!AV82,Raw!BA82,Raw!BF82,Raw!BK82)/AI82,"No Contingency Table"), "Not Included")</f>
        <v>Not Included</v>
      </c>
      <c r="AL82" s="11" t="str">
        <f>IF(AG82,IF(COUNTIF(Raw!AV82:BK82,"&gt;=0") = 16,SUM(SUM(Raw!AV82,Raw!AW82,Raw!AX82,Raw!AY82)*SUM(Raw!AV82,Raw!AZ82,Raw!BD82,Raw!BH82),SUM(Raw!AZ82,Raw!BA82,Raw!BB82,Raw!BC82)*SUM(Raw!AW82,Raw!BA82,Raw!BE82,Raw!BI82),SUM(Raw!BD82,Raw!BE82,Raw!BF82,Raw!BG82)*SUM(Raw!AX82,Raw!BB82,Raw!BF82,Raw!BJ82),SUM(Raw!BH82,Raw!BI82,Raw!BJ82,Raw!BK82)*SUM(Raw!AY82,Raw!BC82,Raw!BG82,Raw!BK82))/AI82^2,"No Contingency Table"), "Not Included")</f>
        <v>Not Included</v>
      </c>
      <c r="AM82" s="11" t="str">
        <f>IF(AG82,IF(COUNTIF(Raw!AV82:BK82,"&gt;=0") = 16,(AK82 - AL82) / (1 - AL82),"No Contingency Table"), "Not Included")</f>
        <v>Not Included</v>
      </c>
      <c r="AN82" s="11" t="str">
        <f>IF(NOT(ISBLANK(Raw!BL82)),Raw!BL82,"Not Reported")</f>
        <v>Not Reported</v>
      </c>
      <c r="AO82" s="11" t="str">
        <f t="shared" si="9"/>
        <v>Not Reported</v>
      </c>
      <c r="AP82" s="11" t="str">
        <f t="shared" si="10"/>
        <v>Not Included</v>
      </c>
      <c r="AQ82" s="11" t="b">
        <f t="shared" ref="AQ82:AR82" si="339">BQ82</f>
        <v>0</v>
      </c>
      <c r="AR82" s="11" t="str">
        <f t="shared" si="339"/>
        <v>Not Included</v>
      </c>
      <c r="AS82" s="11" t="str">
        <f t="shared" si="12"/>
        <v>Not Included</v>
      </c>
      <c r="AT82" s="11" t="str">
        <f t="shared" si="13"/>
        <v>Not Included</v>
      </c>
      <c r="AU82" s="11" t="str">
        <f>IF(AQ82, IF(COUNTIF(Raw!AV82:BK82, "&gt;=0") = 16, IFERROR((AT82*Raw!BK82 - SUM(Raw!BH82, Raw!BI82, Raw!BJ82, Raw!BK82)*SUM(Raw!AY82, Raw!BC82, Raw!BG82, Raw!BK82)) / SQRT((AT82*SUM(Raw!BH82, Raw!BI82, Raw!BJ82, Raw!BK82) - SUM(Raw!BH82, Raw!BI82, Raw!BJ82, Raw!BK82)^2) * (AT82*SUM(Raw!AY82, Raw!BC82, Raw!BG82, Raw!BK82) - SUM(Raw!AY82, Raw!BC82, Raw!BG82, Raw!BK82)^2)), 0), "No Contingency Table"), "Not Included")</f>
        <v>Not Included</v>
      </c>
      <c r="AV82" s="11" t="str">
        <f>IF(AQ82,IF(NOT(ISBLANK(Raw!BQ82)), Raw!BQ82, IF(NOT(ISBLANK(Raw!BR82)), Raw!BR82, "Not Reported")), "Not Included")</f>
        <v>Not Included</v>
      </c>
      <c r="AW82" s="57" t="str">
        <f t="shared" si="14"/>
        <v>Not Included</v>
      </c>
      <c r="AX82" s="11" t="str">
        <f t="shared" si="15"/>
        <v>Not Included</v>
      </c>
      <c r="AY82" s="11" t="b">
        <f t="shared" ref="AY82:AZ82" si="340">AQ82</f>
        <v>0</v>
      </c>
      <c r="AZ82" s="11" t="str">
        <f t="shared" si="340"/>
        <v>Not Included</v>
      </c>
      <c r="BA82" s="11" t="str">
        <f>IF(AY82, IF(COUNTIF(Raw!AV82:BK82, "&gt;=0") = 16, SUM(Raw!AV82,Raw!AW82,Raw!AX82,Raw!AZ82,Raw!BA82,Raw!BB82,Raw!BD82,Raw!BE82,Raw!BF82,Raw!BK82)/SUM(Raw!AV82:BK82), "No Contingency Table"), "Not Included")</f>
        <v>Not Included</v>
      </c>
      <c r="BB82" s="11" t="str">
        <f>IF(AY82, IF(COUNTIF(Raw!AV82:BK82, "&gt;=0") = 16,SUM(SUM(Raw!BH82,Raw!BI82,Raw!BJ82,Raw!BK82)*SUM(Raw!AY82,Raw!BC82,Raw!BG82,Raw!BK82),SUM(Raw!AV82:BG82)*SUM(Raw!AV82,Raw!AW82,Raw!AX82,Raw!AZ82,Raw!BA82,Raw!BB82,Raw!BD82,Raw!BE82,Raw!BF82,Raw!BH82,Raw!BI82,Raw!BJ82))/AT82^2,"No Contingency Table"), "Not Included")</f>
        <v>Not Included</v>
      </c>
      <c r="BC82" s="11" t="str">
        <f>IF(AY82, IF(COUNTIF(Raw!AV82:BK82, "&gt;=0") = 16,(BA82-BB82) / (1 - BB82),"No Contingency Table"), "Not Included")</f>
        <v>Not Included</v>
      </c>
      <c r="BD82" s="11" t="str">
        <f>IF(AY82,IF(NOT(ISBLANK(Raw!BT103)),Raw!BT103,"Not Reported"),"Not Included")</f>
        <v>Not Included</v>
      </c>
      <c r="BE82" s="11" t="str">
        <f t="shared" si="17"/>
        <v>Not Included</v>
      </c>
      <c r="BF82" s="11" t="str">
        <f t="shared" si="18"/>
        <v>Not Included</v>
      </c>
      <c r="BG82" s="11">
        <f>Raw!K82</f>
        <v>1976</v>
      </c>
      <c r="BH82" s="11" t="str">
        <f>IF(Raw!L82 = "USA","USA","Non-USA")</f>
        <v>USA</v>
      </c>
      <c r="BI82" s="11" t="str">
        <f>Raw!M82</f>
        <v>Ainsworth/Ainsworth</v>
      </c>
      <c r="BJ82" s="11">
        <f>Raw!N82</f>
        <v>1</v>
      </c>
      <c r="BK82" s="11">
        <f>Raw!P82</f>
        <v>0</v>
      </c>
      <c r="BL82" s="11">
        <f>Raw!Q82</f>
        <v>0</v>
      </c>
      <c r="BM82" s="11">
        <f>Raw!T82</f>
        <v>0</v>
      </c>
      <c r="BN82" s="11">
        <f>IFERROR(IF(AND(ISBLANK(Raw!U82), ISBLANK(Raw!V82), ISBLANK(Raw!W82), ISBLANK(Raw!X82)), "NA", IF(OR(NOT(ISBLANK(Raw!U82)), NOT(ISBLANK(Raw!W82))), AVERAGE(Raw!U82,Raw!W82), AVERAGE(Raw!V82,Raw!X82) + IF(Raw!Y82 = "2-way", R82, IF(Raw!Y82 = "3-way", AB82, IF(Raw!Y82 = "4-way", AL82, "NA")))*(1 - AVERAGE(Raw!V82,Raw!X82)))), "NA")</f>
        <v>0.9397351742870077</v>
      </c>
      <c r="BO82" s="11">
        <f>Raw!O82</f>
        <v>0</v>
      </c>
      <c r="BP82" s="11" t="str">
        <f>Raw!F82</f>
        <v>Female</v>
      </c>
      <c r="BQ82" s="11" t="b">
        <f>COUNTIF(Raw!AV82:BK82, "&gt;=0") = 16</f>
        <v>0</v>
      </c>
      <c r="BR82" s="11" t="str">
        <f t="shared" si="19"/>
        <v>Not Included</v>
      </c>
      <c r="BS82" s="11" t="str">
        <f t="shared" si="20"/>
        <v>Not Included</v>
      </c>
      <c r="BT82" s="11" t="str">
        <f>IF(BQ82, IF(COUNTIF(Raw!AV82:BK82, "&gt;=0") = 16, IFERROR((BS82*Raw!AV82 - SUM(Raw!AV82, Raw!AW82, Raw!AX82, Raw!AY82)*SUM(Raw!AV82, Raw!AZ82, Raw!BD82, Raw!BH82)) / SQRT((BS82*SUM(Raw!AV82, Raw!AW82, Raw!AX82, Raw!AY82) - SUM(Raw!AV82, Raw!AW82, Raw!AX82, Raw!AY82)^2) * (BS82*SUM(Raw!AV82, Raw!AZ82, Raw!BD82, Raw!BH82) - SUM(Raw!AV82, Raw!AZ82, Raw!BD82, Raw!BH82)^2)), 0), "No Contingency Table"), "Not Included")</f>
        <v>Not Included</v>
      </c>
      <c r="BU82" s="11" t="str">
        <f>IF(BQ82, IF(COUNTIF(Raw!AV82:BK82, "&gt;=0") = 16, SUM(Raw!BK82,Raw!BJ82,Raw!BI82,Raw!BG82,Raw!BF82,Raw!BE82,Raw!BC82,Raw!BB82,Raw!BA82,Raw!AV82)/SUM(Raw!AV82:BK82), "No Contingency Table"), "Not Included")</f>
        <v>Not Included</v>
      </c>
      <c r="BV82" s="11" t="str">
        <f>IF(BQ82, IF(COUNTIF(Raw!AV82:BK82, "&gt;=0") = 16,SUM(SUM(Raw!AV82,Raw!AW82,Raw!AX82,Raw!AY82)*SUM(Raw!AV82,Raw!AZ82,Raw!BD82,Raw!BH82),SUM(Raw!AZ82:BK82)*SUM(Raw!AW82,Raw!AX82,Raw!AY82,Raw!BA82,Raw!BB82,Raw!BC82,Raw!BE82,Raw!BF82,Raw!BG82,Raw!BI82,Raw!BJ82,Raw!BK82))/BS82^2,"No Contingency Table"), "Not Included")</f>
        <v>Not Included</v>
      </c>
      <c r="BW82" s="11" t="str">
        <f>IF(BQ82, IF(COUNTIF(Raw!AV82:BK82, "&gt;=0") = 16,(BU82-BV82) / (1 - BV82),"No Contingency Table"), "Not Included")</f>
        <v>Not Included</v>
      </c>
      <c r="BX82" s="11" t="b">
        <f t="shared" ref="BX82:BZ82" si="341">BQ82</f>
        <v>0</v>
      </c>
      <c r="BY82" s="11" t="str">
        <f t="shared" si="341"/>
        <v>Not Included</v>
      </c>
      <c r="BZ82" s="11" t="str">
        <f t="shared" si="341"/>
        <v>Not Included</v>
      </c>
      <c r="CA82" s="11" t="str">
        <f>IF(BX82, IF(COUNTIF(Raw!AV82:BK82, "&gt;=0") = 16, IFERROR((BZ82*Raw!BF82 - SUM(Raw!BD82, Raw!BE82, Raw!BF82, Raw!BG82)*SUM(Raw!BF82, Raw!AX82, Raw!BB82, Raw!BJ82)) / SQRT((BZ82*SUM(Raw!BD82, Raw!BE82, Raw!BF82, Raw!BG82) - SUM(Raw!BD82, Raw!BE82, Raw!BF82, Raw!BG82)^2) * (BZ82*SUM(Raw!BF82, Raw!AX82, Raw!BB82, Raw!BJ82) - SUM(Raw!BF82, Raw!AX82, Raw!BB82, Raw!BJ82)^2)), 0), "No Contingency Table"), "Not Included")</f>
        <v>Not Included</v>
      </c>
      <c r="CB82" s="11" t="str">
        <f>IF(BX82, IF(COUNTIF(Raw!AV82:BK82, "&gt;=0") = 16, SUM(Raw!AV82,Raw!AW82,Raw!AY82,Raw!AZ82,Raw!BA82,Raw!BC82,Raw!BF82,Raw!BH82,Raw!BI82,Raw!BK82) / SUM(Raw!AV82:BK82), "No Contingency Table"), "Not Included")</f>
        <v>Not Included</v>
      </c>
      <c r="CC82" s="11" t="str">
        <f>IF(BX82, IF(COUNTIF(Raw!AV82:BK82, "&gt;=0") = 16,SUM(SUM(Raw!BD82,Raw!BE82,Raw!BF82,Raw!BG82)*SUM(Raw!BF82,Raw!AX82,Raw!BB82,Raw!BJ82),SUM(Raw!AV82:BC82,Raw!BH82:BK82)*SUM(Raw!AV82,Raw!AW82,Raw!AY82,Raw!AZ82,Raw!BA82,Raw!BC82,Raw!BD82,Raw!BE82,Raw!BG82,Raw!BH82,Raw!BI82,Raw!BK82))/BZ82^2,"No Contingency Table"), "Not Included")</f>
        <v>Not Included</v>
      </c>
      <c r="CD82" s="11" t="str">
        <f>IF(BX82, IF(COUNTIF(Raw!AV82:BK82, "&gt;=0") = 16,(CB82 - CC82) / (1 - CC82+0.000001),"No Contingency Table"), "Not Included")</f>
        <v>Not Included</v>
      </c>
      <c r="CE82" s="11" t="b">
        <f t="shared" ref="CE82:CG82" si="342">BQ82</f>
        <v>0</v>
      </c>
      <c r="CF82" s="11" t="str">
        <f t="shared" si="342"/>
        <v>Not Included</v>
      </c>
      <c r="CG82" s="11" t="str">
        <f t="shared" si="342"/>
        <v>Not Included</v>
      </c>
      <c r="CH82" s="11" t="str">
        <f>IF(CE82, IF(COUNTIF(Raw!AV82:BK82, "&gt;=0") = 16, IFERROR((CG82*Raw!BA82 - SUM(Raw!BA82, Raw!AZ82, Raw!BB82, Raw!BC82)*SUM(Raw!BA82, Raw!AW82, Raw!BE82, Raw!BI82)) / SQRT((CG82*SUM(Raw!BA82, Raw!AZ82, Raw!BB82, Raw!BC82) - SUM(Raw!BA82, Raw!AZ82, Raw!BB82, Raw!BC82)^2) * (CG82*SUM(Raw!BA82, Raw!AW82, Raw!BE82, Raw!BI82) - SUM(Raw!BA82, Raw!AW82, Raw!BE82, Raw!BI82)^2)), 0), "No Contingency Table"), "Not Included")</f>
        <v>Not Included</v>
      </c>
      <c r="CI82" s="11" t="str">
        <f>IF(CE82, IF(COUNTIF(Raw!AV82:BK82, "&gt;=0") = 16, SUM(Raw!AV82,Raw!AX82,Raw!AY82,Raw!BA82,Raw!BD82,Raw!BF82,Raw!BG82,Raw!BH82,Raw!BJ82,Raw!BK82) / SUM(Raw!AV82:BK82), "No Contingency Table"), "Not Included")</f>
        <v>Not Included</v>
      </c>
      <c r="CJ82" s="61" t="str">
        <f>IF(BX82, IF(COUNTIF(Raw!AV82:BK82, "&gt;=0") = 16,SUM(SUM(Raw!AZ82,Raw!BA82,Raw!BB82,Raw!BC82)*SUM(Raw!BA82,Raw!AW82,Raw!BE82,Raw!BI82),SUM(Raw!AV82:AY82,Raw!BD82:BK82)*SUM(Raw!AV82,Raw!AX82,Raw!AY82,Raw!AZ82,Raw!BB82,Raw!BC82,Raw!BD82,Raw!BF82,Raw!BG82,Raw!BH82,Raw!BJ82,Raw!BK82))/CG82^2,"No Contingency Table"), "Not Included")</f>
        <v>Not Included</v>
      </c>
      <c r="CK82" s="11" t="str">
        <f>IF(BX82, IF(COUNTIF(Raw!AV82:BK82, "&gt;=0") = 16,(CI82 - CJ82) / (1 - CJ82),"No Contingency Table"), "Not Included")</f>
        <v>Not Included</v>
      </c>
      <c r="CL82" s="11" t="str">
        <f>IF(BQ82, IFERROR(Raw!AV82/SUM(Raw!AV82:AY82), 0), "Not Included")</f>
        <v>Not Included</v>
      </c>
      <c r="CM82" s="11" t="str">
        <f>IF(BQ82, IFERROR(Raw!BA82/SUM(Raw!AZ82:BC82), 0), "Not Included")</f>
        <v>Not Included</v>
      </c>
      <c r="CN82" s="11" t="str">
        <f>IF(BQ82, IFERROR(Raw!BF82/SUM(Raw!BD82:BG82), 0), "Not Included")</f>
        <v>Not Included</v>
      </c>
      <c r="CO82" s="11" t="str">
        <f>IF(BQ82, IFERROR(Raw!BK82/SUM(Raw!BH82:BK82), 0), "Not Included")</f>
        <v>Not Included</v>
      </c>
      <c r="CP82" s="11" t="str">
        <f>IF(BQ82, IFERROR(SUM(Raw!AV82,Raw!AX82,Raw!AY82,Raw!BD82,Raw!BF82,Raw!BG82,Raw!BH82,Raw!BJ82,Raw!BK82)/SUM(Raw!AV82,Raw!AW82,Raw!AX82,Raw!AY82,Raw!BD82,Raw!BE82,Raw!BF82,Raw!BG82,Raw!BH82,Raw!BI82,Raw!BJ82,Raw!BK82), 0), "Not Included")</f>
        <v>Not Included</v>
      </c>
      <c r="CQ82" s="11" t="str">
        <f>IF(BQ82, IFERROR(SUM(Raw!AV82:AX82,Raw!AZ82:BB82,Raw!BD82:BF82)/SUM(Raw!AV82:BF82), 0), "Not Included")</f>
        <v>Not Included</v>
      </c>
      <c r="CR82" s="11" t="str">
        <f>IF(BQ82, IFERROR(SUM(Raw!AV82:AY82), 0), "Not Included")</f>
        <v>Not Included</v>
      </c>
      <c r="CS82" s="11" t="str">
        <f>IF(BQ82, IFERROR(SUM(Raw!AZ82:BC82), 0), "Not Included")</f>
        <v>Not Included</v>
      </c>
      <c r="CT82" s="11" t="str">
        <f>IF(BQ82, IFERROR(SUM(Raw!BD82:BG82), 0), "Not Included")</f>
        <v>Not Included</v>
      </c>
      <c r="CU82" s="11" t="str">
        <f>IF(BQ82, IFERROR(SUM(Raw!BH82:BK82), 0), "Not Included")</f>
        <v>Not Included</v>
      </c>
      <c r="CV82" s="11" t="str">
        <f>IF(BQ82, IFERROR(SUM(Raw!AV82,Raw!AW82,Raw!AX82,Raw!AY82,Raw!BD82,Raw!BE82,Raw!BF82,Raw!BG82,Raw!BH82,Raw!BI82,Raw!BJ82,Raw!BK82), 0), "Not Included")</f>
        <v>Not Included</v>
      </c>
      <c r="CW82" s="11" t="str">
        <f>IF(BQ82, IFERROR(SUM(Raw!AV82:BF82), 0), "Not Included")</f>
        <v>Not Included</v>
      </c>
      <c r="CX82" s="11" t="str">
        <f>IF(BQ82, IFERROR((CR82*SUM(Raw!AV82,Raw!AZ82,Raw!BD82,Raw!BH82))/BS82/CR82, 0), "Not Included")</f>
        <v>Not Included</v>
      </c>
      <c r="CY82" s="11" t="str">
        <f>IF(BX82, IFERROR((CS82*SUM(Raw!BA82,Raw!AW82,Raw!BE82,Raw!BI82))/CG82/CS82, 0), "Not Included")</f>
        <v>Not Included</v>
      </c>
      <c r="CZ82" s="11" t="str">
        <f>IF(BX82, IFERROR((CT82*SUM(Raw!BF82,Raw!AX82,Raw!BB82,Raw!BJ82))/BZ82/CT82, 0), "Not Included")</f>
        <v>Not Included</v>
      </c>
      <c r="DA82" s="11" t="str">
        <f>IF(AY82, IFERROR((CU82*SUM(Raw!AY82,Raw!BC82,Raw!BG82,Raw!BK82))/AT82/CU82, 0), "Not Included")</f>
        <v>Not Included</v>
      </c>
      <c r="DB82" s="11" t="str">
        <f>IF(BX82, IFERROR((CV82*SUM(Raw!AV82,Raw!AX82,Raw!AY82,Raw!AZ82,Raw!BB82,Raw!BC82,Raw!BD82,Raw!BF82,Raw!BG82,Raw!BH82,Raw!BJ82,Raw!BK82))/CG82/CV82,0), "Not Included")</f>
        <v>Not Included</v>
      </c>
      <c r="DC82" s="11" t="str">
        <f>IF(AY82, IFERROR((CW82*SUM(Raw!AV82,Raw!AW82,Raw!AX82,Raw!AZ82,Raw!BA82,Raw!BB82,Raw!BD82,Raw!BE82,Raw!BF82,Raw!BH82,Raw!BI82,Raw!BJ82))/AT82/CW82,0), "Not Included")</f>
        <v>Not Included</v>
      </c>
    </row>
    <row r="83" spans="1:107" ht="12.75" customHeight="1">
      <c r="A83" s="11">
        <f>Raw!D83</f>
        <v>59</v>
      </c>
      <c r="B83" s="11" t="str">
        <f>Raw!A83</f>
        <v>Carlson (1998)</v>
      </c>
      <c r="C83" s="11">
        <f>Raw!G83</f>
        <v>1</v>
      </c>
      <c r="D83" s="11" t="str">
        <f>Raw!E83</f>
        <v>Mother-child</v>
      </c>
      <c r="E83" s="11" t="str">
        <f>CONCATENATE(IF(Raw!I83&lt;='Interval Definitions'!$B$2, 'Interval Definitions'!$A$2, IF(Raw!I83&lt;='Interval Definitions'!$B$3, 'Interval Definitions'!$A$3, IF(Raw!I83&lt;='Interval Definitions'!$B$4, 'Interval Definitions'!$A$4, IF(Raw!I83&lt;='Interval Definitions'!$B$5, 'Interval Definitions'!$A$5, "None")))), " - ", IF(Raw!J83&lt;='Interval Definitions'!$B$2, 'Interval Definitions'!$A$2, IF(Raw!J83&lt;='Interval Definitions'!$B$3, 'Interval Definitions'!$A$3, IF(Raw!J83&lt;='Interval Definitions'!$B$4, 'Interval Definitions'!$A$4, IF(Raw!J83&lt;='Interval Definitions'!$B$5, 'Interval Definitions'!$A$5, "None")))))</f>
        <v>Infancy - Infancy</v>
      </c>
      <c r="F83" s="11" t="b">
        <f>OR(NOT(ISBLANK(Raw!AF83)),NOT(ISBLANK(Raw!AG83)),NOT(ISBLANK(Raw!AH83)),NOT(ISBLANK(Raw!AI83)),COUNTIF(Raw!AA83:AD83, "&gt;=0") = 4)</f>
        <v>0</v>
      </c>
      <c r="G83" s="11" t="str">
        <f>IF(F83, IF(COUNTIF(Raw!AA83:AD83,"&gt;=0") = 4, "Contingency", IF(NOT(ISBLANK(Raw!AF83)), "Paper r", IF(NOT(ISBLANK(Raw!AG83)), "Pinquart", IF(NOT(ISBLANK(Raw!AH83)), "Fraley", "Paper chiSq")))), "Not Included")</f>
        <v>Not Included</v>
      </c>
      <c r="H83" s="15" t="str">
        <f>IF(F83,Raw!AE83,"Not Included")</f>
        <v>Not Included</v>
      </c>
      <c r="I83" s="15" t="str">
        <f>IF(COUNTIF(Raw!AA83:AD83,"&gt;=0") = 4, SUM(Raw!AA83:AD83), "No Contingency Table")</f>
        <v>No Contingency Table</v>
      </c>
      <c r="J83" s="15" t="str">
        <f t="shared" si="0"/>
        <v>Not Included</v>
      </c>
      <c r="K83" s="38" t="str">
        <f>IF(F83, IF(COUNTIF(Raw!AA83:AD83,"&gt;=0") = 4, IFERROR((I83*Raw!AA83 - SUM(Raw!AA83,Raw!AB83)*SUM(Raw!AA83,Raw!AD83)) / SQRT((I83*SUM(Raw!AA83,Raw!AB83) - SUM(Raw!AA83,Raw!AB83)^2) * (I83*SUM(Raw!AA83,Raw!AD83) - SUM(Raw!AA83,Raw!AD83)^2)), 0), "No Contingency Table"), "Not Included")</f>
        <v>Not Included</v>
      </c>
      <c r="L83" s="41" t="str">
        <f>IF(F83,IF(NOT(ISBLANK(Raw!AF83)), Raw!AF83, IF(NOT(ISBLANK(Raw!AG83)), Raw!AG83, IF(NOT(ISBLANK(Raw!AH83)), Raw!AH83, IF(NOT(ISBLANK(Raw!AI83)), SQRT(Raw!AI83/H83)*Raw!AJ83, "Not Reported")))),"Not Included")</f>
        <v>Not Included</v>
      </c>
      <c r="M83" s="43" t="str">
        <f t="shared" si="1"/>
        <v>Not Included</v>
      </c>
      <c r="N83" s="11" t="str">
        <f t="shared" si="2"/>
        <v>NA</v>
      </c>
      <c r="O83" s="48" t="b">
        <f>OR(NOT(ISBLANK(Raw!AK83)), COUNTIF(Raw!AA83:AD83, "&gt;=0") = 4)</f>
        <v>0</v>
      </c>
      <c r="P83" s="24" t="str">
        <f>IF(O83,IF(COUNTIF(Raw!AA83:AD83,"&gt;=0") = 4,"Contingency", "Paper k"), "Not Included")</f>
        <v>Not Included</v>
      </c>
      <c r="Q83" s="48" t="str">
        <f>IF(O83, IF(COUNTIF(Raw!AA83:AD83,"&gt;=0") = 4,SUM(Raw!AA83,Raw!AC83)/H83,"No Contingency Table"), "Not Included")</f>
        <v>Not Included</v>
      </c>
      <c r="R83" s="38" t="str">
        <f>IF(O83, IF(COUNTIF(Raw!AA83:AD83, "&gt;=0") = 4,SUM(SUM(Raw!AA83,Raw!AB83)*SUM(Raw!AA83,Raw!AD83),SUM(Raw!AC83,Raw!AD83)*SUM(Raw!AC83,Raw!AB83))/H83^2,"No Contingency Table"), "Not Included")</f>
        <v>Not Included</v>
      </c>
      <c r="S83" s="38" t="str">
        <f>IF(O83, IF(COUNTIF(Raw!AA83:AD83,"&gt;=0") = 4, IFERROR((Q83 - R83) / (1 - R83), "Could not calculate"), "No Contingency Table"), "Not Included")</f>
        <v>Not Included</v>
      </c>
      <c r="T83" s="52" t="str">
        <f>IF(O83,IF(NOT(ISBLANK(Raw!AK83)), Raw!AK83, "Not Reported"), "Not Included")</f>
        <v>Not Included</v>
      </c>
      <c r="U83" s="11" t="str">
        <f t="shared" si="3"/>
        <v>Not Included</v>
      </c>
      <c r="V83" s="11" t="str">
        <f t="shared" si="4"/>
        <v>Not Included</v>
      </c>
      <c r="W83" s="11" t="b">
        <f>OR(NOT(ISBLANK(Raw!AU83)),COUNTIF(Raw!AL83:AT83,"&gt;=0") = 9)</f>
        <v>0</v>
      </c>
      <c r="X83" s="11" t="str">
        <f>IF(W83, IF(COUNTIF(Raw!AL83:AT83,"&gt;=0") = 9, "Contingency", "Paper k"), "Not Included")</f>
        <v>Not Included</v>
      </c>
      <c r="Y83" s="11" t="str">
        <f>IF(W83,IF(COUNTIF(Raw!AL83:AT83,"&gt;=0") = 9,SUM(Raw!AL83:AT83),"No Contingency Table"),"Not Included")</f>
        <v>Not Included</v>
      </c>
      <c r="Z83" s="11" t="str">
        <f t="shared" si="5"/>
        <v>Not Included</v>
      </c>
      <c r="AA83" s="11" t="str">
        <f>IF(W83,IF(COUNTIF(Raw!AL83:AT83,"&gt;=0") = 9,SUM(Raw!AL83,Raw!AP83,Raw!AT83)/Y83,"No Contingency Table"), "Not Included")</f>
        <v>Not Included</v>
      </c>
      <c r="AB83" s="11" t="str">
        <f>IF(W83,IF(COUNTIF(Raw!AL83:AT83,"&gt;=0") = 9,SUM(SUM(Raw!AL83,Raw!AM83,Raw!AN83)*SUM(Raw!AL83,Raw!AO83,Raw!AR83),SUM(Raw!AO83,Raw!AP83,Raw!AQ83)*SUM(Raw!AM83,Raw!AP83,Raw!AS83),SUM(Raw!AR83,Raw!AS83,Raw!AT83)*SUM(Raw!AN83,Raw!AQ83,Raw!AT83))/Y83^2,"No Contingency Table"), "Not Included")</f>
        <v>Not Included</v>
      </c>
      <c r="AC83" s="11" t="str">
        <f>IF(W83,IF(COUNTIF(Raw!AL83:AT83,"&gt;=0") = 9,(AA83 - AB83) / (1 - AB83),"No Contingency Table"), "Not Included")</f>
        <v>Not Included</v>
      </c>
      <c r="AD83" s="11" t="str">
        <f>IF(W83, IF(NOT(ISBLANK(Raw!AU83)),Raw!AU83,"Not Reported"), "Not Included")</f>
        <v>Not Included</v>
      </c>
      <c r="AE83" s="11" t="str">
        <f t="shared" si="6"/>
        <v>Not Included</v>
      </c>
      <c r="AF83" s="11" t="str">
        <f t="shared" si="7"/>
        <v>Not Included</v>
      </c>
      <c r="AG83" s="11" t="b">
        <f>COUNTIF(Raw!AV83:BK83, "&gt;=0") = 16</f>
        <v>0</v>
      </c>
      <c r="AH83" s="11" t="str">
        <f>IF(AG83, IF(COUNTIF(Raw!AV83:BK83,"&gt;=0") = 16, "Contingency", "Paper k"), "Not Included")</f>
        <v>Not Included</v>
      </c>
      <c r="AI83" s="11" t="str">
        <f>IF(AG83,IF(COUNTIF(Raw!AV83:BK83,"&gt;=0") = 16,SUM(Raw!AV83:BK83),"No Contingency Table"),"Not Included")</f>
        <v>Not Included</v>
      </c>
      <c r="AJ83" s="15" t="str">
        <f t="shared" si="8"/>
        <v>Not Included</v>
      </c>
      <c r="AK83" s="11" t="str">
        <f>IF(AG83,IF(COUNTIF(Raw!AV83:BK83,"&gt;=0") = 16,SUM(Raw!AV83,Raw!BA83,Raw!BF83,Raw!BK83)/AI83,"No Contingency Table"), "Not Included")</f>
        <v>Not Included</v>
      </c>
      <c r="AL83" s="11" t="str">
        <f>IF(AG83,IF(COUNTIF(Raw!AV83:BK83,"&gt;=0") = 16,SUM(SUM(Raw!AV83,Raw!AW83,Raw!AX83,Raw!AY83)*SUM(Raw!AV83,Raw!AZ83,Raw!BD83,Raw!BH83),SUM(Raw!AZ83,Raw!BA83,Raw!BB83,Raw!BC83)*SUM(Raw!AW83,Raw!BA83,Raw!BE83,Raw!BI83),SUM(Raw!BD83,Raw!BE83,Raw!BF83,Raw!BG83)*SUM(Raw!AX83,Raw!BB83,Raw!BF83,Raw!BJ83),SUM(Raw!BH83,Raw!BI83,Raw!BJ83,Raw!BK83)*SUM(Raw!AY83,Raw!BC83,Raw!BG83,Raw!BK83))/AI83^2,"No Contingency Table"), "Not Included")</f>
        <v>Not Included</v>
      </c>
      <c r="AM83" s="11" t="str">
        <f>IF(AG83,IF(COUNTIF(Raw!AV83:BK83,"&gt;=0") = 16,(AK83 - AL83) / (1 - AL83),"No Contingency Table"), "Not Included")</f>
        <v>Not Included</v>
      </c>
      <c r="AN83" s="11" t="str">
        <f>IF(NOT(ISBLANK(Raw!BL83)),Raw!BL83,"Not Reported")</f>
        <v>Not Reported</v>
      </c>
      <c r="AO83" s="11" t="str">
        <f t="shared" si="9"/>
        <v>Not Reported</v>
      </c>
      <c r="AP83" s="11" t="str">
        <f t="shared" si="10"/>
        <v>Not Included</v>
      </c>
      <c r="AQ83" s="11" t="b">
        <f t="shared" ref="AQ83:AR83" si="343">BQ83</f>
        <v>0</v>
      </c>
      <c r="AR83" s="11" t="str">
        <f t="shared" si="343"/>
        <v>Not Included</v>
      </c>
      <c r="AS83" s="11" t="str">
        <f t="shared" si="12"/>
        <v>Not Included</v>
      </c>
      <c r="AT83" s="11" t="str">
        <f t="shared" si="13"/>
        <v>Not Included</v>
      </c>
      <c r="AU83" s="11" t="str">
        <f>IF(AQ83, IF(COUNTIF(Raw!AV83:BK83, "&gt;=0") = 16, IFERROR((AT83*Raw!BK83 - SUM(Raw!BH83, Raw!BI83, Raw!BJ83, Raw!BK83)*SUM(Raw!AY83, Raw!BC83, Raw!BG83, Raw!BK83)) / SQRT((AT83*SUM(Raw!BH83, Raw!BI83, Raw!BJ83, Raw!BK83) - SUM(Raw!BH83, Raw!BI83, Raw!BJ83, Raw!BK83)^2) * (AT83*SUM(Raw!AY83, Raw!BC83, Raw!BG83, Raw!BK83) - SUM(Raw!AY83, Raw!BC83, Raw!BG83, Raw!BK83)^2)), 0), "No Contingency Table"), "Not Included")</f>
        <v>Not Included</v>
      </c>
      <c r="AV83" s="11" t="str">
        <f>IF(AQ83,IF(NOT(ISBLANK(Raw!BQ83)), Raw!BQ83, IF(NOT(ISBLANK(Raw!BR83)), Raw!BR83, "Not Reported")), "Not Included")</f>
        <v>Not Included</v>
      </c>
      <c r="AW83" s="57" t="str">
        <f t="shared" si="14"/>
        <v>Not Included</v>
      </c>
      <c r="AX83" s="11" t="str">
        <f t="shared" si="15"/>
        <v>Not Included</v>
      </c>
      <c r="AY83" s="11" t="b">
        <f t="shared" ref="AY83:AZ83" si="344">AQ83</f>
        <v>0</v>
      </c>
      <c r="AZ83" s="11" t="str">
        <f t="shared" si="344"/>
        <v>Not Included</v>
      </c>
      <c r="BA83" s="11" t="str">
        <f>IF(AY83, IF(COUNTIF(Raw!AV83:BK83, "&gt;=0") = 16, SUM(Raw!AV83,Raw!AW83,Raw!AX83,Raw!AZ83,Raw!BA83,Raw!BB83,Raw!BD83,Raw!BE83,Raw!BF83,Raw!BK83)/SUM(Raw!AV83:BK83), "No Contingency Table"), "Not Included")</f>
        <v>Not Included</v>
      </c>
      <c r="BB83" s="11" t="str">
        <f>IF(AY83, IF(COUNTIF(Raw!AV83:BK83, "&gt;=0") = 16,SUM(SUM(Raw!BH83,Raw!BI83,Raw!BJ83,Raw!BK83)*SUM(Raw!AY83,Raw!BC83,Raw!BG83,Raw!BK83),SUM(Raw!AV83:BG83)*SUM(Raw!AV83,Raw!AW83,Raw!AX83,Raw!AZ83,Raw!BA83,Raw!BB83,Raw!BD83,Raw!BE83,Raw!BF83,Raw!BH83,Raw!BI83,Raw!BJ83))/AT83^2,"No Contingency Table"), "Not Included")</f>
        <v>Not Included</v>
      </c>
      <c r="BC83" s="11" t="str">
        <f>IF(AY83, IF(COUNTIF(Raw!AV83:BK83, "&gt;=0") = 16,(BA83-BB83) / (1 - BB83),"No Contingency Table"), "Not Included")</f>
        <v>Not Included</v>
      </c>
      <c r="BD83" s="11" t="str">
        <f>IF(AY83,IF(NOT(ISBLANK(Raw!BT104)),Raw!BT104,"Not Reported"),"Not Included")</f>
        <v>Not Included</v>
      </c>
      <c r="BE83" s="11" t="str">
        <f t="shared" si="17"/>
        <v>Not Included</v>
      </c>
      <c r="BF83" s="11" t="str">
        <f t="shared" si="18"/>
        <v>Not Included</v>
      </c>
      <c r="BG83" s="11">
        <f>Raw!K83</f>
        <v>1998</v>
      </c>
      <c r="BH83" s="11" t="str">
        <f>IF(Raw!L83 = "USA","USA","Non-USA")</f>
        <v>USA</v>
      </c>
      <c r="BI83" s="11" t="str">
        <f>Raw!M83</f>
        <v>Ainsworth/Ainsworth</v>
      </c>
      <c r="BJ83" s="11">
        <f>Raw!N83</f>
        <v>0</v>
      </c>
      <c r="BK83" s="11">
        <f>Raw!P83</f>
        <v>1</v>
      </c>
      <c r="BL83" s="11">
        <f>Raw!Q83</f>
        <v>0</v>
      </c>
      <c r="BM83" s="11">
        <f>Raw!T83</f>
        <v>1</v>
      </c>
      <c r="BN83" s="11">
        <f>IFERROR(IF(AND(ISBLANK(Raw!U83), ISBLANK(Raw!V83), ISBLANK(Raw!W83), ISBLANK(Raw!X83)), "NA", IF(OR(NOT(ISBLANK(Raw!U83)), NOT(ISBLANK(Raw!W83))), AVERAGE(Raw!U83,Raw!W83), AVERAGE(Raw!V83,Raw!X83) + IF(Raw!Y83 = "2-way", R83, IF(Raw!Y83 = "3-way", AB83, IF(Raw!Y83 = "4-way", AL83, "NA")))*(1 - AVERAGE(Raw!V83,Raw!X83)))), "NA")</f>
        <v>0.90500000000000003</v>
      </c>
      <c r="BO83" s="11">
        <f>Raw!O83</f>
        <v>1</v>
      </c>
      <c r="BP83" s="11" t="str">
        <f>Raw!F83</f>
        <v>Female</v>
      </c>
      <c r="BQ83" s="11" t="b">
        <f>COUNTIF(Raw!AV83:BK83, "&gt;=0") = 16</f>
        <v>0</v>
      </c>
      <c r="BR83" s="11" t="str">
        <f t="shared" si="19"/>
        <v>Not Included</v>
      </c>
      <c r="BS83" s="11" t="str">
        <f t="shared" si="20"/>
        <v>Not Included</v>
      </c>
      <c r="BT83" s="11" t="str">
        <f>IF(BQ83, IF(COUNTIF(Raw!AV83:BK83, "&gt;=0") = 16, IFERROR((BS83*Raw!AV83 - SUM(Raw!AV83, Raw!AW83, Raw!AX83, Raw!AY83)*SUM(Raw!AV83, Raw!AZ83, Raw!BD83, Raw!BH83)) / SQRT((BS83*SUM(Raw!AV83, Raw!AW83, Raw!AX83, Raw!AY83) - SUM(Raw!AV83, Raw!AW83, Raw!AX83, Raw!AY83)^2) * (BS83*SUM(Raw!AV83, Raw!AZ83, Raw!BD83, Raw!BH83) - SUM(Raw!AV83, Raw!AZ83, Raw!BD83, Raw!BH83)^2)), 0), "No Contingency Table"), "Not Included")</f>
        <v>Not Included</v>
      </c>
      <c r="BU83" s="11" t="str">
        <f>IF(BQ83, IF(COUNTIF(Raw!AV83:BK83, "&gt;=0") = 16, SUM(Raw!BK83,Raw!BJ83,Raw!BI83,Raw!BG83,Raw!BF83,Raw!BE83,Raw!BC83,Raw!BB83,Raw!BA83,Raw!AV83)/SUM(Raw!AV83:BK83), "No Contingency Table"), "Not Included")</f>
        <v>Not Included</v>
      </c>
      <c r="BV83" s="11" t="str">
        <f>IF(BQ83, IF(COUNTIF(Raw!AV83:BK83, "&gt;=0") = 16,SUM(SUM(Raw!AV83,Raw!AW83,Raw!AX83,Raw!AY83)*SUM(Raw!AV83,Raw!AZ83,Raw!BD83,Raw!BH83),SUM(Raw!AZ83:BK83)*SUM(Raw!AW83,Raw!AX83,Raw!AY83,Raw!BA83,Raw!BB83,Raw!BC83,Raw!BE83,Raw!BF83,Raw!BG83,Raw!BI83,Raw!BJ83,Raw!BK83))/BS83^2,"No Contingency Table"), "Not Included")</f>
        <v>Not Included</v>
      </c>
      <c r="BW83" s="11" t="str">
        <f>IF(BQ83, IF(COUNTIF(Raw!AV83:BK83, "&gt;=0") = 16,(BU83-BV83) / (1 - BV83),"No Contingency Table"), "Not Included")</f>
        <v>Not Included</v>
      </c>
      <c r="BX83" s="11" t="b">
        <f t="shared" ref="BX83:BZ83" si="345">BQ83</f>
        <v>0</v>
      </c>
      <c r="BY83" s="11" t="str">
        <f t="shared" si="345"/>
        <v>Not Included</v>
      </c>
      <c r="BZ83" s="11" t="str">
        <f t="shared" si="345"/>
        <v>Not Included</v>
      </c>
      <c r="CA83" s="11" t="str">
        <f>IF(BX83, IF(COUNTIF(Raw!AV83:BK83, "&gt;=0") = 16, IFERROR((BZ83*Raw!BF83 - SUM(Raw!BD83, Raw!BE83, Raw!BF83, Raw!BG83)*SUM(Raw!BF83, Raw!AX83, Raw!BB83, Raw!BJ83)) / SQRT((BZ83*SUM(Raw!BD83, Raw!BE83, Raw!BF83, Raw!BG83) - SUM(Raw!BD83, Raw!BE83, Raw!BF83, Raw!BG83)^2) * (BZ83*SUM(Raw!BF83, Raw!AX83, Raw!BB83, Raw!BJ83) - SUM(Raw!BF83, Raw!AX83, Raw!BB83, Raw!BJ83)^2)), 0), "No Contingency Table"), "Not Included")</f>
        <v>Not Included</v>
      </c>
      <c r="CB83" s="11" t="str">
        <f>IF(BX83, IF(COUNTIF(Raw!AV83:BK83, "&gt;=0") = 16, SUM(Raw!AV83,Raw!AW83,Raw!AY83,Raw!AZ83,Raw!BA83,Raw!BC83,Raw!BF83,Raw!BH83,Raw!BI83,Raw!BK83) / SUM(Raw!AV83:BK83), "No Contingency Table"), "Not Included")</f>
        <v>Not Included</v>
      </c>
      <c r="CC83" s="11" t="str">
        <f>IF(BX83, IF(COUNTIF(Raw!AV83:BK83, "&gt;=0") = 16,SUM(SUM(Raw!BD83,Raw!BE83,Raw!BF83,Raw!BG83)*SUM(Raw!BF83,Raw!AX83,Raw!BB83,Raw!BJ83),SUM(Raw!AV83:BC83,Raw!BH83:BK83)*SUM(Raw!AV83,Raw!AW83,Raw!AY83,Raw!AZ83,Raw!BA83,Raw!BC83,Raw!BD83,Raw!BE83,Raw!BG83,Raw!BH83,Raw!BI83,Raw!BK83))/BZ83^2,"No Contingency Table"), "Not Included")</f>
        <v>Not Included</v>
      </c>
      <c r="CD83" s="11" t="str">
        <f>IF(BX83, IF(COUNTIF(Raw!AV83:BK83, "&gt;=0") = 16,(CB83 - CC83) / (1 - CC83+0.000001),"No Contingency Table"), "Not Included")</f>
        <v>Not Included</v>
      </c>
      <c r="CE83" s="11" t="b">
        <f t="shared" ref="CE83:CG83" si="346">BQ83</f>
        <v>0</v>
      </c>
      <c r="CF83" s="11" t="str">
        <f t="shared" si="346"/>
        <v>Not Included</v>
      </c>
      <c r="CG83" s="11" t="str">
        <f t="shared" si="346"/>
        <v>Not Included</v>
      </c>
      <c r="CH83" s="11" t="str">
        <f>IF(CE83, IF(COUNTIF(Raw!AV83:BK83, "&gt;=0") = 16, IFERROR((CG83*Raw!BA83 - SUM(Raw!BA83, Raw!AZ83, Raw!BB83, Raw!BC83)*SUM(Raw!BA83, Raw!AW83, Raw!BE83, Raw!BI83)) / SQRT((CG83*SUM(Raw!BA83, Raw!AZ83, Raw!BB83, Raw!BC83) - SUM(Raw!BA83, Raw!AZ83, Raw!BB83, Raw!BC83)^2) * (CG83*SUM(Raw!BA83, Raw!AW83, Raw!BE83, Raw!BI83) - SUM(Raw!BA83, Raw!AW83, Raw!BE83, Raw!BI83)^2)), 0), "No Contingency Table"), "Not Included")</f>
        <v>Not Included</v>
      </c>
      <c r="CI83" s="11" t="str">
        <f>IF(CE83, IF(COUNTIF(Raw!AV83:BK83, "&gt;=0") = 16, SUM(Raw!AV83,Raw!AX83,Raw!AY83,Raw!BA83,Raw!BD83,Raw!BF83,Raw!BG83,Raw!BH83,Raw!BJ83,Raw!BK83) / SUM(Raw!AV83:BK83), "No Contingency Table"), "Not Included")</f>
        <v>Not Included</v>
      </c>
      <c r="CJ83" s="61" t="str">
        <f>IF(BX83, IF(COUNTIF(Raw!AV83:BK83, "&gt;=0") = 16,SUM(SUM(Raw!AZ83,Raw!BA83,Raw!BB83,Raw!BC83)*SUM(Raw!BA83,Raw!AW83,Raw!BE83,Raw!BI83),SUM(Raw!AV83:AY83,Raw!BD83:BK83)*SUM(Raw!AV83,Raw!AX83,Raw!AY83,Raw!AZ83,Raw!BB83,Raw!BC83,Raw!BD83,Raw!BF83,Raw!BG83,Raw!BH83,Raw!BJ83,Raw!BK83))/CG83^2,"No Contingency Table"), "Not Included")</f>
        <v>Not Included</v>
      </c>
      <c r="CK83" s="11" t="str">
        <f>IF(BX83, IF(COUNTIF(Raw!AV83:BK83, "&gt;=0") = 16,(CI83 - CJ83) / (1 - CJ83),"No Contingency Table"), "Not Included")</f>
        <v>Not Included</v>
      </c>
      <c r="CL83" s="11" t="str">
        <f>IF(BQ83, IFERROR(Raw!AV83/SUM(Raw!AV83:AY83), 0), "Not Included")</f>
        <v>Not Included</v>
      </c>
      <c r="CM83" s="11" t="str">
        <f>IF(BQ83, IFERROR(Raw!BA83/SUM(Raw!AZ83:BC83), 0), "Not Included")</f>
        <v>Not Included</v>
      </c>
      <c r="CN83" s="11" t="str">
        <f>IF(BQ83, IFERROR(Raw!BF83/SUM(Raw!BD83:BG83), 0), "Not Included")</f>
        <v>Not Included</v>
      </c>
      <c r="CO83" s="11" t="str">
        <f>IF(BQ83, IFERROR(Raw!BK83/SUM(Raw!BH83:BK83), 0), "Not Included")</f>
        <v>Not Included</v>
      </c>
      <c r="CP83" s="11" t="str">
        <f>IF(BQ83, IFERROR(SUM(Raw!AV83,Raw!AX83,Raw!AY83,Raw!BD83,Raw!BF83,Raw!BG83,Raw!BH83,Raw!BJ83,Raw!BK83)/SUM(Raw!AV83,Raw!AW83,Raw!AX83,Raw!AY83,Raw!BD83,Raw!BE83,Raw!BF83,Raw!BG83,Raw!BH83,Raw!BI83,Raw!BJ83,Raw!BK83), 0), "Not Included")</f>
        <v>Not Included</v>
      </c>
      <c r="CQ83" s="11" t="str">
        <f>IF(BQ83, IFERROR(SUM(Raw!AV83:AX83,Raw!AZ83:BB83,Raw!BD83:BF83)/SUM(Raw!AV83:BF83), 0), "Not Included")</f>
        <v>Not Included</v>
      </c>
      <c r="CR83" s="11" t="str">
        <f>IF(BQ83, IFERROR(SUM(Raw!AV83:AY83), 0), "Not Included")</f>
        <v>Not Included</v>
      </c>
      <c r="CS83" s="11" t="str">
        <f>IF(BQ83, IFERROR(SUM(Raw!AZ83:BC83), 0), "Not Included")</f>
        <v>Not Included</v>
      </c>
      <c r="CT83" s="11" t="str">
        <f>IF(BQ83, IFERROR(SUM(Raw!BD83:BG83), 0), "Not Included")</f>
        <v>Not Included</v>
      </c>
      <c r="CU83" s="11" t="str">
        <f>IF(BQ83, IFERROR(SUM(Raw!BH83:BK83), 0), "Not Included")</f>
        <v>Not Included</v>
      </c>
      <c r="CV83" s="11" t="str">
        <f>IF(BQ83, IFERROR(SUM(Raw!AV83,Raw!AW83,Raw!AX83,Raw!AY83,Raw!BD83,Raw!BE83,Raw!BF83,Raw!BG83,Raw!BH83,Raw!BI83,Raw!BJ83,Raw!BK83), 0), "Not Included")</f>
        <v>Not Included</v>
      </c>
      <c r="CW83" s="11" t="str">
        <f>IF(BQ83, IFERROR(SUM(Raw!AV83:BF83), 0), "Not Included")</f>
        <v>Not Included</v>
      </c>
      <c r="CX83" s="11" t="str">
        <f>IF(BQ83, IFERROR((CR83*SUM(Raw!AV83,Raw!AZ83,Raw!BD83,Raw!BH83))/BS83/CR83, 0), "Not Included")</f>
        <v>Not Included</v>
      </c>
      <c r="CY83" s="11" t="str">
        <f>IF(BX83, IFERROR((CS83*SUM(Raw!BA83,Raw!AW83,Raw!BE83,Raw!BI83))/CG83/CS83, 0), "Not Included")</f>
        <v>Not Included</v>
      </c>
      <c r="CZ83" s="11" t="str">
        <f>IF(BX83, IFERROR((CT83*SUM(Raw!BF83,Raw!AX83,Raw!BB83,Raw!BJ83))/BZ83/CT83, 0), "Not Included")</f>
        <v>Not Included</v>
      </c>
      <c r="DA83" s="11" t="str">
        <f>IF(AY83, IFERROR((CU83*SUM(Raw!AY83,Raw!BC83,Raw!BG83,Raw!BK83))/AT83/CU83, 0), "Not Included")</f>
        <v>Not Included</v>
      </c>
      <c r="DB83" s="11" t="str">
        <f>IF(BX83, IFERROR((CV83*SUM(Raw!AV83,Raw!AX83,Raw!AY83,Raw!AZ83,Raw!BB83,Raw!BC83,Raw!BD83,Raw!BF83,Raw!BG83,Raw!BH83,Raw!BJ83,Raw!BK83))/CG83/CV83,0), "Not Included")</f>
        <v>Not Included</v>
      </c>
      <c r="DC83" s="11" t="str">
        <f>IF(AY83, IFERROR((CW83*SUM(Raw!AV83,Raw!AW83,Raw!AX83,Raw!AZ83,Raw!BA83,Raw!BB83,Raw!BD83,Raw!BE83,Raw!BF83,Raw!BH83,Raw!BI83,Raw!BJ83))/AT83/CW83,0), "Not Included")</f>
        <v>Not Included</v>
      </c>
    </row>
    <row r="84" spans="1:107" ht="12.75" customHeight="1">
      <c r="A84" s="11">
        <f>Raw!D84</f>
        <v>60</v>
      </c>
      <c r="B84" s="11" t="str">
        <f>Raw!A84</f>
        <v>Ainsworthet al. (1978)</v>
      </c>
      <c r="C84" s="11">
        <f>Raw!G84</f>
        <v>1</v>
      </c>
      <c r="D84" s="11" t="str">
        <f>Raw!E84</f>
        <v>Mother-child</v>
      </c>
      <c r="E84" s="11" t="str">
        <f>CONCATENATE(IF(Raw!I84&lt;='Interval Definitions'!$B$2, 'Interval Definitions'!$A$2, IF(Raw!I84&lt;='Interval Definitions'!$B$3, 'Interval Definitions'!$A$3, IF(Raw!I84&lt;='Interval Definitions'!$B$4, 'Interval Definitions'!$A$4, IF(Raw!I84&lt;='Interval Definitions'!$B$5, 'Interval Definitions'!$A$5, "None")))), " - ", IF(Raw!J84&lt;='Interval Definitions'!$B$2, 'Interval Definitions'!$A$2, IF(Raw!J84&lt;='Interval Definitions'!$B$3, 'Interval Definitions'!$A$3, IF(Raw!J84&lt;='Interval Definitions'!$B$4, 'Interval Definitions'!$A$4, IF(Raw!J84&lt;='Interval Definitions'!$B$5, 'Interval Definitions'!$A$5, "None")))))</f>
        <v>Infancy - Infancy</v>
      </c>
      <c r="F84" s="11" t="b">
        <f>OR(NOT(ISBLANK(Raw!AF84)),NOT(ISBLANK(Raw!AG84)),NOT(ISBLANK(Raw!AH84)),NOT(ISBLANK(Raw!AI84)),COUNTIF(Raw!AA84:AD84, "&gt;=0") = 4)</f>
        <v>1</v>
      </c>
      <c r="G84" s="11" t="str">
        <f>IF(F84, IF(COUNTIF(Raw!AA84:AD84,"&gt;=0") = 4, "Contingency", IF(NOT(ISBLANK(Raw!AF84)), "Paper r", IF(NOT(ISBLANK(Raw!AG84)), "Pinquart", IF(NOT(ISBLANK(Raw!AH84)), "Fraley", "Paper chiSq")))), "Not Included")</f>
        <v>Contingency</v>
      </c>
      <c r="H84" s="15">
        <f>IF(F84,Raw!AE84,"Not Included")</f>
        <v>23</v>
      </c>
      <c r="I84" s="15">
        <f>IF(COUNTIF(Raw!AA84:AD84,"&gt;=0") = 4, SUM(Raw!AA84:AD84), "No Contingency Table")</f>
        <v>23</v>
      </c>
      <c r="J84" s="15">
        <f t="shared" si="0"/>
        <v>23</v>
      </c>
      <c r="K84" s="38">
        <f>IF(F84, IF(COUNTIF(Raw!AA84:AD84,"&gt;=0") = 4, IFERROR((I84*Raw!AA84 - SUM(Raw!AA84,Raw!AB84)*SUM(Raw!AA84,Raw!AD84)) / SQRT((I84*SUM(Raw!AA84,Raw!AB84) - SUM(Raw!AA84,Raw!AB84)^2) * (I84*SUM(Raw!AA84,Raw!AD84) - SUM(Raw!AA84,Raw!AD84)^2)), 0), "No Contingency Table"), "Not Included")</f>
        <v>-4.6004370622823615E-2</v>
      </c>
      <c r="L84" s="41">
        <f>IF(F84,IF(NOT(ISBLANK(Raw!AF84)), Raw!AF84, IF(NOT(ISBLANK(Raw!AG84)), Raw!AG84, IF(NOT(ISBLANK(Raw!AH84)), Raw!AH84, IF(NOT(ISBLANK(Raw!AI84)), SQRT(Raw!AI84/H84)*Raw!AJ84, "Not Reported")))),"Not Included")</f>
        <v>-0.04</v>
      </c>
      <c r="M84" s="43">
        <f t="shared" si="1"/>
        <v>-4.6004370622823615E-2</v>
      </c>
      <c r="N84" s="11">
        <f t="shared" si="2"/>
        <v>1</v>
      </c>
      <c r="O84" s="48" t="b">
        <f>OR(NOT(ISBLANK(Raw!AK84)), COUNTIF(Raw!AA84:AD84, "&gt;=0") = 4)</f>
        <v>1</v>
      </c>
      <c r="P84" s="24" t="str">
        <f>IF(O84,IF(COUNTIF(Raw!AA84:AD84,"&gt;=0") = 4,"Contingency", "Paper k"), "Not Included")</f>
        <v>Contingency</v>
      </c>
      <c r="Q84" s="48">
        <f>IF(O84, IF(COUNTIF(Raw!AA84:AD84,"&gt;=0") = 4,SUM(Raw!AA84,Raw!AC84)/H84,"No Contingency Table"), "Not Included")</f>
        <v>0.56521739130434778</v>
      </c>
      <c r="R84" s="38">
        <f>IF(O84, IF(COUNTIF(Raw!AA84:AD84, "&gt;=0") = 4,SUM(SUM(Raw!AA84,Raw!AB84)*SUM(Raw!AA84,Raw!AD84),SUM(Raw!AC84,Raw!AD84)*SUM(Raw!AC84,Raw!AB84))/H84^2,"No Contingency Table"), "Not Included")</f>
        <v>0.58034026465028354</v>
      </c>
      <c r="S84" s="38">
        <f>IF(O84, IF(COUNTIF(Raw!AA84:AD84,"&gt;=0") = 4, IFERROR((Q84 - R84) / (1 - R84), "Could not calculate"), "No Contingency Table"), "Not Included")</f>
        <v>-3.6036036036036112E-2</v>
      </c>
      <c r="T84" s="52" t="str">
        <f>IF(O84,IF(NOT(ISBLANK(Raw!AK84)), Raw!AK84, "Not Reported"), "Not Included")</f>
        <v>Not Reported</v>
      </c>
      <c r="U84" s="38">
        <f t="shared" si="3"/>
        <v>-3.6036036036036112E-2</v>
      </c>
      <c r="V84" s="11" t="str">
        <f t="shared" si="4"/>
        <v>NA</v>
      </c>
      <c r="W84" s="11" t="b">
        <f>OR(NOT(ISBLANK(Raw!AU84)),COUNTIF(Raw!AL84:AT84,"&gt;=0") = 9)</f>
        <v>1</v>
      </c>
      <c r="X84" s="11" t="str">
        <f>IF(W84, IF(COUNTIF(Raw!AL84:AT84,"&gt;=0") = 9, "Contingency", "Paper k"), "Not Included")</f>
        <v>Contingency</v>
      </c>
      <c r="Y84" s="11">
        <f>IF(W84,IF(COUNTIF(Raw!AL84:AT84,"&gt;=0") = 9,SUM(Raw!AL84:AT84),"No Contingency Table"),"Not Included")</f>
        <v>23</v>
      </c>
      <c r="Z84" s="11">
        <f t="shared" si="5"/>
        <v>23</v>
      </c>
      <c r="AA84" s="11">
        <f>IF(W84,IF(COUNTIF(Raw!AL84:AT84,"&gt;=0") = 9,SUM(Raw!AL84,Raw!AP84,Raw!AT84)/Y84,"No Contingency Table"), "Not Included")</f>
        <v>0.56521739130434778</v>
      </c>
      <c r="AB84" s="11">
        <f>IF(W84,IF(COUNTIF(Raw!AL84:AT84,"&gt;=0") = 9,SUM(SUM(Raw!AL84,Raw!AM84,Raw!AN84)*SUM(Raw!AL84,Raw!AO84,Raw!AR84),SUM(Raw!AO84,Raw!AP84,Raw!AQ84)*SUM(Raw!AM84,Raw!AP84,Raw!AS84),SUM(Raw!AR84,Raw!AS84,Raw!AT84)*SUM(Raw!AN84,Raw!AQ84,Raw!AT84))/Y84^2,"No Contingency Table"), "Not Included")</f>
        <v>0.54064272211720232</v>
      </c>
      <c r="AC84" s="11">
        <f>IF(W84,IF(COUNTIF(Raw!AL84:AT84,"&gt;=0") = 9,(AA84 - AB84) / (1 - AB84),"No Contingency Table"), "Not Included")</f>
        <v>5.3497942386831067E-2</v>
      </c>
      <c r="AD84" s="11" t="str">
        <f>IF(W84, IF(NOT(ISBLANK(Raw!AU84)),Raw!AU84,"Not Reported"), "Not Included")</f>
        <v>Not Reported</v>
      </c>
      <c r="AE84" s="11">
        <f t="shared" si="6"/>
        <v>5.3497942386831067E-2</v>
      </c>
      <c r="AF84" s="11" t="str">
        <f t="shared" si="7"/>
        <v>NA</v>
      </c>
      <c r="AG84" s="11" t="b">
        <f>COUNTIF(Raw!AV84:BK84, "&gt;=0") = 16</f>
        <v>0</v>
      </c>
      <c r="AH84" s="11" t="str">
        <f>IF(AG84, IF(COUNTIF(Raw!AV84:BK84,"&gt;=0") = 16, "Contingency", "Paper k"), "Not Included")</f>
        <v>Not Included</v>
      </c>
      <c r="AI84" s="11" t="str">
        <f>IF(AG84,IF(COUNTIF(Raw!AV84:BK84,"&gt;=0") = 16,SUM(Raw!AV84:BK84),"No Contingency Table"),"Not Included")</f>
        <v>Not Included</v>
      </c>
      <c r="AJ84" s="15">
        <f t="shared" si="8"/>
        <v>23</v>
      </c>
      <c r="AK84" s="11" t="str">
        <f>IF(AG84,IF(COUNTIF(Raw!AV84:BK84,"&gt;=0") = 16,SUM(Raw!AV84,Raw!BA84,Raw!BF84,Raw!BK84)/AI84,"No Contingency Table"), "Not Included")</f>
        <v>Not Included</v>
      </c>
      <c r="AL84" s="11" t="str">
        <f>IF(AG84,IF(COUNTIF(Raw!AV84:BK84,"&gt;=0") = 16,SUM(SUM(Raw!AV84,Raw!AW84,Raw!AX84,Raw!AY84)*SUM(Raw!AV84,Raw!AZ84,Raw!BD84,Raw!BH84),SUM(Raw!AZ84,Raw!BA84,Raw!BB84,Raw!BC84)*SUM(Raw!AW84,Raw!BA84,Raw!BE84,Raw!BI84),SUM(Raw!BD84,Raw!BE84,Raw!BF84,Raw!BG84)*SUM(Raw!AX84,Raw!BB84,Raw!BF84,Raw!BJ84),SUM(Raw!BH84,Raw!BI84,Raw!BJ84,Raw!BK84)*SUM(Raw!AY84,Raw!BC84,Raw!BG84,Raw!BK84))/AI84^2,"No Contingency Table"), "Not Included")</f>
        <v>Not Included</v>
      </c>
      <c r="AM84" s="11" t="str">
        <f>IF(AG84,IF(COUNTIF(Raw!AV84:BK84,"&gt;=0") = 16,(AK84 - AL84) / (1 - AL84),"No Contingency Table"), "Not Included")</f>
        <v>Not Included</v>
      </c>
      <c r="AN84" s="11" t="str">
        <f>IF(NOT(ISBLANK(Raw!BL84)),Raw!BL84,"Not Reported")</f>
        <v>Not Reported</v>
      </c>
      <c r="AO84" s="11" t="str">
        <f t="shared" si="9"/>
        <v>Not Reported</v>
      </c>
      <c r="AP84" s="11" t="str">
        <f t="shared" si="10"/>
        <v>Not Included</v>
      </c>
      <c r="AQ84" s="11" t="b">
        <f t="shared" ref="AQ84:AR84" si="347">BQ84</f>
        <v>0</v>
      </c>
      <c r="AR84" s="11" t="str">
        <f t="shared" si="347"/>
        <v>Not Included</v>
      </c>
      <c r="AS84" s="11" t="str">
        <f t="shared" si="12"/>
        <v>Not Included</v>
      </c>
      <c r="AT84" s="11" t="str">
        <f t="shared" si="13"/>
        <v>Not Included</v>
      </c>
      <c r="AU84" s="11" t="str">
        <f>IF(AQ84, IF(COUNTIF(Raw!AV84:BK84, "&gt;=0") = 16, IFERROR((AT84*Raw!BK84 - SUM(Raw!BH84, Raw!BI84, Raw!BJ84, Raw!BK84)*SUM(Raw!AY84, Raw!BC84, Raw!BG84, Raw!BK84)) / SQRT((AT84*SUM(Raw!BH84, Raw!BI84, Raw!BJ84, Raw!BK84) - SUM(Raw!BH84, Raw!BI84, Raw!BJ84, Raw!BK84)^2) * (AT84*SUM(Raw!AY84, Raw!BC84, Raw!BG84, Raw!BK84) - SUM(Raw!AY84, Raw!BC84, Raw!BG84, Raw!BK84)^2)), 0), "No Contingency Table"), "Not Included")</f>
        <v>Not Included</v>
      </c>
      <c r="AV84" s="11" t="str">
        <f>IF(AQ84,IF(NOT(ISBLANK(Raw!BQ84)), Raw!BQ84, IF(NOT(ISBLANK(Raw!BR84)), Raw!BR84, "Not Reported")), "Not Included")</f>
        <v>Not Included</v>
      </c>
      <c r="AW84" s="57" t="str">
        <f t="shared" si="14"/>
        <v>Not Included</v>
      </c>
      <c r="AX84" s="11" t="str">
        <f t="shared" si="15"/>
        <v>Not Included</v>
      </c>
      <c r="AY84" s="11" t="b">
        <f t="shared" ref="AY84:AZ84" si="348">AQ84</f>
        <v>0</v>
      </c>
      <c r="AZ84" s="11" t="str">
        <f t="shared" si="348"/>
        <v>Not Included</v>
      </c>
      <c r="BA84" s="11" t="str">
        <f>IF(AY84, IF(COUNTIF(Raw!AV84:BK84, "&gt;=0") = 16, SUM(Raw!AV84,Raw!AW84,Raw!AX84,Raw!AZ84,Raw!BA84,Raw!BB84,Raw!BD84,Raw!BE84,Raw!BF84,Raw!BK84)/SUM(Raw!AV84:BK84), "No Contingency Table"), "Not Included")</f>
        <v>Not Included</v>
      </c>
      <c r="BB84" s="11" t="str">
        <f>IF(AY84, IF(COUNTIF(Raw!AV84:BK84, "&gt;=0") = 16,SUM(SUM(Raw!BH84,Raw!BI84,Raw!BJ84,Raw!BK84)*SUM(Raw!AY84,Raw!BC84,Raw!BG84,Raw!BK84),SUM(Raw!AV84:BG84)*SUM(Raw!AV84,Raw!AW84,Raw!AX84,Raw!AZ84,Raw!BA84,Raw!BB84,Raw!BD84,Raw!BE84,Raw!BF84,Raw!BH84,Raw!BI84,Raw!BJ84))/AT84^2,"No Contingency Table"), "Not Included")</f>
        <v>Not Included</v>
      </c>
      <c r="BC84" s="11" t="str">
        <f>IF(AY84, IF(COUNTIF(Raw!AV84:BK84, "&gt;=0") = 16,(BA84-BB84) / (1 - BB84),"No Contingency Table"), "Not Included")</f>
        <v>Not Included</v>
      </c>
      <c r="BD84" s="11" t="str">
        <f>IF(AY84,IF(NOT(ISBLANK(Raw!BT105)),Raw!BT105,"Not Reported"),"Not Included")</f>
        <v>Not Included</v>
      </c>
      <c r="BE84" s="11" t="str">
        <f t="shared" si="17"/>
        <v>Not Included</v>
      </c>
      <c r="BF84" s="11" t="str">
        <f t="shared" si="18"/>
        <v>Not Included</v>
      </c>
      <c r="BG84" s="11">
        <f>Raw!K84</f>
        <v>1978</v>
      </c>
      <c r="BH84" s="11" t="str">
        <f>IF(Raw!L84 = "USA","USA","Non-USA")</f>
        <v>USA</v>
      </c>
      <c r="BI84" s="11" t="str">
        <f>Raw!M84</f>
        <v>Ainsworth/Ainsworth</v>
      </c>
      <c r="BJ84" s="11">
        <f>Raw!N84</f>
        <v>1</v>
      </c>
      <c r="BK84" s="11">
        <f>Raw!P84</f>
        <v>0</v>
      </c>
      <c r="BL84" s="11">
        <f>Raw!Q84</f>
        <v>0</v>
      </c>
      <c r="BM84" s="11">
        <f>Raw!T84</f>
        <v>1</v>
      </c>
      <c r="BN84" s="11" t="str">
        <f>IFERROR(IF(AND(ISBLANK(Raw!U84), ISBLANK(Raw!V84), ISBLANK(Raw!W84), ISBLANK(Raw!X84)), "NA", IF(OR(NOT(ISBLANK(Raw!U84)), NOT(ISBLANK(Raw!W84))), AVERAGE(Raw!U84,Raw!W84), AVERAGE(Raw!V84,Raw!X84) + IF(Raw!Y84 = "2-way", R84, IF(Raw!Y84 = "3-way", AB84, IF(Raw!Y84 = "4-way", AL84, "NA")))*(1 - AVERAGE(Raw!V84,Raw!X84)))), "NA")</f>
        <v>NA</v>
      </c>
      <c r="BO84" s="11">
        <f>Raw!O84</f>
        <v>0</v>
      </c>
      <c r="BP84" s="11" t="str">
        <f>Raw!F84</f>
        <v>Female</v>
      </c>
      <c r="BQ84" s="11" t="b">
        <f>COUNTIF(Raw!AV84:BK84, "&gt;=0") = 16</f>
        <v>0</v>
      </c>
      <c r="BR84" s="11" t="str">
        <f t="shared" si="19"/>
        <v>Not Included</v>
      </c>
      <c r="BS84" s="11" t="str">
        <f t="shared" si="20"/>
        <v>Not Included</v>
      </c>
      <c r="BT84" s="11" t="str">
        <f>IF(BQ84, IF(COUNTIF(Raw!AV84:BK84, "&gt;=0") = 16, IFERROR((BS84*Raw!AV84 - SUM(Raw!AV84, Raw!AW84, Raw!AX84, Raw!AY84)*SUM(Raw!AV84, Raw!AZ84, Raw!BD84, Raw!BH84)) / SQRT((BS84*SUM(Raw!AV84, Raw!AW84, Raw!AX84, Raw!AY84) - SUM(Raw!AV84, Raw!AW84, Raw!AX84, Raw!AY84)^2) * (BS84*SUM(Raw!AV84, Raw!AZ84, Raw!BD84, Raw!BH84) - SUM(Raw!AV84, Raw!AZ84, Raw!BD84, Raw!BH84)^2)), 0), "No Contingency Table"), "Not Included")</f>
        <v>Not Included</v>
      </c>
      <c r="BU84" s="11" t="str">
        <f>IF(BQ84, IF(COUNTIF(Raw!AV84:BK84, "&gt;=0") = 16, SUM(Raw!BK84,Raw!BJ84,Raw!BI84,Raw!BG84,Raw!BF84,Raw!BE84,Raw!BC84,Raw!BB84,Raw!BA84,Raw!AV84)/SUM(Raw!AV84:BK84), "No Contingency Table"), "Not Included")</f>
        <v>Not Included</v>
      </c>
      <c r="BV84" s="11" t="str">
        <f>IF(BQ84, IF(COUNTIF(Raw!AV84:BK84, "&gt;=0") = 16,SUM(SUM(Raw!AV84,Raw!AW84,Raw!AX84,Raw!AY84)*SUM(Raw!AV84,Raw!AZ84,Raw!BD84,Raw!BH84),SUM(Raw!AZ84:BK84)*SUM(Raw!AW84,Raw!AX84,Raw!AY84,Raw!BA84,Raw!BB84,Raw!BC84,Raw!BE84,Raw!BF84,Raw!BG84,Raw!BI84,Raw!BJ84,Raw!BK84))/BS84^2,"No Contingency Table"), "Not Included")</f>
        <v>Not Included</v>
      </c>
      <c r="BW84" s="11" t="str">
        <f>IF(BQ84, IF(COUNTIF(Raw!AV84:BK84, "&gt;=0") = 16,(BU84-BV84) / (1 - BV84),"No Contingency Table"), "Not Included")</f>
        <v>Not Included</v>
      </c>
      <c r="BX84" s="11" t="b">
        <f t="shared" ref="BX84:BZ84" si="349">BQ84</f>
        <v>0</v>
      </c>
      <c r="BY84" s="11" t="str">
        <f t="shared" si="349"/>
        <v>Not Included</v>
      </c>
      <c r="BZ84" s="11" t="str">
        <f t="shared" si="349"/>
        <v>Not Included</v>
      </c>
      <c r="CA84" s="11" t="str">
        <f>IF(BX84, IF(COUNTIF(Raw!AV84:BK84, "&gt;=0") = 16, IFERROR((BZ84*Raw!BF84 - SUM(Raw!BD84, Raw!BE84, Raw!BF84, Raw!BG84)*SUM(Raw!BF84, Raw!AX84, Raw!BB84, Raw!BJ84)) / SQRT((BZ84*SUM(Raw!BD84, Raw!BE84, Raw!BF84, Raw!BG84) - SUM(Raw!BD84, Raw!BE84, Raw!BF84, Raw!BG84)^2) * (BZ84*SUM(Raw!BF84, Raw!AX84, Raw!BB84, Raw!BJ84) - SUM(Raw!BF84, Raw!AX84, Raw!BB84, Raw!BJ84)^2)), 0), "No Contingency Table"), "Not Included")</f>
        <v>Not Included</v>
      </c>
      <c r="CB84" s="11" t="str">
        <f>IF(BX84, IF(COUNTIF(Raw!AV84:BK84, "&gt;=0") = 16, SUM(Raw!AV84,Raw!AW84,Raw!AY84,Raw!AZ84,Raw!BA84,Raw!BC84,Raw!BF84,Raw!BH84,Raw!BI84,Raw!BK84) / SUM(Raw!AV84:BK84), "No Contingency Table"), "Not Included")</f>
        <v>Not Included</v>
      </c>
      <c r="CC84" s="11" t="str">
        <f>IF(BX84, IF(COUNTIF(Raw!AV84:BK84, "&gt;=0") = 16,SUM(SUM(Raw!BD84,Raw!BE84,Raw!BF84,Raw!BG84)*SUM(Raw!BF84,Raw!AX84,Raw!BB84,Raw!BJ84),SUM(Raw!AV84:BC84,Raw!BH84:BK84)*SUM(Raw!AV84,Raw!AW84,Raw!AY84,Raw!AZ84,Raw!BA84,Raw!BC84,Raw!BD84,Raw!BE84,Raw!BG84,Raw!BH84,Raw!BI84,Raw!BK84))/BZ84^2,"No Contingency Table"), "Not Included")</f>
        <v>Not Included</v>
      </c>
      <c r="CD84" s="11" t="str">
        <f>IF(BX84, IF(COUNTIF(Raw!AV84:BK84, "&gt;=0") = 16,(CB84 - CC84) / (1 - CC84+0.000001),"No Contingency Table"), "Not Included")</f>
        <v>Not Included</v>
      </c>
      <c r="CE84" s="11" t="b">
        <f t="shared" ref="CE84:CG84" si="350">BQ84</f>
        <v>0</v>
      </c>
      <c r="CF84" s="11" t="str">
        <f t="shared" si="350"/>
        <v>Not Included</v>
      </c>
      <c r="CG84" s="11" t="str">
        <f t="shared" si="350"/>
        <v>Not Included</v>
      </c>
      <c r="CH84" s="11" t="str">
        <f>IF(CE84, IF(COUNTIF(Raw!AV84:BK84, "&gt;=0") = 16, IFERROR((CG84*Raw!BA84 - SUM(Raw!BA84, Raw!AZ84, Raw!BB84, Raw!BC84)*SUM(Raw!BA84, Raw!AW84, Raw!BE84, Raw!BI84)) / SQRT((CG84*SUM(Raw!BA84, Raw!AZ84, Raw!BB84, Raw!BC84) - SUM(Raw!BA84, Raw!AZ84, Raw!BB84, Raw!BC84)^2) * (CG84*SUM(Raw!BA84, Raw!AW84, Raw!BE84, Raw!BI84) - SUM(Raw!BA84, Raw!AW84, Raw!BE84, Raw!BI84)^2)), 0), "No Contingency Table"), "Not Included")</f>
        <v>Not Included</v>
      </c>
      <c r="CI84" s="11" t="str">
        <f>IF(CE84, IF(COUNTIF(Raw!AV84:BK84, "&gt;=0") = 16, SUM(Raw!AV84,Raw!AX84,Raw!AY84,Raw!BA84,Raw!BD84,Raw!BF84,Raw!BG84,Raw!BH84,Raw!BJ84,Raw!BK84) / SUM(Raw!AV84:BK84), "No Contingency Table"), "Not Included")</f>
        <v>Not Included</v>
      </c>
      <c r="CJ84" s="61" t="str">
        <f>IF(BX84, IF(COUNTIF(Raw!AV84:BK84, "&gt;=0") = 16,SUM(SUM(Raw!AZ84,Raw!BA84,Raw!BB84,Raw!BC84)*SUM(Raw!BA84,Raw!AW84,Raw!BE84,Raw!BI84),SUM(Raw!AV84:AY84,Raw!BD84:BK84)*SUM(Raw!AV84,Raw!AX84,Raw!AY84,Raw!AZ84,Raw!BB84,Raw!BC84,Raw!BD84,Raw!BF84,Raw!BG84,Raw!BH84,Raw!BJ84,Raw!BK84))/CG84^2,"No Contingency Table"), "Not Included")</f>
        <v>Not Included</v>
      </c>
      <c r="CK84" s="11" t="str">
        <f>IF(BX84, IF(COUNTIF(Raw!AV84:BK84, "&gt;=0") = 16,(CI84 - CJ84) / (1 - CJ84),"No Contingency Table"), "Not Included")</f>
        <v>Not Included</v>
      </c>
      <c r="CL84" s="11" t="str">
        <f>IF(BQ84, IFERROR(Raw!AV84/SUM(Raw!AV84:AY84), 0), "Not Included")</f>
        <v>Not Included</v>
      </c>
      <c r="CM84" s="11" t="str">
        <f>IF(BQ84, IFERROR(Raw!BA84/SUM(Raw!AZ84:BC84), 0), "Not Included")</f>
        <v>Not Included</v>
      </c>
      <c r="CN84" s="11" t="str">
        <f>IF(BQ84, IFERROR(Raw!BF84/SUM(Raw!BD84:BG84), 0), "Not Included")</f>
        <v>Not Included</v>
      </c>
      <c r="CO84" s="11" t="str">
        <f>IF(BQ84, IFERROR(Raw!BK84/SUM(Raw!BH84:BK84), 0), "Not Included")</f>
        <v>Not Included</v>
      </c>
      <c r="CP84" s="11" t="str">
        <f>IF(BQ84, IFERROR(SUM(Raw!AV84,Raw!AX84,Raw!AY84,Raw!BD84,Raw!BF84,Raw!BG84,Raw!BH84,Raw!BJ84,Raw!BK84)/SUM(Raw!AV84,Raw!AW84,Raw!AX84,Raw!AY84,Raw!BD84,Raw!BE84,Raw!BF84,Raw!BG84,Raw!BH84,Raw!BI84,Raw!BJ84,Raw!BK84), 0), "Not Included")</f>
        <v>Not Included</v>
      </c>
      <c r="CQ84" s="11" t="str">
        <f>IF(BQ84, IFERROR(SUM(Raw!AV84:AX84,Raw!AZ84:BB84,Raw!BD84:BF84)/SUM(Raw!AV84:BF84), 0), "Not Included")</f>
        <v>Not Included</v>
      </c>
      <c r="CR84" s="11" t="str">
        <f>IF(BQ84, IFERROR(SUM(Raw!AV84:AY84), 0), "Not Included")</f>
        <v>Not Included</v>
      </c>
      <c r="CS84" s="11" t="str">
        <f>IF(BQ84, IFERROR(SUM(Raw!AZ84:BC84), 0), "Not Included")</f>
        <v>Not Included</v>
      </c>
      <c r="CT84" s="11" t="str">
        <f>IF(BQ84, IFERROR(SUM(Raw!BD84:BG84), 0), "Not Included")</f>
        <v>Not Included</v>
      </c>
      <c r="CU84" s="11" t="str">
        <f>IF(BQ84, IFERROR(SUM(Raw!BH84:BK84), 0), "Not Included")</f>
        <v>Not Included</v>
      </c>
      <c r="CV84" s="11" t="str">
        <f>IF(BQ84, IFERROR(SUM(Raw!AV84,Raw!AW84,Raw!AX84,Raw!AY84,Raw!BD84,Raw!BE84,Raw!BF84,Raw!BG84,Raw!BH84,Raw!BI84,Raw!BJ84,Raw!BK84), 0), "Not Included")</f>
        <v>Not Included</v>
      </c>
      <c r="CW84" s="11" t="str">
        <f>IF(BQ84, IFERROR(SUM(Raw!AV84:BF84), 0), "Not Included")</f>
        <v>Not Included</v>
      </c>
      <c r="CX84" s="11" t="str">
        <f>IF(BQ84, IFERROR((CR84*SUM(Raw!AV84,Raw!AZ84,Raw!BD84,Raw!BH84))/BS84/CR84, 0), "Not Included")</f>
        <v>Not Included</v>
      </c>
      <c r="CY84" s="11" t="str">
        <f>IF(BX84, IFERROR((CS84*SUM(Raw!BA84,Raw!AW84,Raw!BE84,Raw!BI84))/CG84/CS84, 0), "Not Included")</f>
        <v>Not Included</v>
      </c>
      <c r="CZ84" s="11" t="str">
        <f>IF(BX84, IFERROR((CT84*SUM(Raw!BF84,Raw!AX84,Raw!BB84,Raw!BJ84))/BZ84/CT84, 0), "Not Included")</f>
        <v>Not Included</v>
      </c>
      <c r="DA84" s="11" t="str">
        <f>IF(AY84, IFERROR((CU84*SUM(Raw!AY84,Raw!BC84,Raw!BG84,Raw!BK84))/AT84/CU84, 0), "Not Included")</f>
        <v>Not Included</v>
      </c>
      <c r="DB84" s="11" t="str">
        <f>IF(BX84, IFERROR((CV84*SUM(Raw!AV84,Raw!AX84,Raw!AY84,Raw!AZ84,Raw!BB84,Raw!BC84,Raw!BD84,Raw!BF84,Raw!BG84,Raw!BH84,Raw!BJ84,Raw!BK84))/CG84/CV84,0), "Not Included")</f>
        <v>Not Included</v>
      </c>
      <c r="DC84" s="11" t="str">
        <f>IF(AY84, IFERROR((CW84*SUM(Raw!AV84,Raw!AW84,Raw!AX84,Raw!AZ84,Raw!BA84,Raw!BB84,Raw!BD84,Raw!BE84,Raw!BF84,Raw!BH84,Raw!BI84,Raw!BJ84))/AT84/CW84,0), "Not Included")</f>
        <v>Not Included</v>
      </c>
    </row>
    <row r="85" spans="1:107" ht="12.75" customHeight="1">
      <c r="A85" s="11">
        <f>Raw!D85</f>
        <v>61</v>
      </c>
      <c r="B85" s="11" t="str">
        <f>Raw!A85</f>
        <v>Cassidy (1988)</v>
      </c>
      <c r="C85" s="11">
        <f>Raw!G85</f>
        <v>1</v>
      </c>
      <c r="D85" s="11" t="str">
        <f>Raw!E85</f>
        <v>Mother-child</v>
      </c>
      <c r="E85" s="11" t="str">
        <f>CONCATENATE(IF(Raw!I85&lt;='Interval Definitions'!$B$2, 'Interval Definitions'!$A$2, IF(Raw!I85&lt;='Interval Definitions'!$B$3, 'Interval Definitions'!$A$3, IF(Raw!I85&lt;='Interval Definitions'!$B$4, 'Interval Definitions'!$A$4, IF(Raw!I85&lt;='Interval Definitions'!$B$5, 'Interval Definitions'!$A$5, "None")))), " - ", IF(Raw!J85&lt;='Interval Definitions'!$B$2, 'Interval Definitions'!$A$2, IF(Raw!J85&lt;='Interval Definitions'!$B$3, 'Interval Definitions'!$A$3, IF(Raw!J85&lt;='Interval Definitions'!$B$4, 'Interval Definitions'!$A$4, IF(Raw!J85&lt;='Interval Definitions'!$B$5, 'Interval Definitions'!$A$5, "None")))))</f>
        <v>Preschool - Preschool</v>
      </c>
      <c r="F85" s="11" t="b">
        <f>OR(NOT(ISBLANK(Raw!AF85)),NOT(ISBLANK(Raw!AG85)),NOT(ISBLANK(Raw!AH85)),NOT(ISBLANK(Raw!AI85)),COUNTIF(Raw!AA85:AD85, "&gt;=0") = 4)</f>
        <v>1</v>
      </c>
      <c r="G85" s="11" t="str">
        <f>IF(F85, IF(COUNTIF(Raw!AA85:AD85,"&gt;=0") = 4, "Contingency", IF(NOT(ISBLANK(Raw!AF85)), "Paper r", IF(NOT(ISBLANK(Raw!AG85)), "Pinquart", IF(NOT(ISBLANK(Raw!AH85)), "Fraley", "Paper chiSq")))), "Not Included")</f>
        <v>Contingency</v>
      </c>
      <c r="H85" s="15">
        <f>IF(F85,Raw!AE85,"Not Included")</f>
        <v>50</v>
      </c>
      <c r="I85" s="15">
        <f>IF(COUNTIF(Raw!AA85:AD85,"&gt;=0") = 4, SUM(Raw!AA85:AD85), "No Contingency Table")</f>
        <v>50</v>
      </c>
      <c r="J85" s="15">
        <f t="shared" si="0"/>
        <v>50</v>
      </c>
      <c r="K85" s="38">
        <f>IF(F85, IF(COUNTIF(Raw!AA85:AD85,"&gt;=0") = 4, IFERROR((I85*Raw!AA85 - SUM(Raw!AA85,Raw!AB85)*SUM(Raw!AA85,Raw!AD85)) / SQRT((I85*SUM(Raw!AA85,Raw!AB85) - SUM(Raw!AA85,Raw!AB85)^2) * (I85*SUM(Raw!AA85,Raw!AD85) - SUM(Raw!AA85,Raw!AD85)^2)), 0), "No Contingency Table"), "Not Included")</f>
        <v>0.72610652569094603</v>
      </c>
      <c r="L85" s="41">
        <f>IF(F85,IF(NOT(ISBLANK(Raw!AF85)), Raw!AF85, IF(NOT(ISBLANK(Raw!AG85)), Raw!AG85, IF(NOT(ISBLANK(Raw!AH85)), Raw!AH85, IF(NOT(ISBLANK(Raw!AI85)), SQRT(Raw!AI85/H85)*Raw!AJ85, "Not Reported")))),"Not Included")</f>
        <v>0.62</v>
      </c>
      <c r="M85" s="43">
        <f t="shared" si="1"/>
        <v>0.72610652569094603</v>
      </c>
      <c r="N85" s="11">
        <f t="shared" si="2"/>
        <v>0</v>
      </c>
      <c r="O85" s="48" t="b">
        <f>OR(NOT(ISBLANK(Raw!AK85)), COUNTIF(Raw!AA85:AD85, "&gt;=0") = 4)</f>
        <v>1</v>
      </c>
      <c r="P85" s="24" t="str">
        <f>IF(O85,IF(COUNTIF(Raw!AA85:AD85,"&gt;=0") = 4,"Contingency", "Paper k"), "Not Included")</f>
        <v>Contingency</v>
      </c>
      <c r="Q85" s="48">
        <f>IF(O85, IF(COUNTIF(Raw!AA85:AD85,"&gt;=0") = 4,SUM(Raw!AA85,Raw!AC85)/H85,"No Contingency Table"), "Not Included")</f>
        <v>0.86</v>
      </c>
      <c r="R85" s="38">
        <f>IF(O85, IF(COUNTIF(Raw!AA85:AD85, "&gt;=0") = 4,SUM(SUM(Raw!AA85,Raw!AB85)*SUM(Raw!AA85,Raw!AD85),SUM(Raw!AC85,Raw!AD85)*SUM(Raw!AC85,Raw!AB85))/H85^2,"No Contingency Table"), "Not Included")</f>
        <v>0.49840000000000001</v>
      </c>
      <c r="S85" s="38">
        <f>IF(O85, IF(COUNTIF(Raw!AA85:AD85,"&gt;=0") = 4, IFERROR((Q85 - R85) / (1 - R85), "Could not calculate"), "No Contingency Table"), "Not Included")</f>
        <v>0.72089314194577336</v>
      </c>
      <c r="T85" s="52" t="str">
        <f>IF(O85,IF(NOT(ISBLANK(Raw!AK85)), Raw!AK85, "Not Reported"), "Not Included")</f>
        <v>Not Reported</v>
      </c>
      <c r="U85" s="38">
        <f t="shared" si="3"/>
        <v>0.72089314194577336</v>
      </c>
      <c r="V85" s="11" t="str">
        <f t="shared" si="4"/>
        <v>NA</v>
      </c>
      <c r="W85" s="11" t="b">
        <f>OR(NOT(ISBLANK(Raw!AU85)),COUNTIF(Raw!AL85:AT85,"&gt;=0") = 9)</f>
        <v>1</v>
      </c>
      <c r="X85" s="11" t="str">
        <f>IF(W85, IF(COUNTIF(Raw!AL85:AT85,"&gt;=0") = 9, "Contingency", "Paper k"), "Not Included")</f>
        <v>Contingency</v>
      </c>
      <c r="Y85" s="11">
        <f>IF(W85,IF(COUNTIF(Raw!AL85:AT85,"&gt;=0") = 9,SUM(Raw!AL85:AT85),"No Contingency Table"),"Not Included")</f>
        <v>50</v>
      </c>
      <c r="Z85" s="11">
        <f t="shared" si="5"/>
        <v>50</v>
      </c>
      <c r="AA85" s="11">
        <f>IF(W85,IF(COUNTIF(Raw!AL85:AT85,"&gt;=0") = 9,SUM(Raw!AL85,Raw!AP85,Raw!AT85)/Y85,"No Contingency Table"), "Not Included")</f>
        <v>0.84</v>
      </c>
      <c r="AB85" s="11">
        <f>IF(W85,IF(COUNTIF(Raw!AL85:AT85,"&gt;=0") = 9,SUM(SUM(Raw!AL85,Raw!AM85,Raw!AN85)*SUM(Raw!AL85,Raw!AO85,Raw!AR85),SUM(Raw!AO85,Raw!AP85,Raw!AQ85)*SUM(Raw!AM85,Raw!AP85,Raw!AS85),SUM(Raw!AR85,Raw!AS85,Raw!AT85)*SUM(Raw!AN85,Raw!AQ85,Raw!AT85))/Y85^2,"No Contingency Table"), "Not Included")</f>
        <v>0.376</v>
      </c>
      <c r="AC85" s="11">
        <f>IF(W85,IF(COUNTIF(Raw!AL85:AT85,"&gt;=0") = 9,(AA85 - AB85) / (1 - AB85),"No Contingency Table"), "Not Included")</f>
        <v>0.7435897435897435</v>
      </c>
      <c r="AD85" s="11" t="str">
        <f>IF(W85, IF(NOT(ISBLANK(Raw!AU85)),Raw!AU85,"Not Reported"), "Not Included")</f>
        <v>Not Reported</v>
      </c>
      <c r="AE85" s="11">
        <f t="shared" si="6"/>
        <v>0.7435897435897435</v>
      </c>
      <c r="AF85" s="11" t="str">
        <f t="shared" si="7"/>
        <v>NA</v>
      </c>
      <c r="AG85" s="11" t="b">
        <f>COUNTIF(Raw!AV85:BK85, "&gt;=0") = 16</f>
        <v>0</v>
      </c>
      <c r="AH85" s="11" t="str">
        <f>IF(AG85, IF(COUNTIF(Raw!AV85:BK85,"&gt;=0") = 16, "Contingency", "Paper k"), "Not Included")</f>
        <v>Not Included</v>
      </c>
      <c r="AI85" s="11" t="str">
        <f>IF(AG85,IF(COUNTIF(Raw!AV85:BK85,"&gt;=0") = 16,SUM(Raw!AV85:BK85),"No Contingency Table"),"Not Included")</f>
        <v>Not Included</v>
      </c>
      <c r="AJ85" s="15">
        <f t="shared" si="8"/>
        <v>50</v>
      </c>
      <c r="AK85" s="11" t="str">
        <f>IF(AG85,IF(COUNTIF(Raw!AV85:BK85,"&gt;=0") = 16,SUM(Raw!AV85,Raw!BA85,Raw!BF85,Raw!BK85)/AI85,"No Contingency Table"), "Not Included")</f>
        <v>Not Included</v>
      </c>
      <c r="AL85" s="11" t="str">
        <f>IF(AG85,IF(COUNTIF(Raw!AV85:BK85,"&gt;=0") = 16,SUM(SUM(Raw!AV85,Raw!AW85,Raw!AX85,Raw!AY85)*SUM(Raw!AV85,Raw!AZ85,Raw!BD85,Raw!BH85),SUM(Raw!AZ85,Raw!BA85,Raw!BB85,Raw!BC85)*SUM(Raw!AW85,Raw!BA85,Raw!BE85,Raw!BI85),SUM(Raw!BD85,Raw!BE85,Raw!BF85,Raw!BG85)*SUM(Raw!AX85,Raw!BB85,Raw!BF85,Raw!BJ85),SUM(Raw!BH85,Raw!BI85,Raw!BJ85,Raw!BK85)*SUM(Raw!AY85,Raw!BC85,Raw!BG85,Raw!BK85))/AI85^2,"No Contingency Table"), "Not Included")</f>
        <v>Not Included</v>
      </c>
      <c r="AM85" s="11" t="str">
        <f>IF(AG85,IF(COUNTIF(Raw!AV85:BK85,"&gt;=0") = 16,(AK85 - AL85) / (1 - AL85),"No Contingency Table"), "Not Included")</f>
        <v>Not Included</v>
      </c>
      <c r="AN85" s="11" t="str">
        <f>IF(NOT(ISBLANK(Raw!BL85)),Raw!BL85,"Not Reported")</f>
        <v>Not Reported</v>
      </c>
      <c r="AO85" s="11" t="str">
        <f t="shared" si="9"/>
        <v>Not Reported</v>
      </c>
      <c r="AP85" s="11" t="str">
        <f t="shared" si="10"/>
        <v>Not Included</v>
      </c>
      <c r="AQ85" s="11" t="b">
        <f t="shared" ref="AQ85:AR85" si="351">BQ85</f>
        <v>0</v>
      </c>
      <c r="AR85" s="11" t="str">
        <f t="shared" si="351"/>
        <v>Not Included</v>
      </c>
      <c r="AS85" s="11" t="str">
        <f t="shared" si="12"/>
        <v>Not Included</v>
      </c>
      <c r="AT85" s="11" t="str">
        <f t="shared" si="13"/>
        <v>Not Included</v>
      </c>
      <c r="AU85" s="11" t="str">
        <f>IF(AQ85, IF(COUNTIF(Raw!AV85:BK85, "&gt;=0") = 16, IFERROR((AT85*Raw!BK85 - SUM(Raw!BH85, Raw!BI85, Raw!BJ85, Raw!BK85)*SUM(Raw!AY85, Raw!BC85, Raw!BG85, Raw!BK85)) / SQRT((AT85*SUM(Raw!BH85, Raw!BI85, Raw!BJ85, Raw!BK85) - SUM(Raw!BH85, Raw!BI85, Raw!BJ85, Raw!BK85)^2) * (AT85*SUM(Raw!AY85, Raw!BC85, Raw!BG85, Raw!BK85) - SUM(Raw!AY85, Raw!BC85, Raw!BG85, Raw!BK85)^2)), 0), "No Contingency Table"), "Not Included")</f>
        <v>Not Included</v>
      </c>
      <c r="AV85" s="11" t="str">
        <f>IF(AQ85,IF(NOT(ISBLANK(Raw!BQ85)), Raw!BQ85, IF(NOT(ISBLANK(Raw!BR85)), Raw!BR85, "Not Reported")), "Not Included")</f>
        <v>Not Included</v>
      </c>
      <c r="AW85" s="57" t="str">
        <f t="shared" si="14"/>
        <v>Not Included</v>
      </c>
      <c r="AX85" s="11" t="str">
        <f t="shared" si="15"/>
        <v>Not Included</v>
      </c>
      <c r="AY85" s="11" t="b">
        <f t="shared" ref="AY85:AZ85" si="352">AQ85</f>
        <v>0</v>
      </c>
      <c r="AZ85" s="11" t="str">
        <f t="shared" si="352"/>
        <v>Not Included</v>
      </c>
      <c r="BA85" s="11" t="str">
        <f>IF(AY85, IF(COUNTIF(Raw!AV85:BK85, "&gt;=0") = 16, SUM(Raw!AV85,Raw!AW85,Raw!AX85,Raw!AZ85,Raw!BA85,Raw!BB85,Raw!BD85,Raw!BE85,Raw!BF85,Raw!BK85)/SUM(Raw!AV85:BK85), "No Contingency Table"), "Not Included")</f>
        <v>Not Included</v>
      </c>
      <c r="BB85" s="11" t="str">
        <f>IF(AY85, IF(COUNTIF(Raw!AV85:BK85, "&gt;=0") = 16,SUM(SUM(Raw!BH85,Raw!BI85,Raw!BJ85,Raw!BK85)*SUM(Raw!AY85,Raw!BC85,Raw!BG85,Raw!BK85),SUM(Raw!AV85:BG85)*SUM(Raw!AV85,Raw!AW85,Raw!AX85,Raw!AZ85,Raw!BA85,Raw!BB85,Raw!BD85,Raw!BE85,Raw!BF85,Raw!BH85,Raw!BI85,Raw!BJ85))/AT85^2,"No Contingency Table"), "Not Included")</f>
        <v>Not Included</v>
      </c>
      <c r="BC85" s="11" t="str">
        <f>IF(AY85, IF(COUNTIF(Raw!AV85:BK85, "&gt;=0") = 16,(BA85-BB85) / (1 - BB85),"No Contingency Table"), "Not Included")</f>
        <v>Not Included</v>
      </c>
      <c r="BD85" s="11" t="str">
        <f>IF(AY85,IF(NOT(ISBLANK(Raw!BT106)),Raw!BT106,"Not Reported"),"Not Included")</f>
        <v>Not Included</v>
      </c>
      <c r="BE85" s="11" t="str">
        <f t="shared" si="17"/>
        <v>Not Included</v>
      </c>
      <c r="BF85" s="11" t="str">
        <f t="shared" si="18"/>
        <v>Not Included</v>
      </c>
      <c r="BG85" s="11">
        <f>Raw!K85</f>
        <v>1988</v>
      </c>
      <c r="BH85" s="11" t="str">
        <f>IF(Raw!L85 = "USA","USA","Non-USA")</f>
        <v>USA</v>
      </c>
      <c r="BI85" s="11" t="str">
        <f>Raw!M85</f>
        <v>Main-Cassidy/Main-Cassidy</v>
      </c>
      <c r="BJ85" s="11">
        <f>Raw!N85</f>
        <v>1</v>
      </c>
      <c r="BK85" s="11">
        <f>Raw!P85</f>
        <v>0</v>
      </c>
      <c r="BL85" s="11">
        <f>Raw!Q85</f>
        <v>0</v>
      </c>
      <c r="BM85" s="11">
        <f>Raw!T85</f>
        <v>1</v>
      </c>
      <c r="BN85" s="11">
        <f>IFERROR(IF(AND(ISBLANK(Raw!U85), ISBLANK(Raw!V85), ISBLANK(Raw!W85), ISBLANK(Raw!X85)), "NA", IF(OR(NOT(ISBLANK(Raw!U85)), NOT(ISBLANK(Raw!W85))), AVERAGE(Raw!U85,Raw!W85), AVERAGE(Raw!V85,Raw!X85) + IF(Raw!Y85 = "2-way", R85, IF(Raw!Y85 = "3-way", AB85, IF(Raw!Y85 = "4-way", AL85, "NA")))*(1 - AVERAGE(Raw!V85,Raw!X85)))), "NA")</f>
        <v>0.84</v>
      </c>
      <c r="BO85" s="11">
        <f>Raw!O85</f>
        <v>0</v>
      </c>
      <c r="BP85" s="11" t="str">
        <f>Raw!F85</f>
        <v>Female</v>
      </c>
      <c r="BQ85" s="11" t="b">
        <f>COUNTIF(Raw!AV85:BK85, "&gt;=0") = 16</f>
        <v>0</v>
      </c>
      <c r="BR85" s="11" t="str">
        <f t="shared" si="19"/>
        <v>Not Included</v>
      </c>
      <c r="BS85" s="11" t="str">
        <f t="shared" si="20"/>
        <v>Not Included</v>
      </c>
      <c r="BT85" s="11" t="str">
        <f>IF(BQ85, IF(COUNTIF(Raw!AV85:BK85, "&gt;=0") = 16, IFERROR((BS85*Raw!AV85 - SUM(Raw!AV85, Raw!AW85, Raw!AX85, Raw!AY85)*SUM(Raw!AV85, Raw!AZ85, Raw!BD85, Raw!BH85)) / SQRT((BS85*SUM(Raw!AV85, Raw!AW85, Raw!AX85, Raw!AY85) - SUM(Raw!AV85, Raw!AW85, Raw!AX85, Raw!AY85)^2) * (BS85*SUM(Raw!AV85, Raw!AZ85, Raw!BD85, Raw!BH85) - SUM(Raw!AV85, Raw!AZ85, Raw!BD85, Raw!BH85)^2)), 0), "No Contingency Table"), "Not Included")</f>
        <v>Not Included</v>
      </c>
      <c r="BU85" s="11" t="str">
        <f>IF(BQ85, IF(COUNTIF(Raw!AV85:BK85, "&gt;=0") = 16, SUM(Raw!BK85,Raw!BJ85,Raw!BI85,Raw!BG85,Raw!BF85,Raw!BE85,Raw!BC85,Raw!BB85,Raw!BA85,Raw!AV85)/SUM(Raw!AV85:BK85), "No Contingency Table"), "Not Included")</f>
        <v>Not Included</v>
      </c>
      <c r="BV85" s="11" t="str">
        <f>IF(BQ85, IF(COUNTIF(Raw!AV85:BK85, "&gt;=0") = 16,SUM(SUM(Raw!AV85,Raw!AW85,Raw!AX85,Raw!AY85)*SUM(Raw!AV85,Raw!AZ85,Raw!BD85,Raw!BH85),SUM(Raw!AZ85:BK85)*SUM(Raw!AW85,Raw!AX85,Raw!AY85,Raw!BA85,Raw!BB85,Raw!BC85,Raw!BE85,Raw!BF85,Raw!BG85,Raw!BI85,Raw!BJ85,Raw!BK85))/BS85^2,"No Contingency Table"), "Not Included")</f>
        <v>Not Included</v>
      </c>
      <c r="BW85" s="11" t="str">
        <f>IF(BQ85, IF(COUNTIF(Raw!AV85:BK85, "&gt;=0") = 16,(BU85-BV85) / (1 - BV85),"No Contingency Table"), "Not Included")</f>
        <v>Not Included</v>
      </c>
      <c r="BX85" s="11" t="b">
        <f t="shared" ref="BX85:BZ85" si="353">BQ85</f>
        <v>0</v>
      </c>
      <c r="BY85" s="11" t="str">
        <f t="shared" si="353"/>
        <v>Not Included</v>
      </c>
      <c r="BZ85" s="11" t="str">
        <f t="shared" si="353"/>
        <v>Not Included</v>
      </c>
      <c r="CA85" s="11" t="str">
        <f>IF(BX85, IF(COUNTIF(Raw!AV85:BK85, "&gt;=0") = 16, IFERROR((BZ85*Raw!BF85 - SUM(Raw!BD85, Raw!BE85, Raw!BF85, Raw!BG85)*SUM(Raw!BF85, Raw!AX85, Raw!BB85, Raw!BJ85)) / SQRT((BZ85*SUM(Raw!BD85, Raw!BE85, Raw!BF85, Raw!BG85) - SUM(Raw!BD85, Raw!BE85, Raw!BF85, Raw!BG85)^2) * (BZ85*SUM(Raw!BF85, Raw!AX85, Raw!BB85, Raw!BJ85) - SUM(Raw!BF85, Raw!AX85, Raw!BB85, Raw!BJ85)^2)), 0), "No Contingency Table"), "Not Included")</f>
        <v>Not Included</v>
      </c>
      <c r="CB85" s="11" t="str">
        <f>IF(BX85, IF(COUNTIF(Raw!AV85:BK85, "&gt;=0") = 16, SUM(Raw!AV85,Raw!AW85,Raw!AY85,Raw!AZ85,Raw!BA85,Raw!BC85,Raw!BF85,Raw!BH85,Raw!BI85,Raw!BK85) / SUM(Raw!AV85:BK85), "No Contingency Table"), "Not Included")</f>
        <v>Not Included</v>
      </c>
      <c r="CC85" s="11" t="str">
        <f>IF(BX85, IF(COUNTIF(Raw!AV85:BK85, "&gt;=0") = 16,SUM(SUM(Raw!BD85,Raw!BE85,Raw!BF85,Raw!BG85)*SUM(Raw!BF85,Raw!AX85,Raw!BB85,Raw!BJ85),SUM(Raw!AV85:BC85,Raw!BH85:BK85)*SUM(Raw!AV85,Raw!AW85,Raw!AY85,Raw!AZ85,Raw!BA85,Raw!BC85,Raw!BD85,Raw!BE85,Raw!BG85,Raw!BH85,Raw!BI85,Raw!BK85))/BZ85^2,"No Contingency Table"), "Not Included")</f>
        <v>Not Included</v>
      </c>
      <c r="CD85" s="11" t="str">
        <f>IF(BX85, IF(COUNTIF(Raw!AV85:BK85, "&gt;=0") = 16,(CB85 - CC85) / (1 - CC85+0.000001),"No Contingency Table"), "Not Included")</f>
        <v>Not Included</v>
      </c>
      <c r="CE85" s="11" t="b">
        <f t="shared" ref="CE85:CG85" si="354">BQ85</f>
        <v>0</v>
      </c>
      <c r="CF85" s="11" t="str">
        <f t="shared" si="354"/>
        <v>Not Included</v>
      </c>
      <c r="CG85" s="11" t="str">
        <f t="shared" si="354"/>
        <v>Not Included</v>
      </c>
      <c r="CH85" s="11" t="str">
        <f>IF(CE85, IF(COUNTIF(Raw!AV85:BK85, "&gt;=0") = 16, IFERROR((CG85*Raw!BA85 - SUM(Raw!BA85, Raw!AZ85, Raw!BB85, Raw!BC85)*SUM(Raw!BA85, Raw!AW85, Raw!BE85, Raw!BI85)) / SQRT((CG85*SUM(Raw!BA85, Raw!AZ85, Raw!BB85, Raw!BC85) - SUM(Raw!BA85, Raw!AZ85, Raw!BB85, Raw!BC85)^2) * (CG85*SUM(Raw!BA85, Raw!AW85, Raw!BE85, Raw!BI85) - SUM(Raw!BA85, Raw!AW85, Raw!BE85, Raw!BI85)^2)), 0), "No Contingency Table"), "Not Included")</f>
        <v>Not Included</v>
      </c>
      <c r="CI85" s="11" t="str">
        <f>IF(CE85, IF(COUNTIF(Raw!AV85:BK85, "&gt;=0") = 16, SUM(Raw!AV85,Raw!AX85,Raw!AY85,Raw!BA85,Raw!BD85,Raw!BF85,Raw!BG85,Raw!BH85,Raw!BJ85,Raw!BK85) / SUM(Raw!AV85:BK85), "No Contingency Table"), "Not Included")</f>
        <v>Not Included</v>
      </c>
      <c r="CJ85" s="61" t="str">
        <f>IF(BX85, IF(COUNTIF(Raw!AV85:BK85, "&gt;=0") = 16,SUM(SUM(Raw!AZ85,Raw!BA85,Raw!BB85,Raw!BC85)*SUM(Raw!BA85,Raw!AW85,Raw!BE85,Raw!BI85),SUM(Raw!AV85:AY85,Raw!BD85:BK85)*SUM(Raw!AV85,Raw!AX85,Raw!AY85,Raw!AZ85,Raw!BB85,Raw!BC85,Raw!BD85,Raw!BF85,Raw!BG85,Raw!BH85,Raw!BJ85,Raw!BK85))/CG85^2,"No Contingency Table"), "Not Included")</f>
        <v>Not Included</v>
      </c>
      <c r="CK85" s="11" t="str">
        <f>IF(BX85, IF(COUNTIF(Raw!AV85:BK85, "&gt;=0") = 16,(CI85 - CJ85) / (1 - CJ85),"No Contingency Table"), "Not Included")</f>
        <v>Not Included</v>
      </c>
      <c r="CL85" s="11" t="str">
        <f>IF(BQ85, IFERROR(Raw!AV85/SUM(Raw!AV85:AY85), 0), "Not Included")</f>
        <v>Not Included</v>
      </c>
      <c r="CM85" s="11" t="str">
        <f>IF(BQ85, IFERROR(Raw!BA85/SUM(Raw!AZ85:BC85), 0), "Not Included")</f>
        <v>Not Included</v>
      </c>
      <c r="CN85" s="11" t="str">
        <f>IF(BQ85, IFERROR(Raw!BF85/SUM(Raw!BD85:BG85), 0), "Not Included")</f>
        <v>Not Included</v>
      </c>
      <c r="CO85" s="11" t="str">
        <f>IF(BQ85, IFERROR(Raw!BK85/SUM(Raw!BH85:BK85), 0), "Not Included")</f>
        <v>Not Included</v>
      </c>
      <c r="CP85" s="11" t="str">
        <f>IF(BQ85, IFERROR(SUM(Raw!AV85,Raw!AX85,Raw!AY85,Raw!BD85,Raw!BF85,Raw!BG85,Raw!BH85,Raw!BJ85,Raw!BK85)/SUM(Raw!AV85,Raw!AW85,Raw!AX85,Raw!AY85,Raw!BD85,Raw!BE85,Raw!BF85,Raw!BG85,Raw!BH85,Raw!BI85,Raw!BJ85,Raw!BK85), 0), "Not Included")</f>
        <v>Not Included</v>
      </c>
      <c r="CQ85" s="11" t="str">
        <f>IF(BQ85, IFERROR(SUM(Raw!AV85:AX85,Raw!AZ85:BB85,Raw!BD85:BF85)/SUM(Raw!AV85:BF85), 0), "Not Included")</f>
        <v>Not Included</v>
      </c>
      <c r="CR85" s="11" t="str">
        <f>IF(BQ85, IFERROR(SUM(Raw!AV85:AY85), 0), "Not Included")</f>
        <v>Not Included</v>
      </c>
      <c r="CS85" s="11" t="str">
        <f>IF(BQ85, IFERROR(SUM(Raw!AZ85:BC85), 0), "Not Included")</f>
        <v>Not Included</v>
      </c>
      <c r="CT85" s="11" t="str">
        <f>IF(BQ85, IFERROR(SUM(Raw!BD85:BG85), 0), "Not Included")</f>
        <v>Not Included</v>
      </c>
      <c r="CU85" s="11" t="str">
        <f>IF(BQ85, IFERROR(SUM(Raw!BH85:BK85), 0), "Not Included")</f>
        <v>Not Included</v>
      </c>
      <c r="CV85" s="11" t="str">
        <f>IF(BQ85, IFERROR(SUM(Raw!AV85,Raw!AW85,Raw!AX85,Raw!AY85,Raw!BD85,Raw!BE85,Raw!BF85,Raw!BG85,Raw!BH85,Raw!BI85,Raw!BJ85,Raw!BK85), 0), "Not Included")</f>
        <v>Not Included</v>
      </c>
      <c r="CW85" s="11" t="str">
        <f>IF(BQ85, IFERROR(SUM(Raw!AV85:BF85), 0), "Not Included")</f>
        <v>Not Included</v>
      </c>
      <c r="CX85" s="11" t="str">
        <f>IF(BQ85, IFERROR((CR85*SUM(Raw!AV85,Raw!AZ85,Raw!BD85,Raw!BH85))/BS85/CR85, 0), "Not Included")</f>
        <v>Not Included</v>
      </c>
      <c r="CY85" s="11" t="str">
        <f>IF(BX85, IFERROR((CS85*SUM(Raw!BA85,Raw!AW85,Raw!BE85,Raw!BI85))/CG85/CS85, 0), "Not Included")</f>
        <v>Not Included</v>
      </c>
      <c r="CZ85" s="11" t="str">
        <f>IF(BX85, IFERROR((CT85*SUM(Raw!BF85,Raw!AX85,Raw!BB85,Raw!BJ85))/BZ85/CT85, 0), "Not Included")</f>
        <v>Not Included</v>
      </c>
      <c r="DA85" s="11" t="str">
        <f>IF(AY85, IFERROR((CU85*SUM(Raw!AY85,Raw!BC85,Raw!BG85,Raw!BK85))/AT85/CU85, 0), "Not Included")</f>
        <v>Not Included</v>
      </c>
      <c r="DB85" s="11" t="str">
        <f>IF(BX85, IFERROR((CV85*SUM(Raw!AV85,Raw!AX85,Raw!AY85,Raw!AZ85,Raw!BB85,Raw!BC85,Raw!BD85,Raw!BF85,Raw!BG85,Raw!BH85,Raw!BJ85,Raw!BK85))/CG85/CV85,0), "Not Included")</f>
        <v>Not Included</v>
      </c>
      <c r="DC85" s="11" t="str">
        <f>IF(AY85, IFERROR((CW85*SUM(Raw!AV85,Raw!AW85,Raw!AX85,Raw!AZ85,Raw!BA85,Raw!BB85,Raw!BD85,Raw!BE85,Raw!BF85,Raw!BH85,Raw!BI85,Raw!BJ85))/AT85/CW85,0), "Not Included")</f>
        <v>Not Included</v>
      </c>
    </row>
    <row r="86" spans="1:107" ht="12.75" customHeight="1">
      <c r="A86" s="11">
        <f>Raw!D86</f>
        <v>62</v>
      </c>
      <c r="B86" s="11" t="str">
        <f>Raw!A86</f>
        <v>Goossens et al. (1986)</v>
      </c>
      <c r="C86" s="11">
        <f>Raw!G86</f>
        <v>1</v>
      </c>
      <c r="D86" s="11" t="str">
        <f>Raw!E86</f>
        <v>Mother-child</v>
      </c>
      <c r="E86" s="11" t="str">
        <f>CONCATENATE(IF(Raw!I86&lt;='Interval Definitions'!$B$2, 'Interval Definitions'!$A$2, IF(Raw!I86&lt;='Interval Definitions'!$B$3, 'Interval Definitions'!$A$3, IF(Raw!I86&lt;='Interval Definitions'!$B$4, 'Interval Definitions'!$A$4, IF(Raw!I86&lt;='Interval Definitions'!$B$5, 'Interval Definitions'!$A$5, "None")))), " - ", IF(Raw!J86&lt;='Interval Definitions'!$B$2, 'Interval Definitions'!$A$2, IF(Raw!J86&lt;='Interval Definitions'!$B$3, 'Interval Definitions'!$A$3, IF(Raw!J86&lt;='Interval Definitions'!$B$4, 'Interval Definitions'!$A$4, IF(Raw!J86&lt;='Interval Definitions'!$B$5, 'Interval Definitions'!$A$5, "None")))))</f>
        <v>Infancy - Infancy</v>
      </c>
      <c r="F86" s="11" t="b">
        <f>OR(NOT(ISBLANK(Raw!AF86)),NOT(ISBLANK(Raw!AG86)),NOT(ISBLANK(Raw!AH86)),NOT(ISBLANK(Raw!AI86)),COUNTIF(Raw!AA86:AD86, "&gt;=0") = 4)</f>
        <v>1</v>
      </c>
      <c r="G86" s="11" t="str">
        <f>IF(F86, IF(COUNTIF(Raw!AA86:AD86,"&gt;=0") = 4, "Contingency", IF(NOT(ISBLANK(Raw!AF86)), "Paper r", IF(NOT(ISBLANK(Raw!AG86)), "Pinquart", IF(NOT(ISBLANK(Raw!AH86)), "Fraley", "Paper chiSq")))), "Not Included")</f>
        <v>Contingency</v>
      </c>
      <c r="H86" s="15">
        <f>IF(F86,Raw!AE86,"Not Included")</f>
        <v>9</v>
      </c>
      <c r="I86" s="15">
        <f>IF(COUNTIF(Raw!AA86:AD86,"&gt;=0") = 4, SUM(Raw!AA86:AD86), "No Contingency Table")</f>
        <v>9</v>
      </c>
      <c r="J86" s="15">
        <f t="shared" si="0"/>
        <v>9</v>
      </c>
      <c r="K86" s="38">
        <f>IF(F86, IF(COUNTIF(Raw!AA86:AD86,"&gt;=0") = 4, IFERROR((I86*Raw!AA86 - SUM(Raw!AA86,Raw!AB86)*SUM(Raw!AA86,Raw!AD86)) / SQRT((I86*SUM(Raw!AA86,Raw!AB86) - SUM(Raw!AA86,Raw!AB86)^2) * (I86*SUM(Raw!AA86,Raw!AD86) - SUM(Raw!AA86,Raw!AD86)^2)), 0), "No Contingency Table"), "Not Included")</f>
        <v>1</v>
      </c>
      <c r="L86" s="41">
        <f>IF(F86,IF(NOT(ISBLANK(Raw!AF86)), Raw!AF86, IF(NOT(ISBLANK(Raw!AG86)), Raw!AG86, IF(NOT(ISBLANK(Raw!AH86)), Raw!AH86, IF(NOT(ISBLANK(Raw!AI86)), SQRT(Raw!AI86/H86)*Raw!AJ86, "Not Reported")))),"Not Included")</f>
        <v>0.52</v>
      </c>
      <c r="M86" s="43">
        <f t="shared" si="1"/>
        <v>1</v>
      </c>
      <c r="N86" s="11">
        <f t="shared" si="2"/>
        <v>0</v>
      </c>
      <c r="O86" s="48" t="b">
        <f>OR(NOT(ISBLANK(Raw!AK86)), COUNTIF(Raw!AA86:AD86, "&gt;=0") = 4)</f>
        <v>1</v>
      </c>
      <c r="P86" s="24" t="str">
        <f>IF(O86,IF(COUNTIF(Raw!AA86:AD86,"&gt;=0") = 4,"Contingency", "Paper k"), "Not Included")</f>
        <v>Contingency</v>
      </c>
      <c r="Q86" s="48">
        <f>IF(O86, IF(COUNTIF(Raw!AA86:AD86,"&gt;=0") = 4,SUM(Raw!AA86,Raw!AC86)/H86,"No Contingency Table"), "Not Included")</f>
        <v>1</v>
      </c>
      <c r="R86" s="38">
        <f>IF(O86, IF(COUNTIF(Raw!AA86:AD86, "&gt;=0") = 4,SUM(SUM(Raw!AA86,Raw!AB86)*SUM(Raw!AA86,Raw!AD86),SUM(Raw!AC86,Raw!AD86)*SUM(Raw!AC86,Raw!AB86))/H86^2,"No Contingency Table"), "Not Included")</f>
        <v>0.55555555555555558</v>
      </c>
      <c r="S86" s="38">
        <f>IF(O86, IF(COUNTIF(Raw!AA86:AD86,"&gt;=0") = 4, IFERROR((Q86 - R86) / (1 - R86), "Could not calculate"), "No Contingency Table"), "Not Included")</f>
        <v>1</v>
      </c>
      <c r="T86" s="52" t="str">
        <f>IF(O86,IF(NOT(ISBLANK(Raw!AK86)), Raw!AK86, "Not Reported"), "Not Included")</f>
        <v>Not Reported</v>
      </c>
      <c r="U86" s="38">
        <f t="shared" si="3"/>
        <v>1</v>
      </c>
      <c r="V86" s="11" t="str">
        <f t="shared" si="4"/>
        <v>NA</v>
      </c>
      <c r="W86" s="11" t="b">
        <f>OR(NOT(ISBLANK(Raw!AU86)),COUNTIF(Raw!AL86:AT86,"&gt;=0") = 9)</f>
        <v>1</v>
      </c>
      <c r="X86" s="11" t="str">
        <f>IF(W86, IF(COUNTIF(Raw!AL86:AT86,"&gt;=0") = 9, "Contingency", "Paper k"), "Not Included")</f>
        <v>Contingency</v>
      </c>
      <c r="Y86" s="11">
        <f>IF(W86,IF(COUNTIF(Raw!AL86:AT86,"&gt;=0") = 9,SUM(Raw!AL86:AT86),"No Contingency Table"),"Not Included")</f>
        <v>9</v>
      </c>
      <c r="Z86" s="11">
        <f t="shared" si="5"/>
        <v>9</v>
      </c>
      <c r="AA86" s="11">
        <f>IF(W86,IF(COUNTIF(Raw!AL86:AT86,"&gt;=0") = 9,SUM(Raw!AL86,Raw!AP86,Raw!AT86)/Y86,"No Contingency Table"), "Not Included")</f>
        <v>1</v>
      </c>
      <c r="AB86" s="11">
        <f>IF(W86,IF(COUNTIF(Raw!AL86:AT86,"&gt;=0") = 9,SUM(SUM(Raw!AL86,Raw!AM86,Raw!AN86)*SUM(Raw!AL86,Raw!AO86,Raw!AR86),SUM(Raw!AO86,Raw!AP86,Raw!AQ86)*SUM(Raw!AM86,Raw!AP86,Raw!AS86),SUM(Raw!AR86,Raw!AS86,Raw!AT86)*SUM(Raw!AN86,Raw!AQ86,Raw!AT86))/Y86^2,"No Contingency Table"), "Not Included")</f>
        <v>0.55555555555555558</v>
      </c>
      <c r="AC86" s="11">
        <f>IF(W86,IF(COUNTIF(Raw!AL86:AT86,"&gt;=0") = 9,(AA86 - AB86) / (1 - AB86),"No Contingency Table"), "Not Included")</f>
        <v>1</v>
      </c>
      <c r="AD86" s="11" t="str">
        <f>IF(W86, IF(NOT(ISBLANK(Raw!AU86)),Raw!AU86,"Not Reported"), "Not Included")</f>
        <v>Not Reported</v>
      </c>
      <c r="AE86" s="11">
        <f t="shared" si="6"/>
        <v>1</v>
      </c>
      <c r="AF86" s="11" t="str">
        <f t="shared" si="7"/>
        <v>NA</v>
      </c>
      <c r="AG86" s="11" t="b">
        <f>COUNTIF(Raw!AV86:BK86, "&gt;=0") = 16</f>
        <v>0</v>
      </c>
      <c r="AH86" s="11" t="str">
        <f>IF(AG86, IF(COUNTIF(Raw!AV86:BK86,"&gt;=0") = 16, "Contingency", "Paper k"), "Not Included")</f>
        <v>Not Included</v>
      </c>
      <c r="AI86" s="11" t="str">
        <f>IF(AG86,IF(COUNTIF(Raw!AV86:BK86,"&gt;=0") = 16,SUM(Raw!AV86:BK86),"No Contingency Table"),"Not Included")</f>
        <v>Not Included</v>
      </c>
      <c r="AJ86" s="15">
        <f t="shared" si="8"/>
        <v>9</v>
      </c>
      <c r="AK86" s="11" t="str">
        <f>IF(AG86,IF(COUNTIF(Raw!AV86:BK86,"&gt;=0") = 16,SUM(Raw!AV86,Raw!BA86,Raw!BF86,Raw!BK86)/AI86,"No Contingency Table"), "Not Included")</f>
        <v>Not Included</v>
      </c>
      <c r="AL86" s="11" t="str">
        <f>IF(AG86,IF(COUNTIF(Raw!AV86:BK86,"&gt;=0") = 16,SUM(SUM(Raw!AV86,Raw!AW86,Raw!AX86,Raw!AY86)*SUM(Raw!AV86,Raw!AZ86,Raw!BD86,Raw!BH86),SUM(Raw!AZ86,Raw!BA86,Raw!BB86,Raw!BC86)*SUM(Raw!AW86,Raw!BA86,Raw!BE86,Raw!BI86),SUM(Raw!BD86,Raw!BE86,Raw!BF86,Raw!BG86)*SUM(Raw!AX86,Raw!BB86,Raw!BF86,Raw!BJ86),SUM(Raw!BH86,Raw!BI86,Raw!BJ86,Raw!BK86)*SUM(Raw!AY86,Raw!BC86,Raw!BG86,Raw!BK86))/AI86^2,"No Contingency Table"), "Not Included")</f>
        <v>Not Included</v>
      </c>
      <c r="AM86" s="11" t="str">
        <f>IF(AG86,IF(COUNTIF(Raw!AV86:BK86,"&gt;=0") = 16,(AK86 - AL86) / (1 - AL86),"No Contingency Table"), "Not Included")</f>
        <v>Not Included</v>
      </c>
      <c r="AN86" s="11" t="str">
        <f>IF(NOT(ISBLANK(Raw!BL86)),Raw!BL86,"Not Reported")</f>
        <v>Not Reported</v>
      </c>
      <c r="AO86" s="11" t="str">
        <f t="shared" si="9"/>
        <v>Not Reported</v>
      </c>
      <c r="AP86" s="11" t="str">
        <f t="shared" si="10"/>
        <v>Not Included</v>
      </c>
      <c r="AQ86" s="11" t="b">
        <f t="shared" ref="AQ86:AR86" si="355">BQ86</f>
        <v>0</v>
      </c>
      <c r="AR86" s="11" t="str">
        <f t="shared" si="355"/>
        <v>Not Included</v>
      </c>
      <c r="AS86" s="11" t="str">
        <f t="shared" si="12"/>
        <v>Not Included</v>
      </c>
      <c r="AT86" s="11" t="str">
        <f t="shared" si="13"/>
        <v>Not Included</v>
      </c>
      <c r="AU86" s="11" t="str">
        <f>IF(AQ86, IF(COUNTIF(Raw!AV86:BK86, "&gt;=0") = 16, IFERROR((AT86*Raw!BK86 - SUM(Raw!BH86, Raw!BI86, Raw!BJ86, Raw!BK86)*SUM(Raw!AY86, Raw!BC86, Raw!BG86, Raw!BK86)) / SQRT((AT86*SUM(Raw!BH86, Raw!BI86, Raw!BJ86, Raw!BK86) - SUM(Raw!BH86, Raw!BI86, Raw!BJ86, Raw!BK86)^2) * (AT86*SUM(Raw!AY86, Raw!BC86, Raw!BG86, Raw!BK86) - SUM(Raw!AY86, Raw!BC86, Raw!BG86, Raw!BK86)^2)), 0), "No Contingency Table"), "Not Included")</f>
        <v>Not Included</v>
      </c>
      <c r="AV86" s="11" t="str">
        <f>IF(AQ86,IF(NOT(ISBLANK(Raw!BQ86)), Raw!BQ86, IF(NOT(ISBLANK(Raw!BR86)), Raw!BR86, "Not Reported")), "Not Included")</f>
        <v>Not Included</v>
      </c>
      <c r="AW86" s="57" t="str">
        <f t="shared" si="14"/>
        <v>Not Included</v>
      </c>
      <c r="AX86" s="11" t="str">
        <f t="shared" si="15"/>
        <v>Not Included</v>
      </c>
      <c r="AY86" s="11" t="b">
        <f t="shared" ref="AY86:AZ86" si="356">AQ86</f>
        <v>0</v>
      </c>
      <c r="AZ86" s="11" t="str">
        <f t="shared" si="356"/>
        <v>Not Included</v>
      </c>
      <c r="BA86" s="11" t="str">
        <f>IF(AY86, IF(COUNTIF(Raw!AV86:BK86, "&gt;=0") = 16, SUM(Raw!AV86,Raw!AW86,Raw!AX86,Raw!AZ86,Raw!BA86,Raw!BB86,Raw!BD86,Raw!BE86,Raw!BF86,Raw!BK86)/SUM(Raw!AV86:BK86), "No Contingency Table"), "Not Included")</f>
        <v>Not Included</v>
      </c>
      <c r="BB86" s="11" t="str">
        <f>IF(AY86, IF(COUNTIF(Raw!AV86:BK86, "&gt;=0") = 16,SUM(SUM(Raw!BH86,Raw!BI86,Raw!BJ86,Raw!BK86)*SUM(Raw!AY86,Raw!BC86,Raw!BG86,Raw!BK86),SUM(Raw!AV86:BG86)*SUM(Raw!AV86,Raw!AW86,Raw!AX86,Raw!AZ86,Raw!BA86,Raw!BB86,Raw!BD86,Raw!BE86,Raw!BF86,Raw!BH86,Raw!BI86,Raw!BJ86))/AT86^2,"No Contingency Table"), "Not Included")</f>
        <v>Not Included</v>
      </c>
      <c r="BC86" s="11" t="str">
        <f>IF(AY86, IF(COUNTIF(Raw!AV86:BK86, "&gt;=0") = 16,(BA86-BB86) / (1 - BB86),"No Contingency Table"), "Not Included")</f>
        <v>Not Included</v>
      </c>
      <c r="BD86" s="11" t="str">
        <f>IF(AY86,IF(NOT(ISBLANK(Raw!BT107)),Raw!BT107,"Not Reported"),"Not Included")</f>
        <v>Not Included</v>
      </c>
      <c r="BE86" s="11" t="str">
        <f t="shared" si="17"/>
        <v>Not Included</v>
      </c>
      <c r="BF86" s="11" t="str">
        <f t="shared" si="18"/>
        <v>Not Included</v>
      </c>
      <c r="BG86" s="11">
        <f>Raw!K86</f>
        <v>1986</v>
      </c>
      <c r="BH86" s="11" t="str">
        <f>IF(Raw!L86 = "USA","USA","Non-USA")</f>
        <v>Non-USA</v>
      </c>
      <c r="BI86" s="11" t="str">
        <f>Raw!M86</f>
        <v>Ainsworth/Ainsworth</v>
      </c>
      <c r="BJ86" s="11">
        <f>Raw!N86</f>
        <v>1</v>
      </c>
      <c r="BK86" s="11">
        <f>Raw!P86</f>
        <v>0</v>
      </c>
      <c r="BL86" s="11">
        <f>Raw!Q86</f>
        <v>0</v>
      </c>
      <c r="BM86" s="11">
        <f>Raw!T86</f>
        <v>1</v>
      </c>
      <c r="BN86" s="11">
        <f>IFERROR(IF(AND(ISBLANK(Raw!U86), ISBLANK(Raw!V86), ISBLANK(Raw!W86), ISBLANK(Raw!X86)), "NA", IF(OR(NOT(ISBLANK(Raw!U86)), NOT(ISBLANK(Raw!W86))), AVERAGE(Raw!U86,Raw!W86), AVERAGE(Raw!V86,Raw!X86) + IF(Raw!Y86 = "2-way", R86, IF(Raw!Y86 = "3-way", AB86, IF(Raw!Y86 = "4-way", AL86, "NA")))*(1 - AVERAGE(Raw!V86,Raw!X86)))), "NA")</f>
        <v>0.94</v>
      </c>
      <c r="BO86" s="11">
        <f>Raw!O86</f>
        <v>0</v>
      </c>
      <c r="BP86" s="11" t="str">
        <f>Raw!F86</f>
        <v>Female</v>
      </c>
      <c r="BQ86" s="11" t="b">
        <f>COUNTIF(Raw!AV86:BK86, "&gt;=0") = 16</f>
        <v>0</v>
      </c>
      <c r="BR86" s="11" t="str">
        <f t="shared" si="19"/>
        <v>Not Included</v>
      </c>
      <c r="BS86" s="11" t="str">
        <f t="shared" si="20"/>
        <v>Not Included</v>
      </c>
      <c r="BT86" s="11" t="str">
        <f>IF(BQ86, IF(COUNTIF(Raw!AV86:BK86, "&gt;=0") = 16, IFERROR((BS86*Raw!AV86 - SUM(Raw!AV86, Raw!AW86, Raw!AX86, Raw!AY86)*SUM(Raw!AV86, Raw!AZ86, Raw!BD86, Raw!BH86)) / SQRT((BS86*SUM(Raw!AV86, Raw!AW86, Raw!AX86, Raw!AY86) - SUM(Raw!AV86, Raw!AW86, Raw!AX86, Raw!AY86)^2) * (BS86*SUM(Raw!AV86, Raw!AZ86, Raw!BD86, Raw!BH86) - SUM(Raw!AV86, Raw!AZ86, Raw!BD86, Raw!BH86)^2)), 0), "No Contingency Table"), "Not Included")</f>
        <v>Not Included</v>
      </c>
      <c r="BU86" s="11" t="str">
        <f>IF(BQ86, IF(COUNTIF(Raw!AV86:BK86, "&gt;=0") = 16, SUM(Raw!BK86,Raw!BJ86,Raw!BI86,Raw!BG86,Raw!BF86,Raw!BE86,Raw!BC86,Raw!BB86,Raw!BA86,Raw!AV86)/SUM(Raw!AV86:BK86), "No Contingency Table"), "Not Included")</f>
        <v>Not Included</v>
      </c>
      <c r="BV86" s="11" t="str">
        <f>IF(BQ86, IF(COUNTIF(Raw!AV86:BK86, "&gt;=0") = 16,SUM(SUM(Raw!AV86,Raw!AW86,Raw!AX86,Raw!AY86)*SUM(Raw!AV86,Raw!AZ86,Raw!BD86,Raw!BH86),SUM(Raw!AZ86:BK86)*SUM(Raw!AW86,Raw!AX86,Raw!AY86,Raw!BA86,Raw!BB86,Raw!BC86,Raw!BE86,Raw!BF86,Raw!BG86,Raw!BI86,Raw!BJ86,Raw!BK86))/BS86^2,"No Contingency Table"), "Not Included")</f>
        <v>Not Included</v>
      </c>
      <c r="BW86" s="11" t="str">
        <f>IF(BQ86, IF(COUNTIF(Raw!AV86:BK86, "&gt;=0") = 16,(BU86-BV86) / (1 - BV86),"No Contingency Table"), "Not Included")</f>
        <v>Not Included</v>
      </c>
      <c r="BX86" s="11" t="b">
        <f t="shared" ref="BX86:BZ86" si="357">BQ86</f>
        <v>0</v>
      </c>
      <c r="BY86" s="11" t="str">
        <f t="shared" si="357"/>
        <v>Not Included</v>
      </c>
      <c r="BZ86" s="11" t="str">
        <f t="shared" si="357"/>
        <v>Not Included</v>
      </c>
      <c r="CA86" s="11" t="str">
        <f>IF(BX86, IF(COUNTIF(Raw!AV86:BK86, "&gt;=0") = 16, IFERROR((BZ86*Raw!BF86 - SUM(Raw!BD86, Raw!BE86, Raw!BF86, Raw!BG86)*SUM(Raw!BF86, Raw!AX86, Raw!BB86, Raw!BJ86)) / SQRT((BZ86*SUM(Raw!BD86, Raw!BE86, Raw!BF86, Raw!BG86) - SUM(Raw!BD86, Raw!BE86, Raw!BF86, Raw!BG86)^2) * (BZ86*SUM(Raw!BF86, Raw!AX86, Raw!BB86, Raw!BJ86) - SUM(Raw!BF86, Raw!AX86, Raw!BB86, Raw!BJ86)^2)), 0), "No Contingency Table"), "Not Included")</f>
        <v>Not Included</v>
      </c>
      <c r="CB86" s="11" t="str">
        <f>IF(BX86, IF(COUNTIF(Raw!AV86:BK86, "&gt;=0") = 16, SUM(Raw!AV86,Raw!AW86,Raw!AY86,Raw!AZ86,Raw!BA86,Raw!BC86,Raw!BF86,Raw!BH86,Raw!BI86,Raw!BK86) / SUM(Raw!AV86:BK86), "No Contingency Table"), "Not Included")</f>
        <v>Not Included</v>
      </c>
      <c r="CC86" s="11" t="str">
        <f>IF(BX86, IF(COUNTIF(Raw!AV86:BK86, "&gt;=0") = 16,SUM(SUM(Raw!BD86,Raw!BE86,Raw!BF86,Raw!BG86)*SUM(Raw!BF86,Raw!AX86,Raw!BB86,Raw!BJ86),SUM(Raw!AV86:BC86,Raw!BH86:BK86)*SUM(Raw!AV86,Raw!AW86,Raw!AY86,Raw!AZ86,Raw!BA86,Raw!BC86,Raw!BD86,Raw!BE86,Raw!BG86,Raw!BH86,Raw!BI86,Raw!BK86))/BZ86^2,"No Contingency Table"), "Not Included")</f>
        <v>Not Included</v>
      </c>
      <c r="CD86" s="11" t="str">
        <f>IF(BX86, IF(COUNTIF(Raw!AV86:BK86, "&gt;=0") = 16,(CB86 - CC86) / (1 - CC86+0.000001),"No Contingency Table"), "Not Included")</f>
        <v>Not Included</v>
      </c>
      <c r="CE86" s="11" t="b">
        <f t="shared" ref="CE86:CG86" si="358">BQ86</f>
        <v>0</v>
      </c>
      <c r="CF86" s="11" t="str">
        <f t="shared" si="358"/>
        <v>Not Included</v>
      </c>
      <c r="CG86" s="11" t="str">
        <f t="shared" si="358"/>
        <v>Not Included</v>
      </c>
      <c r="CH86" s="11" t="str">
        <f>IF(CE86, IF(COUNTIF(Raw!AV86:BK86, "&gt;=0") = 16, IFERROR((CG86*Raw!BA86 - SUM(Raw!BA86, Raw!AZ86, Raw!BB86, Raw!BC86)*SUM(Raw!BA86, Raw!AW86, Raw!BE86, Raw!BI86)) / SQRT((CG86*SUM(Raw!BA86, Raw!AZ86, Raw!BB86, Raw!BC86) - SUM(Raw!BA86, Raw!AZ86, Raw!BB86, Raw!BC86)^2) * (CG86*SUM(Raw!BA86, Raw!AW86, Raw!BE86, Raw!BI86) - SUM(Raw!BA86, Raw!AW86, Raw!BE86, Raw!BI86)^2)), 0), "No Contingency Table"), "Not Included")</f>
        <v>Not Included</v>
      </c>
      <c r="CI86" s="11" t="str">
        <f>IF(CE86, IF(COUNTIF(Raw!AV86:BK86, "&gt;=0") = 16, SUM(Raw!AV86,Raw!AX86,Raw!AY86,Raw!BA86,Raw!BD86,Raw!BF86,Raw!BG86,Raw!BH86,Raw!BJ86,Raw!BK86) / SUM(Raw!AV86:BK86), "No Contingency Table"), "Not Included")</f>
        <v>Not Included</v>
      </c>
      <c r="CJ86" s="61" t="str">
        <f>IF(BX86, IF(COUNTIF(Raw!AV86:BK86, "&gt;=0") = 16,SUM(SUM(Raw!AZ86,Raw!BA86,Raw!BB86,Raw!BC86)*SUM(Raw!BA86,Raw!AW86,Raw!BE86,Raw!BI86),SUM(Raw!AV86:AY86,Raw!BD86:BK86)*SUM(Raw!AV86,Raw!AX86,Raw!AY86,Raw!AZ86,Raw!BB86,Raw!BC86,Raw!BD86,Raw!BF86,Raw!BG86,Raw!BH86,Raw!BJ86,Raw!BK86))/CG86^2,"No Contingency Table"), "Not Included")</f>
        <v>Not Included</v>
      </c>
      <c r="CK86" s="11" t="str">
        <f>IF(BX86, IF(COUNTIF(Raw!AV86:BK86, "&gt;=0") = 16,(CI86 - CJ86) / (1 - CJ86),"No Contingency Table"), "Not Included")</f>
        <v>Not Included</v>
      </c>
      <c r="CL86" s="11" t="str">
        <f>IF(BQ86, IFERROR(Raw!AV86/SUM(Raw!AV86:AY86), 0), "Not Included")</f>
        <v>Not Included</v>
      </c>
      <c r="CM86" s="11" t="str">
        <f>IF(BQ86, IFERROR(Raw!BA86/SUM(Raw!AZ86:BC86), 0), "Not Included")</f>
        <v>Not Included</v>
      </c>
      <c r="CN86" s="11" t="str">
        <f>IF(BQ86, IFERROR(Raw!BF86/SUM(Raw!BD86:BG86), 0), "Not Included")</f>
        <v>Not Included</v>
      </c>
      <c r="CO86" s="11" t="str">
        <f>IF(BQ86, IFERROR(Raw!BK86/SUM(Raw!BH86:BK86), 0), "Not Included")</f>
        <v>Not Included</v>
      </c>
      <c r="CP86" s="11" t="str">
        <f>IF(BQ86, IFERROR(SUM(Raw!AV86,Raw!AX86,Raw!AY86,Raw!BD86,Raw!BF86,Raw!BG86,Raw!BH86,Raw!BJ86,Raw!BK86)/SUM(Raw!AV86,Raw!AW86,Raw!AX86,Raw!AY86,Raw!BD86,Raw!BE86,Raw!BF86,Raw!BG86,Raw!BH86,Raw!BI86,Raw!BJ86,Raw!BK86), 0), "Not Included")</f>
        <v>Not Included</v>
      </c>
      <c r="CQ86" s="11" t="str">
        <f>IF(BQ86, IFERROR(SUM(Raw!AV86:AX86,Raw!AZ86:BB86,Raw!BD86:BF86)/SUM(Raw!AV86:BF86), 0), "Not Included")</f>
        <v>Not Included</v>
      </c>
      <c r="CR86" s="11" t="str">
        <f>IF(BQ86, IFERROR(SUM(Raw!AV86:AY86), 0), "Not Included")</f>
        <v>Not Included</v>
      </c>
      <c r="CS86" s="11" t="str">
        <f>IF(BQ86, IFERROR(SUM(Raw!AZ86:BC86), 0), "Not Included")</f>
        <v>Not Included</v>
      </c>
      <c r="CT86" s="11" t="str">
        <f>IF(BQ86, IFERROR(SUM(Raw!BD86:BG86), 0), "Not Included")</f>
        <v>Not Included</v>
      </c>
      <c r="CU86" s="11" t="str">
        <f>IF(BQ86, IFERROR(SUM(Raw!BH86:BK86), 0), "Not Included")</f>
        <v>Not Included</v>
      </c>
      <c r="CV86" s="11" t="str">
        <f>IF(BQ86, IFERROR(SUM(Raw!AV86,Raw!AW86,Raw!AX86,Raw!AY86,Raw!BD86,Raw!BE86,Raw!BF86,Raw!BG86,Raw!BH86,Raw!BI86,Raw!BJ86,Raw!BK86), 0), "Not Included")</f>
        <v>Not Included</v>
      </c>
      <c r="CW86" s="11" t="str">
        <f>IF(BQ86, IFERROR(SUM(Raw!AV86:BF86), 0), "Not Included")</f>
        <v>Not Included</v>
      </c>
      <c r="CX86" s="11" t="str">
        <f>IF(BQ86, IFERROR((CR86*SUM(Raw!AV86,Raw!AZ86,Raw!BD86,Raw!BH86))/BS86/CR86, 0), "Not Included")</f>
        <v>Not Included</v>
      </c>
      <c r="CY86" s="11" t="str">
        <f>IF(BX86, IFERROR((CS86*SUM(Raw!BA86,Raw!AW86,Raw!BE86,Raw!BI86))/CG86/CS86, 0), "Not Included")</f>
        <v>Not Included</v>
      </c>
      <c r="CZ86" s="11" t="str">
        <f>IF(BX86, IFERROR((CT86*SUM(Raw!BF86,Raw!AX86,Raw!BB86,Raw!BJ86))/BZ86/CT86, 0), "Not Included")</f>
        <v>Not Included</v>
      </c>
      <c r="DA86" s="11" t="str">
        <f>IF(AY86, IFERROR((CU86*SUM(Raw!AY86,Raw!BC86,Raw!BG86,Raw!BK86))/AT86/CU86, 0), "Not Included")</f>
        <v>Not Included</v>
      </c>
      <c r="DB86" s="11" t="str">
        <f>IF(BX86, IFERROR((CV86*SUM(Raw!AV86,Raw!AX86,Raw!AY86,Raw!AZ86,Raw!BB86,Raw!BC86,Raw!BD86,Raw!BF86,Raw!BG86,Raw!BH86,Raw!BJ86,Raw!BK86))/CG86/CV86,0), "Not Included")</f>
        <v>Not Included</v>
      </c>
      <c r="DC86" s="11" t="str">
        <f>IF(AY86, IFERROR((CW86*SUM(Raw!AV86,Raw!AW86,Raw!AX86,Raw!AZ86,Raw!BA86,Raw!BB86,Raw!BD86,Raw!BE86,Raw!BF86,Raw!BH86,Raw!BI86,Raw!BJ86))/AT86/CW86,0), "Not Included")</f>
        <v>Not Included</v>
      </c>
    </row>
    <row r="87" spans="1:107" ht="12.75" customHeight="1">
      <c r="A87" s="11">
        <f>Raw!D87</f>
        <v>63</v>
      </c>
      <c r="B87" s="11" t="str">
        <f>Raw!A87</f>
        <v>Vondra, Hommerding, &amp; Shaw (1999)</v>
      </c>
      <c r="C87" s="11">
        <f>Raw!G87</f>
        <v>1</v>
      </c>
      <c r="D87" s="11" t="str">
        <f>Raw!E87</f>
        <v>Mother-child</v>
      </c>
      <c r="E87" s="11" t="str">
        <f>CONCATENATE(IF(Raw!I87&lt;='Interval Definitions'!$B$2, 'Interval Definitions'!$A$2, IF(Raw!I87&lt;='Interval Definitions'!$B$3, 'Interval Definitions'!$A$3, IF(Raw!I87&lt;='Interval Definitions'!$B$4, 'Interval Definitions'!$A$4, IF(Raw!I87&lt;='Interval Definitions'!$B$5, 'Interval Definitions'!$A$5, "None")))), " - ", IF(Raw!J87&lt;='Interval Definitions'!$B$2, 'Interval Definitions'!$A$2, IF(Raw!J87&lt;='Interval Definitions'!$B$3, 'Interval Definitions'!$A$3, IF(Raw!J87&lt;='Interval Definitions'!$B$4, 'Interval Definitions'!$A$4, IF(Raw!J87&lt;='Interval Definitions'!$B$5, 'Interval Definitions'!$A$5, "None")))))</f>
        <v>Infancy - Infancy</v>
      </c>
      <c r="F87" s="11" t="b">
        <f>OR(NOT(ISBLANK(Raw!AF87)),NOT(ISBLANK(Raw!AG87)),NOT(ISBLANK(Raw!AH87)),NOT(ISBLANK(Raw!AI87)),COUNTIF(Raw!AA87:AD87, "&gt;=0") = 4)</f>
        <v>1</v>
      </c>
      <c r="G87" s="11" t="str">
        <f>IF(F87, IF(COUNTIF(Raw!AA87:AD87,"&gt;=0") = 4, "Contingency", IF(NOT(ISBLANK(Raw!AF87)), "Paper r", IF(NOT(ISBLANK(Raw!AG87)), "Pinquart", IF(NOT(ISBLANK(Raw!AH87)), "Fraley", "Paper chiSq")))), "Not Included")</f>
        <v>Contingency</v>
      </c>
      <c r="H87" s="15">
        <f>IF(F87,Raw!AE87,"Not Included")</f>
        <v>90</v>
      </c>
      <c r="I87" s="15">
        <f>IF(COUNTIF(Raw!AA87:AD87,"&gt;=0") = 4, SUM(Raw!AA87:AD87), "No Contingency Table")</f>
        <v>90</v>
      </c>
      <c r="J87" s="15">
        <f t="shared" si="0"/>
        <v>90</v>
      </c>
      <c r="K87" s="38">
        <f>IF(F87, IF(COUNTIF(Raw!AA87:AD87,"&gt;=0") = 4, IFERROR((I87*Raw!AA87 - SUM(Raw!AA87,Raw!AB87)*SUM(Raw!AA87,Raw!AD87)) / SQRT((I87*SUM(Raw!AA87,Raw!AB87) - SUM(Raw!AA87,Raw!AB87)^2) * (I87*SUM(Raw!AA87,Raw!AD87) - SUM(Raw!AA87,Raw!AD87)^2)), 0), "No Contingency Table"), "Not Included")</f>
        <v>0.31494488946609328</v>
      </c>
      <c r="L87" s="41" t="str">
        <f>IF(F87,IF(NOT(ISBLANK(Raw!AF87)), Raw!AF87, IF(NOT(ISBLANK(Raw!AG87)), Raw!AG87, IF(NOT(ISBLANK(Raw!AH87)), Raw!AH87, IF(NOT(ISBLANK(Raw!AI87)), SQRT(Raw!AI87/H87)*Raw!AJ87, "Not Reported")))),"Not Included")</f>
        <v>Not Reported</v>
      </c>
      <c r="M87" s="43">
        <f t="shared" si="1"/>
        <v>0.31494488946609328</v>
      </c>
      <c r="N87" s="11" t="str">
        <f t="shared" si="2"/>
        <v>NA</v>
      </c>
      <c r="O87" s="48" t="b">
        <f>OR(NOT(ISBLANK(Raw!AK87)), COUNTIF(Raw!AA87:AD87, "&gt;=0") = 4)</f>
        <v>1</v>
      </c>
      <c r="P87" s="24" t="str">
        <f>IF(O87,IF(COUNTIF(Raw!AA87:AD87,"&gt;=0") = 4,"Contingency", "Paper k"), "Not Included")</f>
        <v>Contingency</v>
      </c>
      <c r="Q87" s="48">
        <f>IF(O87, IF(COUNTIF(Raw!AA87:AD87,"&gt;=0") = 4,SUM(Raw!AA87,Raw!AC87)/H87,"No Contingency Table"), "Not Included")</f>
        <v>0.65555555555555556</v>
      </c>
      <c r="R87" s="38">
        <f>IF(O87, IF(COUNTIF(Raw!AA87:AD87, "&gt;=0") = 4,SUM(SUM(Raw!AA87,Raw!AB87)*SUM(Raw!AA87,Raw!AD87),SUM(Raw!AC87,Raw!AD87)*SUM(Raw!AC87,Raw!AB87))/H87^2,"No Contingency Table"), "Not Included")</f>
        <v>0.5</v>
      </c>
      <c r="S87" s="38">
        <f>IF(O87, IF(COUNTIF(Raw!AA87:AD87,"&gt;=0") = 4, IFERROR((Q87 - R87) / (1 - R87), "Could not calculate"), "No Contingency Table"), "Not Included")</f>
        <v>0.31111111111111112</v>
      </c>
      <c r="T87" s="52" t="str">
        <f>IF(O87,IF(NOT(ISBLANK(Raw!AK87)), Raw!AK87, "Not Reported"), "Not Included")</f>
        <v>Not Reported</v>
      </c>
      <c r="U87" s="38">
        <f t="shared" si="3"/>
        <v>0.31111111111111112</v>
      </c>
      <c r="V87" s="11" t="str">
        <f t="shared" si="4"/>
        <v>NA</v>
      </c>
      <c r="W87" s="11" t="b">
        <f>OR(NOT(ISBLANK(Raw!AU87)),COUNTIF(Raw!AL87:AT87,"&gt;=0") = 9)</f>
        <v>0</v>
      </c>
      <c r="X87" s="11" t="str">
        <f>IF(W87, IF(COUNTIF(Raw!AL87:AT87,"&gt;=0") = 9, "Contingency", "Paper k"), "Not Included")</f>
        <v>Not Included</v>
      </c>
      <c r="Y87" s="11" t="str">
        <f>IF(W87,IF(COUNTIF(Raw!AL87:AT87,"&gt;=0") = 9,SUM(Raw!AL87:AT87),"No Contingency Table"),"Not Included")</f>
        <v>Not Included</v>
      </c>
      <c r="Z87" s="11" t="str">
        <f t="shared" si="5"/>
        <v>Not Included</v>
      </c>
      <c r="AA87" s="11" t="str">
        <f>IF(W87,IF(COUNTIF(Raw!AL87:AT87,"&gt;=0") = 9,SUM(Raw!AL87,Raw!AP87,Raw!AT87)/Y87,"No Contingency Table"), "Not Included")</f>
        <v>Not Included</v>
      </c>
      <c r="AB87" s="11" t="str">
        <f>IF(W87,IF(COUNTIF(Raw!AL87:AT87,"&gt;=0") = 9,SUM(SUM(Raw!AL87,Raw!AM87,Raw!AN87)*SUM(Raw!AL87,Raw!AO87,Raw!AR87),SUM(Raw!AO87,Raw!AP87,Raw!AQ87)*SUM(Raw!AM87,Raw!AP87,Raw!AS87),SUM(Raw!AR87,Raw!AS87,Raw!AT87)*SUM(Raw!AN87,Raw!AQ87,Raw!AT87))/Y87^2,"No Contingency Table"), "Not Included")</f>
        <v>Not Included</v>
      </c>
      <c r="AC87" s="11" t="str">
        <f>IF(W87,IF(COUNTIF(Raw!AL87:AT87,"&gt;=0") = 9,(AA87 - AB87) / (1 - AB87),"No Contingency Table"), "Not Included")</f>
        <v>Not Included</v>
      </c>
      <c r="AD87" s="11" t="str">
        <f>IF(W87, IF(NOT(ISBLANK(Raw!AU87)),Raw!AU87,"Not Reported"), "Not Included")</f>
        <v>Not Included</v>
      </c>
      <c r="AE87" s="11" t="str">
        <f t="shared" si="6"/>
        <v>Not Included</v>
      </c>
      <c r="AF87" s="11" t="str">
        <f t="shared" si="7"/>
        <v>Not Included</v>
      </c>
      <c r="AG87" s="11" t="b">
        <f>COUNTIF(Raw!AV87:BK87, "&gt;=0") = 16</f>
        <v>1</v>
      </c>
      <c r="AH87" s="11" t="str">
        <f>IF(AG87, IF(COUNTIF(Raw!AV87:BK87,"&gt;=0") = 16, "Contingency", "Paper k"), "Not Included")</f>
        <v>Contingency</v>
      </c>
      <c r="AI87" s="15">
        <f>IF(AG87,IF(COUNTIF(Raw!AV87:BK87,"&gt;=0") = 16,SUM(Raw!AV87:BK87),"No Contingency Table"),"Not Included")</f>
        <v>90</v>
      </c>
      <c r="AJ87" s="15">
        <f t="shared" si="8"/>
        <v>90</v>
      </c>
      <c r="AK87" s="11">
        <f>IF(AG87,IF(COUNTIF(Raw!AV87:BK87,"&gt;=0") = 16,SUM(Raw!AV87,Raw!BA87,Raw!BF87,Raw!BK87)/AI87,"No Contingency Table"), "Not Included")</f>
        <v>0.5</v>
      </c>
      <c r="AL87" s="11">
        <f>IF(AG87,IF(COUNTIF(Raw!AV87:BK87,"&gt;=0") = 16,SUM(SUM(Raw!AV87,Raw!AW87,Raw!AX87,Raw!AY87)*SUM(Raw!AV87,Raw!AZ87,Raw!BD87,Raw!BH87),SUM(Raw!AZ87,Raw!BA87,Raw!BB87,Raw!BC87)*SUM(Raw!AW87,Raw!BA87,Raw!BE87,Raw!BI87),SUM(Raw!BD87,Raw!BE87,Raw!BF87,Raw!BG87)*SUM(Raw!AX87,Raw!BB87,Raw!BF87,Raw!BJ87),SUM(Raw!BH87,Raw!BI87,Raw!BJ87,Raw!BK87)*SUM(Raw!AY87,Raw!BC87,Raw!BG87,Raw!BK87))/AI87^2,"No Contingency Table"), "Not Included")</f>
        <v>0.31135802469135804</v>
      </c>
      <c r="AM87" s="11">
        <f>IF(AG87,IF(COUNTIF(Raw!AV87:BK87,"&gt;=0") = 16,(AK87 - AL87) / (1 - AL87),"No Contingency Table"), "Not Included")</f>
        <v>0.27393330942990318</v>
      </c>
      <c r="AN87" s="32">
        <f>IF(NOT(ISBLANK(Raw!BL87)),Raw!BL87,"Not Reported")</f>
        <v>0.28000000000000003</v>
      </c>
      <c r="AO87" s="11">
        <f t="shared" si="9"/>
        <v>0.27393330942990318</v>
      </c>
      <c r="AP87" s="11">
        <f t="shared" si="10"/>
        <v>1</v>
      </c>
      <c r="AQ87" s="11" t="b">
        <f t="shared" ref="AQ87:AR87" si="359">BQ87</f>
        <v>1</v>
      </c>
      <c r="AR87" s="11" t="str">
        <f t="shared" si="359"/>
        <v>Contingency</v>
      </c>
      <c r="AS87" s="15">
        <f t="shared" si="12"/>
        <v>90</v>
      </c>
      <c r="AT87" s="15">
        <f t="shared" si="13"/>
        <v>90</v>
      </c>
      <c r="AU87" s="11">
        <f>IF(AQ87, IF(COUNTIF(Raw!AV87:BK87, "&gt;=0") = 16, IFERROR((AT87*Raw!BK87 - SUM(Raw!BH87, Raw!BI87, Raw!BJ87, Raw!BK87)*SUM(Raw!AY87, Raw!BC87, Raw!BG87, Raw!BK87)) / SQRT((AT87*SUM(Raw!BH87, Raw!BI87, Raw!BJ87, Raw!BK87) - SUM(Raw!BH87, Raw!BI87, Raw!BJ87, Raw!BK87)^2) * (AT87*SUM(Raw!AY87, Raw!BC87, Raw!BG87, Raw!BK87) - SUM(Raw!AY87, Raw!BC87, Raw!BG87, Raw!BK87)^2)), 0), "No Contingency Table"), "Not Included")</f>
        <v>0.41674678716864105</v>
      </c>
      <c r="AV87" s="11" t="str">
        <f>IF(AQ87,IF(NOT(ISBLANK(Raw!BQ87)), Raw!BQ87, IF(NOT(ISBLANK(Raw!BR87)), Raw!BR87, "Not Reported")), "Not Included")</f>
        <v>Not Reported</v>
      </c>
      <c r="AW87" s="57">
        <f t="shared" si="14"/>
        <v>0.41674678716864105</v>
      </c>
      <c r="AX87" s="11" t="str">
        <f t="shared" si="15"/>
        <v>NA</v>
      </c>
      <c r="AY87" s="11" t="b">
        <f t="shared" ref="AY87:AZ87" si="360">AQ87</f>
        <v>1</v>
      </c>
      <c r="AZ87" s="11" t="str">
        <f t="shared" si="360"/>
        <v>Contingency</v>
      </c>
      <c r="BA87" s="11">
        <f>IF(AY87, IF(COUNTIF(Raw!AV87:BK87, "&gt;=0") = 16, SUM(Raw!AV87,Raw!AW87,Raw!AX87,Raw!AZ87,Raw!BA87,Raw!BB87,Raw!BD87,Raw!BE87,Raw!BF87,Raw!BK87)/SUM(Raw!AV87:BK87), "No Contingency Table"), "Not Included")</f>
        <v>0.77777777777777779</v>
      </c>
      <c r="BB87" s="11">
        <f>IF(AY87, IF(COUNTIF(Raw!AV87:BK87, "&gt;=0") = 16,SUM(SUM(Raw!BH87,Raw!BI87,Raw!BJ87,Raw!BK87)*SUM(Raw!AY87,Raw!BC87,Raw!BG87,Raw!BK87),SUM(Raw!AV87:BG87)*SUM(Raw!AV87,Raw!AW87,Raw!AX87,Raw!AZ87,Raw!BA87,Raw!BB87,Raw!BD87,Raw!BE87,Raw!BF87,Raw!BH87,Raw!BI87,Raw!BJ87))/AT87^2,"No Contingency Table"), "Not Included")</f>
        <v>0.62666666666666671</v>
      </c>
      <c r="BC87" s="11">
        <f>IF(AY87, IF(COUNTIF(Raw!AV87:BK87, "&gt;=0") = 16,(BA87-BB87) / (1 - BB87),"No Contingency Table"), "Not Included")</f>
        <v>0.40476190476190471</v>
      </c>
      <c r="BD87" s="11" t="str">
        <f>IF(AY87,IF(NOT(ISBLANK(Raw!BT108)),Raw!BT108,"Not Reported"),"Not Included")</f>
        <v>Not Reported</v>
      </c>
      <c r="BE87" s="11">
        <f t="shared" si="17"/>
        <v>0.40476190476190471</v>
      </c>
      <c r="BF87" s="11" t="str">
        <f t="shared" si="18"/>
        <v>NA</v>
      </c>
      <c r="BG87" s="11">
        <f>Raw!K87</f>
        <v>1999</v>
      </c>
      <c r="BH87" s="11" t="str">
        <f>IF(Raw!L87 = "USA","USA","Non-USA")</f>
        <v>USA</v>
      </c>
      <c r="BI87" s="11" t="str">
        <f>Raw!M87</f>
        <v>Ainsworth/Ainsworth</v>
      </c>
      <c r="BJ87" s="11">
        <f>Raw!N87</f>
        <v>0</v>
      </c>
      <c r="BK87" s="11">
        <f>Raw!P87</f>
        <v>1</v>
      </c>
      <c r="BL87" s="11">
        <f>Raw!Q87</f>
        <v>0</v>
      </c>
      <c r="BM87" s="11">
        <f>Raw!T87</f>
        <v>1</v>
      </c>
      <c r="BN87" s="11">
        <f>IFERROR(IF(AND(ISBLANK(Raw!U87), ISBLANK(Raw!V87), ISBLANK(Raw!W87), ISBLANK(Raw!X87)), "NA", IF(OR(NOT(ISBLANK(Raw!U87)), NOT(ISBLANK(Raw!W87))), AVERAGE(Raw!U87,Raw!W87), AVERAGE(Raw!V87,Raw!X87) + IF(Raw!Y87 = "2-way", R87, IF(Raw!Y87 = "3-way", AB87, IF(Raw!Y87 = "4-way", AL87, "NA")))*(1 - AVERAGE(Raw!V87,Raw!X87)))), "NA")</f>
        <v>0.8</v>
      </c>
      <c r="BO87" s="11">
        <f>Raw!O87</f>
        <v>0</v>
      </c>
      <c r="BP87" s="11" t="str">
        <f>Raw!F87</f>
        <v>Female</v>
      </c>
      <c r="BQ87" s="11" t="b">
        <f>COUNTIF(Raw!AV87:BK87, "&gt;=0") = 16</f>
        <v>1</v>
      </c>
      <c r="BR87" s="11" t="str">
        <f t="shared" si="19"/>
        <v>Contingency</v>
      </c>
      <c r="BS87" s="15">
        <f t="shared" si="20"/>
        <v>90</v>
      </c>
      <c r="BT87" s="11">
        <f>IF(BQ87, IF(COUNTIF(Raw!AV87:BK87, "&gt;=0") = 16, IFERROR((BS87*Raw!AV87 - SUM(Raw!AV87, Raw!AW87, Raw!AX87, Raw!AY87)*SUM(Raw!AV87, Raw!AZ87, Raw!BD87, Raw!BH87)) / SQRT((BS87*SUM(Raw!AV87, Raw!AW87, Raw!AX87, Raw!AY87) - SUM(Raw!AV87, Raw!AW87, Raw!AX87, Raw!AY87)^2) * (BS87*SUM(Raw!AV87, Raw!AZ87, Raw!BD87, Raw!BH87) - SUM(Raw!AV87, Raw!AZ87, Raw!BD87, Raw!BH87)^2)), 0), "No Contingency Table"), "Not Included")</f>
        <v>0.16049907891132242</v>
      </c>
      <c r="BU87" s="11">
        <f>IF(BQ87, IF(COUNTIF(Raw!AV87:BK87, "&gt;=0") = 16, SUM(Raw!BK87,Raw!BJ87,Raw!BI87,Raw!BG87,Raw!BF87,Raw!BE87,Raw!BC87,Raw!BB87,Raw!BA87,Raw!AV87)/SUM(Raw!AV87:BK87), "No Contingency Table"), "Not Included")</f>
        <v>0.74444444444444446</v>
      </c>
      <c r="BV87" s="11">
        <f>IF(BQ87, IF(COUNTIF(Raw!AV87:BK87, "&gt;=0") = 16,SUM(SUM(Raw!AV87,Raw!AW87,Raw!AX87,Raw!AY87)*SUM(Raw!AV87,Raw!AZ87,Raw!BD87,Raw!BH87),SUM(Raw!AZ87:BK87)*SUM(Raw!AW87,Raw!AX87,Raw!AY87,Raw!BA87,Raw!BB87,Raw!BC87,Raw!BE87,Raw!BF87,Raw!BG87,Raw!BI87,Raw!BJ87,Raw!BK87))/BS87^2,"No Contingency Table"), "Not Included")</f>
        <v>0.69753086419753085</v>
      </c>
      <c r="BW87" s="11">
        <f>IF(BQ87, IF(COUNTIF(Raw!AV87:BK87, "&gt;=0") = 16,(BU87-BV87) / (1 - BV87),"No Contingency Table"), "Not Included")</f>
        <v>0.15510204081632661</v>
      </c>
      <c r="BX87" s="11" t="b">
        <f t="shared" ref="BX87:BZ87" si="361">BQ87</f>
        <v>1</v>
      </c>
      <c r="BY87" s="11" t="str">
        <f t="shared" si="361"/>
        <v>Contingency</v>
      </c>
      <c r="BZ87" s="15">
        <f t="shared" si="361"/>
        <v>90</v>
      </c>
      <c r="CA87" s="11">
        <f>IF(BX87, IF(COUNTIF(Raw!AV87:BK87, "&gt;=0") = 16, IFERROR((BZ87*Raw!BF87 - SUM(Raw!BD87, Raw!BE87, Raw!BF87, Raw!BG87)*SUM(Raw!BF87, Raw!AX87, Raw!BB87, Raw!BJ87)) / SQRT((BZ87*SUM(Raw!BD87, Raw!BE87, Raw!BF87, Raw!BG87) - SUM(Raw!BD87, Raw!BE87, Raw!BF87, Raw!BG87)^2) * (BZ87*SUM(Raw!BF87, Raw!AX87, Raw!BB87, Raw!BJ87) - SUM(Raw!BF87, Raw!AX87, Raw!BB87, Raw!BJ87)^2)), 0), "No Contingency Table"), "Not Included")</f>
        <v>0.13109470506889245</v>
      </c>
      <c r="CB87" s="11">
        <f>IF(BX87, IF(COUNTIF(Raw!AV87:BK87, "&gt;=0") = 16, SUM(Raw!AV87,Raw!AW87,Raw!AY87,Raw!AZ87,Raw!BA87,Raw!BC87,Raw!BF87,Raw!BH87,Raw!BI87,Raw!BK87) / SUM(Raw!AV87:BK87), "No Contingency Table"), "Not Included")</f>
        <v>0.82222222222222219</v>
      </c>
      <c r="CC87" s="11">
        <f>IF(BX87, IF(COUNTIF(Raw!AV87:BK87, "&gt;=0") = 16,SUM(SUM(Raw!BD87,Raw!BE87,Raw!BF87,Raw!BG87)*SUM(Raw!BF87,Raw!AX87,Raw!BB87,Raw!BJ87),SUM(Raw!AV87:BC87,Raw!BH87:BK87)*SUM(Raw!AV87,Raw!AW87,Raw!AY87,Raw!AZ87,Raw!BA87,Raw!BC87,Raw!BD87,Raw!BE87,Raw!BG87,Raw!BH87,Raw!BI87,Raw!BK87))/BZ87^2,"No Contingency Table"), "Not Included")</f>
        <v>0.79851851851851852</v>
      </c>
      <c r="CD87" s="11">
        <f>IF(BX87, IF(COUNTIF(Raw!AV87:BK87, "&gt;=0") = 16,(CB87 - CC87) / (1 - CC87+0.000001),"No Contingency Table"), "Not Included")</f>
        <v>0.11764647491639271</v>
      </c>
      <c r="CE87" s="11" t="b">
        <f t="shared" ref="CE87:CG87" si="362">BQ87</f>
        <v>1</v>
      </c>
      <c r="CF87" s="11" t="str">
        <f t="shared" si="362"/>
        <v>Contingency</v>
      </c>
      <c r="CG87" s="15">
        <f t="shared" si="362"/>
        <v>90</v>
      </c>
      <c r="CH87" s="11">
        <f>IF(CE87, IF(COUNTIF(Raw!AV87:BK87, "&gt;=0") = 16, IFERROR((CG87*Raw!BA87 - SUM(Raw!BA87, Raw!AZ87, Raw!BB87, Raw!BC87)*SUM(Raw!BA87, Raw!AW87, Raw!BE87, Raw!BI87)) / SQRT((CG87*SUM(Raw!BA87, Raw!AZ87, Raw!BB87, Raw!BC87) - SUM(Raw!BA87, Raw!AZ87, Raw!BB87, Raw!BC87)^2) * (CG87*SUM(Raw!BA87, Raw!AW87, Raw!BE87, Raw!BI87) - SUM(Raw!BA87, Raw!AW87, Raw!BE87, Raw!BI87)^2)), 0), "No Contingency Table"), "Not Included")</f>
        <v>0.31494488946609328</v>
      </c>
      <c r="CI87" s="11">
        <f>IF(CE87, IF(COUNTIF(Raw!AV87:BK87, "&gt;=0") = 16, SUM(Raw!AV87,Raw!AX87,Raw!AY87,Raw!BA87,Raw!BD87,Raw!BF87,Raw!BG87,Raw!BH87,Raw!BJ87,Raw!BK87) / SUM(Raw!AV87:BK87), "No Contingency Table"), "Not Included")</f>
        <v>0.65555555555555556</v>
      </c>
      <c r="CJ87" s="61">
        <f>IF(BX87, IF(COUNTIF(Raw!AV87:BK87, "&gt;=0") = 16,SUM(SUM(Raw!AZ87,Raw!BA87,Raw!BB87,Raw!BC87)*SUM(Raw!BA87,Raw!AW87,Raw!BE87,Raw!BI87),SUM(Raw!AV87:AY87,Raw!BD87:BK87)*SUM(Raw!AV87,Raw!AX87,Raw!AY87,Raw!AZ87,Raw!BB87,Raw!BC87,Raw!BD87,Raw!BF87,Raw!BG87,Raw!BH87,Raw!BJ87,Raw!BK87))/CG87^2,"No Contingency Table"), "Not Included")</f>
        <v>0.5</v>
      </c>
      <c r="CK87" s="11">
        <f>IF(BX87, IF(COUNTIF(Raw!AV87:BK87, "&gt;=0") = 16,(CI87 - CJ87) / (1 - CJ87),"No Contingency Table"), "Not Included")</f>
        <v>0.31111111111111112</v>
      </c>
      <c r="CL87" s="11">
        <f>IF(BQ87, IFERROR(Raw!AV87/SUM(Raw!AV87:AY87), 0), "Not Included")</f>
        <v>0.38461538461538464</v>
      </c>
      <c r="CM87" s="11">
        <f>IF(BQ87, IFERROR(Raw!BA87/SUM(Raw!AZ87:BC87), 0), "Not Included")</f>
        <v>0.57777777777777772</v>
      </c>
      <c r="CN87" s="11">
        <f>IF(BQ87, IFERROR(Raw!BF87/SUM(Raw!BD87:BG87), 0), "Not Included")</f>
        <v>0.14285714285714285</v>
      </c>
      <c r="CO87" s="11">
        <f>IF(BQ87, IFERROR(Raw!BK87/SUM(Raw!BH87:BK87), 0), "Not Included")</f>
        <v>0.66666666666666663</v>
      </c>
      <c r="CP87" s="11">
        <f>IF(BQ87, IFERROR(SUM(Raw!AV87,Raw!AX87,Raw!AY87,Raw!BD87,Raw!BF87,Raw!BG87,Raw!BH87,Raw!BJ87,Raw!BK87)/SUM(Raw!AV87,Raw!AW87,Raw!AX87,Raw!AY87,Raw!BD87,Raw!BE87,Raw!BF87,Raw!BG87,Raw!BH87,Raw!BI87,Raw!BJ87,Raw!BK87), 0), "Not Included")</f>
        <v>0.73333333333333328</v>
      </c>
      <c r="CQ87" s="11">
        <f>IF(BQ87, IFERROR(SUM(Raw!AV87:AX87,Raw!AZ87:BB87,Raw!BD87:BF87)/SUM(Raw!AV87:BF87), 0), "Not Included")</f>
        <v>0.84057971014492749</v>
      </c>
      <c r="CR87" s="11">
        <f>IF(BQ87, IFERROR(SUM(Raw!AV87:AY87), 0), "Not Included")</f>
        <v>13</v>
      </c>
      <c r="CS87" s="11">
        <f>IF(BQ87, IFERROR(SUM(Raw!AZ87:BC87), 0), "Not Included")</f>
        <v>45</v>
      </c>
      <c r="CT87" s="11">
        <f>IF(BQ87, IFERROR(SUM(Raw!BD87:BG87), 0), "Not Included")</f>
        <v>14</v>
      </c>
      <c r="CU87" s="11">
        <f>IF(BQ87, IFERROR(SUM(Raw!BH87:BK87), 0), "Not Included")</f>
        <v>18</v>
      </c>
      <c r="CV87" s="11">
        <f>IF(BQ87, IFERROR(SUM(Raw!AV87,Raw!AW87,Raw!AX87,Raw!AY87,Raw!BD87,Raw!BE87,Raw!BF87,Raw!BG87,Raw!BH87,Raw!BI87,Raw!BJ87,Raw!BK87), 0), "Not Included")</f>
        <v>45</v>
      </c>
      <c r="CW87" s="11">
        <f>IF(BQ87, IFERROR(SUM(Raw!AV87:BF87), 0), "Not Included")</f>
        <v>69</v>
      </c>
      <c r="CX87" s="11">
        <f>IF(BQ87, IFERROR((CR87*SUM(Raw!AV87,Raw!AZ87,Raw!BD87,Raw!BH87))/BS87/CR87, 0), "Not Included")</f>
        <v>0.22222222222222221</v>
      </c>
      <c r="CY87" s="11">
        <f>IF(BX87, IFERROR((CS87*SUM(Raw!BA87,Raw!AW87,Raw!BE87,Raw!BI87))/CG87/CS87, 0), "Not Included")</f>
        <v>0.42222222222222222</v>
      </c>
      <c r="CZ87" s="11">
        <f>IF(BX87, IFERROR((CT87*SUM(Raw!BF87,Raw!AX87,Raw!BB87,Raw!BJ87))/BZ87/CT87, 0), "Not Included")</f>
        <v>6.6666666666666666E-2</v>
      </c>
      <c r="DA87" s="11">
        <f>IF(AY87, IFERROR((CU87*SUM(Raw!AY87,Raw!BC87,Raw!BG87,Raw!BK87))/AT87/CU87, 0), "Not Included")</f>
        <v>0.28888888888888892</v>
      </c>
      <c r="DB87" s="11">
        <f>IF(BX87, IFERROR((CV87*SUM(Raw!AV87,Raw!AX87,Raw!AY87,Raw!AZ87,Raw!BB87,Raw!BC87,Raw!BD87,Raw!BF87,Raw!BG87,Raw!BH87,Raw!BJ87,Raw!BK87))/CG87/CV87,0), "Not Included")</f>
        <v>0.57777777777777772</v>
      </c>
      <c r="DC87" s="11">
        <f>IF(AY87, IFERROR((CW87*SUM(Raw!AV87,Raw!AW87,Raw!AX87,Raw!AZ87,Raw!BA87,Raw!BB87,Raw!BD87,Raw!BE87,Raw!BF87,Raw!BH87,Raw!BI87,Raw!BJ87))/AT87/CW87,0), "Not Included")</f>
        <v>0.71111111111111114</v>
      </c>
    </row>
    <row r="88" spans="1:107" ht="12.75" customHeight="1">
      <c r="A88" s="11">
        <f>Raw!D88</f>
        <v>64</v>
      </c>
      <c r="B88" s="11" t="str">
        <f>Raw!A88</f>
        <v>Vaughn et al. (1979)</v>
      </c>
      <c r="C88" s="11">
        <f>Raw!G88</f>
        <v>1</v>
      </c>
      <c r="D88" s="11" t="str">
        <f>Raw!E88</f>
        <v>Mother-child</v>
      </c>
      <c r="E88" s="11" t="str">
        <f>CONCATENATE(IF(Raw!I88&lt;='Interval Definitions'!$B$2, 'Interval Definitions'!$A$2, IF(Raw!I88&lt;='Interval Definitions'!$B$3, 'Interval Definitions'!$A$3, IF(Raw!I88&lt;='Interval Definitions'!$B$4, 'Interval Definitions'!$A$4, IF(Raw!I88&lt;='Interval Definitions'!$B$5, 'Interval Definitions'!$A$5, "None")))), " - ", IF(Raw!J88&lt;='Interval Definitions'!$B$2, 'Interval Definitions'!$A$2, IF(Raw!J88&lt;='Interval Definitions'!$B$3, 'Interval Definitions'!$A$3, IF(Raw!J88&lt;='Interval Definitions'!$B$4, 'Interval Definitions'!$A$4, IF(Raw!J88&lt;='Interval Definitions'!$B$5, 'Interval Definitions'!$A$5, "None")))))</f>
        <v>Infancy - Infancy</v>
      </c>
      <c r="F88" s="11" t="b">
        <f>OR(NOT(ISBLANK(Raw!AF88)),NOT(ISBLANK(Raw!AG88)),NOT(ISBLANK(Raw!AH88)),NOT(ISBLANK(Raw!AI88)),COUNTIF(Raw!AA88:AD88, "&gt;=0") = 4)</f>
        <v>1</v>
      </c>
      <c r="G88" s="11" t="str">
        <f>IF(F88, IF(COUNTIF(Raw!AA88:AD88,"&gt;=0") = 4, "Contingency", IF(NOT(ISBLANK(Raw!AF88)), "Paper r", IF(NOT(ISBLANK(Raw!AG88)), "Pinquart", IF(NOT(ISBLANK(Raw!AH88)), "Fraley", "Paper chiSq")))), "Not Included")</f>
        <v>Contingency</v>
      </c>
      <c r="H88" s="15">
        <f>IF(F88,Raw!AE88,"Not Included")</f>
        <v>100</v>
      </c>
      <c r="I88" s="15">
        <f>IF(COUNTIF(Raw!AA88:AD88,"&gt;=0") = 4, SUM(Raw!AA88:AD88), "No Contingency Table")</f>
        <v>100</v>
      </c>
      <c r="J88" s="15">
        <f t="shared" si="0"/>
        <v>100</v>
      </c>
      <c r="K88" s="38">
        <f>IF(F88, IF(COUNTIF(Raw!AA88:AD88,"&gt;=0") = 4, IFERROR((I88*Raw!AA88 - SUM(Raw!AA88,Raw!AB88)*SUM(Raw!AA88,Raw!AD88)) / SQRT((I88*SUM(Raw!AA88,Raw!AB88) - SUM(Raw!AA88,Raw!AB88)^2) * (I88*SUM(Raw!AA88,Raw!AD88) - SUM(Raw!AA88,Raw!AD88)^2)), 0), "No Contingency Table"), "Not Included")</f>
        <v>0.36916474942556626</v>
      </c>
      <c r="L88" s="41">
        <f>IF(F88,IF(NOT(ISBLANK(Raw!AF88)), Raw!AF88, IF(NOT(ISBLANK(Raw!AG88)), Raw!AG88, IF(NOT(ISBLANK(Raw!AH88)), Raw!AH88, IF(NOT(ISBLANK(Raw!AI88)), SQRT(Raw!AI88/H88)*Raw!AJ88, "Not Reported")))),"Not Included")</f>
        <v>0.37</v>
      </c>
      <c r="M88" s="43">
        <f t="shared" si="1"/>
        <v>0.36916474942556626</v>
      </c>
      <c r="N88" s="11">
        <f t="shared" si="2"/>
        <v>1</v>
      </c>
      <c r="O88" s="48" t="b">
        <f>OR(NOT(ISBLANK(Raw!AK88)), COUNTIF(Raw!AA88:AD88, "&gt;=0") = 4)</f>
        <v>1</v>
      </c>
      <c r="P88" s="24" t="str">
        <f>IF(O88,IF(COUNTIF(Raw!AA88:AD88,"&gt;=0") = 4,"Contingency", "Paper k"), "Not Included")</f>
        <v>Contingency</v>
      </c>
      <c r="Q88" s="48">
        <f>IF(O88, IF(COUNTIF(Raw!AA88:AD88,"&gt;=0") = 4,SUM(Raw!AA88,Raw!AC88)/H88,"No Contingency Table"), "Not Included")</f>
        <v>0.69</v>
      </c>
      <c r="R88" s="38">
        <f>IF(O88, IF(COUNTIF(Raw!AA88:AD88, "&gt;=0") = 4,SUM(SUM(Raw!AA88,Raw!AB88)*SUM(Raw!AA88,Raw!AD88),SUM(Raw!AC88,Raw!AD88)*SUM(Raw!AC88,Raw!AB88))/H88^2,"No Contingency Table"), "Not Included")</f>
        <v>0.51600000000000001</v>
      </c>
      <c r="S88" s="38">
        <f>IF(O88, IF(COUNTIF(Raw!AA88:AD88,"&gt;=0") = 4, IFERROR((Q88 - R88) / (1 - R88), "Could not calculate"), "No Contingency Table"), "Not Included")</f>
        <v>0.35950413223140482</v>
      </c>
      <c r="T88" s="52" t="str">
        <f>IF(O88,IF(NOT(ISBLANK(Raw!AK88)), Raw!AK88, "Not Reported"), "Not Included")</f>
        <v>Not Reported</v>
      </c>
      <c r="U88" s="38">
        <f t="shared" si="3"/>
        <v>0.35950413223140482</v>
      </c>
      <c r="V88" s="11" t="str">
        <f t="shared" si="4"/>
        <v>NA</v>
      </c>
      <c r="W88" s="11" t="b">
        <f>OR(NOT(ISBLANK(Raw!AU88)),COUNTIF(Raw!AL88:AT88,"&gt;=0") = 9)</f>
        <v>1</v>
      </c>
      <c r="X88" s="11" t="str">
        <f>IF(W88, IF(COUNTIF(Raw!AL88:AT88,"&gt;=0") = 9, "Contingency", "Paper k"), "Not Included")</f>
        <v>Contingency</v>
      </c>
      <c r="Y88" s="11">
        <f>IF(W88,IF(COUNTIF(Raw!AL88:AT88,"&gt;=0") = 9,SUM(Raw!AL88:AT88),"No Contingency Table"),"Not Included")</f>
        <v>100</v>
      </c>
      <c r="Z88" s="11">
        <f t="shared" si="5"/>
        <v>100</v>
      </c>
      <c r="AA88" s="11">
        <f>IF(W88,IF(COUNTIF(Raw!AL88:AT88,"&gt;=0") = 9,SUM(Raw!AL88,Raw!AP88,Raw!AT88)/Y88,"No Contingency Table"), "Not Included")</f>
        <v>0.62</v>
      </c>
      <c r="AB88" s="11">
        <f>IF(W88,IF(COUNTIF(Raw!AL88:AT88,"&gt;=0") = 9,SUM(SUM(Raw!AL88,Raw!AM88,Raw!AN88)*SUM(Raw!AL88,Raw!AO88,Raw!AR88),SUM(Raw!AO88,Raw!AP88,Raw!AQ88)*SUM(Raw!AM88,Raw!AP88,Raw!AS88),SUM(Raw!AR88,Raw!AS88,Raw!AT88)*SUM(Raw!AN88,Raw!AQ88,Raw!AT88))/Y88^2,"No Contingency Table"), "Not Included")</f>
        <v>0.44009999999999999</v>
      </c>
      <c r="AC88" s="11">
        <f>IF(W88,IF(COUNTIF(Raw!AL88:AT88,"&gt;=0") = 9,(AA88 - AB88) / (1 - AB88),"No Contingency Table"), "Not Included")</f>
        <v>0.32130737631719947</v>
      </c>
      <c r="AD88" s="32">
        <f>IF(W88, IF(NOT(ISBLANK(Raw!AU88)),Raw!AU88,"Not Reported"), "Not Included")</f>
        <v>0.3</v>
      </c>
      <c r="AE88" s="11">
        <f t="shared" si="6"/>
        <v>0.32130737631719947</v>
      </c>
      <c r="AF88" s="11">
        <f t="shared" si="7"/>
        <v>0</v>
      </c>
      <c r="AG88" s="11" t="b">
        <f>COUNTIF(Raw!AV88:BK88, "&gt;=0") = 16</f>
        <v>0</v>
      </c>
      <c r="AH88" s="11" t="str">
        <f>IF(AG88, IF(COUNTIF(Raw!AV88:BK88,"&gt;=0") = 16, "Contingency", "Paper k"), "Not Included")</f>
        <v>Not Included</v>
      </c>
      <c r="AI88" s="11" t="str">
        <f>IF(AG88,IF(COUNTIF(Raw!AV88:BK88,"&gt;=0") = 16,SUM(Raw!AV88:BK88),"No Contingency Table"),"Not Included")</f>
        <v>Not Included</v>
      </c>
      <c r="AJ88" s="15">
        <f t="shared" si="8"/>
        <v>100</v>
      </c>
      <c r="AK88" s="11" t="str">
        <f>IF(AG88,IF(COUNTIF(Raw!AV88:BK88,"&gt;=0") = 16,SUM(Raw!AV88,Raw!BA88,Raw!BF88,Raw!BK88)/AI88,"No Contingency Table"), "Not Included")</f>
        <v>Not Included</v>
      </c>
      <c r="AL88" s="11" t="str">
        <f>IF(AG88,IF(COUNTIF(Raw!AV88:BK88,"&gt;=0") = 16,SUM(SUM(Raw!AV88,Raw!AW88,Raw!AX88,Raw!AY88)*SUM(Raw!AV88,Raw!AZ88,Raw!BD88,Raw!BH88),SUM(Raw!AZ88,Raw!BA88,Raw!BB88,Raw!BC88)*SUM(Raw!AW88,Raw!BA88,Raw!BE88,Raw!BI88),SUM(Raw!BD88,Raw!BE88,Raw!BF88,Raw!BG88)*SUM(Raw!AX88,Raw!BB88,Raw!BF88,Raw!BJ88),SUM(Raw!BH88,Raw!BI88,Raw!BJ88,Raw!BK88)*SUM(Raw!AY88,Raw!BC88,Raw!BG88,Raw!BK88))/AI88^2,"No Contingency Table"), "Not Included")</f>
        <v>Not Included</v>
      </c>
      <c r="AM88" s="11" t="str">
        <f>IF(AG88,IF(COUNTIF(Raw!AV88:BK88,"&gt;=0") = 16,(AK88 - AL88) / (1 - AL88),"No Contingency Table"), "Not Included")</f>
        <v>Not Included</v>
      </c>
      <c r="AN88" s="11" t="str">
        <f>IF(NOT(ISBLANK(Raw!BL88)),Raw!BL88,"Not Reported")</f>
        <v>Not Reported</v>
      </c>
      <c r="AO88" s="11" t="str">
        <f t="shared" si="9"/>
        <v>Not Reported</v>
      </c>
      <c r="AP88" s="11" t="str">
        <f t="shared" si="10"/>
        <v>Not Included</v>
      </c>
      <c r="AQ88" s="11" t="b">
        <f t="shared" ref="AQ88:AR88" si="363">BQ88</f>
        <v>0</v>
      </c>
      <c r="AR88" s="11" t="str">
        <f t="shared" si="363"/>
        <v>Not Included</v>
      </c>
      <c r="AS88" s="11" t="str">
        <f t="shared" si="12"/>
        <v>Not Included</v>
      </c>
      <c r="AT88" s="11" t="str">
        <f t="shared" si="13"/>
        <v>Not Included</v>
      </c>
      <c r="AU88" s="11" t="str">
        <f>IF(AQ88, IF(COUNTIF(Raw!AV88:BK88, "&gt;=0") = 16, IFERROR((AT88*Raw!BK88 - SUM(Raw!BH88, Raw!BI88, Raw!BJ88, Raw!BK88)*SUM(Raw!AY88, Raw!BC88, Raw!BG88, Raw!BK88)) / SQRT((AT88*SUM(Raw!BH88, Raw!BI88, Raw!BJ88, Raw!BK88) - SUM(Raw!BH88, Raw!BI88, Raw!BJ88, Raw!BK88)^2) * (AT88*SUM(Raw!AY88, Raw!BC88, Raw!BG88, Raw!BK88) - SUM(Raw!AY88, Raw!BC88, Raw!BG88, Raw!BK88)^2)), 0), "No Contingency Table"), "Not Included")</f>
        <v>Not Included</v>
      </c>
      <c r="AV88" s="11" t="str">
        <f>IF(AQ88,IF(NOT(ISBLANK(Raw!BQ88)), Raw!BQ88, IF(NOT(ISBLANK(Raw!BR88)), Raw!BR88, "Not Reported")), "Not Included")</f>
        <v>Not Included</v>
      </c>
      <c r="AW88" s="57" t="str">
        <f t="shared" si="14"/>
        <v>Not Included</v>
      </c>
      <c r="AX88" s="11" t="str">
        <f t="shared" si="15"/>
        <v>Not Included</v>
      </c>
      <c r="AY88" s="11" t="b">
        <f t="shared" ref="AY88:AZ88" si="364">AQ88</f>
        <v>0</v>
      </c>
      <c r="AZ88" s="11" t="str">
        <f t="shared" si="364"/>
        <v>Not Included</v>
      </c>
      <c r="BA88" s="11" t="str">
        <f>IF(AY88, IF(COUNTIF(Raw!AV88:BK88, "&gt;=0") = 16, SUM(Raw!AV88,Raw!AW88,Raw!AX88,Raw!AZ88,Raw!BA88,Raw!BB88,Raw!BD88,Raw!BE88,Raw!BF88,Raw!BK88)/SUM(Raw!AV88:BK88), "No Contingency Table"), "Not Included")</f>
        <v>Not Included</v>
      </c>
      <c r="BB88" s="11" t="str">
        <f>IF(AY88, IF(COUNTIF(Raw!AV88:BK88, "&gt;=0") = 16,SUM(SUM(Raw!BH88,Raw!BI88,Raw!BJ88,Raw!BK88)*SUM(Raw!AY88,Raw!BC88,Raw!BG88,Raw!BK88),SUM(Raw!AV88:BG88)*SUM(Raw!AV88,Raw!AW88,Raw!AX88,Raw!AZ88,Raw!BA88,Raw!BB88,Raw!BD88,Raw!BE88,Raw!BF88,Raw!BH88,Raw!BI88,Raw!BJ88))/AT88^2,"No Contingency Table"), "Not Included")</f>
        <v>Not Included</v>
      </c>
      <c r="BC88" s="11" t="str">
        <f>IF(AY88, IF(COUNTIF(Raw!AV88:BK88, "&gt;=0") = 16,(BA88-BB88) / (1 - BB88),"No Contingency Table"), "Not Included")</f>
        <v>Not Included</v>
      </c>
      <c r="BD88" s="11" t="str">
        <f>IF(AY88,IF(NOT(ISBLANK(Raw!BT109)),Raw!BT109,"Not Reported"),"Not Included")</f>
        <v>Not Included</v>
      </c>
      <c r="BE88" s="11" t="str">
        <f t="shared" si="17"/>
        <v>Not Included</v>
      </c>
      <c r="BF88" s="11" t="str">
        <f t="shared" si="18"/>
        <v>Not Included</v>
      </c>
      <c r="BG88" s="11">
        <f>Raw!K88</f>
        <v>1979</v>
      </c>
      <c r="BH88" s="11" t="str">
        <f>IF(Raw!L88 = "USA","USA","Non-USA")</f>
        <v>USA</v>
      </c>
      <c r="BI88" s="11" t="str">
        <f>Raw!M88</f>
        <v>Ainsworth/Ainsworth</v>
      </c>
      <c r="BJ88" s="11">
        <f>Raw!N88</f>
        <v>1</v>
      </c>
      <c r="BK88" s="11">
        <f>Raw!P88</f>
        <v>1</v>
      </c>
      <c r="BL88" s="11">
        <f>Raw!Q88</f>
        <v>0</v>
      </c>
      <c r="BM88" s="11">
        <f>Raw!T88</f>
        <v>1</v>
      </c>
      <c r="BN88" s="11">
        <f>IFERROR(IF(AND(ISBLANK(Raw!U88), ISBLANK(Raw!V88), ISBLANK(Raw!W88), ISBLANK(Raw!X88)), "NA", IF(OR(NOT(ISBLANK(Raw!U88)), NOT(ISBLANK(Raw!W88))), AVERAGE(Raw!U88,Raw!W88), AVERAGE(Raw!V88,Raw!X88) + IF(Raw!Y88 = "2-way", R88, IF(Raw!Y88 = "3-way", AB88, IF(Raw!Y88 = "4-way", AL88, "NA")))*(1 - AVERAGE(Raw!V88,Raw!X88)))), "NA")</f>
        <v>0.90500000000000003</v>
      </c>
      <c r="BO88" s="11">
        <f>Raw!O88</f>
        <v>0</v>
      </c>
      <c r="BP88" s="11" t="str">
        <f>Raw!F88</f>
        <v>Female</v>
      </c>
      <c r="BQ88" s="11" t="b">
        <f>COUNTIF(Raw!AV88:BK88, "&gt;=0") = 16</f>
        <v>0</v>
      </c>
      <c r="BR88" s="11" t="str">
        <f t="shared" si="19"/>
        <v>Not Included</v>
      </c>
      <c r="BS88" s="11" t="str">
        <f t="shared" si="20"/>
        <v>Not Included</v>
      </c>
      <c r="BT88" s="11" t="str">
        <f>IF(BQ88, IF(COUNTIF(Raw!AV88:BK88, "&gt;=0") = 16, IFERROR((BS88*Raw!AV88 - SUM(Raw!AV88, Raw!AW88, Raw!AX88, Raw!AY88)*SUM(Raw!AV88, Raw!AZ88, Raw!BD88, Raw!BH88)) / SQRT((BS88*SUM(Raw!AV88, Raw!AW88, Raw!AX88, Raw!AY88) - SUM(Raw!AV88, Raw!AW88, Raw!AX88, Raw!AY88)^2) * (BS88*SUM(Raw!AV88, Raw!AZ88, Raw!BD88, Raw!BH88) - SUM(Raw!AV88, Raw!AZ88, Raw!BD88, Raw!BH88)^2)), 0), "No Contingency Table"), "Not Included")</f>
        <v>Not Included</v>
      </c>
      <c r="BU88" s="11" t="str">
        <f>IF(BQ88, IF(COUNTIF(Raw!AV88:BK88, "&gt;=0") = 16, SUM(Raw!BK88,Raw!BJ88,Raw!BI88,Raw!BG88,Raw!BF88,Raw!BE88,Raw!BC88,Raw!BB88,Raw!BA88,Raw!AV88)/SUM(Raw!AV88:BK88), "No Contingency Table"), "Not Included")</f>
        <v>Not Included</v>
      </c>
      <c r="BV88" s="11" t="str">
        <f>IF(BQ88, IF(COUNTIF(Raw!AV88:BK88, "&gt;=0") = 16,SUM(SUM(Raw!AV88,Raw!AW88,Raw!AX88,Raw!AY88)*SUM(Raw!AV88,Raw!AZ88,Raw!BD88,Raw!BH88),SUM(Raw!AZ88:BK88)*SUM(Raw!AW88,Raw!AX88,Raw!AY88,Raw!BA88,Raw!BB88,Raw!BC88,Raw!BE88,Raw!BF88,Raw!BG88,Raw!BI88,Raw!BJ88,Raw!BK88))/BS88^2,"No Contingency Table"), "Not Included")</f>
        <v>Not Included</v>
      </c>
      <c r="BW88" s="11" t="str">
        <f>IF(BQ88, IF(COUNTIF(Raw!AV88:BK88, "&gt;=0") = 16,(BU88-BV88) / (1 - BV88),"No Contingency Table"), "Not Included")</f>
        <v>Not Included</v>
      </c>
      <c r="BX88" s="11" t="b">
        <f t="shared" ref="BX88:BZ88" si="365">BQ88</f>
        <v>0</v>
      </c>
      <c r="BY88" s="11" t="str">
        <f t="shared" si="365"/>
        <v>Not Included</v>
      </c>
      <c r="BZ88" s="11" t="str">
        <f t="shared" si="365"/>
        <v>Not Included</v>
      </c>
      <c r="CA88" s="11" t="str">
        <f>IF(BX88, IF(COUNTIF(Raw!AV88:BK88, "&gt;=0") = 16, IFERROR((BZ88*Raw!BF88 - SUM(Raw!BD88, Raw!BE88, Raw!BF88, Raw!BG88)*SUM(Raw!BF88, Raw!AX88, Raw!BB88, Raw!BJ88)) / SQRT((BZ88*SUM(Raw!BD88, Raw!BE88, Raw!BF88, Raw!BG88) - SUM(Raw!BD88, Raw!BE88, Raw!BF88, Raw!BG88)^2) * (BZ88*SUM(Raw!BF88, Raw!AX88, Raw!BB88, Raw!BJ88) - SUM(Raw!BF88, Raw!AX88, Raw!BB88, Raw!BJ88)^2)), 0), "No Contingency Table"), "Not Included")</f>
        <v>Not Included</v>
      </c>
      <c r="CB88" s="11" t="str">
        <f>IF(BX88, IF(COUNTIF(Raw!AV88:BK88, "&gt;=0") = 16, SUM(Raw!AV88,Raw!AW88,Raw!AY88,Raw!AZ88,Raw!BA88,Raw!BC88,Raw!BF88,Raw!BH88,Raw!BI88,Raw!BK88) / SUM(Raw!AV88:BK88), "No Contingency Table"), "Not Included")</f>
        <v>Not Included</v>
      </c>
      <c r="CC88" s="11" t="str">
        <f>IF(BX88, IF(COUNTIF(Raw!AV88:BK88, "&gt;=0") = 16,SUM(SUM(Raw!BD88,Raw!BE88,Raw!BF88,Raw!BG88)*SUM(Raw!BF88,Raw!AX88,Raw!BB88,Raw!BJ88),SUM(Raw!AV88:BC88,Raw!BH88:BK88)*SUM(Raw!AV88,Raw!AW88,Raw!AY88,Raw!AZ88,Raw!BA88,Raw!BC88,Raw!BD88,Raw!BE88,Raw!BG88,Raw!BH88,Raw!BI88,Raw!BK88))/BZ88^2,"No Contingency Table"), "Not Included")</f>
        <v>Not Included</v>
      </c>
      <c r="CD88" s="11" t="str">
        <f>IF(BX88, IF(COUNTIF(Raw!AV88:BK88, "&gt;=0") = 16,(CB88 - CC88) / (1 - CC88+0.000001),"No Contingency Table"), "Not Included")</f>
        <v>Not Included</v>
      </c>
      <c r="CE88" s="11" t="b">
        <f t="shared" ref="CE88:CG88" si="366">BQ88</f>
        <v>0</v>
      </c>
      <c r="CF88" s="11" t="str">
        <f t="shared" si="366"/>
        <v>Not Included</v>
      </c>
      <c r="CG88" s="11" t="str">
        <f t="shared" si="366"/>
        <v>Not Included</v>
      </c>
      <c r="CH88" s="11" t="str">
        <f>IF(CE88, IF(COUNTIF(Raw!AV88:BK88, "&gt;=0") = 16, IFERROR((CG88*Raw!BA88 - SUM(Raw!BA88, Raw!AZ88, Raw!BB88, Raw!BC88)*SUM(Raw!BA88, Raw!AW88, Raw!BE88, Raw!BI88)) / SQRT((CG88*SUM(Raw!BA88, Raw!AZ88, Raw!BB88, Raw!BC88) - SUM(Raw!BA88, Raw!AZ88, Raw!BB88, Raw!BC88)^2) * (CG88*SUM(Raw!BA88, Raw!AW88, Raw!BE88, Raw!BI88) - SUM(Raw!BA88, Raw!AW88, Raw!BE88, Raw!BI88)^2)), 0), "No Contingency Table"), "Not Included")</f>
        <v>Not Included</v>
      </c>
      <c r="CI88" s="11" t="str">
        <f>IF(CE88, IF(COUNTIF(Raw!AV88:BK88, "&gt;=0") = 16, SUM(Raw!AV88,Raw!AX88,Raw!AY88,Raw!BA88,Raw!BD88,Raw!BF88,Raw!BG88,Raw!BH88,Raw!BJ88,Raw!BK88) / SUM(Raw!AV88:BK88), "No Contingency Table"), "Not Included")</f>
        <v>Not Included</v>
      </c>
      <c r="CJ88" s="61" t="str">
        <f>IF(BX88, IF(COUNTIF(Raw!AV88:BK88, "&gt;=0") = 16,SUM(SUM(Raw!AZ88,Raw!BA88,Raw!BB88,Raw!BC88)*SUM(Raw!BA88,Raw!AW88,Raw!BE88,Raw!BI88),SUM(Raw!AV88:AY88,Raw!BD88:BK88)*SUM(Raw!AV88,Raw!AX88,Raw!AY88,Raw!AZ88,Raw!BB88,Raw!BC88,Raw!BD88,Raw!BF88,Raw!BG88,Raw!BH88,Raw!BJ88,Raw!BK88))/CG88^2,"No Contingency Table"), "Not Included")</f>
        <v>Not Included</v>
      </c>
      <c r="CK88" s="11" t="str">
        <f>IF(BX88, IF(COUNTIF(Raw!AV88:BK88, "&gt;=0") = 16,(CI88 - CJ88) / (1 - CJ88),"No Contingency Table"), "Not Included")</f>
        <v>Not Included</v>
      </c>
      <c r="CL88" s="11" t="str">
        <f>IF(BQ88, IFERROR(Raw!AV88/SUM(Raw!AV88:AY88), 0), "Not Included")</f>
        <v>Not Included</v>
      </c>
      <c r="CM88" s="11" t="str">
        <f>IF(BQ88, IFERROR(Raw!BA88/SUM(Raw!AZ88:BC88), 0), "Not Included")</f>
        <v>Not Included</v>
      </c>
      <c r="CN88" s="11" t="str">
        <f>IF(BQ88, IFERROR(Raw!BF88/SUM(Raw!BD88:BG88), 0), "Not Included")</f>
        <v>Not Included</v>
      </c>
      <c r="CO88" s="11" t="str">
        <f>IF(BQ88, IFERROR(Raw!BK88/SUM(Raw!BH88:BK88), 0), "Not Included")</f>
        <v>Not Included</v>
      </c>
      <c r="CP88" s="11" t="str">
        <f>IF(BQ88, IFERROR(SUM(Raw!AV88,Raw!AX88,Raw!AY88,Raw!BD88,Raw!BF88,Raw!BG88,Raw!BH88,Raw!BJ88,Raw!BK88)/SUM(Raw!AV88,Raw!AW88,Raw!AX88,Raw!AY88,Raw!BD88,Raw!BE88,Raw!BF88,Raw!BG88,Raw!BH88,Raw!BI88,Raw!BJ88,Raw!BK88), 0), "Not Included")</f>
        <v>Not Included</v>
      </c>
      <c r="CQ88" s="11" t="str">
        <f>IF(BQ88, IFERROR(SUM(Raw!AV88:AX88,Raw!AZ88:BB88,Raw!BD88:BF88)/SUM(Raw!AV88:BF88), 0), "Not Included")</f>
        <v>Not Included</v>
      </c>
      <c r="CR88" s="11" t="str">
        <f>IF(BQ88, IFERROR(SUM(Raw!AV88:AY88), 0), "Not Included")</f>
        <v>Not Included</v>
      </c>
      <c r="CS88" s="11" t="str">
        <f>IF(BQ88, IFERROR(SUM(Raw!AZ88:BC88), 0), "Not Included")</f>
        <v>Not Included</v>
      </c>
      <c r="CT88" s="11" t="str">
        <f>IF(BQ88, IFERROR(SUM(Raw!BD88:BG88), 0), "Not Included")</f>
        <v>Not Included</v>
      </c>
      <c r="CU88" s="11" t="str">
        <f>IF(BQ88, IFERROR(SUM(Raw!BH88:BK88), 0), "Not Included")</f>
        <v>Not Included</v>
      </c>
      <c r="CV88" s="11" t="str">
        <f>IF(BQ88, IFERROR(SUM(Raw!AV88,Raw!AW88,Raw!AX88,Raw!AY88,Raw!BD88,Raw!BE88,Raw!BF88,Raw!BG88,Raw!BH88,Raw!BI88,Raw!BJ88,Raw!BK88), 0), "Not Included")</f>
        <v>Not Included</v>
      </c>
      <c r="CW88" s="11" t="str">
        <f>IF(BQ88, IFERROR(SUM(Raw!AV88:BF88), 0), "Not Included")</f>
        <v>Not Included</v>
      </c>
      <c r="CX88" s="11" t="str">
        <f>IF(BQ88, IFERROR((CR88*SUM(Raw!AV88,Raw!AZ88,Raw!BD88,Raw!BH88))/BS88/CR88, 0), "Not Included")</f>
        <v>Not Included</v>
      </c>
      <c r="CY88" s="11" t="str">
        <f>IF(BX88, IFERROR((CS88*SUM(Raw!BA88,Raw!AW88,Raw!BE88,Raw!BI88))/CG88/CS88, 0), "Not Included")</f>
        <v>Not Included</v>
      </c>
      <c r="CZ88" s="11" t="str">
        <f>IF(BX88, IFERROR((CT88*SUM(Raw!BF88,Raw!AX88,Raw!BB88,Raw!BJ88))/BZ88/CT88, 0), "Not Included")</f>
        <v>Not Included</v>
      </c>
      <c r="DA88" s="11" t="str">
        <f>IF(AY88, IFERROR((CU88*SUM(Raw!AY88,Raw!BC88,Raw!BG88,Raw!BK88))/AT88/CU88, 0), "Not Included")</f>
        <v>Not Included</v>
      </c>
      <c r="DB88" s="11" t="str">
        <f>IF(BX88, IFERROR((CV88*SUM(Raw!AV88,Raw!AX88,Raw!AY88,Raw!AZ88,Raw!BB88,Raw!BC88,Raw!BD88,Raw!BF88,Raw!BG88,Raw!BH88,Raw!BJ88,Raw!BK88))/CG88/CV88,0), "Not Included")</f>
        <v>Not Included</v>
      </c>
      <c r="DC88" s="11" t="str">
        <f>IF(AY88, IFERROR((CW88*SUM(Raw!AV88,Raw!AW88,Raw!AX88,Raw!AZ88,Raw!BA88,Raw!BB88,Raw!BD88,Raw!BE88,Raw!BF88,Raw!BH88,Raw!BI88,Raw!BJ88))/AT88/CW88,0), "Not Included")</f>
        <v>Not Included</v>
      </c>
    </row>
    <row r="89" spans="1:107" ht="12.75" customHeight="1">
      <c r="A89" s="11">
        <f>Raw!D89</f>
        <v>65</v>
      </c>
      <c r="B89" s="11" t="str">
        <f>Raw!A89</f>
        <v xml:space="preserve">Schneider-Rosen et al. (1985) </v>
      </c>
      <c r="C89" s="11">
        <f>Raw!G89</f>
        <v>1</v>
      </c>
      <c r="D89" s="11" t="str">
        <f>Raw!E89</f>
        <v>Comparison (12-18 mo.)</v>
      </c>
      <c r="E89" s="11" t="str">
        <f>CONCATENATE(IF(Raw!I89&lt;='Interval Definitions'!$B$2, 'Interval Definitions'!$A$2, IF(Raw!I89&lt;='Interval Definitions'!$B$3, 'Interval Definitions'!$A$3, IF(Raw!I89&lt;='Interval Definitions'!$B$4, 'Interval Definitions'!$A$4, IF(Raw!I89&lt;='Interval Definitions'!$B$5, 'Interval Definitions'!$A$5, "None")))), " - ", IF(Raw!J89&lt;='Interval Definitions'!$B$2, 'Interval Definitions'!$A$2, IF(Raw!J89&lt;='Interval Definitions'!$B$3, 'Interval Definitions'!$A$3, IF(Raw!J89&lt;='Interval Definitions'!$B$4, 'Interval Definitions'!$A$4, IF(Raw!J89&lt;='Interval Definitions'!$B$5, 'Interval Definitions'!$A$5, "None")))))</f>
        <v>Infancy - Infancy</v>
      </c>
      <c r="F89" s="11" t="b">
        <f>OR(NOT(ISBLANK(Raw!AF89)),NOT(ISBLANK(Raw!AG89)),NOT(ISBLANK(Raw!AH89)),NOT(ISBLANK(Raw!AI89)),COUNTIF(Raw!AA89:AD89, "&gt;=0") = 4)</f>
        <v>1</v>
      </c>
      <c r="G89" s="11" t="str">
        <f>IF(F89, IF(COUNTIF(Raw!AA89:AD89,"&gt;=0") = 4, "Contingency", IF(NOT(ISBLANK(Raw!AF89)), "Paper r", IF(NOT(ISBLANK(Raw!AG89)), "Pinquart", IF(NOT(ISBLANK(Raw!AH89)), "Fraley", "Paper chiSq")))), "Not Included")</f>
        <v>Contingency</v>
      </c>
      <c r="H89" s="15">
        <f>IF(F89,Raw!AE89,"Not Included")</f>
        <v>17</v>
      </c>
      <c r="I89" s="15">
        <f>IF(COUNTIF(Raw!AA89:AD89,"&gt;=0") = 4, SUM(Raw!AA89:AD89), "No Contingency Table")</f>
        <v>17</v>
      </c>
      <c r="J89" s="15">
        <f t="shared" si="0"/>
        <v>17</v>
      </c>
      <c r="K89" s="38">
        <f>IF(F89, IF(COUNTIF(Raw!AA89:AD89,"&gt;=0") = 4, IFERROR((I89*Raw!AA89 - SUM(Raw!AA89,Raw!AB89)*SUM(Raw!AA89,Raw!AD89)) / SQRT((I89*SUM(Raw!AA89,Raw!AB89) - SUM(Raw!AA89,Raw!AB89)^2) * (I89*SUM(Raw!AA89,Raw!AD89) - SUM(Raw!AA89,Raw!AD89)^2)), 0), "No Contingency Table"), "Not Included")</f>
        <v>0.48484848484848486</v>
      </c>
      <c r="L89" s="41" t="str">
        <f>IF(F89,IF(NOT(ISBLANK(Raw!AF89)), Raw!AF89, IF(NOT(ISBLANK(Raw!AG89)), Raw!AG89, IF(NOT(ISBLANK(Raw!AH89)), Raw!AH89, IF(NOT(ISBLANK(Raw!AI89)), SQRT(Raw!AI89/H89)*Raw!AJ89, "Not Reported")))),"Not Included")</f>
        <v>Not Reported</v>
      </c>
      <c r="M89" s="43">
        <f t="shared" si="1"/>
        <v>0.48484848484848486</v>
      </c>
      <c r="N89" s="11" t="str">
        <f t="shared" si="2"/>
        <v>NA</v>
      </c>
      <c r="O89" s="48" t="b">
        <f>OR(NOT(ISBLANK(Raw!AK89)), COUNTIF(Raw!AA89:AD89, "&gt;=0") = 4)</f>
        <v>1</v>
      </c>
      <c r="P89" s="24" t="str">
        <f>IF(O89,IF(COUNTIF(Raw!AA89:AD89,"&gt;=0") = 4,"Contingency", "Paper k"), "Not Included")</f>
        <v>Contingency</v>
      </c>
      <c r="Q89" s="48">
        <f>IF(O89, IF(COUNTIF(Raw!AA89:AD89,"&gt;=0") = 4,SUM(Raw!AA89,Raw!AC89)/H89,"No Contingency Table"), "Not Included")</f>
        <v>0.76470588235294112</v>
      </c>
      <c r="R89" s="38">
        <f>IF(O89, IF(COUNTIF(Raw!AA89:AD89, "&gt;=0") = 4,SUM(SUM(Raw!AA89,Raw!AB89)*SUM(Raw!AA89,Raw!AD89),SUM(Raw!AC89,Raw!AD89)*SUM(Raw!AC89,Raw!AB89))/H89^2,"No Contingency Table"), "Not Included")</f>
        <v>0.54325259515570934</v>
      </c>
      <c r="S89" s="38">
        <f>IF(O89, IF(COUNTIF(Raw!AA89:AD89,"&gt;=0") = 4, IFERROR((Q89 - R89) / (1 - R89), "Could not calculate"), "No Contingency Table"), "Not Included")</f>
        <v>0.48484848484848475</v>
      </c>
      <c r="T89" s="52" t="str">
        <f>IF(O89,IF(NOT(ISBLANK(Raw!AK89)), Raw!AK89, "Not Reported"), "Not Included")</f>
        <v>Not Reported</v>
      </c>
      <c r="U89" s="38">
        <f t="shared" si="3"/>
        <v>0.48484848484848475</v>
      </c>
      <c r="V89" s="11" t="str">
        <f t="shared" si="4"/>
        <v>NA</v>
      </c>
      <c r="W89" s="11" t="b">
        <f>OR(NOT(ISBLANK(Raw!AU89)),COUNTIF(Raw!AL89:AT89,"&gt;=0") = 9)</f>
        <v>1</v>
      </c>
      <c r="X89" s="11" t="str">
        <f>IF(W89, IF(COUNTIF(Raw!AL89:AT89,"&gt;=0") = 9, "Contingency", "Paper k"), "Not Included")</f>
        <v>Contingency</v>
      </c>
      <c r="Y89" s="11">
        <f>IF(W89,IF(COUNTIF(Raw!AL89:AT89,"&gt;=0") = 9,SUM(Raw!AL89:AT89),"No Contingency Table"),"Not Included")</f>
        <v>17</v>
      </c>
      <c r="Z89" s="11">
        <f t="shared" si="5"/>
        <v>17</v>
      </c>
      <c r="AA89" s="11">
        <f>IF(W89,IF(COUNTIF(Raw!AL89:AT89,"&gt;=0") = 9,SUM(Raw!AL89,Raw!AP89,Raw!AT89)/Y89,"No Contingency Table"), "Not Included")</f>
        <v>0.76470588235294112</v>
      </c>
      <c r="AB89" s="11">
        <f>IF(W89,IF(COUNTIF(Raw!AL89:AT89,"&gt;=0") = 9,SUM(SUM(Raw!AL89,Raw!AM89,Raw!AN89)*SUM(Raw!AL89,Raw!AO89,Raw!AR89),SUM(Raw!AO89,Raw!AP89,Raw!AQ89)*SUM(Raw!AM89,Raw!AP89,Raw!AS89),SUM(Raw!AR89,Raw!AS89,Raw!AT89)*SUM(Raw!AN89,Raw!AQ89,Raw!AT89))/Y89^2,"No Contingency Table"), "Not Included")</f>
        <v>0.5017301038062284</v>
      </c>
      <c r="AC89" s="11">
        <f>IF(W89,IF(COUNTIF(Raw!AL89:AT89,"&gt;=0") = 9,(AA89 - AB89) / (1 - AB89),"No Contingency Table"), "Not Included")</f>
        <v>0.52777777777777768</v>
      </c>
      <c r="AD89" s="32">
        <f>IF(W89, IF(NOT(ISBLANK(Raw!AU89)),Raw!AU89,"Not Reported"), "Not Included")</f>
        <v>0.53</v>
      </c>
      <c r="AE89" s="11">
        <f t="shared" si="6"/>
        <v>0.52777777777777768</v>
      </c>
      <c r="AF89" s="11">
        <f t="shared" si="7"/>
        <v>1</v>
      </c>
      <c r="AG89" s="11" t="b">
        <f>COUNTIF(Raw!AV89:BK89, "&gt;=0") = 16</f>
        <v>0</v>
      </c>
      <c r="AH89" s="11" t="str">
        <f>IF(AG89, IF(COUNTIF(Raw!AV89:BK89,"&gt;=0") = 16, "Contingency", "Paper k"), "Not Included")</f>
        <v>Not Included</v>
      </c>
      <c r="AI89" s="11" t="str">
        <f>IF(AG89,IF(COUNTIF(Raw!AV89:BK89,"&gt;=0") = 16,SUM(Raw!AV89:BK89),"No Contingency Table"),"Not Included")</f>
        <v>Not Included</v>
      </c>
      <c r="AJ89" s="15">
        <f t="shared" si="8"/>
        <v>17</v>
      </c>
      <c r="AK89" s="11" t="str">
        <f>IF(AG89,IF(COUNTIF(Raw!AV89:BK89,"&gt;=0") = 16,SUM(Raw!AV89,Raw!BA89,Raw!BF89,Raw!BK89)/AI89,"No Contingency Table"), "Not Included")</f>
        <v>Not Included</v>
      </c>
      <c r="AL89" s="11" t="str">
        <f>IF(AG89,IF(COUNTIF(Raw!AV89:BK89,"&gt;=0") = 16,SUM(SUM(Raw!AV89,Raw!AW89,Raw!AX89,Raw!AY89)*SUM(Raw!AV89,Raw!AZ89,Raw!BD89,Raw!BH89),SUM(Raw!AZ89,Raw!BA89,Raw!BB89,Raw!BC89)*SUM(Raw!AW89,Raw!BA89,Raw!BE89,Raw!BI89),SUM(Raw!BD89,Raw!BE89,Raw!BF89,Raw!BG89)*SUM(Raw!AX89,Raw!BB89,Raw!BF89,Raw!BJ89),SUM(Raw!BH89,Raw!BI89,Raw!BJ89,Raw!BK89)*SUM(Raw!AY89,Raw!BC89,Raw!BG89,Raw!BK89))/AI89^2,"No Contingency Table"), "Not Included")</f>
        <v>Not Included</v>
      </c>
      <c r="AM89" s="11" t="str">
        <f>IF(AG89,IF(COUNTIF(Raw!AV89:BK89,"&gt;=0") = 16,(AK89 - AL89) / (1 - AL89),"No Contingency Table"), "Not Included")</f>
        <v>Not Included</v>
      </c>
      <c r="AN89" s="11" t="str">
        <f>IF(NOT(ISBLANK(Raw!BL89)),Raw!BL89,"Not Reported")</f>
        <v>Not Reported</v>
      </c>
      <c r="AO89" s="11" t="str">
        <f t="shared" si="9"/>
        <v>Not Reported</v>
      </c>
      <c r="AP89" s="11" t="str">
        <f t="shared" si="10"/>
        <v>Not Included</v>
      </c>
      <c r="AQ89" s="11" t="b">
        <f t="shared" ref="AQ89:AR89" si="367">BQ89</f>
        <v>0</v>
      </c>
      <c r="AR89" s="11" t="str">
        <f t="shared" si="367"/>
        <v>Not Included</v>
      </c>
      <c r="AS89" s="11" t="str">
        <f t="shared" si="12"/>
        <v>Not Included</v>
      </c>
      <c r="AT89" s="11" t="str">
        <f t="shared" si="13"/>
        <v>Not Included</v>
      </c>
      <c r="AU89" s="11" t="str">
        <f>IF(AQ89, IF(COUNTIF(Raw!AV89:BK89, "&gt;=0") = 16, IFERROR((AT89*Raw!BK89 - SUM(Raw!BH89, Raw!BI89, Raw!BJ89, Raw!BK89)*SUM(Raw!AY89, Raw!BC89, Raw!BG89, Raw!BK89)) / SQRT((AT89*SUM(Raw!BH89, Raw!BI89, Raw!BJ89, Raw!BK89) - SUM(Raw!BH89, Raw!BI89, Raw!BJ89, Raw!BK89)^2) * (AT89*SUM(Raw!AY89, Raw!BC89, Raw!BG89, Raw!BK89) - SUM(Raw!AY89, Raw!BC89, Raw!BG89, Raw!BK89)^2)), 0), "No Contingency Table"), "Not Included")</f>
        <v>Not Included</v>
      </c>
      <c r="AV89" s="11" t="str">
        <f>IF(AQ89,IF(NOT(ISBLANK(Raw!BQ89)), Raw!BQ89, IF(NOT(ISBLANK(Raw!BR89)), Raw!BR89, "Not Reported")), "Not Included")</f>
        <v>Not Included</v>
      </c>
      <c r="AW89" s="57" t="str">
        <f t="shared" si="14"/>
        <v>Not Included</v>
      </c>
      <c r="AX89" s="11" t="str">
        <f t="shared" si="15"/>
        <v>Not Included</v>
      </c>
      <c r="AY89" s="11" t="b">
        <f t="shared" ref="AY89:AZ89" si="368">AQ89</f>
        <v>0</v>
      </c>
      <c r="AZ89" s="11" t="str">
        <f t="shared" si="368"/>
        <v>Not Included</v>
      </c>
      <c r="BA89" s="11" t="str">
        <f>IF(AY89, IF(COUNTIF(Raw!AV89:BK89, "&gt;=0") = 16, SUM(Raw!AV89,Raw!AW89,Raw!AX89,Raw!AZ89,Raw!BA89,Raw!BB89,Raw!BD89,Raw!BE89,Raw!BF89,Raw!BK89)/SUM(Raw!AV89:BK89), "No Contingency Table"), "Not Included")</f>
        <v>Not Included</v>
      </c>
      <c r="BB89" s="11" t="str">
        <f>IF(AY89, IF(COUNTIF(Raw!AV89:BK89, "&gt;=0") = 16,SUM(SUM(Raw!BH89,Raw!BI89,Raw!BJ89,Raw!BK89)*SUM(Raw!AY89,Raw!BC89,Raw!BG89,Raw!BK89),SUM(Raw!AV89:BG89)*SUM(Raw!AV89,Raw!AW89,Raw!AX89,Raw!AZ89,Raw!BA89,Raw!BB89,Raw!BD89,Raw!BE89,Raw!BF89,Raw!BH89,Raw!BI89,Raw!BJ89))/AT89^2,"No Contingency Table"), "Not Included")</f>
        <v>Not Included</v>
      </c>
      <c r="BC89" s="11" t="str">
        <f>IF(AY89, IF(COUNTIF(Raw!AV89:BK89, "&gt;=0") = 16,(BA89-BB89) / (1 - BB89),"No Contingency Table"), "Not Included")</f>
        <v>Not Included</v>
      </c>
      <c r="BD89" s="11" t="str">
        <f>IF(AY89,IF(NOT(ISBLANK(Raw!BT110)),Raw!BT110,"Not Reported"),"Not Included")</f>
        <v>Not Included</v>
      </c>
      <c r="BE89" s="11" t="str">
        <f t="shared" si="17"/>
        <v>Not Included</v>
      </c>
      <c r="BF89" s="11" t="str">
        <f t="shared" si="18"/>
        <v>Not Included</v>
      </c>
      <c r="BG89" s="11">
        <f>Raw!K89</f>
        <v>1985</v>
      </c>
      <c r="BH89" s="11" t="str">
        <f>IF(Raw!L89 = "USA","USA","Non-USA")</f>
        <v>USA</v>
      </c>
      <c r="BI89" s="11" t="str">
        <f>Raw!M89</f>
        <v>Ainsworth/Ainsworth</v>
      </c>
      <c r="BJ89" s="11">
        <f>Raw!N89</f>
        <v>1</v>
      </c>
      <c r="BK89" s="11">
        <f>Raw!P89</f>
        <v>0</v>
      </c>
      <c r="BL89" s="11">
        <f>Raw!Q89</f>
        <v>0</v>
      </c>
      <c r="BM89" s="11">
        <f>Raw!T89</f>
        <v>1</v>
      </c>
      <c r="BN89" s="11">
        <f>IFERROR(IF(AND(ISBLANK(Raw!U89), ISBLANK(Raw!V89), ISBLANK(Raw!W89), ISBLANK(Raw!X89)), "NA", IF(OR(NOT(ISBLANK(Raw!U89)), NOT(ISBLANK(Raw!W89))), AVERAGE(Raw!U89,Raw!W89), AVERAGE(Raw!V89,Raw!X89) + IF(Raw!Y89 = "2-way", R89, IF(Raw!Y89 = "3-way", AB89, IF(Raw!Y89 = "4-way", AL89, "NA")))*(1 - AVERAGE(Raw!V89,Raw!X89)))), "NA")</f>
        <v>0.89500000000000002</v>
      </c>
      <c r="BO89" s="11">
        <f>Raw!O89</f>
        <v>0</v>
      </c>
      <c r="BP89" s="11" t="str">
        <f>Raw!F89</f>
        <v>Mixed</v>
      </c>
      <c r="BQ89" s="11" t="b">
        <f>COUNTIF(Raw!AV89:BK89, "&gt;=0") = 16</f>
        <v>0</v>
      </c>
      <c r="BR89" s="11" t="str">
        <f t="shared" si="19"/>
        <v>Not Included</v>
      </c>
      <c r="BS89" s="11" t="str">
        <f t="shared" si="20"/>
        <v>Not Included</v>
      </c>
      <c r="BT89" s="11" t="str">
        <f>IF(BQ89, IF(COUNTIF(Raw!AV89:BK89, "&gt;=0") = 16, IFERROR((BS89*Raw!AV89 - SUM(Raw!AV89, Raw!AW89, Raw!AX89, Raw!AY89)*SUM(Raw!AV89, Raw!AZ89, Raw!BD89, Raw!BH89)) / SQRT((BS89*SUM(Raw!AV89, Raw!AW89, Raw!AX89, Raw!AY89) - SUM(Raw!AV89, Raw!AW89, Raw!AX89, Raw!AY89)^2) * (BS89*SUM(Raw!AV89, Raw!AZ89, Raw!BD89, Raw!BH89) - SUM(Raw!AV89, Raw!AZ89, Raw!BD89, Raw!BH89)^2)), 0), "No Contingency Table"), "Not Included")</f>
        <v>Not Included</v>
      </c>
      <c r="BU89" s="11" t="str">
        <f>IF(BQ89, IF(COUNTIF(Raw!AV89:BK89, "&gt;=0") = 16, SUM(Raw!BK89,Raw!BJ89,Raw!BI89,Raw!BG89,Raw!BF89,Raw!BE89,Raw!BC89,Raw!BB89,Raw!BA89,Raw!AV89)/SUM(Raw!AV89:BK89), "No Contingency Table"), "Not Included")</f>
        <v>Not Included</v>
      </c>
      <c r="BV89" s="11" t="str">
        <f>IF(BQ89, IF(COUNTIF(Raw!AV89:BK89, "&gt;=0") = 16,SUM(SUM(Raw!AV89,Raw!AW89,Raw!AX89,Raw!AY89)*SUM(Raw!AV89,Raw!AZ89,Raw!BD89,Raw!BH89),SUM(Raw!AZ89:BK89)*SUM(Raw!AW89,Raw!AX89,Raw!AY89,Raw!BA89,Raw!BB89,Raw!BC89,Raw!BE89,Raw!BF89,Raw!BG89,Raw!BI89,Raw!BJ89,Raw!BK89))/BS89^2,"No Contingency Table"), "Not Included")</f>
        <v>Not Included</v>
      </c>
      <c r="BW89" s="11" t="str">
        <f>IF(BQ89, IF(COUNTIF(Raw!AV89:BK89, "&gt;=0") = 16,(BU89-BV89) / (1 - BV89),"No Contingency Table"), "Not Included")</f>
        <v>Not Included</v>
      </c>
      <c r="BX89" s="11" t="b">
        <f t="shared" ref="BX89:BZ89" si="369">BQ89</f>
        <v>0</v>
      </c>
      <c r="BY89" s="11" t="str">
        <f t="shared" si="369"/>
        <v>Not Included</v>
      </c>
      <c r="BZ89" s="11" t="str">
        <f t="shared" si="369"/>
        <v>Not Included</v>
      </c>
      <c r="CA89" s="11" t="str">
        <f>IF(BX89, IF(COUNTIF(Raw!AV89:BK89, "&gt;=0") = 16, IFERROR((BZ89*Raw!BF89 - SUM(Raw!BD89, Raw!BE89, Raw!BF89, Raw!BG89)*SUM(Raw!BF89, Raw!AX89, Raw!BB89, Raw!BJ89)) / SQRT((BZ89*SUM(Raw!BD89, Raw!BE89, Raw!BF89, Raw!BG89) - SUM(Raw!BD89, Raw!BE89, Raw!BF89, Raw!BG89)^2) * (BZ89*SUM(Raw!BF89, Raw!AX89, Raw!BB89, Raw!BJ89) - SUM(Raw!BF89, Raw!AX89, Raw!BB89, Raw!BJ89)^2)), 0), "No Contingency Table"), "Not Included")</f>
        <v>Not Included</v>
      </c>
      <c r="CB89" s="11" t="str">
        <f>IF(BX89, IF(COUNTIF(Raw!AV89:BK89, "&gt;=0") = 16, SUM(Raw!AV89,Raw!AW89,Raw!AY89,Raw!AZ89,Raw!BA89,Raw!BC89,Raw!BF89,Raw!BH89,Raw!BI89,Raw!BK89) / SUM(Raw!AV89:BK89), "No Contingency Table"), "Not Included")</f>
        <v>Not Included</v>
      </c>
      <c r="CC89" s="11" t="str">
        <f>IF(BX89, IF(COUNTIF(Raw!AV89:BK89, "&gt;=0") = 16,SUM(SUM(Raw!BD89,Raw!BE89,Raw!BF89,Raw!BG89)*SUM(Raw!BF89,Raw!AX89,Raw!BB89,Raw!BJ89),SUM(Raw!AV89:BC89,Raw!BH89:BK89)*SUM(Raw!AV89,Raw!AW89,Raw!AY89,Raw!AZ89,Raw!BA89,Raw!BC89,Raw!BD89,Raw!BE89,Raw!BG89,Raw!BH89,Raw!BI89,Raw!BK89))/BZ89^2,"No Contingency Table"), "Not Included")</f>
        <v>Not Included</v>
      </c>
      <c r="CD89" s="11" t="str">
        <f>IF(BX89, IF(COUNTIF(Raw!AV89:BK89, "&gt;=0") = 16,(CB89 - CC89) / (1 - CC89+0.000001),"No Contingency Table"), "Not Included")</f>
        <v>Not Included</v>
      </c>
      <c r="CE89" s="11" t="b">
        <f t="shared" ref="CE89:CG89" si="370">BQ89</f>
        <v>0</v>
      </c>
      <c r="CF89" s="11" t="str">
        <f t="shared" si="370"/>
        <v>Not Included</v>
      </c>
      <c r="CG89" s="11" t="str">
        <f t="shared" si="370"/>
        <v>Not Included</v>
      </c>
      <c r="CH89" s="11" t="str">
        <f>IF(CE89, IF(COUNTIF(Raw!AV89:BK89, "&gt;=0") = 16, IFERROR((CG89*Raw!BA89 - SUM(Raw!BA89, Raw!AZ89, Raw!BB89, Raw!BC89)*SUM(Raw!BA89, Raw!AW89, Raw!BE89, Raw!BI89)) / SQRT((CG89*SUM(Raw!BA89, Raw!AZ89, Raw!BB89, Raw!BC89) - SUM(Raw!BA89, Raw!AZ89, Raw!BB89, Raw!BC89)^2) * (CG89*SUM(Raw!BA89, Raw!AW89, Raw!BE89, Raw!BI89) - SUM(Raw!BA89, Raw!AW89, Raw!BE89, Raw!BI89)^2)), 0), "No Contingency Table"), "Not Included")</f>
        <v>Not Included</v>
      </c>
      <c r="CI89" s="11" t="str">
        <f>IF(CE89, IF(COUNTIF(Raw!AV89:BK89, "&gt;=0") = 16, SUM(Raw!AV89,Raw!AX89,Raw!AY89,Raw!BA89,Raw!BD89,Raw!BF89,Raw!BG89,Raw!BH89,Raw!BJ89,Raw!BK89) / SUM(Raw!AV89:BK89), "No Contingency Table"), "Not Included")</f>
        <v>Not Included</v>
      </c>
      <c r="CJ89" s="61" t="str">
        <f>IF(BX89, IF(COUNTIF(Raw!AV89:BK89, "&gt;=0") = 16,SUM(SUM(Raw!AZ89,Raw!BA89,Raw!BB89,Raw!BC89)*SUM(Raw!BA89,Raw!AW89,Raw!BE89,Raw!BI89),SUM(Raw!AV89:AY89,Raw!BD89:BK89)*SUM(Raw!AV89,Raw!AX89,Raw!AY89,Raw!AZ89,Raw!BB89,Raw!BC89,Raw!BD89,Raw!BF89,Raw!BG89,Raw!BH89,Raw!BJ89,Raw!BK89))/CG89^2,"No Contingency Table"), "Not Included")</f>
        <v>Not Included</v>
      </c>
      <c r="CK89" s="11" t="str">
        <f>IF(BX89, IF(COUNTIF(Raw!AV89:BK89, "&gt;=0") = 16,(CI89 - CJ89) / (1 - CJ89),"No Contingency Table"), "Not Included")</f>
        <v>Not Included</v>
      </c>
      <c r="CL89" s="11" t="str">
        <f>IF(BQ89, IFERROR(Raw!AV89/SUM(Raw!AV89:AY89), 0), "Not Included")</f>
        <v>Not Included</v>
      </c>
      <c r="CM89" s="11" t="str">
        <f>IF(BQ89, IFERROR(Raw!BA89/SUM(Raw!AZ89:BC89), 0), "Not Included")</f>
        <v>Not Included</v>
      </c>
      <c r="CN89" s="11" t="str">
        <f>IF(BQ89, IFERROR(Raw!BF89/SUM(Raw!BD89:BG89), 0), "Not Included")</f>
        <v>Not Included</v>
      </c>
      <c r="CO89" s="11" t="str">
        <f>IF(BQ89, IFERROR(Raw!BK89/SUM(Raw!BH89:BK89), 0), "Not Included")</f>
        <v>Not Included</v>
      </c>
      <c r="CP89" s="11" t="str">
        <f>IF(BQ89, IFERROR(SUM(Raw!AV89,Raw!AX89,Raw!AY89,Raw!BD89,Raw!BF89,Raw!BG89,Raw!BH89,Raw!BJ89,Raw!BK89)/SUM(Raw!AV89,Raw!AW89,Raw!AX89,Raw!AY89,Raw!BD89,Raw!BE89,Raw!BF89,Raw!BG89,Raw!BH89,Raw!BI89,Raw!BJ89,Raw!BK89), 0), "Not Included")</f>
        <v>Not Included</v>
      </c>
      <c r="CQ89" s="11" t="str">
        <f>IF(BQ89, IFERROR(SUM(Raw!AV89:AX89,Raw!AZ89:BB89,Raw!BD89:BF89)/SUM(Raw!AV89:BF89), 0), "Not Included")</f>
        <v>Not Included</v>
      </c>
      <c r="CR89" s="11" t="str">
        <f>IF(BQ89, IFERROR(SUM(Raw!AV89:AY89), 0), "Not Included")</f>
        <v>Not Included</v>
      </c>
      <c r="CS89" s="11" t="str">
        <f>IF(BQ89, IFERROR(SUM(Raw!AZ89:BC89), 0), "Not Included")</f>
        <v>Not Included</v>
      </c>
      <c r="CT89" s="11" t="str">
        <f>IF(BQ89, IFERROR(SUM(Raw!BD89:BG89), 0), "Not Included")</f>
        <v>Not Included</v>
      </c>
      <c r="CU89" s="11" t="str">
        <f>IF(BQ89, IFERROR(SUM(Raw!BH89:BK89), 0), "Not Included")</f>
        <v>Not Included</v>
      </c>
      <c r="CV89" s="11" t="str">
        <f>IF(BQ89, IFERROR(SUM(Raw!AV89,Raw!AW89,Raw!AX89,Raw!AY89,Raw!BD89,Raw!BE89,Raw!BF89,Raw!BG89,Raw!BH89,Raw!BI89,Raw!BJ89,Raw!BK89), 0), "Not Included")</f>
        <v>Not Included</v>
      </c>
      <c r="CW89" s="11" t="str">
        <f>IF(BQ89, IFERROR(SUM(Raw!AV89:BF89), 0), "Not Included")</f>
        <v>Not Included</v>
      </c>
      <c r="CX89" s="11" t="str">
        <f>IF(BQ89, IFERROR((CR89*SUM(Raw!AV89,Raw!AZ89,Raw!BD89,Raw!BH89))/BS89/CR89, 0), "Not Included")</f>
        <v>Not Included</v>
      </c>
      <c r="CY89" s="11" t="str">
        <f>IF(BX89, IFERROR((CS89*SUM(Raw!BA89,Raw!AW89,Raw!BE89,Raw!BI89))/CG89/CS89, 0), "Not Included")</f>
        <v>Not Included</v>
      </c>
      <c r="CZ89" s="11" t="str">
        <f>IF(BX89, IFERROR((CT89*SUM(Raw!BF89,Raw!AX89,Raw!BB89,Raw!BJ89))/BZ89/CT89, 0), "Not Included")</f>
        <v>Not Included</v>
      </c>
      <c r="DA89" s="11" t="str">
        <f>IF(AY89, IFERROR((CU89*SUM(Raw!AY89,Raw!BC89,Raw!BG89,Raw!BK89))/AT89/CU89, 0), "Not Included")</f>
        <v>Not Included</v>
      </c>
      <c r="DB89" s="11" t="str">
        <f>IF(BX89, IFERROR((CV89*SUM(Raw!AV89,Raw!AX89,Raw!AY89,Raw!AZ89,Raw!BB89,Raw!BC89,Raw!BD89,Raw!BF89,Raw!BG89,Raw!BH89,Raw!BJ89,Raw!BK89))/CG89/CV89,0), "Not Included")</f>
        <v>Not Included</v>
      </c>
      <c r="DC89" s="11" t="str">
        <f>IF(AY89, IFERROR((CW89*SUM(Raw!AV89,Raw!AW89,Raw!AX89,Raw!AZ89,Raw!BA89,Raw!BB89,Raw!BD89,Raw!BE89,Raw!BF89,Raw!BH89,Raw!BI89,Raw!BJ89))/AT89/CW89,0), "Not Included")</f>
        <v>Not Included</v>
      </c>
    </row>
    <row r="90" spans="1:107" ht="12.75" customHeight="1">
      <c r="A90" s="11">
        <f>Raw!D90</f>
        <v>65</v>
      </c>
      <c r="B90" s="11" t="str">
        <f>Raw!A90</f>
        <v xml:space="preserve">Schneider-Rosen et al. (1985) </v>
      </c>
      <c r="C90" s="11">
        <f>Raw!G90</f>
        <v>2</v>
      </c>
      <c r="D90" s="11" t="str">
        <f>Raw!E90</f>
        <v>Comparison (18-24 mo.)</v>
      </c>
      <c r="E90" s="11" t="str">
        <f>CONCATENATE(IF(Raw!I90&lt;='Interval Definitions'!$B$2, 'Interval Definitions'!$A$2, IF(Raw!I90&lt;='Interval Definitions'!$B$3, 'Interval Definitions'!$A$3, IF(Raw!I90&lt;='Interval Definitions'!$B$4, 'Interval Definitions'!$A$4, IF(Raw!I90&lt;='Interval Definitions'!$B$5, 'Interval Definitions'!$A$5, "None")))), " - ", IF(Raw!J90&lt;='Interval Definitions'!$B$2, 'Interval Definitions'!$A$2, IF(Raw!J90&lt;='Interval Definitions'!$B$3, 'Interval Definitions'!$A$3, IF(Raw!J90&lt;='Interval Definitions'!$B$4, 'Interval Definitions'!$A$4, IF(Raw!J90&lt;='Interval Definitions'!$B$5, 'Interval Definitions'!$A$5, "None")))))</f>
        <v>Infancy - Infancy</v>
      </c>
      <c r="F90" s="11" t="b">
        <f>OR(NOT(ISBLANK(Raw!AF90)),NOT(ISBLANK(Raw!AG90)),NOT(ISBLANK(Raw!AH90)),NOT(ISBLANK(Raw!AI90)),COUNTIF(Raw!AA90:AD90, "&gt;=0") = 4)</f>
        <v>1</v>
      </c>
      <c r="G90" s="11" t="str">
        <f>IF(F90, IF(COUNTIF(Raw!AA90:AD90,"&gt;=0") = 4, "Contingency", IF(NOT(ISBLANK(Raw!AF90)), "Paper r", IF(NOT(ISBLANK(Raw!AG90)), "Pinquart", IF(NOT(ISBLANK(Raw!AH90)), "Fraley", "Paper chiSq")))), "Not Included")</f>
        <v>Contingency</v>
      </c>
      <c r="H90" s="15">
        <f>IF(F90,Raw!AE90,"Not Included")</f>
        <v>23</v>
      </c>
      <c r="I90" s="15">
        <f>IF(COUNTIF(Raw!AA90:AD90,"&gt;=0") = 4, SUM(Raw!AA90:AD90), "No Contingency Table")</f>
        <v>23</v>
      </c>
      <c r="J90" s="15">
        <f t="shared" si="0"/>
        <v>23</v>
      </c>
      <c r="K90" s="38">
        <f>IF(F90, IF(COUNTIF(Raw!AA90:AD90,"&gt;=0") = 4, IFERROR((I90*Raw!AA90 - SUM(Raw!AA90,Raw!AB90)*SUM(Raw!AA90,Raw!AD90)) / SQRT((I90*SUM(Raw!AA90,Raw!AB90) - SUM(Raw!AA90,Raw!AB90)^2) * (I90*SUM(Raw!AA90,Raw!AD90) - SUM(Raw!AA90,Raw!AD90)^2)), 0), "No Contingency Table"), "Not Included")</f>
        <v>0.34969752613989102</v>
      </c>
      <c r="L90" s="41" t="str">
        <f>IF(F90,IF(NOT(ISBLANK(Raw!AF90)), Raw!AF90, IF(NOT(ISBLANK(Raw!AG90)), Raw!AG90, IF(NOT(ISBLANK(Raw!AH90)), Raw!AH90, IF(NOT(ISBLANK(Raw!AI90)), SQRT(Raw!AI90/H90)*Raw!AJ90, "Not Reported")))),"Not Included")</f>
        <v>Not Reported</v>
      </c>
      <c r="M90" s="43">
        <f t="shared" si="1"/>
        <v>0.34969752613989102</v>
      </c>
      <c r="N90" s="11" t="str">
        <f t="shared" si="2"/>
        <v>NA</v>
      </c>
      <c r="O90" s="48" t="b">
        <f>OR(NOT(ISBLANK(Raw!AK90)), COUNTIF(Raw!AA90:AD90, "&gt;=0") = 4)</f>
        <v>1</v>
      </c>
      <c r="P90" s="24" t="str">
        <f>IF(O90,IF(COUNTIF(Raw!AA90:AD90,"&gt;=0") = 4,"Contingency", "Paper k"), "Not Included")</f>
        <v>Contingency</v>
      </c>
      <c r="Q90" s="48">
        <f>IF(O90, IF(COUNTIF(Raw!AA90:AD90,"&gt;=0") = 4,SUM(Raw!AA90,Raw!AC90)/H90,"No Contingency Table"), "Not Included")</f>
        <v>0.69565217391304346</v>
      </c>
      <c r="R90" s="38">
        <f>IF(O90, IF(COUNTIF(Raw!AA90:AD90, "&gt;=0") = 4,SUM(SUM(Raw!AA90,Raw!AB90)*SUM(Raw!AA90,Raw!AD90),SUM(Raw!AC90,Raw!AD90)*SUM(Raw!AC90,Raw!AB90))/H90^2,"No Contingency Table"), "Not Included")</f>
        <v>0.53308128544423439</v>
      </c>
      <c r="S90" s="38">
        <f>IF(O90, IF(COUNTIF(Raw!AA90:AD90,"&gt;=0") = 4, IFERROR((Q90 - R90) / (1 - R90), "Could not calculate"), "No Contingency Table"), "Not Included")</f>
        <v>0.34817813765182182</v>
      </c>
      <c r="T90" s="52" t="str">
        <f>IF(O90,IF(NOT(ISBLANK(Raw!AK90)), Raw!AK90, "Not Reported"), "Not Included")</f>
        <v>Not Reported</v>
      </c>
      <c r="U90" s="38">
        <f t="shared" si="3"/>
        <v>0.34817813765182182</v>
      </c>
      <c r="V90" s="11" t="str">
        <f t="shared" si="4"/>
        <v>NA</v>
      </c>
      <c r="W90" s="11" t="b">
        <f>OR(NOT(ISBLANK(Raw!AU90)),COUNTIF(Raw!AL90:AT90,"&gt;=0") = 9)</f>
        <v>1</v>
      </c>
      <c r="X90" s="11" t="str">
        <f>IF(W90, IF(COUNTIF(Raw!AL90:AT90,"&gt;=0") = 9, "Contingency", "Paper k"), "Not Included")</f>
        <v>Contingency</v>
      </c>
      <c r="Y90" s="11">
        <f>IF(W90,IF(COUNTIF(Raw!AL90:AT90,"&gt;=0") = 9,SUM(Raw!AL90:AT90),"No Contingency Table"),"Not Included")</f>
        <v>23</v>
      </c>
      <c r="Z90" s="11">
        <f t="shared" si="5"/>
        <v>23</v>
      </c>
      <c r="AA90" s="11">
        <f>IF(W90,IF(COUNTIF(Raw!AL90:AT90,"&gt;=0") = 9,SUM(Raw!AL90,Raw!AP90,Raw!AT90)/Y90,"No Contingency Table"), "Not Included")</f>
        <v>0.69565217391304346</v>
      </c>
      <c r="AB90" s="11">
        <f>IF(W90,IF(COUNTIF(Raw!AL90:AT90,"&gt;=0") = 9,SUM(SUM(Raw!AL90,Raw!AM90,Raw!AN90)*SUM(Raw!AL90,Raw!AO90,Raw!AR90),SUM(Raw!AO90,Raw!AP90,Raw!AQ90)*SUM(Raw!AM90,Raw!AP90,Raw!AS90),SUM(Raw!AR90,Raw!AS90,Raw!AT90)*SUM(Raw!AN90,Raw!AQ90,Raw!AT90))/Y90^2,"No Contingency Table"), "Not Included")</f>
        <v>0.49338374291115311</v>
      </c>
      <c r="AC90" s="11">
        <f>IF(W90,IF(COUNTIF(Raw!AL90:AT90,"&gt;=0") = 9,(AA90 - AB90) / (1 - AB90),"No Contingency Table"), "Not Included")</f>
        <v>0.39925373134328362</v>
      </c>
      <c r="AD90" s="32">
        <f>IF(W90, IF(NOT(ISBLANK(Raw!AU90)),Raw!AU90,"Not Reported"), "Not Included")</f>
        <v>0.4</v>
      </c>
      <c r="AE90" s="11">
        <f t="shared" si="6"/>
        <v>0.39925373134328362</v>
      </c>
      <c r="AF90" s="11">
        <f t="shared" si="7"/>
        <v>1</v>
      </c>
      <c r="AG90" s="11" t="b">
        <f>COUNTIF(Raw!AV90:BK90, "&gt;=0") = 16</f>
        <v>0</v>
      </c>
      <c r="AH90" s="11" t="str">
        <f>IF(AG90, IF(COUNTIF(Raw!AV90:BK90,"&gt;=0") = 16, "Contingency", "Paper k"), "Not Included")</f>
        <v>Not Included</v>
      </c>
      <c r="AI90" s="11" t="str">
        <f>IF(AG90,IF(COUNTIF(Raw!AV90:BK90,"&gt;=0") = 16,SUM(Raw!AV90:BK90),"No Contingency Table"),"Not Included")</f>
        <v>Not Included</v>
      </c>
      <c r="AJ90" s="15">
        <f t="shared" si="8"/>
        <v>23</v>
      </c>
      <c r="AK90" s="11" t="str">
        <f>IF(AG90,IF(COUNTIF(Raw!AV90:BK90,"&gt;=0") = 16,SUM(Raw!AV90,Raw!BA90,Raw!BF90,Raw!BK90)/AI90,"No Contingency Table"), "Not Included")</f>
        <v>Not Included</v>
      </c>
      <c r="AL90" s="11" t="str">
        <f>IF(AG90,IF(COUNTIF(Raw!AV90:BK90,"&gt;=0") = 16,SUM(SUM(Raw!AV90,Raw!AW90,Raw!AX90,Raw!AY90)*SUM(Raw!AV90,Raw!AZ90,Raw!BD90,Raw!BH90),SUM(Raw!AZ90,Raw!BA90,Raw!BB90,Raw!BC90)*SUM(Raw!AW90,Raw!BA90,Raw!BE90,Raw!BI90),SUM(Raw!BD90,Raw!BE90,Raw!BF90,Raw!BG90)*SUM(Raw!AX90,Raw!BB90,Raw!BF90,Raw!BJ90),SUM(Raw!BH90,Raw!BI90,Raw!BJ90,Raw!BK90)*SUM(Raw!AY90,Raw!BC90,Raw!BG90,Raw!BK90))/AI90^2,"No Contingency Table"), "Not Included")</f>
        <v>Not Included</v>
      </c>
      <c r="AM90" s="11" t="str">
        <f>IF(AG90,IF(COUNTIF(Raw!AV90:BK90,"&gt;=0") = 16,(AK90 - AL90) / (1 - AL90),"No Contingency Table"), "Not Included")</f>
        <v>Not Included</v>
      </c>
      <c r="AN90" s="11" t="str">
        <f>IF(NOT(ISBLANK(Raw!BL90)),Raw!BL90,"Not Reported")</f>
        <v>Not Reported</v>
      </c>
      <c r="AO90" s="11" t="str">
        <f t="shared" si="9"/>
        <v>Not Reported</v>
      </c>
      <c r="AP90" s="11" t="str">
        <f t="shared" si="10"/>
        <v>Not Included</v>
      </c>
      <c r="AQ90" s="11" t="b">
        <f t="shared" ref="AQ90:AR90" si="371">BQ90</f>
        <v>0</v>
      </c>
      <c r="AR90" s="11" t="str">
        <f t="shared" si="371"/>
        <v>Not Included</v>
      </c>
      <c r="AS90" s="11" t="str">
        <f t="shared" si="12"/>
        <v>Not Included</v>
      </c>
      <c r="AT90" s="11" t="str">
        <f t="shared" si="13"/>
        <v>Not Included</v>
      </c>
      <c r="AU90" s="11" t="str">
        <f>IF(AQ90, IF(COUNTIF(Raw!AV90:BK90, "&gt;=0") = 16, IFERROR((AT90*Raw!BK90 - SUM(Raw!BH90, Raw!BI90, Raw!BJ90, Raw!BK90)*SUM(Raw!AY90, Raw!BC90, Raw!BG90, Raw!BK90)) / SQRT((AT90*SUM(Raw!BH90, Raw!BI90, Raw!BJ90, Raw!BK90) - SUM(Raw!BH90, Raw!BI90, Raw!BJ90, Raw!BK90)^2) * (AT90*SUM(Raw!AY90, Raw!BC90, Raw!BG90, Raw!BK90) - SUM(Raw!AY90, Raw!BC90, Raw!BG90, Raw!BK90)^2)), 0), "No Contingency Table"), "Not Included")</f>
        <v>Not Included</v>
      </c>
      <c r="AV90" s="11" t="str">
        <f>IF(AQ90,IF(NOT(ISBLANK(Raw!BQ90)), Raw!BQ90, IF(NOT(ISBLANK(Raw!BR90)), Raw!BR90, "Not Reported")), "Not Included")</f>
        <v>Not Included</v>
      </c>
      <c r="AW90" s="57" t="str">
        <f t="shared" si="14"/>
        <v>Not Included</v>
      </c>
      <c r="AX90" s="11" t="str">
        <f t="shared" si="15"/>
        <v>Not Included</v>
      </c>
      <c r="AY90" s="11" t="b">
        <f t="shared" ref="AY90:AZ90" si="372">AQ90</f>
        <v>0</v>
      </c>
      <c r="AZ90" s="11" t="str">
        <f t="shared" si="372"/>
        <v>Not Included</v>
      </c>
      <c r="BA90" s="11" t="str">
        <f>IF(AY90, IF(COUNTIF(Raw!AV90:BK90, "&gt;=0") = 16, SUM(Raw!AV90,Raw!AW90,Raw!AX90,Raw!AZ90,Raw!BA90,Raw!BB90,Raw!BD90,Raw!BE90,Raw!BF90,Raw!BK90)/SUM(Raw!AV90:BK90), "No Contingency Table"), "Not Included")</f>
        <v>Not Included</v>
      </c>
      <c r="BB90" s="11" t="str">
        <f>IF(AY90, IF(COUNTIF(Raw!AV90:BK90, "&gt;=0") = 16,SUM(SUM(Raw!BH90,Raw!BI90,Raw!BJ90,Raw!BK90)*SUM(Raw!AY90,Raw!BC90,Raw!BG90,Raw!BK90),SUM(Raw!AV90:BG90)*SUM(Raw!AV90,Raw!AW90,Raw!AX90,Raw!AZ90,Raw!BA90,Raw!BB90,Raw!BD90,Raw!BE90,Raw!BF90,Raw!BH90,Raw!BI90,Raw!BJ90))/AT90^2,"No Contingency Table"), "Not Included")</f>
        <v>Not Included</v>
      </c>
      <c r="BC90" s="11" t="str">
        <f>IF(AY90, IF(COUNTIF(Raw!AV90:BK90, "&gt;=0") = 16,(BA90-BB90) / (1 - BB90),"No Contingency Table"), "Not Included")</f>
        <v>Not Included</v>
      </c>
      <c r="BD90" s="11" t="str">
        <f>IF(AY90,IF(NOT(ISBLANK(Raw!BT111)),Raw!BT111,"Not Reported"),"Not Included")</f>
        <v>Not Included</v>
      </c>
      <c r="BE90" s="11" t="str">
        <f t="shared" si="17"/>
        <v>Not Included</v>
      </c>
      <c r="BF90" s="11" t="str">
        <f t="shared" si="18"/>
        <v>Not Included</v>
      </c>
      <c r="BG90" s="11">
        <f>Raw!K90</f>
        <v>1985</v>
      </c>
      <c r="BH90" s="11" t="str">
        <f>IF(Raw!L90 = "USA","USA","Non-USA")</f>
        <v>USA</v>
      </c>
      <c r="BI90" s="11" t="str">
        <f>Raw!M90</f>
        <v>Ainsworth/Ainsworth</v>
      </c>
      <c r="BJ90" s="11">
        <f>Raw!N90</f>
        <v>1</v>
      </c>
      <c r="BK90" s="11">
        <f>Raw!P90</f>
        <v>0</v>
      </c>
      <c r="BL90" s="11">
        <f>Raw!Q90</f>
        <v>0</v>
      </c>
      <c r="BM90" s="11">
        <f>Raw!T90</f>
        <v>1</v>
      </c>
      <c r="BN90" s="11">
        <f>IFERROR(IF(AND(ISBLANK(Raw!U90), ISBLANK(Raw!V90), ISBLANK(Raw!W90), ISBLANK(Raw!X90)), "NA", IF(OR(NOT(ISBLANK(Raw!U90)), NOT(ISBLANK(Raw!W90))), AVERAGE(Raw!U90,Raw!W90), AVERAGE(Raw!V90,Raw!X90) + IF(Raw!Y90 = "2-way", R90, IF(Raw!Y90 = "3-way", AB90, IF(Raw!Y90 = "4-way", AL90, "NA")))*(1 - AVERAGE(Raw!V90,Raw!X90)))), "NA")</f>
        <v>0.91</v>
      </c>
      <c r="BO90" s="11">
        <f>Raw!O90</f>
        <v>0</v>
      </c>
      <c r="BP90" s="11" t="str">
        <f>Raw!F90</f>
        <v>Mixed</v>
      </c>
      <c r="BQ90" s="11" t="b">
        <f>COUNTIF(Raw!AV90:BK90, "&gt;=0") = 16</f>
        <v>0</v>
      </c>
      <c r="BR90" s="11" t="str">
        <f t="shared" si="19"/>
        <v>Not Included</v>
      </c>
      <c r="BS90" s="11" t="str">
        <f t="shared" si="20"/>
        <v>Not Included</v>
      </c>
      <c r="BT90" s="11" t="str">
        <f>IF(BQ90, IF(COUNTIF(Raw!AV90:BK90, "&gt;=0") = 16, IFERROR((BS90*Raw!AV90 - SUM(Raw!AV90, Raw!AW90, Raw!AX90, Raw!AY90)*SUM(Raw!AV90, Raw!AZ90, Raw!BD90, Raw!BH90)) / SQRT((BS90*SUM(Raw!AV90, Raw!AW90, Raw!AX90, Raw!AY90) - SUM(Raw!AV90, Raw!AW90, Raw!AX90, Raw!AY90)^2) * (BS90*SUM(Raw!AV90, Raw!AZ90, Raw!BD90, Raw!BH90) - SUM(Raw!AV90, Raw!AZ90, Raw!BD90, Raw!BH90)^2)), 0), "No Contingency Table"), "Not Included")</f>
        <v>Not Included</v>
      </c>
      <c r="BU90" s="11" t="str">
        <f>IF(BQ90, IF(COUNTIF(Raw!AV90:BK90, "&gt;=0") = 16, SUM(Raw!BK90,Raw!BJ90,Raw!BI90,Raw!BG90,Raw!BF90,Raw!BE90,Raw!BC90,Raw!BB90,Raw!BA90,Raw!AV90)/SUM(Raw!AV90:BK90), "No Contingency Table"), "Not Included")</f>
        <v>Not Included</v>
      </c>
      <c r="BV90" s="11" t="str">
        <f>IF(BQ90, IF(COUNTIF(Raw!AV90:BK90, "&gt;=0") = 16,SUM(SUM(Raw!AV90,Raw!AW90,Raw!AX90,Raw!AY90)*SUM(Raw!AV90,Raw!AZ90,Raw!BD90,Raw!BH90),SUM(Raw!AZ90:BK90)*SUM(Raw!AW90,Raw!AX90,Raw!AY90,Raw!BA90,Raw!BB90,Raw!BC90,Raw!BE90,Raw!BF90,Raw!BG90,Raw!BI90,Raw!BJ90,Raw!BK90))/BS90^2,"No Contingency Table"), "Not Included")</f>
        <v>Not Included</v>
      </c>
      <c r="BW90" s="11" t="str">
        <f>IF(BQ90, IF(COUNTIF(Raw!AV90:BK90, "&gt;=0") = 16,(BU90-BV90) / (1 - BV90),"No Contingency Table"), "Not Included")</f>
        <v>Not Included</v>
      </c>
      <c r="BX90" s="11" t="b">
        <f t="shared" ref="BX90:BZ90" si="373">BQ90</f>
        <v>0</v>
      </c>
      <c r="BY90" s="11" t="str">
        <f t="shared" si="373"/>
        <v>Not Included</v>
      </c>
      <c r="BZ90" s="11" t="str">
        <f t="shared" si="373"/>
        <v>Not Included</v>
      </c>
      <c r="CA90" s="11" t="str">
        <f>IF(BX90, IF(COUNTIF(Raw!AV90:BK90, "&gt;=0") = 16, IFERROR((BZ90*Raw!BF90 - SUM(Raw!BD90, Raw!BE90, Raw!BF90, Raw!BG90)*SUM(Raw!BF90, Raw!AX90, Raw!BB90, Raw!BJ90)) / SQRT((BZ90*SUM(Raw!BD90, Raw!BE90, Raw!BF90, Raw!BG90) - SUM(Raw!BD90, Raw!BE90, Raw!BF90, Raw!BG90)^2) * (BZ90*SUM(Raw!BF90, Raw!AX90, Raw!BB90, Raw!BJ90) - SUM(Raw!BF90, Raw!AX90, Raw!BB90, Raw!BJ90)^2)), 0), "No Contingency Table"), "Not Included")</f>
        <v>Not Included</v>
      </c>
      <c r="CB90" s="11" t="str">
        <f>IF(BX90, IF(COUNTIF(Raw!AV90:BK90, "&gt;=0") = 16, SUM(Raw!AV90,Raw!AW90,Raw!AY90,Raw!AZ90,Raw!BA90,Raw!BC90,Raw!BF90,Raw!BH90,Raw!BI90,Raw!BK90) / SUM(Raw!AV90:BK90), "No Contingency Table"), "Not Included")</f>
        <v>Not Included</v>
      </c>
      <c r="CC90" s="11" t="str">
        <f>IF(BX90, IF(COUNTIF(Raw!AV90:BK90, "&gt;=0") = 16,SUM(SUM(Raw!BD90,Raw!BE90,Raw!BF90,Raw!BG90)*SUM(Raw!BF90,Raw!AX90,Raw!BB90,Raw!BJ90),SUM(Raw!AV90:BC90,Raw!BH90:BK90)*SUM(Raw!AV90,Raw!AW90,Raw!AY90,Raw!AZ90,Raw!BA90,Raw!BC90,Raw!BD90,Raw!BE90,Raw!BG90,Raw!BH90,Raw!BI90,Raw!BK90))/BZ90^2,"No Contingency Table"), "Not Included")</f>
        <v>Not Included</v>
      </c>
      <c r="CD90" s="11" t="str">
        <f>IF(BX90, IF(COUNTIF(Raw!AV90:BK90, "&gt;=0") = 16,(CB90 - CC90) / (1 - CC90+0.000001),"No Contingency Table"), "Not Included")</f>
        <v>Not Included</v>
      </c>
      <c r="CE90" s="11" t="b">
        <f t="shared" ref="CE90:CG90" si="374">BQ90</f>
        <v>0</v>
      </c>
      <c r="CF90" s="11" t="str">
        <f t="shared" si="374"/>
        <v>Not Included</v>
      </c>
      <c r="CG90" s="11" t="str">
        <f t="shared" si="374"/>
        <v>Not Included</v>
      </c>
      <c r="CH90" s="11" t="str">
        <f>IF(CE90, IF(COUNTIF(Raw!AV90:BK90, "&gt;=0") = 16, IFERROR((CG90*Raw!BA90 - SUM(Raw!BA90, Raw!AZ90, Raw!BB90, Raw!BC90)*SUM(Raw!BA90, Raw!AW90, Raw!BE90, Raw!BI90)) / SQRT((CG90*SUM(Raw!BA90, Raw!AZ90, Raw!BB90, Raw!BC90) - SUM(Raw!BA90, Raw!AZ90, Raw!BB90, Raw!BC90)^2) * (CG90*SUM(Raw!BA90, Raw!AW90, Raw!BE90, Raw!BI90) - SUM(Raw!BA90, Raw!AW90, Raw!BE90, Raw!BI90)^2)), 0), "No Contingency Table"), "Not Included")</f>
        <v>Not Included</v>
      </c>
      <c r="CI90" s="11" t="str">
        <f>IF(CE90, IF(COUNTIF(Raw!AV90:BK90, "&gt;=0") = 16, SUM(Raw!AV90,Raw!AX90,Raw!AY90,Raw!BA90,Raw!BD90,Raw!BF90,Raw!BG90,Raw!BH90,Raw!BJ90,Raw!BK90) / SUM(Raw!AV90:BK90), "No Contingency Table"), "Not Included")</f>
        <v>Not Included</v>
      </c>
      <c r="CJ90" s="61" t="str">
        <f>IF(BX90, IF(COUNTIF(Raw!AV90:BK90, "&gt;=0") = 16,SUM(SUM(Raw!AZ90,Raw!BA90,Raw!BB90,Raw!BC90)*SUM(Raw!BA90,Raw!AW90,Raw!BE90,Raw!BI90),SUM(Raw!AV90:AY90,Raw!BD90:BK90)*SUM(Raw!AV90,Raw!AX90,Raw!AY90,Raw!AZ90,Raw!BB90,Raw!BC90,Raw!BD90,Raw!BF90,Raw!BG90,Raw!BH90,Raw!BJ90,Raw!BK90))/CG90^2,"No Contingency Table"), "Not Included")</f>
        <v>Not Included</v>
      </c>
      <c r="CK90" s="11" t="str">
        <f>IF(BX90, IF(COUNTIF(Raw!AV90:BK90, "&gt;=0") = 16,(CI90 - CJ90) / (1 - CJ90),"No Contingency Table"), "Not Included")</f>
        <v>Not Included</v>
      </c>
      <c r="CL90" s="11" t="str">
        <f>IF(BQ90, IFERROR(Raw!AV90/SUM(Raw!AV90:AY90), 0), "Not Included")</f>
        <v>Not Included</v>
      </c>
      <c r="CM90" s="11" t="str">
        <f>IF(BQ90, IFERROR(Raw!BA90/SUM(Raw!AZ90:BC90), 0), "Not Included")</f>
        <v>Not Included</v>
      </c>
      <c r="CN90" s="11" t="str">
        <f>IF(BQ90, IFERROR(Raw!BF90/SUM(Raw!BD90:BG90), 0), "Not Included")</f>
        <v>Not Included</v>
      </c>
      <c r="CO90" s="11" t="str">
        <f>IF(BQ90, IFERROR(Raw!BK90/SUM(Raw!BH90:BK90), 0), "Not Included")</f>
        <v>Not Included</v>
      </c>
      <c r="CP90" s="11" t="str">
        <f>IF(BQ90, IFERROR(SUM(Raw!AV90,Raw!AX90,Raw!AY90,Raw!BD90,Raw!BF90,Raw!BG90,Raw!BH90,Raw!BJ90,Raw!BK90)/SUM(Raw!AV90,Raw!AW90,Raw!AX90,Raw!AY90,Raw!BD90,Raw!BE90,Raw!BF90,Raw!BG90,Raw!BH90,Raw!BI90,Raw!BJ90,Raw!BK90), 0), "Not Included")</f>
        <v>Not Included</v>
      </c>
      <c r="CQ90" s="11" t="str">
        <f>IF(BQ90, IFERROR(SUM(Raw!AV90:AX90,Raw!AZ90:BB90,Raw!BD90:BF90)/SUM(Raw!AV90:BF90), 0), "Not Included")</f>
        <v>Not Included</v>
      </c>
      <c r="CR90" s="11" t="str">
        <f>IF(BQ90, IFERROR(SUM(Raw!AV90:AY90), 0), "Not Included")</f>
        <v>Not Included</v>
      </c>
      <c r="CS90" s="11" t="str">
        <f>IF(BQ90, IFERROR(SUM(Raw!AZ90:BC90), 0), "Not Included")</f>
        <v>Not Included</v>
      </c>
      <c r="CT90" s="11" t="str">
        <f>IF(BQ90, IFERROR(SUM(Raw!BD90:BG90), 0), "Not Included")</f>
        <v>Not Included</v>
      </c>
      <c r="CU90" s="11" t="str">
        <f>IF(BQ90, IFERROR(SUM(Raw!BH90:BK90), 0), "Not Included")</f>
        <v>Not Included</v>
      </c>
      <c r="CV90" s="11" t="str">
        <f>IF(BQ90, IFERROR(SUM(Raw!AV90,Raw!AW90,Raw!AX90,Raw!AY90,Raw!BD90,Raw!BE90,Raw!BF90,Raw!BG90,Raw!BH90,Raw!BI90,Raw!BJ90,Raw!BK90), 0), "Not Included")</f>
        <v>Not Included</v>
      </c>
      <c r="CW90" s="11" t="str">
        <f>IF(BQ90, IFERROR(SUM(Raw!AV90:BF90), 0), "Not Included")</f>
        <v>Not Included</v>
      </c>
      <c r="CX90" s="11" t="str">
        <f>IF(BQ90, IFERROR((CR90*SUM(Raw!AV90,Raw!AZ90,Raw!BD90,Raw!BH90))/BS90/CR90, 0), "Not Included")</f>
        <v>Not Included</v>
      </c>
      <c r="CY90" s="11" t="str">
        <f>IF(BX90, IFERROR((CS90*SUM(Raw!BA90,Raw!AW90,Raw!BE90,Raw!BI90))/CG90/CS90, 0), "Not Included")</f>
        <v>Not Included</v>
      </c>
      <c r="CZ90" s="11" t="str">
        <f>IF(BX90, IFERROR((CT90*SUM(Raw!BF90,Raw!AX90,Raw!BB90,Raw!BJ90))/BZ90/CT90, 0), "Not Included")</f>
        <v>Not Included</v>
      </c>
      <c r="DA90" s="11" t="str">
        <f>IF(AY90, IFERROR((CU90*SUM(Raw!AY90,Raw!BC90,Raw!BG90,Raw!BK90))/AT90/CU90, 0), "Not Included")</f>
        <v>Not Included</v>
      </c>
      <c r="DB90" s="11" t="str">
        <f>IF(BX90, IFERROR((CV90*SUM(Raw!AV90,Raw!AX90,Raw!AY90,Raw!AZ90,Raw!BB90,Raw!BC90,Raw!BD90,Raw!BF90,Raw!BG90,Raw!BH90,Raw!BJ90,Raw!BK90))/CG90/CV90,0), "Not Included")</f>
        <v>Not Included</v>
      </c>
      <c r="DC90" s="11" t="str">
        <f>IF(AY90, IFERROR((CW90*SUM(Raw!AV90,Raw!AW90,Raw!AX90,Raw!AZ90,Raw!BA90,Raw!BB90,Raw!BD90,Raw!BE90,Raw!BF90,Raw!BH90,Raw!BI90,Raw!BJ90))/AT90/CW90,0), "Not Included")</f>
        <v>Not Included</v>
      </c>
    </row>
    <row r="91" spans="1:107" ht="12.75" customHeight="1">
      <c r="A91" s="11">
        <f>Raw!D91</f>
        <v>66</v>
      </c>
      <c r="B91" s="11" t="str">
        <f>Raw!A91</f>
        <v xml:space="preserve">Schneider-Rosen et al. (1985) </v>
      </c>
      <c r="C91" s="11">
        <f>Raw!G91</f>
        <v>1</v>
      </c>
      <c r="D91" s="11" t="str">
        <f>Raw!E91</f>
        <v>Maltreated (12-18 mo.)</v>
      </c>
      <c r="E91" s="11" t="str">
        <f>CONCATENATE(IF(Raw!I91&lt;='Interval Definitions'!$B$2, 'Interval Definitions'!$A$2, IF(Raw!I91&lt;='Interval Definitions'!$B$3, 'Interval Definitions'!$A$3, IF(Raw!I91&lt;='Interval Definitions'!$B$4, 'Interval Definitions'!$A$4, IF(Raw!I91&lt;='Interval Definitions'!$B$5, 'Interval Definitions'!$A$5, "None")))), " - ", IF(Raw!J91&lt;='Interval Definitions'!$B$2, 'Interval Definitions'!$A$2, IF(Raw!J91&lt;='Interval Definitions'!$B$3, 'Interval Definitions'!$A$3, IF(Raw!J91&lt;='Interval Definitions'!$B$4, 'Interval Definitions'!$A$4, IF(Raw!J91&lt;='Interval Definitions'!$B$5, 'Interval Definitions'!$A$5, "None")))))</f>
        <v>Infancy - Infancy</v>
      </c>
      <c r="F91" s="11" t="b">
        <f>OR(NOT(ISBLANK(Raw!AF91)),NOT(ISBLANK(Raw!AG91)),NOT(ISBLANK(Raw!AH91)),NOT(ISBLANK(Raw!AI91)),COUNTIF(Raw!AA91:AD91, "&gt;=0") = 4)</f>
        <v>1</v>
      </c>
      <c r="G91" s="11" t="str">
        <f>IF(F91, IF(COUNTIF(Raw!AA91:AD91,"&gt;=0") = 4, "Contingency", IF(NOT(ISBLANK(Raw!AF91)), "Paper r", IF(NOT(ISBLANK(Raw!AG91)), "Pinquart", IF(NOT(ISBLANK(Raw!AH91)), "Fraley", "Paper chiSq")))), "Not Included")</f>
        <v>Contingency</v>
      </c>
      <c r="H91" s="15">
        <f>IF(F91,Raw!AE91,"Not Included")</f>
        <v>12</v>
      </c>
      <c r="I91" s="15">
        <f>IF(COUNTIF(Raw!AA91:AD91,"&gt;=0") = 4, SUM(Raw!AA91:AD91), "No Contingency Table")</f>
        <v>12</v>
      </c>
      <c r="J91" s="15">
        <f t="shared" si="0"/>
        <v>12</v>
      </c>
      <c r="K91" s="38">
        <f>IF(F91, IF(COUNTIF(Raw!AA91:AD91,"&gt;=0") = 4, IFERROR((I91*Raw!AA91 - SUM(Raw!AA91,Raw!AB91)*SUM(Raw!AA91,Raw!AD91)) / SQRT((I91*SUM(Raw!AA91,Raw!AB91) - SUM(Raw!AA91,Raw!AB91)^2) * (I91*SUM(Raw!AA91,Raw!AD91) - SUM(Raw!AA91,Raw!AD91)^2)), 0), "No Contingency Table"), "Not Included")</f>
        <v>7.5592894601845442E-2</v>
      </c>
      <c r="L91" s="41" t="str">
        <f>IF(F91,IF(NOT(ISBLANK(Raw!AF91)), Raw!AF91, IF(NOT(ISBLANK(Raw!AG91)), Raw!AG91, IF(NOT(ISBLANK(Raw!AH91)), Raw!AH91, IF(NOT(ISBLANK(Raw!AI91)), SQRT(Raw!AI91/H91)*Raw!AJ91, "Not Reported")))),"Not Included")</f>
        <v>Not Reported</v>
      </c>
      <c r="M91" s="43">
        <f t="shared" si="1"/>
        <v>7.5592894601845442E-2</v>
      </c>
      <c r="N91" s="11" t="str">
        <f t="shared" si="2"/>
        <v>NA</v>
      </c>
      <c r="O91" s="48" t="b">
        <f>OR(NOT(ISBLANK(Raw!AK91)), COUNTIF(Raw!AA91:AD91, "&gt;=0") = 4)</f>
        <v>1</v>
      </c>
      <c r="P91" s="24" t="str">
        <f>IF(O91,IF(COUNTIF(Raw!AA91:AD91,"&gt;=0") = 4,"Contingency", "Paper k"), "Not Included")</f>
        <v>Contingency</v>
      </c>
      <c r="Q91" s="48">
        <f>IF(O91, IF(COUNTIF(Raw!AA91:AD91,"&gt;=0") = 4,SUM(Raw!AA91,Raw!AC91)/H91,"No Contingency Table"), "Not Included")</f>
        <v>0.58333333333333337</v>
      </c>
      <c r="R91" s="38">
        <f>IF(O91, IF(COUNTIF(Raw!AA91:AD91, "&gt;=0") = 4,SUM(SUM(Raw!AA91,Raw!AB91)*SUM(Raw!AA91,Raw!AD91),SUM(Raw!AC91,Raw!AD91)*SUM(Raw!AC91,Raw!AB91))/H91^2,"No Contingency Table"), "Not Included")</f>
        <v>0.55555555555555558</v>
      </c>
      <c r="S91" s="38">
        <f>IF(O91, IF(COUNTIF(Raw!AA91:AD91,"&gt;=0") = 4, IFERROR((Q91 - R91) / (1 - R91), "Could not calculate"), "No Contingency Table"), "Not Included")</f>
        <v>6.2500000000000028E-2</v>
      </c>
      <c r="T91" s="52" t="str">
        <f>IF(O91,IF(NOT(ISBLANK(Raw!AK91)), Raw!AK91, "Not Reported"), "Not Included")</f>
        <v>Not Reported</v>
      </c>
      <c r="U91" s="38">
        <f t="shared" si="3"/>
        <v>6.2500000000000028E-2</v>
      </c>
      <c r="V91" s="11" t="str">
        <f t="shared" si="4"/>
        <v>NA</v>
      </c>
      <c r="W91" s="11" t="b">
        <f>OR(NOT(ISBLANK(Raw!AU91)),COUNTIF(Raw!AL91:AT91,"&gt;=0") = 9)</f>
        <v>1</v>
      </c>
      <c r="X91" s="11" t="str">
        <f>IF(W91, IF(COUNTIF(Raw!AL91:AT91,"&gt;=0") = 9, "Contingency", "Paper k"), "Not Included")</f>
        <v>Contingency</v>
      </c>
      <c r="Y91" s="11">
        <f>IF(W91,IF(COUNTIF(Raw!AL91:AT91,"&gt;=0") = 9,SUM(Raw!AL91:AT91),"No Contingency Table"),"Not Included")</f>
        <v>12</v>
      </c>
      <c r="Z91" s="11">
        <f t="shared" si="5"/>
        <v>12</v>
      </c>
      <c r="AA91" s="11">
        <f>IF(W91,IF(COUNTIF(Raw!AL91:AT91,"&gt;=0") = 9,SUM(Raw!AL91,Raw!AP91,Raw!AT91)/Y91,"No Contingency Table"), "Not Included")</f>
        <v>0.41666666666666669</v>
      </c>
      <c r="AB91" s="11">
        <f>IF(W91,IF(COUNTIF(Raw!AL91:AT91,"&gt;=0") = 9,SUM(SUM(Raw!AL91,Raw!AM91,Raw!AN91)*SUM(Raw!AL91,Raw!AO91,Raw!AR91),SUM(Raw!AO91,Raw!AP91,Raw!AQ91)*SUM(Raw!AM91,Raw!AP91,Raw!AS91),SUM(Raw!AR91,Raw!AS91,Raw!AT91)*SUM(Raw!AN91,Raw!AQ91,Raw!AT91))/Y91^2,"No Contingency Table"), "Not Included")</f>
        <v>0.3125</v>
      </c>
      <c r="AC91" s="11">
        <f>IF(W91,IF(COUNTIF(Raw!AL91:AT91,"&gt;=0") = 9,(AA91 - AB91) / (1 - AB91),"No Contingency Table"), "Not Included")</f>
        <v>0.15151515151515155</v>
      </c>
      <c r="AD91" s="32">
        <f>IF(W91, IF(NOT(ISBLANK(Raw!AU91)),Raw!AU91,"Not Reported"), "Not Included")</f>
        <v>0.15</v>
      </c>
      <c r="AE91" s="11">
        <f t="shared" si="6"/>
        <v>0.15151515151515155</v>
      </c>
      <c r="AF91" s="11">
        <f t="shared" si="7"/>
        <v>1</v>
      </c>
      <c r="AG91" s="11" t="b">
        <f>COUNTIF(Raw!AV91:BK91, "&gt;=0") = 16</f>
        <v>0</v>
      </c>
      <c r="AH91" s="11" t="str">
        <f>IF(AG91, IF(COUNTIF(Raw!AV91:BK91,"&gt;=0") = 16, "Contingency", "Paper k"), "Not Included")</f>
        <v>Not Included</v>
      </c>
      <c r="AI91" s="11" t="str">
        <f>IF(AG91,IF(COUNTIF(Raw!AV91:BK91,"&gt;=0") = 16,SUM(Raw!AV91:BK91),"No Contingency Table"),"Not Included")</f>
        <v>Not Included</v>
      </c>
      <c r="AJ91" s="15">
        <f t="shared" si="8"/>
        <v>12</v>
      </c>
      <c r="AK91" s="11" t="str">
        <f>IF(AG91,IF(COUNTIF(Raw!AV91:BK91,"&gt;=0") = 16,SUM(Raw!AV91,Raw!BA91,Raw!BF91,Raw!BK91)/AI91,"No Contingency Table"), "Not Included")</f>
        <v>Not Included</v>
      </c>
      <c r="AL91" s="11" t="str">
        <f>IF(AG91,IF(COUNTIF(Raw!AV91:BK91,"&gt;=0") = 16,SUM(SUM(Raw!AV91,Raw!AW91,Raw!AX91,Raw!AY91)*SUM(Raw!AV91,Raw!AZ91,Raw!BD91,Raw!BH91),SUM(Raw!AZ91,Raw!BA91,Raw!BB91,Raw!BC91)*SUM(Raw!AW91,Raw!BA91,Raw!BE91,Raw!BI91),SUM(Raw!BD91,Raw!BE91,Raw!BF91,Raw!BG91)*SUM(Raw!AX91,Raw!BB91,Raw!BF91,Raw!BJ91),SUM(Raw!BH91,Raw!BI91,Raw!BJ91,Raw!BK91)*SUM(Raw!AY91,Raw!BC91,Raw!BG91,Raw!BK91))/AI91^2,"No Contingency Table"), "Not Included")</f>
        <v>Not Included</v>
      </c>
      <c r="AM91" s="11" t="str">
        <f>IF(AG91,IF(COUNTIF(Raw!AV91:BK91,"&gt;=0") = 16,(AK91 - AL91) / (1 - AL91),"No Contingency Table"), "Not Included")</f>
        <v>Not Included</v>
      </c>
      <c r="AN91" s="11" t="str">
        <f>IF(NOT(ISBLANK(Raw!BL91)),Raw!BL91,"Not Reported")</f>
        <v>Not Reported</v>
      </c>
      <c r="AO91" s="11" t="str">
        <f t="shared" si="9"/>
        <v>Not Reported</v>
      </c>
      <c r="AP91" s="11" t="str">
        <f t="shared" si="10"/>
        <v>Not Included</v>
      </c>
      <c r="AQ91" s="11" t="b">
        <f t="shared" ref="AQ91:AR91" si="375">BQ91</f>
        <v>0</v>
      </c>
      <c r="AR91" s="11" t="str">
        <f t="shared" si="375"/>
        <v>Not Included</v>
      </c>
      <c r="AS91" s="11" t="str">
        <f t="shared" si="12"/>
        <v>Not Included</v>
      </c>
      <c r="AT91" s="11" t="str">
        <f t="shared" si="13"/>
        <v>Not Included</v>
      </c>
      <c r="AU91" s="11" t="str">
        <f>IF(AQ91, IF(COUNTIF(Raw!AV91:BK91, "&gt;=0") = 16, IFERROR((AT91*Raw!BK91 - SUM(Raw!BH91, Raw!BI91, Raw!BJ91, Raw!BK91)*SUM(Raw!AY91, Raw!BC91, Raw!BG91, Raw!BK91)) / SQRT((AT91*SUM(Raw!BH91, Raw!BI91, Raw!BJ91, Raw!BK91) - SUM(Raw!BH91, Raw!BI91, Raw!BJ91, Raw!BK91)^2) * (AT91*SUM(Raw!AY91, Raw!BC91, Raw!BG91, Raw!BK91) - SUM(Raw!AY91, Raw!BC91, Raw!BG91, Raw!BK91)^2)), 0), "No Contingency Table"), "Not Included")</f>
        <v>Not Included</v>
      </c>
      <c r="AV91" s="11" t="str">
        <f>IF(AQ91,IF(NOT(ISBLANK(Raw!BQ91)), Raw!BQ91, IF(NOT(ISBLANK(Raw!BR91)), Raw!BR91, "Not Reported")), "Not Included")</f>
        <v>Not Included</v>
      </c>
      <c r="AW91" s="57" t="str">
        <f t="shared" si="14"/>
        <v>Not Included</v>
      </c>
      <c r="AX91" s="11" t="str">
        <f t="shared" si="15"/>
        <v>Not Included</v>
      </c>
      <c r="AY91" s="11" t="b">
        <f t="shared" ref="AY91:AZ91" si="376">AQ91</f>
        <v>0</v>
      </c>
      <c r="AZ91" s="11" t="str">
        <f t="shared" si="376"/>
        <v>Not Included</v>
      </c>
      <c r="BA91" s="11" t="str">
        <f>IF(AY91, IF(COUNTIF(Raw!AV91:BK91, "&gt;=0") = 16, SUM(Raw!AV91,Raw!AW91,Raw!AX91,Raw!AZ91,Raw!BA91,Raw!BB91,Raw!BD91,Raw!BE91,Raw!BF91,Raw!BK91)/SUM(Raw!AV91:BK91), "No Contingency Table"), "Not Included")</f>
        <v>Not Included</v>
      </c>
      <c r="BB91" s="11" t="str">
        <f>IF(AY91, IF(COUNTIF(Raw!AV91:BK91, "&gt;=0") = 16,SUM(SUM(Raw!BH91,Raw!BI91,Raw!BJ91,Raw!BK91)*SUM(Raw!AY91,Raw!BC91,Raw!BG91,Raw!BK91),SUM(Raw!AV91:BG91)*SUM(Raw!AV91,Raw!AW91,Raw!AX91,Raw!AZ91,Raw!BA91,Raw!BB91,Raw!BD91,Raw!BE91,Raw!BF91,Raw!BH91,Raw!BI91,Raw!BJ91))/AT91^2,"No Contingency Table"), "Not Included")</f>
        <v>Not Included</v>
      </c>
      <c r="BC91" s="11" t="str">
        <f>IF(AY91, IF(COUNTIF(Raw!AV91:BK91, "&gt;=0") = 16,(BA91-BB91) / (1 - BB91),"No Contingency Table"), "Not Included")</f>
        <v>Not Included</v>
      </c>
      <c r="BD91" s="11" t="str">
        <f>IF(AY91,IF(NOT(ISBLANK(Raw!BT112)),Raw!BT112,"Not Reported"),"Not Included")</f>
        <v>Not Included</v>
      </c>
      <c r="BE91" s="11" t="str">
        <f t="shared" si="17"/>
        <v>Not Included</v>
      </c>
      <c r="BF91" s="11" t="str">
        <f t="shared" si="18"/>
        <v>Not Included</v>
      </c>
      <c r="BG91" s="11">
        <f>Raw!K91</f>
        <v>1985</v>
      </c>
      <c r="BH91" s="11" t="str">
        <f>IF(Raw!L91 = "USA","USA","Non-USA")</f>
        <v>USA</v>
      </c>
      <c r="BI91" s="11" t="str">
        <f>Raw!M91</f>
        <v>Ainsworth/Ainsworth</v>
      </c>
      <c r="BJ91" s="11">
        <f>Raw!N91</f>
        <v>1</v>
      </c>
      <c r="BK91" s="11">
        <f>Raw!P91</f>
        <v>1</v>
      </c>
      <c r="BL91" s="11">
        <f>Raw!Q91</f>
        <v>0</v>
      </c>
      <c r="BM91" s="11">
        <f>Raw!T91</f>
        <v>1</v>
      </c>
      <c r="BN91" s="11">
        <f>IFERROR(IF(AND(ISBLANK(Raw!U91), ISBLANK(Raw!V91), ISBLANK(Raw!W91), ISBLANK(Raw!X91)), "NA", IF(OR(NOT(ISBLANK(Raw!U91)), NOT(ISBLANK(Raw!W91))), AVERAGE(Raw!U91,Raw!W91), AVERAGE(Raw!V91,Raw!X91) + IF(Raw!Y91 = "2-way", R91, IF(Raw!Y91 = "3-way", AB91, IF(Raw!Y91 = "4-way", AL91, "NA")))*(1 - AVERAGE(Raw!V91,Raw!X91)))), "NA")</f>
        <v>0.89500000000000002</v>
      </c>
      <c r="BO91" s="11">
        <f>Raw!O91</f>
        <v>0</v>
      </c>
      <c r="BP91" s="11" t="str">
        <f>Raw!F91</f>
        <v>Mixed</v>
      </c>
      <c r="BQ91" s="11" t="b">
        <f>COUNTIF(Raw!AV91:BK91, "&gt;=0") = 16</f>
        <v>0</v>
      </c>
      <c r="BR91" s="11" t="str">
        <f t="shared" si="19"/>
        <v>Not Included</v>
      </c>
      <c r="BS91" s="11" t="str">
        <f t="shared" si="20"/>
        <v>Not Included</v>
      </c>
      <c r="BT91" s="11" t="str">
        <f>IF(BQ91, IF(COUNTIF(Raw!AV91:BK91, "&gt;=0") = 16, IFERROR((BS91*Raw!AV91 - SUM(Raw!AV91, Raw!AW91, Raw!AX91, Raw!AY91)*SUM(Raw!AV91, Raw!AZ91, Raw!BD91, Raw!BH91)) / SQRT((BS91*SUM(Raw!AV91, Raw!AW91, Raw!AX91, Raw!AY91) - SUM(Raw!AV91, Raw!AW91, Raw!AX91, Raw!AY91)^2) * (BS91*SUM(Raw!AV91, Raw!AZ91, Raw!BD91, Raw!BH91) - SUM(Raw!AV91, Raw!AZ91, Raw!BD91, Raw!BH91)^2)), 0), "No Contingency Table"), "Not Included")</f>
        <v>Not Included</v>
      </c>
      <c r="BU91" s="11" t="str">
        <f>IF(BQ91, IF(COUNTIF(Raw!AV91:BK91, "&gt;=0") = 16, SUM(Raw!BK91,Raw!BJ91,Raw!BI91,Raw!BG91,Raw!BF91,Raw!BE91,Raw!BC91,Raw!BB91,Raw!BA91,Raw!AV91)/SUM(Raw!AV91:BK91), "No Contingency Table"), "Not Included")</f>
        <v>Not Included</v>
      </c>
      <c r="BV91" s="11" t="str">
        <f>IF(BQ91, IF(COUNTIF(Raw!AV91:BK91, "&gt;=0") = 16,SUM(SUM(Raw!AV91,Raw!AW91,Raw!AX91,Raw!AY91)*SUM(Raw!AV91,Raw!AZ91,Raw!BD91,Raw!BH91),SUM(Raw!AZ91:BK91)*SUM(Raw!AW91,Raw!AX91,Raw!AY91,Raw!BA91,Raw!BB91,Raw!BC91,Raw!BE91,Raw!BF91,Raw!BG91,Raw!BI91,Raw!BJ91,Raw!BK91))/BS91^2,"No Contingency Table"), "Not Included")</f>
        <v>Not Included</v>
      </c>
      <c r="BW91" s="11" t="str">
        <f>IF(BQ91, IF(COUNTIF(Raw!AV91:BK91, "&gt;=0") = 16,(BU91-BV91) / (1 - BV91),"No Contingency Table"), "Not Included")</f>
        <v>Not Included</v>
      </c>
      <c r="BX91" s="11" t="b">
        <f t="shared" ref="BX91:BZ91" si="377">BQ91</f>
        <v>0</v>
      </c>
      <c r="BY91" s="11" t="str">
        <f t="shared" si="377"/>
        <v>Not Included</v>
      </c>
      <c r="BZ91" s="11" t="str">
        <f t="shared" si="377"/>
        <v>Not Included</v>
      </c>
      <c r="CA91" s="11" t="str">
        <f>IF(BX91, IF(COUNTIF(Raw!AV91:BK91, "&gt;=0") = 16, IFERROR((BZ91*Raw!BF91 - SUM(Raw!BD91, Raw!BE91, Raw!BF91, Raw!BG91)*SUM(Raw!BF91, Raw!AX91, Raw!BB91, Raw!BJ91)) / SQRT((BZ91*SUM(Raw!BD91, Raw!BE91, Raw!BF91, Raw!BG91) - SUM(Raw!BD91, Raw!BE91, Raw!BF91, Raw!BG91)^2) * (BZ91*SUM(Raw!BF91, Raw!AX91, Raw!BB91, Raw!BJ91) - SUM(Raw!BF91, Raw!AX91, Raw!BB91, Raw!BJ91)^2)), 0), "No Contingency Table"), "Not Included")</f>
        <v>Not Included</v>
      </c>
      <c r="CB91" s="11" t="str">
        <f>IF(BX91, IF(COUNTIF(Raw!AV91:BK91, "&gt;=0") = 16, SUM(Raw!AV91,Raw!AW91,Raw!AY91,Raw!AZ91,Raw!BA91,Raw!BC91,Raw!BF91,Raw!BH91,Raw!BI91,Raw!BK91) / SUM(Raw!AV91:BK91), "No Contingency Table"), "Not Included")</f>
        <v>Not Included</v>
      </c>
      <c r="CC91" s="11" t="str">
        <f>IF(BX91, IF(COUNTIF(Raw!AV91:BK91, "&gt;=0") = 16,SUM(SUM(Raw!BD91,Raw!BE91,Raw!BF91,Raw!BG91)*SUM(Raw!BF91,Raw!AX91,Raw!BB91,Raw!BJ91),SUM(Raw!AV91:BC91,Raw!BH91:BK91)*SUM(Raw!AV91,Raw!AW91,Raw!AY91,Raw!AZ91,Raw!BA91,Raw!BC91,Raw!BD91,Raw!BE91,Raw!BG91,Raw!BH91,Raw!BI91,Raw!BK91))/BZ91^2,"No Contingency Table"), "Not Included")</f>
        <v>Not Included</v>
      </c>
      <c r="CD91" s="11" t="str">
        <f>IF(BX91, IF(COUNTIF(Raw!AV91:BK91, "&gt;=0") = 16,(CB91 - CC91) / (1 - CC91+0.000001),"No Contingency Table"), "Not Included")</f>
        <v>Not Included</v>
      </c>
      <c r="CE91" s="11" t="b">
        <f t="shared" ref="CE91:CG91" si="378">BQ91</f>
        <v>0</v>
      </c>
      <c r="CF91" s="11" t="str">
        <f t="shared" si="378"/>
        <v>Not Included</v>
      </c>
      <c r="CG91" s="11" t="str">
        <f t="shared" si="378"/>
        <v>Not Included</v>
      </c>
      <c r="CH91" s="11" t="str">
        <f>IF(CE91, IF(COUNTIF(Raw!AV91:BK91, "&gt;=0") = 16, IFERROR((CG91*Raw!BA91 - SUM(Raw!BA91, Raw!AZ91, Raw!BB91, Raw!BC91)*SUM(Raw!BA91, Raw!AW91, Raw!BE91, Raw!BI91)) / SQRT((CG91*SUM(Raw!BA91, Raw!AZ91, Raw!BB91, Raw!BC91) - SUM(Raw!BA91, Raw!AZ91, Raw!BB91, Raw!BC91)^2) * (CG91*SUM(Raw!BA91, Raw!AW91, Raw!BE91, Raw!BI91) - SUM(Raw!BA91, Raw!AW91, Raw!BE91, Raw!BI91)^2)), 0), "No Contingency Table"), "Not Included")</f>
        <v>Not Included</v>
      </c>
      <c r="CI91" s="11" t="str">
        <f>IF(CE91, IF(COUNTIF(Raw!AV91:BK91, "&gt;=0") = 16, SUM(Raw!AV91,Raw!AX91,Raw!AY91,Raw!BA91,Raw!BD91,Raw!BF91,Raw!BG91,Raw!BH91,Raw!BJ91,Raw!BK91) / SUM(Raw!AV91:BK91), "No Contingency Table"), "Not Included")</f>
        <v>Not Included</v>
      </c>
      <c r="CJ91" s="61" t="str">
        <f>IF(BX91, IF(COUNTIF(Raw!AV91:BK91, "&gt;=0") = 16,SUM(SUM(Raw!AZ91,Raw!BA91,Raw!BB91,Raw!BC91)*SUM(Raw!BA91,Raw!AW91,Raw!BE91,Raw!BI91),SUM(Raw!AV91:AY91,Raw!BD91:BK91)*SUM(Raw!AV91,Raw!AX91,Raw!AY91,Raw!AZ91,Raw!BB91,Raw!BC91,Raw!BD91,Raw!BF91,Raw!BG91,Raw!BH91,Raw!BJ91,Raw!BK91))/CG91^2,"No Contingency Table"), "Not Included")</f>
        <v>Not Included</v>
      </c>
      <c r="CK91" s="11" t="str">
        <f>IF(BX91, IF(COUNTIF(Raw!AV91:BK91, "&gt;=0") = 16,(CI91 - CJ91) / (1 - CJ91),"No Contingency Table"), "Not Included")</f>
        <v>Not Included</v>
      </c>
      <c r="CL91" s="11" t="str">
        <f>IF(BQ91, IFERROR(Raw!AV91/SUM(Raw!AV91:AY91), 0), "Not Included")</f>
        <v>Not Included</v>
      </c>
      <c r="CM91" s="11" t="str">
        <f>IF(BQ91, IFERROR(Raw!BA91/SUM(Raw!AZ91:BC91), 0), "Not Included")</f>
        <v>Not Included</v>
      </c>
      <c r="CN91" s="11" t="str">
        <f>IF(BQ91, IFERROR(Raw!BF91/SUM(Raw!BD91:BG91), 0), "Not Included")</f>
        <v>Not Included</v>
      </c>
      <c r="CO91" s="11" t="str">
        <f>IF(BQ91, IFERROR(Raw!BK91/SUM(Raw!BH91:BK91), 0), "Not Included")</f>
        <v>Not Included</v>
      </c>
      <c r="CP91" s="11" t="str">
        <f>IF(BQ91, IFERROR(SUM(Raw!AV91,Raw!AX91,Raw!AY91,Raw!BD91,Raw!BF91,Raw!BG91,Raw!BH91,Raw!BJ91,Raw!BK91)/SUM(Raw!AV91,Raw!AW91,Raw!AX91,Raw!AY91,Raw!BD91,Raw!BE91,Raw!BF91,Raw!BG91,Raw!BH91,Raw!BI91,Raw!BJ91,Raw!BK91), 0), "Not Included")</f>
        <v>Not Included</v>
      </c>
      <c r="CQ91" s="11" t="str">
        <f>IF(BQ91, IFERROR(SUM(Raw!AV91:AX91,Raw!AZ91:BB91,Raw!BD91:BF91)/SUM(Raw!AV91:BF91), 0), "Not Included")</f>
        <v>Not Included</v>
      </c>
      <c r="CR91" s="11" t="str">
        <f>IF(BQ91, IFERROR(SUM(Raw!AV91:AY91), 0), "Not Included")</f>
        <v>Not Included</v>
      </c>
      <c r="CS91" s="11" t="str">
        <f>IF(BQ91, IFERROR(SUM(Raw!AZ91:BC91), 0), "Not Included")</f>
        <v>Not Included</v>
      </c>
      <c r="CT91" s="11" t="str">
        <f>IF(BQ91, IFERROR(SUM(Raw!BD91:BG91), 0), "Not Included")</f>
        <v>Not Included</v>
      </c>
      <c r="CU91" s="11" t="str">
        <f>IF(BQ91, IFERROR(SUM(Raw!BH91:BK91), 0), "Not Included")</f>
        <v>Not Included</v>
      </c>
      <c r="CV91" s="11" t="str">
        <f>IF(BQ91, IFERROR(SUM(Raw!AV91,Raw!AW91,Raw!AX91,Raw!AY91,Raw!BD91,Raw!BE91,Raw!BF91,Raw!BG91,Raw!BH91,Raw!BI91,Raw!BJ91,Raw!BK91), 0), "Not Included")</f>
        <v>Not Included</v>
      </c>
      <c r="CW91" s="11" t="str">
        <f>IF(BQ91, IFERROR(SUM(Raw!AV91:BF91), 0), "Not Included")</f>
        <v>Not Included</v>
      </c>
      <c r="CX91" s="11" t="str">
        <f>IF(BQ91, IFERROR((CR91*SUM(Raw!AV91,Raw!AZ91,Raw!BD91,Raw!BH91))/BS91/CR91, 0), "Not Included")</f>
        <v>Not Included</v>
      </c>
      <c r="CY91" s="11" t="str">
        <f>IF(BX91, IFERROR((CS91*SUM(Raw!BA91,Raw!AW91,Raw!BE91,Raw!BI91))/CG91/CS91, 0), "Not Included")</f>
        <v>Not Included</v>
      </c>
      <c r="CZ91" s="11" t="str">
        <f>IF(BX91, IFERROR((CT91*SUM(Raw!BF91,Raw!AX91,Raw!BB91,Raw!BJ91))/BZ91/CT91, 0), "Not Included")</f>
        <v>Not Included</v>
      </c>
      <c r="DA91" s="11" t="str">
        <f>IF(AY91, IFERROR((CU91*SUM(Raw!AY91,Raw!BC91,Raw!BG91,Raw!BK91))/AT91/CU91, 0), "Not Included")</f>
        <v>Not Included</v>
      </c>
      <c r="DB91" s="11" t="str">
        <f>IF(BX91, IFERROR((CV91*SUM(Raw!AV91,Raw!AX91,Raw!AY91,Raw!AZ91,Raw!BB91,Raw!BC91,Raw!BD91,Raw!BF91,Raw!BG91,Raw!BH91,Raw!BJ91,Raw!BK91))/CG91/CV91,0), "Not Included")</f>
        <v>Not Included</v>
      </c>
      <c r="DC91" s="11" t="str">
        <f>IF(AY91, IFERROR((CW91*SUM(Raw!AV91,Raw!AW91,Raw!AX91,Raw!AZ91,Raw!BA91,Raw!BB91,Raw!BD91,Raw!BE91,Raw!BF91,Raw!BH91,Raw!BI91,Raw!BJ91))/AT91/CW91,0), "Not Included")</f>
        <v>Not Included</v>
      </c>
    </row>
    <row r="92" spans="1:107" ht="12.75" customHeight="1">
      <c r="A92" s="11">
        <f>Raw!D92</f>
        <v>66</v>
      </c>
      <c r="B92" s="11" t="str">
        <f>Raw!A92</f>
        <v xml:space="preserve">Schneider-Rosen et al. (1985) </v>
      </c>
      <c r="C92" s="11">
        <f>Raw!G92</f>
        <v>2</v>
      </c>
      <c r="D92" s="11" t="str">
        <f>Raw!E92</f>
        <v>Maltreated (18-24 mo.)</v>
      </c>
      <c r="E92" s="11" t="str">
        <f>CONCATENATE(IF(Raw!I92&lt;='Interval Definitions'!$B$2, 'Interval Definitions'!$A$2, IF(Raw!I92&lt;='Interval Definitions'!$B$3, 'Interval Definitions'!$A$3, IF(Raw!I92&lt;='Interval Definitions'!$B$4, 'Interval Definitions'!$A$4, IF(Raw!I92&lt;='Interval Definitions'!$B$5, 'Interval Definitions'!$A$5, "None")))), " - ", IF(Raw!J92&lt;='Interval Definitions'!$B$2, 'Interval Definitions'!$A$2, IF(Raw!J92&lt;='Interval Definitions'!$B$3, 'Interval Definitions'!$A$3, IF(Raw!J92&lt;='Interval Definitions'!$B$4, 'Interval Definitions'!$A$4, IF(Raw!J92&lt;='Interval Definitions'!$B$5, 'Interval Definitions'!$A$5, "None")))))</f>
        <v>Infancy - Infancy</v>
      </c>
      <c r="F92" s="11" t="b">
        <f>OR(NOT(ISBLANK(Raw!AF92)),NOT(ISBLANK(Raw!AG92)),NOT(ISBLANK(Raw!AH92)),NOT(ISBLANK(Raw!AI92)),COUNTIF(Raw!AA92:AD92, "&gt;=0") = 4)</f>
        <v>1</v>
      </c>
      <c r="G92" s="11" t="str">
        <f>IF(F92, IF(COUNTIF(Raw!AA92:AD92,"&gt;=0") = 4, "Contingency", IF(NOT(ISBLANK(Raw!AF92)), "Paper r", IF(NOT(ISBLANK(Raw!AG92)), "Pinquart", IF(NOT(ISBLANK(Raw!AH92)), "Fraley", "Paper chiSq")))), "Not Included")</f>
        <v>Contingency</v>
      </c>
      <c r="H92" s="15">
        <f>IF(F92,Raw!AE92,"Not Included")</f>
        <v>19</v>
      </c>
      <c r="I92" s="15">
        <f>IF(COUNTIF(Raw!AA92:AD92,"&gt;=0") = 4, SUM(Raw!AA92:AD92), "No Contingency Table")</f>
        <v>19</v>
      </c>
      <c r="J92" s="15">
        <f t="shared" si="0"/>
        <v>19</v>
      </c>
      <c r="K92" s="38">
        <f>IF(F92, IF(COUNTIF(Raw!AA92:AD92,"&gt;=0") = 4, IFERROR((I92*Raw!AA92 - SUM(Raw!AA92,Raw!AB92)*SUM(Raw!AA92,Raw!AD92)) / SQRT((I92*SUM(Raw!AA92,Raw!AB92) - SUM(Raw!AA92,Raw!AB92)^2) * (I92*SUM(Raw!AA92,Raw!AD92) - SUM(Raw!AA92,Raw!AD92)^2)), 0), "No Contingency Table"), "Not Included")</f>
        <v>0.13043729868748771</v>
      </c>
      <c r="L92" s="41" t="str">
        <f>IF(F92,IF(NOT(ISBLANK(Raw!AF92)), Raw!AF92, IF(NOT(ISBLANK(Raw!AG92)), Raw!AG92, IF(NOT(ISBLANK(Raw!AH92)), Raw!AH92, IF(NOT(ISBLANK(Raw!AI92)), SQRT(Raw!AI92/H92)*Raw!AJ92, "Not Reported")))),"Not Included")</f>
        <v>Not Reported</v>
      </c>
      <c r="M92" s="43">
        <f t="shared" si="1"/>
        <v>0.13043729868748771</v>
      </c>
      <c r="N92" s="11" t="str">
        <f t="shared" si="2"/>
        <v>NA</v>
      </c>
      <c r="O92" s="48" t="b">
        <f>OR(NOT(ISBLANK(Raw!AK92)), COUNTIF(Raw!AA92:AD92, "&gt;=0") = 4)</f>
        <v>1</v>
      </c>
      <c r="P92" s="24" t="str">
        <f>IF(O92,IF(COUNTIF(Raw!AA92:AD92,"&gt;=0") = 4,"Contingency", "Paper k"), "Not Included")</f>
        <v>Contingency</v>
      </c>
      <c r="Q92" s="48">
        <f>IF(O92, IF(COUNTIF(Raw!AA92:AD92,"&gt;=0") = 4,SUM(Raw!AA92,Raw!AC92)/H92,"No Contingency Table"), "Not Included")</f>
        <v>0.73684210526315785</v>
      </c>
      <c r="R92" s="38">
        <f>IF(O92, IF(COUNTIF(Raw!AA92:AD92, "&gt;=0") = 4,SUM(SUM(Raw!AA92,Raw!AB92)*SUM(Raw!AA92,Raw!AD92),SUM(Raw!AC92,Raw!AD92)*SUM(Raw!AC92,Raw!AB92))/H92^2,"No Contingency Table"), "Not Included")</f>
        <v>0.69806094182825484</v>
      </c>
      <c r="S92" s="38">
        <f>IF(O92, IF(COUNTIF(Raw!AA92:AD92,"&gt;=0") = 4, IFERROR((Q92 - R92) / (1 - R92), "Could not calculate"), "No Contingency Table"), "Not Included")</f>
        <v>0.12844036697247693</v>
      </c>
      <c r="T92" s="52" t="str">
        <f>IF(O92,IF(NOT(ISBLANK(Raw!AK92)), Raw!AK92, "Not Reported"), "Not Included")</f>
        <v>Not Reported</v>
      </c>
      <c r="U92" s="38">
        <f t="shared" si="3"/>
        <v>0.12844036697247693</v>
      </c>
      <c r="V92" s="11" t="str">
        <f t="shared" si="4"/>
        <v>NA</v>
      </c>
      <c r="W92" s="11" t="b">
        <f>OR(NOT(ISBLANK(Raw!AU92)),COUNTIF(Raw!AL92:AT92,"&gt;=0") = 9)</f>
        <v>1</v>
      </c>
      <c r="X92" s="11" t="str">
        <f>IF(W92, IF(COUNTIF(Raw!AL92:AT92,"&gt;=0") = 9, "Contingency", "Paper k"), "Not Included")</f>
        <v>Contingency</v>
      </c>
      <c r="Y92" s="11">
        <f>IF(W92,IF(COUNTIF(Raw!AL92:AT92,"&gt;=0") = 9,SUM(Raw!AL92:AT92),"No Contingency Table"),"Not Included")</f>
        <v>19</v>
      </c>
      <c r="Z92" s="11">
        <f t="shared" si="5"/>
        <v>19</v>
      </c>
      <c r="AA92" s="11">
        <f>IF(W92,IF(COUNTIF(Raw!AL92:AT92,"&gt;=0") = 9,SUM(Raw!AL92,Raw!AP92,Raw!AT92)/Y92,"No Contingency Table"), "Not Included")</f>
        <v>0.52631578947368418</v>
      </c>
      <c r="AB92" s="11">
        <f>IF(W92,IF(COUNTIF(Raw!AL92:AT92,"&gt;=0") = 9,SUM(SUM(Raw!AL92,Raw!AM92,Raw!AN92)*SUM(Raw!AL92,Raw!AO92,Raw!AR92),SUM(Raw!AO92,Raw!AP92,Raw!AQ92)*SUM(Raw!AM92,Raw!AP92,Raw!AS92),SUM(Raw!AR92,Raw!AS92,Raw!AT92)*SUM(Raw!AN92,Raw!AQ92,Raw!AT92))/Y92^2,"No Contingency Table"), "Not Included")</f>
        <v>0.39058171745152354</v>
      </c>
      <c r="AC92" s="11">
        <f>IF(W92,IF(COUNTIF(Raw!AL92:AT92,"&gt;=0") = 9,(AA92 - AB92) / (1 - AB92),"No Contingency Table"), "Not Included")</f>
        <v>0.22272727272727272</v>
      </c>
      <c r="AD92" s="32">
        <f>IF(W92, IF(NOT(ISBLANK(Raw!AU92)),Raw!AU92,"Not Reported"), "Not Included")</f>
        <v>0.22</v>
      </c>
      <c r="AE92" s="11">
        <f t="shared" si="6"/>
        <v>0.22272727272727272</v>
      </c>
      <c r="AF92" s="11">
        <f t="shared" si="7"/>
        <v>1</v>
      </c>
      <c r="AG92" s="11" t="b">
        <f>COUNTIF(Raw!AV92:BK92, "&gt;=0") = 16</f>
        <v>0</v>
      </c>
      <c r="AH92" s="11" t="str">
        <f>IF(AG92, IF(COUNTIF(Raw!AV92:BK92,"&gt;=0") = 16, "Contingency", "Paper k"), "Not Included")</f>
        <v>Not Included</v>
      </c>
      <c r="AI92" s="11" t="str">
        <f>IF(AG92,IF(COUNTIF(Raw!AV92:BK92,"&gt;=0") = 16,SUM(Raw!AV92:BK92),"No Contingency Table"),"Not Included")</f>
        <v>Not Included</v>
      </c>
      <c r="AJ92" s="15">
        <f t="shared" si="8"/>
        <v>19</v>
      </c>
      <c r="AK92" s="11" t="str">
        <f>IF(AG92,IF(COUNTIF(Raw!AV92:BK92,"&gt;=0") = 16,SUM(Raw!AV92,Raw!BA92,Raw!BF92,Raw!BK92)/AI92,"No Contingency Table"), "Not Included")</f>
        <v>Not Included</v>
      </c>
      <c r="AL92" s="11" t="str">
        <f>IF(AG92,IF(COUNTIF(Raw!AV92:BK92,"&gt;=0") = 16,SUM(SUM(Raw!AV92,Raw!AW92,Raw!AX92,Raw!AY92)*SUM(Raw!AV92,Raw!AZ92,Raw!BD92,Raw!BH92),SUM(Raw!AZ92,Raw!BA92,Raw!BB92,Raw!BC92)*SUM(Raw!AW92,Raw!BA92,Raw!BE92,Raw!BI92),SUM(Raw!BD92,Raw!BE92,Raw!BF92,Raw!BG92)*SUM(Raw!AX92,Raw!BB92,Raw!BF92,Raw!BJ92),SUM(Raw!BH92,Raw!BI92,Raw!BJ92,Raw!BK92)*SUM(Raw!AY92,Raw!BC92,Raw!BG92,Raw!BK92))/AI92^2,"No Contingency Table"), "Not Included")</f>
        <v>Not Included</v>
      </c>
      <c r="AM92" s="11" t="str">
        <f>IF(AG92,IF(COUNTIF(Raw!AV92:BK92,"&gt;=0") = 16,(AK92 - AL92) / (1 - AL92),"No Contingency Table"), "Not Included")</f>
        <v>Not Included</v>
      </c>
      <c r="AN92" s="11" t="str">
        <f>IF(NOT(ISBLANK(Raw!BL92)),Raw!BL92,"Not Reported")</f>
        <v>Not Reported</v>
      </c>
      <c r="AO92" s="11" t="str">
        <f t="shared" si="9"/>
        <v>Not Reported</v>
      </c>
      <c r="AP92" s="11" t="str">
        <f t="shared" si="10"/>
        <v>Not Included</v>
      </c>
      <c r="AQ92" s="11" t="b">
        <f t="shared" ref="AQ92:AR92" si="379">BQ92</f>
        <v>0</v>
      </c>
      <c r="AR92" s="11" t="str">
        <f t="shared" si="379"/>
        <v>Not Included</v>
      </c>
      <c r="AS92" s="11" t="str">
        <f t="shared" si="12"/>
        <v>Not Included</v>
      </c>
      <c r="AT92" s="11" t="str">
        <f t="shared" si="13"/>
        <v>Not Included</v>
      </c>
      <c r="AU92" s="11" t="str">
        <f>IF(AQ92, IF(COUNTIF(Raw!AV92:BK92, "&gt;=0") = 16, IFERROR((AT92*Raw!BK92 - SUM(Raw!BH92, Raw!BI92, Raw!BJ92, Raw!BK92)*SUM(Raw!AY92, Raw!BC92, Raw!BG92, Raw!BK92)) / SQRT((AT92*SUM(Raw!BH92, Raw!BI92, Raw!BJ92, Raw!BK92) - SUM(Raw!BH92, Raw!BI92, Raw!BJ92, Raw!BK92)^2) * (AT92*SUM(Raw!AY92, Raw!BC92, Raw!BG92, Raw!BK92) - SUM(Raw!AY92, Raw!BC92, Raw!BG92, Raw!BK92)^2)), 0), "No Contingency Table"), "Not Included")</f>
        <v>Not Included</v>
      </c>
      <c r="AV92" s="11" t="str">
        <f>IF(AQ92,IF(NOT(ISBLANK(Raw!BQ92)), Raw!BQ92, IF(NOT(ISBLANK(Raw!BR92)), Raw!BR92, "Not Reported")), "Not Included")</f>
        <v>Not Included</v>
      </c>
      <c r="AW92" s="57" t="str">
        <f t="shared" si="14"/>
        <v>Not Included</v>
      </c>
      <c r="AX92" s="11" t="str">
        <f t="shared" si="15"/>
        <v>Not Included</v>
      </c>
      <c r="AY92" s="11" t="b">
        <f t="shared" ref="AY92:AZ92" si="380">AQ92</f>
        <v>0</v>
      </c>
      <c r="AZ92" s="11" t="str">
        <f t="shared" si="380"/>
        <v>Not Included</v>
      </c>
      <c r="BA92" s="11" t="str">
        <f>IF(AY92, IF(COUNTIF(Raw!AV92:BK92, "&gt;=0") = 16, SUM(Raw!AV92,Raw!AW92,Raw!AX92,Raw!AZ92,Raw!BA92,Raw!BB92,Raw!BD92,Raw!BE92,Raw!BF92,Raw!BK92)/SUM(Raw!AV92:BK92), "No Contingency Table"), "Not Included")</f>
        <v>Not Included</v>
      </c>
      <c r="BB92" s="11" t="str">
        <f>IF(AY92, IF(COUNTIF(Raw!AV92:BK92, "&gt;=0") = 16,SUM(SUM(Raw!BH92,Raw!BI92,Raw!BJ92,Raw!BK92)*SUM(Raw!AY92,Raw!BC92,Raw!BG92,Raw!BK92),SUM(Raw!AV92:BG92)*SUM(Raw!AV92,Raw!AW92,Raw!AX92,Raw!AZ92,Raw!BA92,Raw!BB92,Raw!BD92,Raw!BE92,Raw!BF92,Raw!BH92,Raw!BI92,Raw!BJ92))/AT92^2,"No Contingency Table"), "Not Included")</f>
        <v>Not Included</v>
      </c>
      <c r="BC92" s="11" t="str">
        <f>IF(AY92, IF(COUNTIF(Raw!AV92:BK92, "&gt;=0") = 16,(BA92-BB92) / (1 - BB92),"No Contingency Table"), "Not Included")</f>
        <v>Not Included</v>
      </c>
      <c r="BD92" s="11" t="str">
        <f>IF(AY92,IF(NOT(ISBLANK(Raw!BT113)),Raw!BT113,"Not Reported"),"Not Included")</f>
        <v>Not Included</v>
      </c>
      <c r="BE92" s="11" t="str">
        <f t="shared" si="17"/>
        <v>Not Included</v>
      </c>
      <c r="BF92" s="11" t="str">
        <f t="shared" si="18"/>
        <v>Not Included</v>
      </c>
      <c r="BG92" s="11">
        <f>Raw!K92</f>
        <v>1985</v>
      </c>
      <c r="BH92" s="11" t="str">
        <f>IF(Raw!L92 = "USA","USA","Non-USA")</f>
        <v>USA</v>
      </c>
      <c r="BI92" s="11" t="str">
        <f>Raw!M92</f>
        <v>Ainsworth/Ainsworth</v>
      </c>
      <c r="BJ92" s="11">
        <f>Raw!N92</f>
        <v>1</v>
      </c>
      <c r="BK92" s="11">
        <f>Raw!P92</f>
        <v>1</v>
      </c>
      <c r="BL92" s="11">
        <f>Raw!Q92</f>
        <v>0</v>
      </c>
      <c r="BM92" s="11">
        <f>Raw!T92</f>
        <v>1</v>
      </c>
      <c r="BN92" s="11">
        <f>IFERROR(IF(AND(ISBLANK(Raw!U92), ISBLANK(Raw!V92), ISBLANK(Raw!W92), ISBLANK(Raw!X92)), "NA", IF(OR(NOT(ISBLANK(Raw!U92)), NOT(ISBLANK(Raw!W92))), AVERAGE(Raw!U92,Raw!W92), AVERAGE(Raw!V92,Raw!X92) + IF(Raw!Y92 = "2-way", R92, IF(Raw!Y92 = "3-way", AB92, IF(Raw!Y92 = "4-way", AL92, "NA")))*(1 - AVERAGE(Raw!V92,Raw!X92)))), "NA")</f>
        <v>0.91</v>
      </c>
      <c r="BO92" s="11">
        <f>Raw!O92</f>
        <v>0</v>
      </c>
      <c r="BP92" s="11" t="str">
        <f>Raw!F92</f>
        <v>Mixed</v>
      </c>
      <c r="BQ92" s="11" t="b">
        <f>COUNTIF(Raw!AV92:BK92, "&gt;=0") = 16</f>
        <v>0</v>
      </c>
      <c r="BR92" s="11" t="str">
        <f t="shared" si="19"/>
        <v>Not Included</v>
      </c>
      <c r="BS92" s="11" t="str">
        <f t="shared" si="20"/>
        <v>Not Included</v>
      </c>
      <c r="BT92" s="11" t="str">
        <f>IF(BQ92, IF(COUNTIF(Raw!AV92:BK92, "&gt;=0") = 16, IFERROR((BS92*Raw!AV92 - SUM(Raw!AV92, Raw!AW92, Raw!AX92, Raw!AY92)*SUM(Raw!AV92, Raw!AZ92, Raw!BD92, Raw!BH92)) / SQRT((BS92*SUM(Raw!AV92, Raw!AW92, Raw!AX92, Raw!AY92) - SUM(Raw!AV92, Raw!AW92, Raw!AX92, Raw!AY92)^2) * (BS92*SUM(Raw!AV92, Raw!AZ92, Raw!BD92, Raw!BH92) - SUM(Raw!AV92, Raw!AZ92, Raw!BD92, Raw!BH92)^2)), 0), "No Contingency Table"), "Not Included")</f>
        <v>Not Included</v>
      </c>
      <c r="BU92" s="11" t="str">
        <f>IF(BQ92, IF(COUNTIF(Raw!AV92:BK92, "&gt;=0") = 16, SUM(Raw!BK92,Raw!BJ92,Raw!BI92,Raw!BG92,Raw!BF92,Raw!BE92,Raw!BC92,Raw!BB92,Raw!BA92,Raw!AV92)/SUM(Raw!AV92:BK92), "No Contingency Table"), "Not Included")</f>
        <v>Not Included</v>
      </c>
      <c r="BV92" s="11" t="str">
        <f>IF(BQ92, IF(COUNTIF(Raw!AV92:BK92, "&gt;=0") = 16,SUM(SUM(Raw!AV92,Raw!AW92,Raw!AX92,Raw!AY92)*SUM(Raw!AV92,Raw!AZ92,Raw!BD92,Raw!BH92),SUM(Raw!AZ92:BK92)*SUM(Raw!AW92,Raw!AX92,Raw!AY92,Raw!BA92,Raw!BB92,Raw!BC92,Raw!BE92,Raw!BF92,Raw!BG92,Raw!BI92,Raw!BJ92,Raw!BK92))/BS92^2,"No Contingency Table"), "Not Included")</f>
        <v>Not Included</v>
      </c>
      <c r="BW92" s="11" t="str">
        <f>IF(BQ92, IF(COUNTIF(Raw!AV92:BK92, "&gt;=0") = 16,(BU92-BV92) / (1 - BV92),"No Contingency Table"), "Not Included")</f>
        <v>Not Included</v>
      </c>
      <c r="BX92" s="11" t="b">
        <f t="shared" ref="BX92:BZ92" si="381">BQ92</f>
        <v>0</v>
      </c>
      <c r="BY92" s="11" t="str">
        <f t="shared" si="381"/>
        <v>Not Included</v>
      </c>
      <c r="BZ92" s="11" t="str">
        <f t="shared" si="381"/>
        <v>Not Included</v>
      </c>
      <c r="CA92" s="11" t="str">
        <f>IF(BX92, IF(COUNTIF(Raw!AV92:BK92, "&gt;=0") = 16, IFERROR((BZ92*Raw!BF92 - SUM(Raw!BD92, Raw!BE92, Raw!BF92, Raw!BG92)*SUM(Raw!BF92, Raw!AX92, Raw!BB92, Raw!BJ92)) / SQRT((BZ92*SUM(Raw!BD92, Raw!BE92, Raw!BF92, Raw!BG92) - SUM(Raw!BD92, Raw!BE92, Raw!BF92, Raw!BG92)^2) * (BZ92*SUM(Raw!BF92, Raw!AX92, Raw!BB92, Raw!BJ92) - SUM(Raw!BF92, Raw!AX92, Raw!BB92, Raw!BJ92)^2)), 0), "No Contingency Table"), "Not Included")</f>
        <v>Not Included</v>
      </c>
      <c r="CB92" s="11" t="str">
        <f>IF(BX92, IF(COUNTIF(Raw!AV92:BK92, "&gt;=0") = 16, SUM(Raw!AV92,Raw!AW92,Raw!AY92,Raw!AZ92,Raw!BA92,Raw!BC92,Raw!BF92,Raw!BH92,Raw!BI92,Raw!BK92) / SUM(Raw!AV92:BK92), "No Contingency Table"), "Not Included")</f>
        <v>Not Included</v>
      </c>
      <c r="CC92" s="11" t="str">
        <f>IF(BX92, IF(COUNTIF(Raw!AV92:BK92, "&gt;=0") = 16,SUM(SUM(Raw!BD92,Raw!BE92,Raw!BF92,Raw!BG92)*SUM(Raw!BF92,Raw!AX92,Raw!BB92,Raw!BJ92),SUM(Raw!AV92:BC92,Raw!BH92:BK92)*SUM(Raw!AV92,Raw!AW92,Raw!AY92,Raw!AZ92,Raw!BA92,Raw!BC92,Raw!BD92,Raw!BE92,Raw!BG92,Raw!BH92,Raw!BI92,Raw!BK92))/BZ92^2,"No Contingency Table"), "Not Included")</f>
        <v>Not Included</v>
      </c>
      <c r="CD92" s="11" t="str">
        <f>IF(BX92, IF(COUNTIF(Raw!AV92:BK92, "&gt;=0") = 16,(CB92 - CC92) / (1 - CC92+0.000001),"No Contingency Table"), "Not Included")</f>
        <v>Not Included</v>
      </c>
      <c r="CE92" s="11" t="b">
        <f t="shared" ref="CE92:CG92" si="382">BQ92</f>
        <v>0</v>
      </c>
      <c r="CF92" s="11" t="str">
        <f t="shared" si="382"/>
        <v>Not Included</v>
      </c>
      <c r="CG92" s="11" t="str">
        <f t="shared" si="382"/>
        <v>Not Included</v>
      </c>
      <c r="CH92" s="11" t="str">
        <f>IF(CE92, IF(COUNTIF(Raw!AV92:BK92, "&gt;=0") = 16, IFERROR((CG92*Raw!BA92 - SUM(Raw!BA92, Raw!AZ92, Raw!BB92, Raw!BC92)*SUM(Raw!BA92, Raw!AW92, Raw!BE92, Raw!BI92)) / SQRT((CG92*SUM(Raw!BA92, Raw!AZ92, Raw!BB92, Raw!BC92) - SUM(Raw!BA92, Raw!AZ92, Raw!BB92, Raw!BC92)^2) * (CG92*SUM(Raw!BA92, Raw!AW92, Raw!BE92, Raw!BI92) - SUM(Raw!BA92, Raw!AW92, Raw!BE92, Raw!BI92)^2)), 0), "No Contingency Table"), "Not Included")</f>
        <v>Not Included</v>
      </c>
      <c r="CI92" s="11" t="str">
        <f>IF(CE92, IF(COUNTIF(Raw!AV92:BK92, "&gt;=0") = 16, SUM(Raw!AV92,Raw!AX92,Raw!AY92,Raw!BA92,Raw!BD92,Raw!BF92,Raw!BG92,Raw!BH92,Raw!BJ92,Raw!BK92) / SUM(Raw!AV92:BK92), "No Contingency Table"), "Not Included")</f>
        <v>Not Included</v>
      </c>
      <c r="CJ92" s="61" t="str">
        <f>IF(BX92, IF(COUNTIF(Raw!AV92:BK92, "&gt;=0") = 16,SUM(SUM(Raw!AZ92,Raw!BA92,Raw!BB92,Raw!BC92)*SUM(Raw!BA92,Raw!AW92,Raw!BE92,Raw!BI92),SUM(Raw!AV92:AY92,Raw!BD92:BK92)*SUM(Raw!AV92,Raw!AX92,Raw!AY92,Raw!AZ92,Raw!BB92,Raw!BC92,Raw!BD92,Raw!BF92,Raw!BG92,Raw!BH92,Raw!BJ92,Raw!BK92))/CG92^2,"No Contingency Table"), "Not Included")</f>
        <v>Not Included</v>
      </c>
      <c r="CK92" s="11" t="str">
        <f>IF(BX92, IF(COUNTIF(Raw!AV92:BK92, "&gt;=0") = 16,(CI92 - CJ92) / (1 - CJ92),"No Contingency Table"), "Not Included")</f>
        <v>Not Included</v>
      </c>
      <c r="CL92" s="11" t="str">
        <f>IF(BQ92, IFERROR(Raw!AV92/SUM(Raw!AV92:AY92), 0), "Not Included")</f>
        <v>Not Included</v>
      </c>
      <c r="CM92" s="11" t="str">
        <f>IF(BQ92, IFERROR(Raw!BA92/SUM(Raw!AZ92:BC92), 0), "Not Included")</f>
        <v>Not Included</v>
      </c>
      <c r="CN92" s="11" t="str">
        <f>IF(BQ92, IFERROR(Raw!BF92/SUM(Raw!BD92:BG92), 0), "Not Included")</f>
        <v>Not Included</v>
      </c>
      <c r="CO92" s="11" t="str">
        <f>IF(BQ92, IFERROR(Raw!BK92/SUM(Raw!BH92:BK92), 0), "Not Included")</f>
        <v>Not Included</v>
      </c>
      <c r="CP92" s="11" t="str">
        <f>IF(BQ92, IFERROR(SUM(Raw!AV92,Raw!AX92,Raw!AY92,Raw!BD92,Raw!BF92,Raw!BG92,Raw!BH92,Raw!BJ92,Raw!BK92)/SUM(Raw!AV92,Raw!AW92,Raw!AX92,Raw!AY92,Raw!BD92,Raw!BE92,Raw!BF92,Raw!BG92,Raw!BH92,Raw!BI92,Raw!BJ92,Raw!BK92), 0), "Not Included")</f>
        <v>Not Included</v>
      </c>
      <c r="CQ92" s="11" t="str">
        <f>IF(BQ92, IFERROR(SUM(Raw!AV92:AX92,Raw!AZ92:BB92,Raw!BD92:BF92)/SUM(Raw!AV92:BF92), 0), "Not Included")</f>
        <v>Not Included</v>
      </c>
      <c r="CR92" s="11" t="str">
        <f>IF(BQ92, IFERROR(SUM(Raw!AV92:AY92), 0), "Not Included")</f>
        <v>Not Included</v>
      </c>
      <c r="CS92" s="11" t="str">
        <f>IF(BQ92, IFERROR(SUM(Raw!AZ92:BC92), 0), "Not Included")</f>
        <v>Not Included</v>
      </c>
      <c r="CT92" s="11" t="str">
        <f>IF(BQ92, IFERROR(SUM(Raw!BD92:BG92), 0), "Not Included")</f>
        <v>Not Included</v>
      </c>
      <c r="CU92" s="11" t="str">
        <f>IF(BQ92, IFERROR(SUM(Raw!BH92:BK92), 0), "Not Included")</f>
        <v>Not Included</v>
      </c>
      <c r="CV92" s="11" t="str">
        <f>IF(BQ92, IFERROR(SUM(Raw!AV92,Raw!AW92,Raw!AX92,Raw!AY92,Raw!BD92,Raw!BE92,Raw!BF92,Raw!BG92,Raw!BH92,Raw!BI92,Raw!BJ92,Raw!BK92), 0), "Not Included")</f>
        <v>Not Included</v>
      </c>
      <c r="CW92" s="11" t="str">
        <f>IF(BQ92, IFERROR(SUM(Raw!AV92:BF92), 0), "Not Included")</f>
        <v>Not Included</v>
      </c>
      <c r="CX92" s="11" t="str">
        <f>IF(BQ92, IFERROR((CR92*SUM(Raw!AV92,Raw!AZ92,Raw!BD92,Raw!BH92))/BS92/CR92, 0), "Not Included")</f>
        <v>Not Included</v>
      </c>
      <c r="CY92" s="11" t="str">
        <f>IF(BX92, IFERROR((CS92*SUM(Raw!BA92,Raw!AW92,Raw!BE92,Raw!BI92))/CG92/CS92, 0), "Not Included")</f>
        <v>Not Included</v>
      </c>
      <c r="CZ92" s="11" t="str">
        <f>IF(BX92, IFERROR((CT92*SUM(Raw!BF92,Raw!AX92,Raw!BB92,Raw!BJ92))/BZ92/CT92, 0), "Not Included")</f>
        <v>Not Included</v>
      </c>
      <c r="DA92" s="11" t="str">
        <f>IF(AY92, IFERROR((CU92*SUM(Raw!AY92,Raw!BC92,Raw!BG92,Raw!BK92))/AT92/CU92, 0), "Not Included")</f>
        <v>Not Included</v>
      </c>
      <c r="DB92" s="11" t="str">
        <f>IF(BX92, IFERROR((CV92*SUM(Raw!AV92,Raw!AX92,Raw!AY92,Raw!AZ92,Raw!BB92,Raw!BC92,Raw!BD92,Raw!BF92,Raw!BG92,Raw!BH92,Raw!BJ92,Raw!BK92))/CG92/CV92,0), "Not Included")</f>
        <v>Not Included</v>
      </c>
      <c r="DC92" s="11" t="str">
        <f>IF(AY92, IFERROR((CW92*SUM(Raw!AV92,Raw!AW92,Raw!AX92,Raw!AZ92,Raw!BA92,Raw!BB92,Raw!BD92,Raw!BE92,Raw!BF92,Raw!BH92,Raw!BI92,Raw!BJ92))/AT92/CW92,0), "Not Included")</f>
        <v>Not Included</v>
      </c>
    </row>
    <row r="93" spans="1:107" ht="12.75" customHeight="1">
      <c r="A93" s="11">
        <f>Raw!D93</f>
        <v>67</v>
      </c>
      <c r="B93" s="11" t="str">
        <f>Raw!A93</f>
        <v>Mangelsdorf et al. (1996)</v>
      </c>
      <c r="C93" s="11">
        <f>Raw!G93</f>
        <v>1</v>
      </c>
      <c r="D93" s="11" t="str">
        <f>Raw!E93</f>
        <v>Full-term births</v>
      </c>
      <c r="E93" s="11" t="str">
        <f>CONCATENATE(IF(Raw!I93&lt;='Interval Definitions'!$B$2, 'Interval Definitions'!$A$2, IF(Raw!I93&lt;='Interval Definitions'!$B$3, 'Interval Definitions'!$A$3, IF(Raw!I93&lt;='Interval Definitions'!$B$4, 'Interval Definitions'!$A$4, IF(Raw!I93&lt;='Interval Definitions'!$B$5, 'Interval Definitions'!$A$5, "None")))), " - ", IF(Raw!J93&lt;='Interval Definitions'!$B$2, 'Interval Definitions'!$A$2, IF(Raw!J93&lt;='Interval Definitions'!$B$3, 'Interval Definitions'!$A$3, IF(Raw!J93&lt;='Interval Definitions'!$B$4, 'Interval Definitions'!$A$4, IF(Raw!J93&lt;='Interval Definitions'!$B$5, 'Interval Definitions'!$A$5, "None")))))</f>
        <v>Infancy - Infancy</v>
      </c>
      <c r="F93" s="11" t="b">
        <f>OR(NOT(ISBLANK(Raw!AF93)),NOT(ISBLANK(Raw!AG93)),NOT(ISBLANK(Raw!AH93)),NOT(ISBLANK(Raw!AI93)),COUNTIF(Raw!AA93:AD93, "&gt;=0") = 4)</f>
        <v>1</v>
      </c>
      <c r="G93" s="11" t="str">
        <f>IF(F93, IF(COUNTIF(Raw!AA93:AD93,"&gt;=0") = 4, "Contingency", IF(NOT(ISBLANK(Raw!AF93)), "Paper r", IF(NOT(ISBLANK(Raw!AG93)), "Pinquart", IF(NOT(ISBLANK(Raw!AH93)), "Fraley", "Paper chiSq")))), "Not Included")</f>
        <v>Contingency</v>
      </c>
      <c r="H93" s="15">
        <f>IF(F93,Raw!AE93,"Not Included")</f>
        <v>39</v>
      </c>
      <c r="I93" s="15">
        <f>IF(COUNTIF(Raw!AA93:AD93,"&gt;=0") = 4, SUM(Raw!AA93:AD93), "No Contingency Table")</f>
        <v>39</v>
      </c>
      <c r="J93" s="15">
        <f t="shared" si="0"/>
        <v>39</v>
      </c>
      <c r="K93" s="38">
        <f>IF(F93, IF(COUNTIF(Raw!AA93:AD93,"&gt;=0") = 4, IFERROR((I93*Raw!AA93 - SUM(Raw!AA93,Raw!AB93)*SUM(Raw!AA93,Raw!AD93)) / SQRT((I93*SUM(Raw!AA93,Raw!AB93) - SUM(Raw!AA93,Raw!AB93)^2) * (I93*SUM(Raw!AA93,Raw!AD93) - SUM(Raw!AA93,Raw!AD93)^2)), 0), "No Contingency Table"), "Not Included")</f>
        <v>7.4083407416777797E-2</v>
      </c>
      <c r="L93" s="41">
        <f>IF(F93,IF(NOT(ISBLANK(Raw!AF93)), Raw!AF93, IF(NOT(ISBLANK(Raw!AG93)), Raw!AG93, IF(NOT(ISBLANK(Raw!AH93)), Raw!AH93, IF(NOT(ISBLANK(Raw!AI93)), SQRT(Raw!AI93/H93)*Raw!AJ93, "Not Reported")))),"Not Included")</f>
        <v>7.0000000000000007E-2</v>
      </c>
      <c r="M93" s="43">
        <f t="shared" si="1"/>
        <v>7.4083407416777797E-2</v>
      </c>
      <c r="N93" s="11">
        <f t="shared" si="2"/>
        <v>0</v>
      </c>
      <c r="O93" s="48" t="b">
        <f>OR(NOT(ISBLANK(Raw!AK93)), COUNTIF(Raw!AA93:AD93, "&gt;=0") = 4)</f>
        <v>1</v>
      </c>
      <c r="P93" s="24" t="str">
        <f>IF(O93,IF(COUNTIF(Raw!AA93:AD93,"&gt;=0") = 4,"Contingency", "Paper k"), "Not Included")</f>
        <v>Contingency</v>
      </c>
      <c r="Q93" s="48">
        <f>IF(O93, IF(COUNTIF(Raw!AA93:AD93,"&gt;=0") = 4,SUM(Raw!AA93,Raw!AC93)/H93,"No Contingency Table"), "Not Included")</f>
        <v>0.64102564102564108</v>
      </c>
      <c r="R93" s="38">
        <f>IF(O93, IF(COUNTIF(Raw!AA93:AD93, "&gt;=0") = 4,SUM(SUM(Raw!AA93,Raw!AB93)*SUM(Raw!AA93,Raw!AD93),SUM(Raw!AC93,Raw!AD93)*SUM(Raw!AC93,Raw!AB93))/H93^2,"No Contingency Table"), "Not Included")</f>
        <v>0.61341222879684421</v>
      </c>
      <c r="S93" s="38">
        <f>IF(O93, IF(COUNTIF(Raw!AA93:AD93,"&gt;=0") = 4, IFERROR((Q93 - R93) / (1 - R93), "Could not calculate"), "No Contingency Table"), "Not Included")</f>
        <v>7.1428571428571508E-2</v>
      </c>
      <c r="T93" s="52" t="str">
        <f>IF(O93,IF(NOT(ISBLANK(Raw!AK93)), Raw!AK93, "Not Reported"), "Not Included")</f>
        <v>Not Reported</v>
      </c>
      <c r="U93" s="38">
        <f t="shared" si="3"/>
        <v>7.1428571428571508E-2</v>
      </c>
      <c r="V93" s="11" t="str">
        <f t="shared" si="4"/>
        <v>NA</v>
      </c>
      <c r="W93" s="11" t="b">
        <f>OR(NOT(ISBLANK(Raw!AU93)),COUNTIF(Raw!AL93:AT93,"&gt;=0") = 9)</f>
        <v>0</v>
      </c>
      <c r="X93" s="11" t="str">
        <f>IF(W93, IF(COUNTIF(Raw!AL93:AT93,"&gt;=0") = 9, "Contingency", "Paper k"), "Not Included")</f>
        <v>Not Included</v>
      </c>
      <c r="Y93" s="11" t="str">
        <f>IF(W93,IF(COUNTIF(Raw!AL93:AT93,"&gt;=0") = 9,SUM(Raw!AL93:AT93),"No Contingency Table"),"Not Included")</f>
        <v>Not Included</v>
      </c>
      <c r="Z93" s="11" t="str">
        <f t="shared" si="5"/>
        <v>Not Included</v>
      </c>
      <c r="AA93" s="11" t="str">
        <f>IF(W93,IF(COUNTIF(Raw!AL93:AT93,"&gt;=0") = 9,SUM(Raw!AL93,Raw!AP93,Raw!AT93)/Y93,"No Contingency Table"), "Not Included")</f>
        <v>Not Included</v>
      </c>
      <c r="AB93" s="11" t="str">
        <f>IF(W93,IF(COUNTIF(Raw!AL93:AT93,"&gt;=0") = 9,SUM(SUM(Raw!AL93,Raw!AM93,Raw!AN93)*SUM(Raw!AL93,Raw!AO93,Raw!AR93),SUM(Raw!AO93,Raw!AP93,Raw!AQ93)*SUM(Raw!AM93,Raw!AP93,Raw!AS93),SUM(Raw!AR93,Raw!AS93,Raw!AT93)*SUM(Raw!AN93,Raw!AQ93,Raw!AT93))/Y93^2,"No Contingency Table"), "Not Included")</f>
        <v>Not Included</v>
      </c>
      <c r="AC93" s="11" t="str">
        <f>IF(W93,IF(COUNTIF(Raw!AL93:AT93,"&gt;=0") = 9,(AA93 - AB93) / (1 - AB93),"No Contingency Table"), "Not Included")</f>
        <v>Not Included</v>
      </c>
      <c r="AD93" s="11" t="str">
        <f>IF(W93, IF(NOT(ISBLANK(Raw!AU93)),Raw!AU93,"Not Reported"), "Not Included")</f>
        <v>Not Included</v>
      </c>
      <c r="AE93" s="11" t="str">
        <f t="shared" si="6"/>
        <v>Not Included</v>
      </c>
      <c r="AF93" s="11" t="str">
        <f t="shared" si="7"/>
        <v>Not Included</v>
      </c>
      <c r="AG93" s="11" t="b">
        <f>COUNTIF(Raw!AV93:BK93, "&gt;=0") = 16</f>
        <v>0</v>
      </c>
      <c r="AH93" s="11" t="str">
        <f>IF(AG93, IF(COUNTIF(Raw!AV93:BK93,"&gt;=0") = 16, "Contingency", "Paper k"), "Not Included")</f>
        <v>Not Included</v>
      </c>
      <c r="AI93" s="11" t="str">
        <f>IF(AG93,IF(COUNTIF(Raw!AV93:BK93,"&gt;=0") = 16,SUM(Raw!AV93:BK93),"No Contingency Table"),"Not Included")</f>
        <v>Not Included</v>
      </c>
      <c r="AJ93" s="15">
        <f t="shared" si="8"/>
        <v>39</v>
      </c>
      <c r="AK93" s="11" t="str">
        <f>IF(AG93,IF(COUNTIF(Raw!AV93:BK93,"&gt;=0") = 16,SUM(Raw!AV93,Raw!BA93,Raw!BF93,Raw!BK93)/AI93,"No Contingency Table"), "Not Included")</f>
        <v>Not Included</v>
      </c>
      <c r="AL93" s="11" t="str">
        <f>IF(AG93,IF(COUNTIF(Raw!AV93:BK93,"&gt;=0") = 16,SUM(SUM(Raw!AV93,Raw!AW93,Raw!AX93,Raw!AY93)*SUM(Raw!AV93,Raw!AZ93,Raw!BD93,Raw!BH93),SUM(Raw!AZ93,Raw!BA93,Raw!BB93,Raw!BC93)*SUM(Raw!AW93,Raw!BA93,Raw!BE93,Raw!BI93),SUM(Raw!BD93,Raw!BE93,Raw!BF93,Raw!BG93)*SUM(Raw!AX93,Raw!BB93,Raw!BF93,Raw!BJ93),SUM(Raw!BH93,Raw!BI93,Raw!BJ93,Raw!BK93)*SUM(Raw!AY93,Raw!BC93,Raw!BG93,Raw!BK93))/AI93^2,"No Contingency Table"), "Not Included")</f>
        <v>Not Included</v>
      </c>
      <c r="AM93" s="11" t="str">
        <f>IF(AG93,IF(COUNTIF(Raw!AV93:BK93,"&gt;=0") = 16,(AK93 - AL93) / (1 - AL93),"No Contingency Table"), "Not Included")</f>
        <v>Not Included</v>
      </c>
      <c r="AN93" s="11" t="str">
        <f>IF(NOT(ISBLANK(Raw!BL93)),Raw!BL93,"Not Reported")</f>
        <v>Not Reported</v>
      </c>
      <c r="AO93" s="11" t="str">
        <f t="shared" si="9"/>
        <v>Not Reported</v>
      </c>
      <c r="AP93" s="11" t="str">
        <f t="shared" si="10"/>
        <v>Not Included</v>
      </c>
      <c r="AQ93" s="11" t="b">
        <f t="shared" ref="AQ93:AR93" si="383">BQ93</f>
        <v>0</v>
      </c>
      <c r="AR93" s="11" t="str">
        <f t="shared" si="383"/>
        <v>Not Included</v>
      </c>
      <c r="AS93" s="11" t="str">
        <f t="shared" si="12"/>
        <v>Not Included</v>
      </c>
      <c r="AT93" s="11" t="str">
        <f t="shared" si="13"/>
        <v>Not Included</v>
      </c>
      <c r="AU93" s="11" t="str">
        <f>IF(AQ93, IF(COUNTIF(Raw!AV93:BK93, "&gt;=0") = 16, IFERROR((AT93*Raw!BK93 - SUM(Raw!BH93, Raw!BI93, Raw!BJ93, Raw!BK93)*SUM(Raw!AY93, Raw!BC93, Raw!BG93, Raw!BK93)) / SQRT((AT93*SUM(Raw!BH93, Raw!BI93, Raw!BJ93, Raw!BK93) - SUM(Raw!BH93, Raw!BI93, Raw!BJ93, Raw!BK93)^2) * (AT93*SUM(Raw!AY93, Raw!BC93, Raw!BG93, Raw!BK93) - SUM(Raw!AY93, Raw!BC93, Raw!BG93, Raw!BK93)^2)), 0), "No Contingency Table"), "Not Included")</f>
        <v>Not Included</v>
      </c>
      <c r="AV93" s="11" t="str">
        <f>IF(AQ93,IF(NOT(ISBLANK(Raw!BQ93)), Raw!BQ93, IF(NOT(ISBLANK(Raw!BR93)), Raw!BR93, "Not Reported")), "Not Included")</f>
        <v>Not Included</v>
      </c>
      <c r="AW93" s="57" t="str">
        <f t="shared" si="14"/>
        <v>Not Included</v>
      </c>
      <c r="AX93" s="11" t="str">
        <f t="shared" si="15"/>
        <v>Not Included</v>
      </c>
      <c r="AY93" s="11" t="b">
        <f t="shared" ref="AY93:AZ93" si="384">AQ93</f>
        <v>0</v>
      </c>
      <c r="AZ93" s="11" t="str">
        <f t="shared" si="384"/>
        <v>Not Included</v>
      </c>
      <c r="BA93" s="11" t="str">
        <f>IF(AY93, IF(COUNTIF(Raw!AV93:BK93, "&gt;=0") = 16, SUM(Raw!AV93,Raw!AW93,Raw!AX93,Raw!AZ93,Raw!BA93,Raw!BB93,Raw!BD93,Raw!BE93,Raw!BF93,Raw!BK93)/SUM(Raw!AV93:BK93), "No Contingency Table"), "Not Included")</f>
        <v>Not Included</v>
      </c>
      <c r="BB93" s="11" t="str">
        <f>IF(AY93, IF(COUNTIF(Raw!AV93:BK93, "&gt;=0") = 16,SUM(SUM(Raw!BH93,Raw!BI93,Raw!BJ93,Raw!BK93)*SUM(Raw!AY93,Raw!BC93,Raw!BG93,Raw!BK93),SUM(Raw!AV93:BG93)*SUM(Raw!AV93,Raw!AW93,Raw!AX93,Raw!AZ93,Raw!BA93,Raw!BB93,Raw!BD93,Raw!BE93,Raw!BF93,Raw!BH93,Raw!BI93,Raw!BJ93))/AT93^2,"No Contingency Table"), "Not Included")</f>
        <v>Not Included</v>
      </c>
      <c r="BC93" s="11" t="str">
        <f>IF(AY93, IF(COUNTIF(Raw!AV93:BK93, "&gt;=0") = 16,(BA93-BB93) / (1 - BB93),"No Contingency Table"), "Not Included")</f>
        <v>Not Included</v>
      </c>
      <c r="BD93" s="11" t="str">
        <f>IF(AY93,IF(NOT(ISBLANK(Raw!BT114)),Raw!BT114,"Not Reported"),"Not Included")</f>
        <v>Not Included</v>
      </c>
      <c r="BE93" s="11" t="str">
        <f t="shared" si="17"/>
        <v>Not Included</v>
      </c>
      <c r="BF93" s="11" t="str">
        <f t="shared" si="18"/>
        <v>Not Included</v>
      </c>
      <c r="BG93" s="11">
        <f>Raw!K93</f>
        <v>1996</v>
      </c>
      <c r="BH93" s="11" t="str">
        <f>IF(Raw!L93 = "USA","USA","Non-USA")</f>
        <v>USA</v>
      </c>
      <c r="BI93" s="11" t="str">
        <f>Raw!M93</f>
        <v>Ainsworth/Ainsworth</v>
      </c>
      <c r="BJ93" s="11">
        <f>Raw!N93</f>
        <v>1</v>
      </c>
      <c r="BK93" s="11">
        <f>Raw!P93</f>
        <v>0</v>
      </c>
      <c r="BL93" s="11">
        <f>Raw!Q93</f>
        <v>0</v>
      </c>
      <c r="BM93" s="11">
        <f>Raw!T93</f>
        <v>1</v>
      </c>
      <c r="BN93" s="11">
        <f>IFERROR(IF(AND(ISBLANK(Raw!U93), ISBLANK(Raw!V93), ISBLANK(Raw!W93), ISBLANK(Raw!X93)), "NA", IF(OR(NOT(ISBLANK(Raw!U93)), NOT(ISBLANK(Raw!W93))), AVERAGE(Raw!U93,Raw!W93), AVERAGE(Raw!V93,Raw!X93) + IF(Raw!Y93 = "2-way", R93, IF(Raw!Y93 = "3-way", AB93, IF(Raw!Y93 = "4-way", AL93, "NA")))*(1 - AVERAGE(Raw!V93,Raw!X93)))), "NA")</f>
        <v>0.9</v>
      </c>
      <c r="BO93" s="11">
        <f>Raw!O93</f>
        <v>0</v>
      </c>
      <c r="BP93" s="11" t="str">
        <f>Raw!F93</f>
        <v>Female</v>
      </c>
      <c r="BQ93" s="11" t="b">
        <f>COUNTIF(Raw!AV93:BK93, "&gt;=0") = 16</f>
        <v>0</v>
      </c>
      <c r="BR93" s="11" t="str">
        <f t="shared" si="19"/>
        <v>Not Included</v>
      </c>
      <c r="BS93" s="11" t="str">
        <f t="shared" si="20"/>
        <v>Not Included</v>
      </c>
      <c r="BT93" s="11" t="str">
        <f>IF(BQ93, IF(COUNTIF(Raw!AV93:BK93, "&gt;=0") = 16, IFERROR((BS93*Raw!AV93 - SUM(Raw!AV93, Raw!AW93, Raw!AX93, Raw!AY93)*SUM(Raw!AV93, Raw!AZ93, Raw!BD93, Raw!BH93)) / SQRT((BS93*SUM(Raw!AV93, Raw!AW93, Raw!AX93, Raw!AY93) - SUM(Raw!AV93, Raw!AW93, Raw!AX93, Raw!AY93)^2) * (BS93*SUM(Raw!AV93, Raw!AZ93, Raw!BD93, Raw!BH93) - SUM(Raw!AV93, Raw!AZ93, Raw!BD93, Raw!BH93)^2)), 0), "No Contingency Table"), "Not Included")</f>
        <v>Not Included</v>
      </c>
      <c r="BU93" s="11" t="str">
        <f>IF(BQ93, IF(COUNTIF(Raw!AV93:BK93, "&gt;=0") = 16, SUM(Raw!BK93,Raw!BJ93,Raw!BI93,Raw!BG93,Raw!BF93,Raw!BE93,Raw!BC93,Raw!BB93,Raw!BA93,Raw!AV93)/SUM(Raw!AV93:BK93), "No Contingency Table"), "Not Included")</f>
        <v>Not Included</v>
      </c>
      <c r="BV93" s="11" t="str">
        <f>IF(BQ93, IF(COUNTIF(Raw!AV93:BK93, "&gt;=0") = 16,SUM(SUM(Raw!AV93,Raw!AW93,Raw!AX93,Raw!AY93)*SUM(Raw!AV93,Raw!AZ93,Raw!BD93,Raw!BH93),SUM(Raw!AZ93:BK93)*SUM(Raw!AW93,Raw!AX93,Raw!AY93,Raw!BA93,Raw!BB93,Raw!BC93,Raw!BE93,Raw!BF93,Raw!BG93,Raw!BI93,Raw!BJ93,Raw!BK93))/BS93^2,"No Contingency Table"), "Not Included")</f>
        <v>Not Included</v>
      </c>
      <c r="BW93" s="11" t="str">
        <f>IF(BQ93, IF(COUNTIF(Raw!AV93:BK93, "&gt;=0") = 16,(BU93-BV93) / (1 - BV93),"No Contingency Table"), "Not Included")</f>
        <v>Not Included</v>
      </c>
      <c r="BX93" s="11" t="b">
        <f t="shared" ref="BX93:BZ93" si="385">BQ93</f>
        <v>0</v>
      </c>
      <c r="BY93" s="11" t="str">
        <f t="shared" si="385"/>
        <v>Not Included</v>
      </c>
      <c r="BZ93" s="11" t="str">
        <f t="shared" si="385"/>
        <v>Not Included</v>
      </c>
      <c r="CA93" s="11" t="str">
        <f>IF(BX93, IF(COUNTIF(Raw!AV93:BK93, "&gt;=0") = 16, IFERROR((BZ93*Raw!BF93 - SUM(Raw!BD93, Raw!BE93, Raw!BF93, Raw!BG93)*SUM(Raw!BF93, Raw!AX93, Raw!BB93, Raw!BJ93)) / SQRT((BZ93*SUM(Raw!BD93, Raw!BE93, Raw!BF93, Raw!BG93) - SUM(Raw!BD93, Raw!BE93, Raw!BF93, Raw!BG93)^2) * (BZ93*SUM(Raw!BF93, Raw!AX93, Raw!BB93, Raw!BJ93) - SUM(Raw!BF93, Raw!AX93, Raw!BB93, Raw!BJ93)^2)), 0), "No Contingency Table"), "Not Included")</f>
        <v>Not Included</v>
      </c>
      <c r="CB93" s="11" t="str">
        <f>IF(BX93, IF(COUNTIF(Raw!AV93:BK93, "&gt;=0") = 16, SUM(Raw!AV93,Raw!AW93,Raw!AY93,Raw!AZ93,Raw!BA93,Raw!BC93,Raw!BF93,Raw!BH93,Raw!BI93,Raw!BK93) / SUM(Raw!AV93:BK93), "No Contingency Table"), "Not Included")</f>
        <v>Not Included</v>
      </c>
      <c r="CC93" s="11" t="str">
        <f>IF(BX93, IF(COUNTIF(Raw!AV93:BK93, "&gt;=0") = 16,SUM(SUM(Raw!BD93,Raw!BE93,Raw!BF93,Raw!BG93)*SUM(Raw!BF93,Raw!AX93,Raw!BB93,Raw!BJ93),SUM(Raw!AV93:BC93,Raw!BH93:BK93)*SUM(Raw!AV93,Raw!AW93,Raw!AY93,Raw!AZ93,Raw!BA93,Raw!BC93,Raw!BD93,Raw!BE93,Raw!BG93,Raw!BH93,Raw!BI93,Raw!BK93))/BZ93^2,"No Contingency Table"), "Not Included")</f>
        <v>Not Included</v>
      </c>
      <c r="CD93" s="11" t="str">
        <f>IF(BX93, IF(COUNTIF(Raw!AV93:BK93, "&gt;=0") = 16,(CB93 - CC93) / (1 - CC93+0.000001),"No Contingency Table"), "Not Included")</f>
        <v>Not Included</v>
      </c>
      <c r="CE93" s="11" t="b">
        <f t="shared" ref="CE93:CG93" si="386">BQ93</f>
        <v>0</v>
      </c>
      <c r="CF93" s="11" t="str">
        <f t="shared" si="386"/>
        <v>Not Included</v>
      </c>
      <c r="CG93" s="11" t="str">
        <f t="shared" si="386"/>
        <v>Not Included</v>
      </c>
      <c r="CH93" s="11" t="str">
        <f>IF(CE93, IF(COUNTIF(Raw!AV93:BK93, "&gt;=0") = 16, IFERROR((CG93*Raw!BA93 - SUM(Raw!BA93, Raw!AZ93, Raw!BB93, Raw!BC93)*SUM(Raw!BA93, Raw!AW93, Raw!BE93, Raw!BI93)) / SQRT((CG93*SUM(Raw!BA93, Raw!AZ93, Raw!BB93, Raw!BC93) - SUM(Raw!BA93, Raw!AZ93, Raw!BB93, Raw!BC93)^2) * (CG93*SUM(Raw!BA93, Raw!AW93, Raw!BE93, Raw!BI93) - SUM(Raw!BA93, Raw!AW93, Raw!BE93, Raw!BI93)^2)), 0), "No Contingency Table"), "Not Included")</f>
        <v>Not Included</v>
      </c>
      <c r="CI93" s="11" t="str">
        <f>IF(CE93, IF(COUNTIF(Raw!AV93:BK93, "&gt;=0") = 16, SUM(Raw!AV93,Raw!AX93,Raw!AY93,Raw!BA93,Raw!BD93,Raw!BF93,Raw!BG93,Raw!BH93,Raw!BJ93,Raw!BK93) / SUM(Raw!AV93:BK93), "No Contingency Table"), "Not Included")</f>
        <v>Not Included</v>
      </c>
      <c r="CJ93" s="61" t="str">
        <f>IF(BX93, IF(COUNTIF(Raw!AV93:BK93, "&gt;=0") = 16,SUM(SUM(Raw!AZ93,Raw!BA93,Raw!BB93,Raw!BC93)*SUM(Raw!BA93,Raw!AW93,Raw!BE93,Raw!BI93),SUM(Raw!AV93:AY93,Raw!BD93:BK93)*SUM(Raw!AV93,Raw!AX93,Raw!AY93,Raw!AZ93,Raw!BB93,Raw!BC93,Raw!BD93,Raw!BF93,Raw!BG93,Raw!BH93,Raw!BJ93,Raw!BK93))/CG93^2,"No Contingency Table"), "Not Included")</f>
        <v>Not Included</v>
      </c>
      <c r="CK93" s="11" t="str">
        <f>IF(BX93, IF(COUNTIF(Raw!AV93:BK93, "&gt;=0") = 16,(CI93 - CJ93) / (1 - CJ93),"No Contingency Table"), "Not Included")</f>
        <v>Not Included</v>
      </c>
      <c r="CL93" s="11" t="str">
        <f>IF(BQ93, IFERROR(Raw!AV93/SUM(Raw!AV93:AY93), 0), "Not Included")</f>
        <v>Not Included</v>
      </c>
      <c r="CM93" s="11" t="str">
        <f>IF(BQ93, IFERROR(Raw!BA93/SUM(Raw!AZ93:BC93), 0), "Not Included")</f>
        <v>Not Included</v>
      </c>
      <c r="CN93" s="11" t="str">
        <f>IF(BQ93, IFERROR(Raw!BF93/SUM(Raw!BD93:BG93), 0), "Not Included")</f>
        <v>Not Included</v>
      </c>
      <c r="CO93" s="11" t="str">
        <f>IF(BQ93, IFERROR(Raw!BK93/SUM(Raw!BH93:BK93), 0), "Not Included")</f>
        <v>Not Included</v>
      </c>
      <c r="CP93" s="11" t="str">
        <f>IF(BQ93, IFERROR(SUM(Raw!AV93,Raw!AX93,Raw!AY93,Raw!BD93,Raw!BF93,Raw!BG93,Raw!BH93,Raw!BJ93,Raw!BK93)/SUM(Raw!AV93,Raw!AW93,Raw!AX93,Raw!AY93,Raw!BD93,Raw!BE93,Raw!BF93,Raw!BG93,Raw!BH93,Raw!BI93,Raw!BJ93,Raw!BK93), 0), "Not Included")</f>
        <v>Not Included</v>
      </c>
      <c r="CQ93" s="11" t="str">
        <f>IF(BQ93, IFERROR(SUM(Raw!AV93:AX93,Raw!AZ93:BB93,Raw!BD93:BF93)/SUM(Raw!AV93:BF93), 0), "Not Included")</f>
        <v>Not Included</v>
      </c>
      <c r="CR93" s="11" t="str">
        <f>IF(BQ93, IFERROR(SUM(Raw!AV93:AY93), 0), "Not Included")</f>
        <v>Not Included</v>
      </c>
      <c r="CS93" s="11" t="str">
        <f>IF(BQ93, IFERROR(SUM(Raw!AZ93:BC93), 0), "Not Included")</f>
        <v>Not Included</v>
      </c>
      <c r="CT93" s="11" t="str">
        <f>IF(BQ93, IFERROR(SUM(Raw!BD93:BG93), 0), "Not Included")</f>
        <v>Not Included</v>
      </c>
      <c r="CU93" s="11" t="str">
        <f>IF(BQ93, IFERROR(SUM(Raw!BH93:BK93), 0), "Not Included")</f>
        <v>Not Included</v>
      </c>
      <c r="CV93" s="11" t="str">
        <f>IF(BQ93, IFERROR(SUM(Raw!AV93,Raw!AW93,Raw!AX93,Raw!AY93,Raw!BD93,Raw!BE93,Raw!BF93,Raw!BG93,Raw!BH93,Raw!BI93,Raw!BJ93,Raw!BK93), 0), "Not Included")</f>
        <v>Not Included</v>
      </c>
      <c r="CW93" s="11" t="str">
        <f>IF(BQ93, IFERROR(SUM(Raw!AV93:BF93), 0), "Not Included")</f>
        <v>Not Included</v>
      </c>
      <c r="CX93" s="11" t="str">
        <f>IF(BQ93, IFERROR((CR93*SUM(Raw!AV93,Raw!AZ93,Raw!BD93,Raw!BH93))/BS93/CR93, 0), "Not Included")</f>
        <v>Not Included</v>
      </c>
      <c r="CY93" s="11" t="str">
        <f>IF(BX93, IFERROR((CS93*SUM(Raw!BA93,Raw!AW93,Raw!BE93,Raw!BI93))/CG93/CS93, 0), "Not Included")</f>
        <v>Not Included</v>
      </c>
      <c r="CZ93" s="11" t="str">
        <f>IF(BX93, IFERROR((CT93*SUM(Raw!BF93,Raw!AX93,Raw!BB93,Raw!BJ93))/BZ93/CT93, 0), "Not Included")</f>
        <v>Not Included</v>
      </c>
      <c r="DA93" s="11" t="str">
        <f>IF(AY93, IFERROR((CU93*SUM(Raw!AY93,Raw!BC93,Raw!BG93,Raw!BK93))/AT93/CU93, 0), "Not Included")</f>
        <v>Not Included</v>
      </c>
      <c r="DB93" s="11" t="str">
        <f>IF(BX93, IFERROR((CV93*SUM(Raw!AV93,Raw!AX93,Raw!AY93,Raw!AZ93,Raw!BB93,Raw!BC93,Raw!BD93,Raw!BF93,Raw!BG93,Raw!BH93,Raw!BJ93,Raw!BK93))/CG93/CV93,0), "Not Included")</f>
        <v>Not Included</v>
      </c>
      <c r="DC93" s="11" t="str">
        <f>IF(AY93, IFERROR((CW93*SUM(Raw!AV93,Raw!AW93,Raw!AX93,Raw!AZ93,Raw!BA93,Raw!BB93,Raw!BD93,Raw!BE93,Raw!BF93,Raw!BH93,Raw!BI93,Raw!BJ93))/AT93/CW93,0), "Not Included")</f>
        <v>Not Included</v>
      </c>
    </row>
    <row r="94" spans="1:107" ht="12.75" customHeight="1">
      <c r="A94" s="11">
        <f>Raw!D94</f>
        <v>68</v>
      </c>
      <c r="B94" s="11" t="str">
        <f>Raw!A94</f>
        <v>Mangelsdorf et al. (1996)</v>
      </c>
      <c r="C94" s="11">
        <f>Raw!G94</f>
        <v>1</v>
      </c>
      <c r="D94" s="11" t="str">
        <f>Raw!E94</f>
        <v>Low birth weight</v>
      </c>
      <c r="E94" s="11" t="str">
        <f>CONCATENATE(IF(Raw!I94&lt;='Interval Definitions'!$B$2, 'Interval Definitions'!$A$2, IF(Raw!I94&lt;='Interval Definitions'!$B$3, 'Interval Definitions'!$A$3, IF(Raw!I94&lt;='Interval Definitions'!$B$4, 'Interval Definitions'!$A$4, IF(Raw!I94&lt;='Interval Definitions'!$B$5, 'Interval Definitions'!$A$5, "None")))), " - ", IF(Raw!J94&lt;='Interval Definitions'!$B$2, 'Interval Definitions'!$A$2, IF(Raw!J94&lt;='Interval Definitions'!$B$3, 'Interval Definitions'!$A$3, IF(Raw!J94&lt;='Interval Definitions'!$B$4, 'Interval Definitions'!$A$4, IF(Raw!J94&lt;='Interval Definitions'!$B$5, 'Interval Definitions'!$A$5, "None")))))</f>
        <v>Infancy - Infancy</v>
      </c>
      <c r="F94" s="11" t="b">
        <f>OR(NOT(ISBLANK(Raw!AF94)),NOT(ISBLANK(Raw!AG94)),NOT(ISBLANK(Raw!AH94)),NOT(ISBLANK(Raw!AI94)),COUNTIF(Raw!AA94:AD94, "&gt;=0") = 4)</f>
        <v>1</v>
      </c>
      <c r="G94" s="11" t="str">
        <f>IF(F94, IF(COUNTIF(Raw!AA94:AD94,"&gt;=0") = 4, "Contingency", IF(NOT(ISBLANK(Raw!AF94)), "Paper r", IF(NOT(ISBLANK(Raw!AG94)), "Pinquart", IF(NOT(ISBLANK(Raw!AH94)), "Fraley", "Paper chiSq")))), "Not Included")</f>
        <v>Contingency</v>
      </c>
      <c r="H94" s="15">
        <f>IF(F94,Raw!AE94,"Not Included")</f>
        <v>31</v>
      </c>
      <c r="I94" s="15">
        <f>IF(COUNTIF(Raw!AA94:AD94,"&gt;=0") = 4, SUM(Raw!AA94:AD94), "No Contingency Table")</f>
        <v>31</v>
      </c>
      <c r="J94" s="15">
        <f t="shared" si="0"/>
        <v>31</v>
      </c>
      <c r="K94" s="38">
        <f>IF(F94, IF(COUNTIF(Raw!AA94:AD94,"&gt;=0") = 4, IFERROR((I94*Raw!AA94 - SUM(Raw!AA94,Raw!AB94)*SUM(Raw!AA94,Raw!AD94)) / SQRT((I94*SUM(Raw!AA94,Raw!AB94) - SUM(Raw!AA94,Raw!AB94)^2) * (I94*SUM(Raw!AA94,Raw!AD94) - SUM(Raw!AA94,Raw!AD94)^2)), 0), "No Contingency Table"), "Not Included")</f>
        <v>0.15817166261312793</v>
      </c>
      <c r="L94" s="41">
        <f>IF(F94,IF(NOT(ISBLANK(Raw!AF94)), Raw!AF94, IF(NOT(ISBLANK(Raw!AG94)), Raw!AG94, IF(NOT(ISBLANK(Raw!AH94)), Raw!AH94, IF(NOT(ISBLANK(Raw!AI94)), SQRT(Raw!AI94/H94)*Raw!AJ94, "Not Reported")))),"Not Included")</f>
        <v>0.16</v>
      </c>
      <c r="M94" s="43">
        <f t="shared" si="1"/>
        <v>0.15817166261312793</v>
      </c>
      <c r="N94" s="11">
        <f t="shared" si="2"/>
        <v>1</v>
      </c>
      <c r="O94" s="48" t="b">
        <f>OR(NOT(ISBLANK(Raw!AK94)), COUNTIF(Raw!AA94:AD94, "&gt;=0") = 4)</f>
        <v>1</v>
      </c>
      <c r="P94" s="24" t="str">
        <f>IF(O94,IF(COUNTIF(Raw!AA94:AD94,"&gt;=0") = 4,"Contingency", "Paper k"), "Not Included")</f>
        <v>Contingency</v>
      </c>
      <c r="Q94" s="48">
        <f>IF(O94, IF(COUNTIF(Raw!AA94:AD94,"&gt;=0") = 4,SUM(Raw!AA94,Raw!AC94)/H94,"No Contingency Table"), "Not Included")</f>
        <v>0.58064516129032262</v>
      </c>
      <c r="R94" s="38">
        <f>IF(O94, IF(COUNTIF(Raw!AA94:AD94, "&gt;=0") = 4,SUM(SUM(Raw!AA94,Raw!AB94)*SUM(Raw!AA94,Raw!AD94),SUM(Raw!AC94,Raw!AD94)*SUM(Raw!AC94,Raw!AB94))/H94^2,"No Contingency Table"), "Not Included")</f>
        <v>0.50364203954214359</v>
      </c>
      <c r="S94" s="38">
        <f>IF(O94, IF(COUNTIF(Raw!AA94:AD94,"&gt;=0") = 4, IFERROR((Q94 - R94) / (1 - R94), "Could not calculate"), "No Contingency Table"), "Not Included")</f>
        <v>0.15513626834381561</v>
      </c>
      <c r="T94" s="52" t="str">
        <f>IF(O94,IF(NOT(ISBLANK(Raw!AK94)), Raw!AK94, "Not Reported"), "Not Included")</f>
        <v>Not Reported</v>
      </c>
      <c r="U94" s="38">
        <f t="shared" si="3"/>
        <v>0.15513626834381561</v>
      </c>
      <c r="V94" s="11" t="str">
        <f t="shared" si="4"/>
        <v>NA</v>
      </c>
      <c r="W94" s="11" t="b">
        <f>OR(NOT(ISBLANK(Raw!AU94)),COUNTIF(Raw!AL94:AT94,"&gt;=0") = 9)</f>
        <v>0</v>
      </c>
      <c r="X94" s="11" t="str">
        <f>IF(W94, IF(COUNTIF(Raw!AL94:AT94,"&gt;=0") = 9, "Contingency", "Paper k"), "Not Included")</f>
        <v>Not Included</v>
      </c>
      <c r="Y94" s="11" t="str">
        <f>IF(W94,IF(COUNTIF(Raw!AL94:AT94,"&gt;=0") = 9,SUM(Raw!AL94:AT94),"No Contingency Table"),"Not Included")</f>
        <v>Not Included</v>
      </c>
      <c r="Z94" s="11" t="str">
        <f t="shared" si="5"/>
        <v>Not Included</v>
      </c>
      <c r="AA94" s="11" t="str">
        <f>IF(W94,IF(COUNTIF(Raw!AL94:AT94,"&gt;=0") = 9,SUM(Raw!AL94,Raw!AP94,Raw!AT94)/Y94,"No Contingency Table"), "Not Included")</f>
        <v>Not Included</v>
      </c>
      <c r="AB94" s="11" t="str">
        <f>IF(W94,IF(COUNTIF(Raw!AL94:AT94,"&gt;=0") = 9,SUM(SUM(Raw!AL94,Raw!AM94,Raw!AN94)*SUM(Raw!AL94,Raw!AO94,Raw!AR94),SUM(Raw!AO94,Raw!AP94,Raw!AQ94)*SUM(Raw!AM94,Raw!AP94,Raw!AS94),SUM(Raw!AR94,Raw!AS94,Raw!AT94)*SUM(Raw!AN94,Raw!AQ94,Raw!AT94))/Y94^2,"No Contingency Table"), "Not Included")</f>
        <v>Not Included</v>
      </c>
      <c r="AC94" s="11" t="str">
        <f>IF(W94,IF(COUNTIF(Raw!AL94:AT94,"&gt;=0") = 9,(AA94 - AB94) / (1 - AB94),"No Contingency Table"), "Not Included")</f>
        <v>Not Included</v>
      </c>
      <c r="AD94" s="11" t="str">
        <f>IF(W94, IF(NOT(ISBLANK(Raw!AU94)),Raw!AU94,"Not Reported"), "Not Included")</f>
        <v>Not Included</v>
      </c>
      <c r="AE94" s="11" t="str">
        <f t="shared" si="6"/>
        <v>Not Included</v>
      </c>
      <c r="AF94" s="11" t="str">
        <f t="shared" si="7"/>
        <v>Not Included</v>
      </c>
      <c r="AG94" s="11" t="b">
        <f>COUNTIF(Raw!AV94:BK94, "&gt;=0") = 16</f>
        <v>0</v>
      </c>
      <c r="AH94" s="11" t="str">
        <f>IF(AG94, IF(COUNTIF(Raw!AV94:BK94,"&gt;=0") = 16, "Contingency", "Paper k"), "Not Included")</f>
        <v>Not Included</v>
      </c>
      <c r="AI94" s="11" t="str">
        <f>IF(AG94,IF(COUNTIF(Raw!AV94:BK94,"&gt;=0") = 16,SUM(Raw!AV94:BK94),"No Contingency Table"),"Not Included")</f>
        <v>Not Included</v>
      </c>
      <c r="AJ94" s="15">
        <f t="shared" si="8"/>
        <v>31</v>
      </c>
      <c r="AK94" s="11" t="str">
        <f>IF(AG94,IF(COUNTIF(Raw!AV94:BK94,"&gt;=0") = 16,SUM(Raw!AV94,Raw!BA94,Raw!BF94,Raw!BK94)/AI94,"No Contingency Table"), "Not Included")</f>
        <v>Not Included</v>
      </c>
      <c r="AL94" s="11" t="str">
        <f>IF(AG94,IF(COUNTIF(Raw!AV94:BK94,"&gt;=0") = 16,SUM(SUM(Raw!AV94,Raw!AW94,Raw!AX94,Raw!AY94)*SUM(Raw!AV94,Raw!AZ94,Raw!BD94,Raw!BH94),SUM(Raw!AZ94,Raw!BA94,Raw!BB94,Raw!BC94)*SUM(Raw!AW94,Raw!BA94,Raw!BE94,Raw!BI94),SUM(Raw!BD94,Raw!BE94,Raw!BF94,Raw!BG94)*SUM(Raw!AX94,Raw!BB94,Raw!BF94,Raw!BJ94),SUM(Raw!BH94,Raw!BI94,Raw!BJ94,Raw!BK94)*SUM(Raw!AY94,Raw!BC94,Raw!BG94,Raw!BK94))/AI94^2,"No Contingency Table"), "Not Included")</f>
        <v>Not Included</v>
      </c>
      <c r="AM94" s="11" t="str">
        <f>IF(AG94,IF(COUNTIF(Raw!AV94:BK94,"&gt;=0") = 16,(AK94 - AL94) / (1 - AL94),"No Contingency Table"), "Not Included")</f>
        <v>Not Included</v>
      </c>
      <c r="AN94" s="11" t="str">
        <f>IF(NOT(ISBLANK(Raw!BL94)),Raw!BL94,"Not Reported")</f>
        <v>Not Reported</v>
      </c>
      <c r="AO94" s="11" t="str">
        <f t="shared" si="9"/>
        <v>Not Reported</v>
      </c>
      <c r="AP94" s="11" t="str">
        <f t="shared" si="10"/>
        <v>Not Included</v>
      </c>
      <c r="AQ94" s="11" t="b">
        <f t="shared" ref="AQ94:AR94" si="387">BQ94</f>
        <v>0</v>
      </c>
      <c r="AR94" s="11" t="str">
        <f t="shared" si="387"/>
        <v>Not Included</v>
      </c>
      <c r="AS94" s="11" t="str">
        <f t="shared" si="12"/>
        <v>Not Included</v>
      </c>
      <c r="AT94" s="11" t="str">
        <f t="shared" si="13"/>
        <v>Not Included</v>
      </c>
      <c r="AU94" s="11" t="str">
        <f>IF(AQ94, IF(COUNTIF(Raw!AV94:BK94, "&gt;=0") = 16, IFERROR((AT94*Raw!BK94 - SUM(Raw!BH94, Raw!BI94, Raw!BJ94, Raw!BK94)*SUM(Raw!AY94, Raw!BC94, Raw!BG94, Raw!BK94)) / SQRT((AT94*SUM(Raw!BH94, Raw!BI94, Raw!BJ94, Raw!BK94) - SUM(Raw!BH94, Raw!BI94, Raw!BJ94, Raw!BK94)^2) * (AT94*SUM(Raw!AY94, Raw!BC94, Raw!BG94, Raw!BK94) - SUM(Raw!AY94, Raw!BC94, Raw!BG94, Raw!BK94)^2)), 0), "No Contingency Table"), "Not Included")</f>
        <v>Not Included</v>
      </c>
      <c r="AV94" s="11" t="str">
        <f>IF(AQ94,IF(NOT(ISBLANK(Raw!BQ94)), Raw!BQ94, IF(NOT(ISBLANK(Raw!BR94)), Raw!BR94, "Not Reported")), "Not Included")</f>
        <v>Not Included</v>
      </c>
      <c r="AW94" s="57" t="str">
        <f t="shared" si="14"/>
        <v>Not Included</v>
      </c>
      <c r="AX94" s="11" t="str">
        <f t="shared" si="15"/>
        <v>Not Included</v>
      </c>
      <c r="AY94" s="11" t="b">
        <f t="shared" ref="AY94:AZ94" si="388">AQ94</f>
        <v>0</v>
      </c>
      <c r="AZ94" s="11" t="str">
        <f t="shared" si="388"/>
        <v>Not Included</v>
      </c>
      <c r="BA94" s="11" t="str">
        <f>IF(AY94, IF(COUNTIF(Raw!AV94:BK94, "&gt;=0") = 16, SUM(Raw!AV94,Raw!AW94,Raw!AX94,Raw!AZ94,Raw!BA94,Raw!BB94,Raw!BD94,Raw!BE94,Raw!BF94,Raw!BK94)/SUM(Raw!AV94:BK94), "No Contingency Table"), "Not Included")</f>
        <v>Not Included</v>
      </c>
      <c r="BB94" s="11" t="str">
        <f>IF(AY94, IF(COUNTIF(Raw!AV94:BK94, "&gt;=0") = 16,SUM(SUM(Raw!BH94,Raw!BI94,Raw!BJ94,Raw!BK94)*SUM(Raw!AY94,Raw!BC94,Raw!BG94,Raw!BK94),SUM(Raw!AV94:BG94)*SUM(Raw!AV94,Raw!AW94,Raw!AX94,Raw!AZ94,Raw!BA94,Raw!BB94,Raw!BD94,Raw!BE94,Raw!BF94,Raw!BH94,Raw!BI94,Raw!BJ94))/AT94^2,"No Contingency Table"), "Not Included")</f>
        <v>Not Included</v>
      </c>
      <c r="BC94" s="11" t="str">
        <f>IF(AY94, IF(COUNTIF(Raw!AV94:BK94, "&gt;=0") = 16,(BA94-BB94) / (1 - BB94),"No Contingency Table"), "Not Included")</f>
        <v>Not Included</v>
      </c>
      <c r="BD94" s="11" t="str">
        <f>IF(AY94,IF(NOT(ISBLANK(Raw!BT115)),Raw!BT115,"Not Reported"),"Not Included")</f>
        <v>Not Included</v>
      </c>
      <c r="BE94" s="11" t="str">
        <f t="shared" si="17"/>
        <v>Not Included</v>
      </c>
      <c r="BF94" s="11" t="str">
        <f t="shared" si="18"/>
        <v>Not Included</v>
      </c>
      <c r="BG94" s="11">
        <f>Raw!K94</f>
        <v>1996</v>
      </c>
      <c r="BH94" s="11" t="str">
        <f>IF(Raw!L94 = "USA","USA","Non-USA")</f>
        <v>USA</v>
      </c>
      <c r="BI94" s="11" t="str">
        <f>Raw!M94</f>
        <v>Ainsworth/Ainsworth</v>
      </c>
      <c r="BJ94" s="11">
        <f>Raw!N94</f>
        <v>1</v>
      </c>
      <c r="BK94" s="11">
        <f>Raw!P94</f>
        <v>0</v>
      </c>
      <c r="BL94" s="11">
        <f>Raw!Q94</f>
        <v>1</v>
      </c>
      <c r="BM94" s="11">
        <f>Raw!T94</f>
        <v>1</v>
      </c>
      <c r="BN94" s="11">
        <f>IFERROR(IF(AND(ISBLANK(Raw!U94), ISBLANK(Raw!V94), ISBLANK(Raw!W94), ISBLANK(Raw!X94)), "NA", IF(OR(NOT(ISBLANK(Raw!U94)), NOT(ISBLANK(Raw!W94))), AVERAGE(Raw!U94,Raw!W94), AVERAGE(Raw!V94,Raw!X94) + IF(Raw!Y94 = "2-way", R94, IF(Raw!Y94 = "3-way", AB94, IF(Raw!Y94 = "4-way", AL94, "NA")))*(1 - AVERAGE(Raw!V94,Raw!X94)))), "NA")</f>
        <v>0.9</v>
      </c>
      <c r="BO94" s="11">
        <f>Raw!O94</f>
        <v>0</v>
      </c>
      <c r="BP94" s="11" t="str">
        <f>Raw!F94</f>
        <v>Female</v>
      </c>
      <c r="BQ94" s="11" t="b">
        <f>COUNTIF(Raw!AV94:BK94, "&gt;=0") = 16</f>
        <v>0</v>
      </c>
      <c r="BR94" s="11" t="str">
        <f t="shared" si="19"/>
        <v>Not Included</v>
      </c>
      <c r="BS94" s="11" t="str">
        <f t="shared" si="20"/>
        <v>Not Included</v>
      </c>
      <c r="BT94" s="11" t="str">
        <f>IF(BQ94, IF(COUNTIF(Raw!AV94:BK94, "&gt;=0") = 16, IFERROR((BS94*Raw!AV94 - SUM(Raw!AV94, Raw!AW94, Raw!AX94, Raw!AY94)*SUM(Raw!AV94, Raw!AZ94, Raw!BD94, Raw!BH94)) / SQRT((BS94*SUM(Raw!AV94, Raw!AW94, Raw!AX94, Raw!AY94) - SUM(Raw!AV94, Raw!AW94, Raw!AX94, Raw!AY94)^2) * (BS94*SUM(Raw!AV94, Raw!AZ94, Raw!BD94, Raw!BH94) - SUM(Raw!AV94, Raw!AZ94, Raw!BD94, Raw!BH94)^2)), 0), "No Contingency Table"), "Not Included")</f>
        <v>Not Included</v>
      </c>
      <c r="BU94" s="11" t="str">
        <f>IF(BQ94, IF(COUNTIF(Raw!AV94:BK94, "&gt;=0") = 16, SUM(Raw!BK94,Raw!BJ94,Raw!BI94,Raw!BG94,Raw!BF94,Raw!BE94,Raw!BC94,Raw!BB94,Raw!BA94,Raw!AV94)/SUM(Raw!AV94:BK94), "No Contingency Table"), "Not Included")</f>
        <v>Not Included</v>
      </c>
      <c r="BV94" s="11" t="str">
        <f>IF(BQ94, IF(COUNTIF(Raw!AV94:BK94, "&gt;=0") = 16,SUM(SUM(Raw!AV94,Raw!AW94,Raw!AX94,Raw!AY94)*SUM(Raw!AV94,Raw!AZ94,Raw!BD94,Raw!BH94),SUM(Raw!AZ94:BK94)*SUM(Raw!AW94,Raw!AX94,Raw!AY94,Raw!BA94,Raw!BB94,Raw!BC94,Raw!BE94,Raw!BF94,Raw!BG94,Raw!BI94,Raw!BJ94,Raw!BK94))/BS94^2,"No Contingency Table"), "Not Included")</f>
        <v>Not Included</v>
      </c>
      <c r="BW94" s="11" t="str">
        <f>IF(BQ94, IF(COUNTIF(Raw!AV94:BK94, "&gt;=0") = 16,(BU94-BV94) / (1 - BV94),"No Contingency Table"), "Not Included")</f>
        <v>Not Included</v>
      </c>
      <c r="BX94" s="11" t="b">
        <f t="shared" ref="BX94:BZ94" si="389">BQ94</f>
        <v>0</v>
      </c>
      <c r="BY94" s="11" t="str">
        <f t="shared" si="389"/>
        <v>Not Included</v>
      </c>
      <c r="BZ94" s="11" t="str">
        <f t="shared" si="389"/>
        <v>Not Included</v>
      </c>
      <c r="CA94" s="11" t="str">
        <f>IF(BX94, IF(COUNTIF(Raw!AV94:BK94, "&gt;=0") = 16, IFERROR((BZ94*Raw!BF94 - SUM(Raw!BD94, Raw!BE94, Raw!BF94, Raw!BG94)*SUM(Raw!BF94, Raw!AX94, Raw!BB94, Raw!BJ94)) / SQRT((BZ94*SUM(Raw!BD94, Raw!BE94, Raw!BF94, Raw!BG94) - SUM(Raw!BD94, Raw!BE94, Raw!BF94, Raw!BG94)^2) * (BZ94*SUM(Raw!BF94, Raw!AX94, Raw!BB94, Raw!BJ94) - SUM(Raw!BF94, Raw!AX94, Raw!BB94, Raw!BJ94)^2)), 0), "No Contingency Table"), "Not Included")</f>
        <v>Not Included</v>
      </c>
      <c r="CB94" s="11" t="str">
        <f>IF(BX94, IF(COUNTIF(Raw!AV94:BK94, "&gt;=0") = 16, SUM(Raw!AV94,Raw!AW94,Raw!AY94,Raw!AZ94,Raw!BA94,Raw!BC94,Raw!BF94,Raw!BH94,Raw!BI94,Raw!BK94) / SUM(Raw!AV94:BK94), "No Contingency Table"), "Not Included")</f>
        <v>Not Included</v>
      </c>
      <c r="CC94" s="11" t="str">
        <f>IF(BX94, IF(COUNTIF(Raw!AV94:BK94, "&gt;=0") = 16,SUM(SUM(Raw!BD94,Raw!BE94,Raw!BF94,Raw!BG94)*SUM(Raw!BF94,Raw!AX94,Raw!BB94,Raw!BJ94),SUM(Raw!AV94:BC94,Raw!BH94:BK94)*SUM(Raw!AV94,Raw!AW94,Raw!AY94,Raw!AZ94,Raw!BA94,Raw!BC94,Raw!BD94,Raw!BE94,Raw!BG94,Raw!BH94,Raw!BI94,Raw!BK94))/BZ94^2,"No Contingency Table"), "Not Included")</f>
        <v>Not Included</v>
      </c>
      <c r="CD94" s="11" t="str">
        <f>IF(BX94, IF(COUNTIF(Raw!AV94:BK94, "&gt;=0") = 16,(CB94 - CC94) / (1 - CC94+0.000001),"No Contingency Table"), "Not Included")</f>
        <v>Not Included</v>
      </c>
      <c r="CE94" s="11" t="b">
        <f t="shared" ref="CE94:CG94" si="390">BQ94</f>
        <v>0</v>
      </c>
      <c r="CF94" s="11" t="str">
        <f t="shared" si="390"/>
        <v>Not Included</v>
      </c>
      <c r="CG94" s="11" t="str">
        <f t="shared" si="390"/>
        <v>Not Included</v>
      </c>
      <c r="CH94" s="11" t="str">
        <f>IF(CE94, IF(COUNTIF(Raw!AV94:BK94, "&gt;=0") = 16, IFERROR((CG94*Raw!BA94 - SUM(Raw!BA94, Raw!AZ94, Raw!BB94, Raw!BC94)*SUM(Raw!BA94, Raw!AW94, Raw!BE94, Raw!BI94)) / SQRT((CG94*SUM(Raw!BA94, Raw!AZ94, Raw!BB94, Raw!BC94) - SUM(Raw!BA94, Raw!AZ94, Raw!BB94, Raw!BC94)^2) * (CG94*SUM(Raw!BA94, Raw!AW94, Raw!BE94, Raw!BI94) - SUM(Raw!BA94, Raw!AW94, Raw!BE94, Raw!BI94)^2)), 0), "No Contingency Table"), "Not Included")</f>
        <v>Not Included</v>
      </c>
      <c r="CI94" s="11" t="str">
        <f>IF(CE94, IF(COUNTIF(Raw!AV94:BK94, "&gt;=0") = 16, SUM(Raw!AV94,Raw!AX94,Raw!AY94,Raw!BA94,Raw!BD94,Raw!BF94,Raw!BG94,Raw!BH94,Raw!BJ94,Raw!BK94) / SUM(Raw!AV94:BK94), "No Contingency Table"), "Not Included")</f>
        <v>Not Included</v>
      </c>
      <c r="CJ94" s="61" t="str">
        <f>IF(BX94, IF(COUNTIF(Raw!AV94:BK94, "&gt;=0") = 16,SUM(SUM(Raw!AZ94,Raw!BA94,Raw!BB94,Raw!BC94)*SUM(Raw!BA94,Raw!AW94,Raw!BE94,Raw!BI94),SUM(Raw!AV94:AY94,Raw!BD94:BK94)*SUM(Raw!AV94,Raw!AX94,Raw!AY94,Raw!AZ94,Raw!BB94,Raw!BC94,Raw!BD94,Raw!BF94,Raw!BG94,Raw!BH94,Raw!BJ94,Raw!BK94))/CG94^2,"No Contingency Table"), "Not Included")</f>
        <v>Not Included</v>
      </c>
      <c r="CK94" s="11" t="str">
        <f>IF(BX94, IF(COUNTIF(Raw!AV94:BK94, "&gt;=0") = 16,(CI94 - CJ94) / (1 - CJ94),"No Contingency Table"), "Not Included")</f>
        <v>Not Included</v>
      </c>
      <c r="CL94" s="11" t="str">
        <f>IF(BQ94, IFERROR(Raw!AV94/SUM(Raw!AV94:AY94), 0), "Not Included")</f>
        <v>Not Included</v>
      </c>
      <c r="CM94" s="11" t="str">
        <f>IF(BQ94, IFERROR(Raw!BA94/SUM(Raw!AZ94:BC94), 0), "Not Included")</f>
        <v>Not Included</v>
      </c>
      <c r="CN94" s="11" t="str">
        <f>IF(BQ94, IFERROR(Raw!BF94/SUM(Raw!BD94:BG94), 0), "Not Included")</f>
        <v>Not Included</v>
      </c>
      <c r="CO94" s="11" t="str">
        <f>IF(BQ94, IFERROR(Raw!BK94/SUM(Raw!BH94:BK94), 0), "Not Included")</f>
        <v>Not Included</v>
      </c>
      <c r="CP94" s="11" t="str">
        <f>IF(BQ94, IFERROR(SUM(Raw!AV94,Raw!AX94,Raw!AY94,Raw!BD94,Raw!BF94,Raw!BG94,Raw!BH94,Raw!BJ94,Raw!BK94)/SUM(Raw!AV94,Raw!AW94,Raw!AX94,Raw!AY94,Raw!BD94,Raw!BE94,Raw!BF94,Raw!BG94,Raw!BH94,Raw!BI94,Raw!BJ94,Raw!BK94), 0), "Not Included")</f>
        <v>Not Included</v>
      </c>
      <c r="CQ94" s="11" t="str">
        <f>IF(BQ94, IFERROR(SUM(Raw!AV94:AX94,Raw!AZ94:BB94,Raw!BD94:BF94)/SUM(Raw!AV94:BF94), 0), "Not Included")</f>
        <v>Not Included</v>
      </c>
      <c r="CR94" s="11" t="str">
        <f>IF(BQ94, IFERROR(SUM(Raw!AV94:AY94), 0), "Not Included")</f>
        <v>Not Included</v>
      </c>
      <c r="CS94" s="11" t="str">
        <f>IF(BQ94, IFERROR(SUM(Raw!AZ94:BC94), 0), "Not Included")</f>
        <v>Not Included</v>
      </c>
      <c r="CT94" s="11" t="str">
        <f>IF(BQ94, IFERROR(SUM(Raw!BD94:BG94), 0), "Not Included")</f>
        <v>Not Included</v>
      </c>
      <c r="CU94" s="11" t="str">
        <f>IF(BQ94, IFERROR(SUM(Raw!BH94:BK94), 0), "Not Included")</f>
        <v>Not Included</v>
      </c>
      <c r="CV94" s="11" t="str">
        <f>IF(BQ94, IFERROR(SUM(Raw!AV94,Raw!AW94,Raw!AX94,Raw!AY94,Raw!BD94,Raw!BE94,Raw!BF94,Raw!BG94,Raw!BH94,Raw!BI94,Raw!BJ94,Raw!BK94), 0), "Not Included")</f>
        <v>Not Included</v>
      </c>
      <c r="CW94" s="11" t="str">
        <f>IF(BQ94, IFERROR(SUM(Raw!AV94:BF94), 0), "Not Included")</f>
        <v>Not Included</v>
      </c>
      <c r="CX94" s="11" t="str">
        <f>IF(BQ94, IFERROR((CR94*SUM(Raw!AV94,Raw!AZ94,Raw!BD94,Raw!BH94))/BS94/CR94, 0), "Not Included")</f>
        <v>Not Included</v>
      </c>
      <c r="CY94" s="11" t="str">
        <f>IF(BX94, IFERROR((CS94*SUM(Raw!BA94,Raw!AW94,Raw!BE94,Raw!BI94))/CG94/CS94, 0), "Not Included")</f>
        <v>Not Included</v>
      </c>
      <c r="CZ94" s="11" t="str">
        <f>IF(BX94, IFERROR((CT94*SUM(Raw!BF94,Raw!AX94,Raw!BB94,Raw!BJ94))/BZ94/CT94, 0), "Not Included")</f>
        <v>Not Included</v>
      </c>
      <c r="DA94" s="11" t="str">
        <f>IF(AY94, IFERROR((CU94*SUM(Raw!AY94,Raw!BC94,Raw!BG94,Raw!BK94))/AT94/CU94, 0), "Not Included")</f>
        <v>Not Included</v>
      </c>
      <c r="DB94" s="11" t="str">
        <f>IF(BX94, IFERROR((CV94*SUM(Raw!AV94,Raw!AX94,Raw!AY94,Raw!AZ94,Raw!BB94,Raw!BC94,Raw!BD94,Raw!BF94,Raw!BG94,Raw!BH94,Raw!BJ94,Raw!BK94))/CG94/CV94,0), "Not Included")</f>
        <v>Not Included</v>
      </c>
      <c r="DC94" s="11" t="str">
        <f>IF(AY94, IFERROR((CW94*SUM(Raw!AV94,Raw!AW94,Raw!AX94,Raw!AZ94,Raw!BA94,Raw!BB94,Raw!BD94,Raw!BE94,Raw!BF94,Raw!BH94,Raw!BI94,Raw!BJ94))/AT94/CW94,0), "Not Included")</f>
        <v>Not Included</v>
      </c>
    </row>
    <row r="95" spans="1:107" ht="12.75" customHeight="1">
      <c r="A95" s="11">
        <f>Raw!D95</f>
        <v>69</v>
      </c>
      <c r="B95" s="11" t="str">
        <f>Raw!A95</f>
        <v>Sutton (1994)</v>
      </c>
      <c r="C95" s="11">
        <f>Raw!G95</f>
        <v>1</v>
      </c>
      <c r="D95" s="11" t="str">
        <f>Raw!E95</f>
        <v>14-24 months</v>
      </c>
      <c r="E95" s="11" t="str">
        <f>CONCATENATE(IF(Raw!I95&lt;='Interval Definitions'!$B$2, 'Interval Definitions'!$A$2, IF(Raw!I95&lt;='Interval Definitions'!$B$3, 'Interval Definitions'!$A$3, IF(Raw!I95&lt;='Interval Definitions'!$B$4, 'Interval Definitions'!$A$4, IF(Raw!I95&lt;='Interval Definitions'!$B$5, 'Interval Definitions'!$A$5, "None")))), " - ", IF(Raw!J95&lt;='Interval Definitions'!$B$2, 'Interval Definitions'!$A$2, IF(Raw!J95&lt;='Interval Definitions'!$B$3, 'Interval Definitions'!$A$3, IF(Raw!J95&lt;='Interval Definitions'!$B$4, 'Interval Definitions'!$A$4, IF(Raw!J95&lt;='Interval Definitions'!$B$5, 'Interval Definitions'!$A$5, "None")))))</f>
        <v>Infancy - Toddlerhood</v>
      </c>
      <c r="F95" s="11" t="b">
        <f>OR(NOT(ISBLANK(Raw!AF95)),NOT(ISBLANK(Raw!AG95)),NOT(ISBLANK(Raw!AH95)),NOT(ISBLANK(Raw!AI95)),COUNTIF(Raw!AA95:AD95, "&gt;=0") = 4)</f>
        <v>1</v>
      </c>
      <c r="G95" s="11" t="str">
        <f>IF(F95, IF(COUNTIF(Raw!AA95:AD95,"&gt;=0") = 4, "Contingency", IF(NOT(ISBLANK(Raw!AF95)), "Paper r", IF(NOT(ISBLANK(Raw!AG95)), "Pinquart", IF(NOT(ISBLANK(Raw!AH95)), "Fraley", "Paper chiSq")))), "Not Included")</f>
        <v>Paper r</v>
      </c>
      <c r="H95" s="15">
        <f>IF(F95,Raw!AE95,"Not Included")</f>
        <v>44</v>
      </c>
      <c r="I95" s="15" t="str">
        <f>IF(COUNTIF(Raw!AA95:AD95,"&gt;=0") = 4, SUM(Raw!AA95:AD95), "No Contingency Table")</f>
        <v>No Contingency Table</v>
      </c>
      <c r="J95" s="15">
        <f t="shared" si="0"/>
        <v>44</v>
      </c>
      <c r="K95" s="38" t="str">
        <f>IF(F95, IF(COUNTIF(Raw!AA95:AD95,"&gt;=0") = 4, IFERROR((I95*Raw!AA95 - SUM(Raw!AA95,Raw!AB95)*SUM(Raw!AA95,Raw!AD95)) / SQRT((I95*SUM(Raw!AA95,Raw!AB95) - SUM(Raw!AA95,Raw!AB95)^2) * (I95*SUM(Raw!AA95,Raw!AD95) - SUM(Raw!AA95,Raw!AD95)^2)), 0), "No Contingency Table"), "Not Included")</f>
        <v>No Contingency Table</v>
      </c>
      <c r="L95" s="41">
        <f>IF(F95,IF(NOT(ISBLANK(Raw!AF95)), Raw!AF95, IF(NOT(ISBLANK(Raw!AG95)), Raw!AG95, IF(NOT(ISBLANK(Raw!AH95)), Raw!AH95, IF(NOT(ISBLANK(Raw!AI95)), SQRT(Raw!AI95/H95)*Raw!AJ95, "Not Reported")))),"Not Included")</f>
        <v>0.27</v>
      </c>
      <c r="M95" s="43">
        <f t="shared" si="1"/>
        <v>0.27</v>
      </c>
      <c r="N95" s="11" t="str">
        <f t="shared" si="2"/>
        <v>NA</v>
      </c>
      <c r="O95" s="48" t="b">
        <f>OR(NOT(ISBLANK(Raw!AK95)), COUNTIF(Raw!AA95:AD95, "&gt;=0") = 4)</f>
        <v>0</v>
      </c>
      <c r="P95" s="24" t="str">
        <f>IF(O95,IF(COUNTIF(Raw!AA95:AD95,"&gt;=0") = 4,"Contingency", "Paper k"), "Not Included")</f>
        <v>Not Included</v>
      </c>
      <c r="Q95" s="48" t="str">
        <f>IF(O95, IF(COUNTIF(Raw!AA95:AD95,"&gt;=0") = 4,SUM(Raw!AA95,Raw!AC95)/H95,"No Contingency Table"), "Not Included")</f>
        <v>Not Included</v>
      </c>
      <c r="R95" s="38" t="str">
        <f>IF(O95, IF(COUNTIF(Raw!AA95:AD95, "&gt;=0") = 4,SUM(SUM(Raw!AA95,Raw!AB95)*SUM(Raw!AA95,Raw!AD95),SUM(Raw!AC95,Raw!AD95)*SUM(Raw!AC95,Raw!AB95))/H95^2,"No Contingency Table"), "Not Included")</f>
        <v>Not Included</v>
      </c>
      <c r="S95" s="38" t="str">
        <f>IF(O95, IF(COUNTIF(Raw!AA95:AD95,"&gt;=0") = 4, IFERROR((Q95 - R95) / (1 - R95), "Could not calculate"), "No Contingency Table"), "Not Included")</f>
        <v>Not Included</v>
      </c>
      <c r="T95" s="52" t="str">
        <f>IF(O95,IF(NOT(ISBLANK(Raw!AK95)), Raw!AK95, "Not Reported"), "Not Included")</f>
        <v>Not Included</v>
      </c>
      <c r="U95" s="11" t="str">
        <f t="shared" si="3"/>
        <v>Not Included</v>
      </c>
      <c r="V95" s="11" t="str">
        <f t="shared" si="4"/>
        <v>Not Included</v>
      </c>
      <c r="W95" s="11" t="b">
        <f>OR(NOT(ISBLANK(Raw!AU95)),COUNTIF(Raw!AL95:AT95,"&gt;=0") = 9)</f>
        <v>0</v>
      </c>
      <c r="X95" s="11" t="str">
        <f>IF(W95, IF(COUNTIF(Raw!AL95:AT95,"&gt;=0") = 9, "Contingency", "Paper k"), "Not Included")</f>
        <v>Not Included</v>
      </c>
      <c r="Y95" s="11" t="str">
        <f>IF(W95,IF(COUNTIF(Raw!AL95:AT95,"&gt;=0") = 9,SUM(Raw!AL95:AT95),"No Contingency Table"),"Not Included")</f>
        <v>Not Included</v>
      </c>
      <c r="Z95" s="11" t="str">
        <f t="shared" si="5"/>
        <v>Not Included</v>
      </c>
      <c r="AA95" s="11" t="str">
        <f>IF(W95,IF(COUNTIF(Raw!AL95:AT95,"&gt;=0") = 9,SUM(Raw!AL95,Raw!AP95,Raw!AT95)/Y95,"No Contingency Table"), "Not Included")</f>
        <v>Not Included</v>
      </c>
      <c r="AB95" s="11" t="str">
        <f>IF(W95,IF(COUNTIF(Raw!AL95:AT95,"&gt;=0") = 9,SUM(SUM(Raw!AL95,Raw!AM95,Raw!AN95)*SUM(Raw!AL95,Raw!AO95,Raw!AR95),SUM(Raw!AO95,Raw!AP95,Raw!AQ95)*SUM(Raw!AM95,Raw!AP95,Raw!AS95),SUM(Raw!AR95,Raw!AS95,Raw!AT95)*SUM(Raw!AN95,Raw!AQ95,Raw!AT95))/Y95^2,"No Contingency Table"), "Not Included")</f>
        <v>Not Included</v>
      </c>
      <c r="AC95" s="11" t="str">
        <f>IF(W95,IF(COUNTIF(Raw!AL95:AT95,"&gt;=0") = 9,(AA95 - AB95) / (1 - AB95),"No Contingency Table"), "Not Included")</f>
        <v>Not Included</v>
      </c>
      <c r="AD95" s="11" t="str">
        <f>IF(W95, IF(NOT(ISBLANK(Raw!AU95)),Raw!AU95,"Not Reported"), "Not Included")</f>
        <v>Not Included</v>
      </c>
      <c r="AE95" s="11" t="str">
        <f t="shared" si="6"/>
        <v>Not Included</v>
      </c>
      <c r="AF95" s="11" t="str">
        <f t="shared" si="7"/>
        <v>Not Included</v>
      </c>
      <c r="AG95" s="11" t="b">
        <f>COUNTIF(Raw!AV95:BK95, "&gt;=0") = 16</f>
        <v>0</v>
      </c>
      <c r="AH95" s="11" t="str">
        <f>IF(AG95, IF(COUNTIF(Raw!AV95:BK95,"&gt;=0") = 16, "Contingency", "Paper k"), "Not Included")</f>
        <v>Not Included</v>
      </c>
      <c r="AI95" s="11" t="str">
        <f>IF(AG95,IF(COUNTIF(Raw!AV95:BK95,"&gt;=0") = 16,SUM(Raw!AV95:BK95),"No Contingency Table"),"Not Included")</f>
        <v>Not Included</v>
      </c>
      <c r="AJ95" s="15">
        <f t="shared" si="8"/>
        <v>44</v>
      </c>
      <c r="AK95" s="11" t="str">
        <f>IF(AG95,IF(COUNTIF(Raw!AV95:BK95,"&gt;=0") = 16,SUM(Raw!AV95,Raw!BA95,Raw!BF95,Raw!BK95)/AI95,"No Contingency Table"), "Not Included")</f>
        <v>Not Included</v>
      </c>
      <c r="AL95" s="11" t="str">
        <f>IF(AG95,IF(COUNTIF(Raw!AV95:BK95,"&gt;=0") = 16,SUM(SUM(Raw!AV95,Raw!AW95,Raw!AX95,Raw!AY95)*SUM(Raw!AV95,Raw!AZ95,Raw!BD95,Raw!BH95),SUM(Raw!AZ95,Raw!BA95,Raw!BB95,Raw!BC95)*SUM(Raw!AW95,Raw!BA95,Raw!BE95,Raw!BI95),SUM(Raw!BD95,Raw!BE95,Raw!BF95,Raw!BG95)*SUM(Raw!AX95,Raw!BB95,Raw!BF95,Raw!BJ95),SUM(Raw!BH95,Raw!BI95,Raw!BJ95,Raw!BK95)*SUM(Raw!AY95,Raw!BC95,Raw!BG95,Raw!BK95))/AI95^2,"No Contingency Table"), "Not Included")</f>
        <v>Not Included</v>
      </c>
      <c r="AM95" s="11" t="str">
        <f>IF(AG95,IF(COUNTIF(Raw!AV95:BK95,"&gt;=0") = 16,(AK95 - AL95) / (1 - AL95),"No Contingency Table"), "Not Included")</f>
        <v>Not Included</v>
      </c>
      <c r="AN95" s="11" t="str">
        <f>IF(NOT(ISBLANK(Raw!BL95)),Raw!BL95,"Not Reported")</f>
        <v>Not Reported</v>
      </c>
      <c r="AO95" s="11" t="str">
        <f t="shared" si="9"/>
        <v>Not Reported</v>
      </c>
      <c r="AP95" s="11" t="str">
        <f t="shared" si="10"/>
        <v>Not Included</v>
      </c>
      <c r="AQ95" s="11" t="b">
        <f t="shared" ref="AQ95:AR95" si="391">BQ95</f>
        <v>0</v>
      </c>
      <c r="AR95" s="11" t="str">
        <f t="shared" si="391"/>
        <v>Not Included</v>
      </c>
      <c r="AS95" s="11" t="str">
        <f t="shared" si="12"/>
        <v>Not Included</v>
      </c>
      <c r="AT95" s="11" t="str">
        <f t="shared" si="13"/>
        <v>Not Included</v>
      </c>
      <c r="AU95" s="11" t="str">
        <f>IF(AQ95, IF(COUNTIF(Raw!AV95:BK95, "&gt;=0") = 16, IFERROR((AT95*Raw!BK95 - SUM(Raw!BH95, Raw!BI95, Raw!BJ95, Raw!BK95)*SUM(Raw!AY95, Raw!BC95, Raw!BG95, Raw!BK95)) / SQRT((AT95*SUM(Raw!BH95, Raw!BI95, Raw!BJ95, Raw!BK95) - SUM(Raw!BH95, Raw!BI95, Raw!BJ95, Raw!BK95)^2) * (AT95*SUM(Raw!AY95, Raw!BC95, Raw!BG95, Raw!BK95) - SUM(Raw!AY95, Raw!BC95, Raw!BG95, Raw!BK95)^2)), 0), "No Contingency Table"), "Not Included")</f>
        <v>Not Included</v>
      </c>
      <c r="AV95" s="11" t="str">
        <f>IF(AQ95,IF(NOT(ISBLANK(Raw!BQ95)), Raw!BQ95, IF(NOT(ISBLANK(Raw!BR95)), Raw!BR95, "Not Reported")), "Not Included")</f>
        <v>Not Included</v>
      </c>
      <c r="AW95" s="57" t="str">
        <f t="shared" si="14"/>
        <v>Not Included</v>
      </c>
      <c r="AX95" s="11" t="str">
        <f t="shared" si="15"/>
        <v>Not Included</v>
      </c>
      <c r="AY95" s="11" t="b">
        <f t="shared" ref="AY95:AZ95" si="392">AQ95</f>
        <v>0</v>
      </c>
      <c r="AZ95" s="11" t="str">
        <f t="shared" si="392"/>
        <v>Not Included</v>
      </c>
      <c r="BA95" s="11" t="str">
        <f>IF(AY95, IF(COUNTIF(Raw!AV95:BK95, "&gt;=0") = 16, SUM(Raw!AV95,Raw!AW95,Raw!AX95,Raw!AZ95,Raw!BA95,Raw!BB95,Raw!BD95,Raw!BE95,Raw!BF95,Raw!BK95)/SUM(Raw!AV95:BK95), "No Contingency Table"), "Not Included")</f>
        <v>Not Included</v>
      </c>
      <c r="BB95" s="11" t="str">
        <f>IF(AY95, IF(COUNTIF(Raw!AV95:BK95, "&gt;=0") = 16,SUM(SUM(Raw!BH95,Raw!BI95,Raw!BJ95,Raw!BK95)*SUM(Raw!AY95,Raw!BC95,Raw!BG95,Raw!BK95),SUM(Raw!AV95:BG95)*SUM(Raw!AV95,Raw!AW95,Raw!AX95,Raw!AZ95,Raw!BA95,Raw!BB95,Raw!BD95,Raw!BE95,Raw!BF95,Raw!BH95,Raw!BI95,Raw!BJ95))/AT95^2,"No Contingency Table"), "Not Included")</f>
        <v>Not Included</v>
      </c>
      <c r="BC95" s="11" t="str">
        <f>IF(AY95, IF(COUNTIF(Raw!AV95:BK95, "&gt;=0") = 16,(BA95-BB95) / (1 - BB95),"No Contingency Table"), "Not Included")</f>
        <v>Not Included</v>
      </c>
      <c r="BD95" s="11" t="str">
        <f>IF(AY95,IF(NOT(ISBLANK(Raw!BT116)),Raw!BT116,"Not Reported"),"Not Included")</f>
        <v>Not Included</v>
      </c>
      <c r="BE95" s="11" t="str">
        <f t="shared" si="17"/>
        <v>Not Included</v>
      </c>
      <c r="BF95" s="11" t="str">
        <f t="shared" si="18"/>
        <v>Not Included</v>
      </c>
      <c r="BG95" s="11">
        <f>Raw!K95</f>
        <v>1994</v>
      </c>
      <c r="BH95" s="11" t="str">
        <f>IF(Raw!L95 = "USA","USA","Non-USA")</f>
        <v>USA</v>
      </c>
      <c r="BI95" s="11" t="str">
        <f>Raw!M95</f>
        <v>Ainsworth/Ainsworth</v>
      </c>
      <c r="BJ95" s="11">
        <f>Raw!N95</f>
        <v>0</v>
      </c>
      <c r="BK95" s="11">
        <f>Raw!P95</f>
        <v>0</v>
      </c>
      <c r="BL95" s="11">
        <f>Raw!Q95</f>
        <v>0</v>
      </c>
      <c r="BM95" s="11">
        <f>Raw!T95</f>
        <v>0</v>
      </c>
      <c r="BN95" s="11">
        <f>IFERROR(IF(AND(ISBLANK(Raw!U95), ISBLANK(Raw!V95), ISBLANK(Raw!W95), ISBLANK(Raw!X95)), "NA", IF(OR(NOT(ISBLANK(Raw!U95)), NOT(ISBLANK(Raw!W95))), AVERAGE(Raw!U95,Raw!W95), AVERAGE(Raw!V95,Raw!X95) + IF(Raw!Y95 = "2-way", R95, IF(Raw!Y95 = "3-way", AB95, IF(Raw!Y95 = "4-way", AL95, "NA")))*(1 - AVERAGE(Raw!V95,Raw!X95)))), "NA")</f>
        <v>0.82</v>
      </c>
      <c r="BO95" s="11">
        <f>Raw!O95</f>
        <v>0</v>
      </c>
      <c r="BP95" s="11" t="str">
        <f>Raw!F95</f>
        <v>Female</v>
      </c>
      <c r="BQ95" s="11" t="b">
        <f>COUNTIF(Raw!AV95:BK95, "&gt;=0") = 16</f>
        <v>0</v>
      </c>
      <c r="BR95" s="11" t="str">
        <f t="shared" si="19"/>
        <v>Not Included</v>
      </c>
      <c r="BS95" s="11" t="str">
        <f t="shared" si="20"/>
        <v>Not Included</v>
      </c>
      <c r="BT95" s="11" t="str">
        <f>IF(BQ95, IF(COUNTIF(Raw!AV95:BK95, "&gt;=0") = 16, IFERROR((BS95*Raw!AV95 - SUM(Raw!AV95, Raw!AW95, Raw!AX95, Raw!AY95)*SUM(Raw!AV95, Raw!AZ95, Raw!BD95, Raw!BH95)) / SQRT((BS95*SUM(Raw!AV95, Raw!AW95, Raw!AX95, Raw!AY95) - SUM(Raw!AV95, Raw!AW95, Raw!AX95, Raw!AY95)^2) * (BS95*SUM(Raw!AV95, Raw!AZ95, Raw!BD95, Raw!BH95) - SUM(Raw!AV95, Raw!AZ95, Raw!BD95, Raw!BH95)^2)), 0), "No Contingency Table"), "Not Included")</f>
        <v>Not Included</v>
      </c>
      <c r="BU95" s="11" t="str">
        <f>IF(BQ95, IF(COUNTIF(Raw!AV95:BK95, "&gt;=0") = 16, SUM(Raw!BK95,Raw!BJ95,Raw!BI95,Raw!BG95,Raw!BF95,Raw!BE95,Raw!BC95,Raw!BB95,Raw!BA95,Raw!AV95)/SUM(Raw!AV95:BK95), "No Contingency Table"), "Not Included")</f>
        <v>Not Included</v>
      </c>
      <c r="BV95" s="11" t="str">
        <f>IF(BQ95, IF(COUNTIF(Raw!AV95:BK95, "&gt;=0") = 16,SUM(SUM(Raw!AV95,Raw!AW95,Raw!AX95,Raw!AY95)*SUM(Raw!AV95,Raw!AZ95,Raw!BD95,Raw!BH95),SUM(Raw!AZ95:BK95)*SUM(Raw!AW95,Raw!AX95,Raw!AY95,Raw!BA95,Raw!BB95,Raw!BC95,Raw!BE95,Raw!BF95,Raw!BG95,Raw!BI95,Raw!BJ95,Raw!BK95))/BS95^2,"No Contingency Table"), "Not Included")</f>
        <v>Not Included</v>
      </c>
      <c r="BW95" s="11" t="str">
        <f>IF(BQ95, IF(COUNTIF(Raw!AV95:BK95, "&gt;=0") = 16,(BU95-BV95) / (1 - BV95),"No Contingency Table"), "Not Included")</f>
        <v>Not Included</v>
      </c>
      <c r="BX95" s="11" t="b">
        <f t="shared" ref="BX95:BZ95" si="393">BQ95</f>
        <v>0</v>
      </c>
      <c r="BY95" s="11" t="str">
        <f t="shared" si="393"/>
        <v>Not Included</v>
      </c>
      <c r="BZ95" s="11" t="str">
        <f t="shared" si="393"/>
        <v>Not Included</v>
      </c>
      <c r="CA95" s="11" t="str">
        <f>IF(BX95, IF(COUNTIF(Raw!AV95:BK95, "&gt;=0") = 16, IFERROR((BZ95*Raw!BF95 - SUM(Raw!BD95, Raw!BE95, Raw!BF95, Raw!BG95)*SUM(Raw!BF95, Raw!AX95, Raw!BB95, Raw!BJ95)) / SQRT((BZ95*SUM(Raw!BD95, Raw!BE95, Raw!BF95, Raw!BG95) - SUM(Raw!BD95, Raw!BE95, Raw!BF95, Raw!BG95)^2) * (BZ95*SUM(Raw!BF95, Raw!AX95, Raw!BB95, Raw!BJ95) - SUM(Raw!BF95, Raw!AX95, Raw!BB95, Raw!BJ95)^2)), 0), "No Contingency Table"), "Not Included")</f>
        <v>Not Included</v>
      </c>
      <c r="CB95" s="11" t="str">
        <f>IF(BX95, IF(COUNTIF(Raw!AV95:BK95, "&gt;=0") = 16, SUM(Raw!AV95,Raw!AW95,Raw!AY95,Raw!AZ95,Raw!BA95,Raw!BC95,Raw!BF95,Raw!BH95,Raw!BI95,Raw!BK95) / SUM(Raw!AV95:BK95), "No Contingency Table"), "Not Included")</f>
        <v>Not Included</v>
      </c>
      <c r="CC95" s="11" t="str">
        <f>IF(BX95, IF(COUNTIF(Raw!AV95:BK95, "&gt;=0") = 16,SUM(SUM(Raw!BD95,Raw!BE95,Raw!BF95,Raw!BG95)*SUM(Raw!BF95,Raw!AX95,Raw!BB95,Raw!BJ95),SUM(Raw!AV95:BC95,Raw!BH95:BK95)*SUM(Raw!AV95,Raw!AW95,Raw!AY95,Raw!AZ95,Raw!BA95,Raw!BC95,Raw!BD95,Raw!BE95,Raw!BG95,Raw!BH95,Raw!BI95,Raw!BK95))/BZ95^2,"No Contingency Table"), "Not Included")</f>
        <v>Not Included</v>
      </c>
      <c r="CD95" s="11" t="str">
        <f>IF(BX95, IF(COUNTIF(Raw!AV95:BK95, "&gt;=0") = 16,(CB95 - CC95) / (1 - CC95+0.000001),"No Contingency Table"), "Not Included")</f>
        <v>Not Included</v>
      </c>
      <c r="CE95" s="11" t="b">
        <f t="shared" ref="CE95:CG95" si="394">BQ95</f>
        <v>0</v>
      </c>
      <c r="CF95" s="11" t="str">
        <f t="shared" si="394"/>
        <v>Not Included</v>
      </c>
      <c r="CG95" s="11" t="str">
        <f t="shared" si="394"/>
        <v>Not Included</v>
      </c>
      <c r="CH95" s="11" t="str">
        <f>IF(CE95, IF(COUNTIF(Raw!AV95:BK95, "&gt;=0") = 16, IFERROR((CG95*Raw!BA95 - SUM(Raw!BA95, Raw!AZ95, Raw!BB95, Raw!BC95)*SUM(Raw!BA95, Raw!AW95, Raw!BE95, Raw!BI95)) / SQRT((CG95*SUM(Raw!BA95, Raw!AZ95, Raw!BB95, Raw!BC95) - SUM(Raw!BA95, Raw!AZ95, Raw!BB95, Raw!BC95)^2) * (CG95*SUM(Raw!BA95, Raw!AW95, Raw!BE95, Raw!BI95) - SUM(Raw!BA95, Raw!AW95, Raw!BE95, Raw!BI95)^2)), 0), "No Contingency Table"), "Not Included")</f>
        <v>Not Included</v>
      </c>
      <c r="CI95" s="11" t="str">
        <f>IF(CE95, IF(COUNTIF(Raw!AV95:BK95, "&gt;=0") = 16, SUM(Raw!AV95,Raw!AX95,Raw!AY95,Raw!BA95,Raw!BD95,Raw!BF95,Raw!BG95,Raw!BH95,Raw!BJ95,Raw!BK95) / SUM(Raw!AV95:BK95), "No Contingency Table"), "Not Included")</f>
        <v>Not Included</v>
      </c>
      <c r="CJ95" s="61" t="str">
        <f>IF(BX95, IF(COUNTIF(Raw!AV95:BK95, "&gt;=0") = 16,SUM(SUM(Raw!AZ95,Raw!BA95,Raw!BB95,Raw!BC95)*SUM(Raw!BA95,Raw!AW95,Raw!BE95,Raw!BI95),SUM(Raw!AV95:AY95,Raw!BD95:BK95)*SUM(Raw!AV95,Raw!AX95,Raw!AY95,Raw!AZ95,Raw!BB95,Raw!BC95,Raw!BD95,Raw!BF95,Raw!BG95,Raw!BH95,Raw!BJ95,Raw!BK95))/CG95^2,"No Contingency Table"), "Not Included")</f>
        <v>Not Included</v>
      </c>
      <c r="CK95" s="11" t="str">
        <f>IF(BX95, IF(COUNTIF(Raw!AV95:BK95, "&gt;=0") = 16,(CI95 - CJ95) / (1 - CJ95),"No Contingency Table"), "Not Included")</f>
        <v>Not Included</v>
      </c>
      <c r="CL95" s="11" t="str">
        <f>IF(BQ95, IFERROR(Raw!AV95/SUM(Raw!AV95:AY95), 0), "Not Included")</f>
        <v>Not Included</v>
      </c>
      <c r="CM95" s="11" t="str">
        <f>IF(BQ95, IFERROR(Raw!BA95/SUM(Raw!AZ95:BC95), 0), "Not Included")</f>
        <v>Not Included</v>
      </c>
      <c r="CN95" s="11" t="str">
        <f>IF(BQ95, IFERROR(Raw!BF95/SUM(Raw!BD95:BG95), 0), "Not Included")</f>
        <v>Not Included</v>
      </c>
      <c r="CO95" s="11" t="str">
        <f>IF(BQ95, IFERROR(Raw!BK95/SUM(Raw!BH95:BK95), 0), "Not Included")</f>
        <v>Not Included</v>
      </c>
      <c r="CP95" s="11" t="str">
        <f>IF(BQ95, IFERROR(SUM(Raw!AV95,Raw!AX95,Raw!AY95,Raw!BD95,Raw!BF95,Raw!BG95,Raw!BH95,Raw!BJ95,Raw!BK95)/SUM(Raw!AV95,Raw!AW95,Raw!AX95,Raw!AY95,Raw!BD95,Raw!BE95,Raw!BF95,Raw!BG95,Raw!BH95,Raw!BI95,Raw!BJ95,Raw!BK95), 0), "Not Included")</f>
        <v>Not Included</v>
      </c>
      <c r="CQ95" s="11" t="str">
        <f>IF(BQ95, IFERROR(SUM(Raw!AV95:AX95,Raw!AZ95:BB95,Raw!BD95:BF95)/SUM(Raw!AV95:BF95), 0), "Not Included")</f>
        <v>Not Included</v>
      </c>
      <c r="CR95" s="11" t="str">
        <f>IF(BQ95, IFERROR(SUM(Raw!AV95:AY95), 0), "Not Included")</f>
        <v>Not Included</v>
      </c>
      <c r="CS95" s="11" t="str">
        <f>IF(BQ95, IFERROR(SUM(Raw!AZ95:BC95), 0), "Not Included")</f>
        <v>Not Included</v>
      </c>
      <c r="CT95" s="11" t="str">
        <f>IF(BQ95, IFERROR(SUM(Raw!BD95:BG95), 0), "Not Included")</f>
        <v>Not Included</v>
      </c>
      <c r="CU95" s="11" t="str">
        <f>IF(BQ95, IFERROR(SUM(Raw!BH95:BK95), 0), "Not Included")</f>
        <v>Not Included</v>
      </c>
      <c r="CV95" s="11" t="str">
        <f>IF(BQ95, IFERROR(SUM(Raw!AV95,Raw!AW95,Raw!AX95,Raw!AY95,Raw!BD95,Raw!BE95,Raw!BF95,Raw!BG95,Raw!BH95,Raw!BI95,Raw!BJ95,Raw!BK95), 0), "Not Included")</f>
        <v>Not Included</v>
      </c>
      <c r="CW95" s="11" t="str">
        <f>IF(BQ95, IFERROR(SUM(Raw!AV95:BF95), 0), "Not Included")</f>
        <v>Not Included</v>
      </c>
      <c r="CX95" s="11" t="str">
        <f>IF(BQ95, IFERROR((CR95*SUM(Raw!AV95,Raw!AZ95,Raw!BD95,Raw!BH95))/BS95/CR95, 0), "Not Included")</f>
        <v>Not Included</v>
      </c>
      <c r="CY95" s="11" t="str">
        <f>IF(BX95, IFERROR((CS95*SUM(Raw!BA95,Raw!AW95,Raw!BE95,Raw!BI95))/CG95/CS95, 0), "Not Included")</f>
        <v>Not Included</v>
      </c>
      <c r="CZ95" s="11" t="str">
        <f>IF(BX95, IFERROR((CT95*SUM(Raw!BF95,Raw!AX95,Raw!BB95,Raw!BJ95))/BZ95/CT95, 0), "Not Included")</f>
        <v>Not Included</v>
      </c>
      <c r="DA95" s="11" t="str">
        <f>IF(AY95, IFERROR((CU95*SUM(Raw!AY95,Raw!BC95,Raw!BG95,Raw!BK95))/AT95/CU95, 0), "Not Included")</f>
        <v>Not Included</v>
      </c>
      <c r="DB95" s="11" t="str">
        <f>IF(BX95, IFERROR((CV95*SUM(Raw!AV95,Raw!AX95,Raw!AY95,Raw!AZ95,Raw!BB95,Raw!BC95,Raw!BD95,Raw!BF95,Raw!BG95,Raw!BH95,Raw!BJ95,Raw!BK95))/CG95/CV95,0), "Not Included")</f>
        <v>Not Included</v>
      </c>
      <c r="DC95" s="11" t="str">
        <f>IF(AY95, IFERROR((CW95*SUM(Raw!AV95,Raw!AW95,Raw!AX95,Raw!AZ95,Raw!BA95,Raw!BB95,Raw!BD95,Raw!BE95,Raw!BF95,Raw!BH95,Raw!BI95,Raw!BJ95))/AT95/CW95,0), "Not Included")</f>
        <v>Not Included</v>
      </c>
    </row>
    <row r="96" spans="1:107" ht="12.75" customHeight="1">
      <c r="A96" s="11">
        <f>Raw!D96</f>
        <v>69</v>
      </c>
      <c r="B96" s="11" t="str">
        <f>Raw!A96</f>
        <v>Sutton (1994)</v>
      </c>
      <c r="C96" s="11">
        <f>Raw!G96</f>
        <v>2</v>
      </c>
      <c r="D96" s="11" t="str">
        <f>Raw!E96</f>
        <v>14-58 months</v>
      </c>
      <c r="E96" s="11" t="str">
        <f>CONCATENATE(IF(Raw!I96&lt;='Interval Definitions'!$B$2, 'Interval Definitions'!$A$2, IF(Raw!I96&lt;='Interval Definitions'!$B$3, 'Interval Definitions'!$A$3, IF(Raw!I96&lt;='Interval Definitions'!$B$4, 'Interval Definitions'!$A$4, IF(Raw!I96&lt;='Interval Definitions'!$B$5, 'Interval Definitions'!$A$5, "None")))), " - ", IF(Raw!J96&lt;='Interval Definitions'!$B$2, 'Interval Definitions'!$A$2, IF(Raw!J96&lt;='Interval Definitions'!$B$3, 'Interval Definitions'!$A$3, IF(Raw!J96&lt;='Interval Definitions'!$B$4, 'Interval Definitions'!$A$4, IF(Raw!J96&lt;='Interval Definitions'!$B$5, 'Interval Definitions'!$A$5, "None")))))</f>
        <v>Infancy - Preschool</v>
      </c>
      <c r="F96" s="11" t="b">
        <f>OR(NOT(ISBLANK(Raw!AF96)),NOT(ISBLANK(Raw!AG96)),NOT(ISBLANK(Raw!AH96)),NOT(ISBLANK(Raw!AI96)),COUNTIF(Raw!AA96:AD96, "&gt;=0") = 4)</f>
        <v>1</v>
      </c>
      <c r="G96" s="11" t="str">
        <f>IF(F96, IF(COUNTIF(Raw!AA96:AD96,"&gt;=0") = 4, "Contingency", IF(NOT(ISBLANK(Raw!AF96)), "Paper r", IF(NOT(ISBLANK(Raw!AG96)), "Pinquart", IF(NOT(ISBLANK(Raw!AH96)), "Fraley", "Paper chiSq")))), "Not Included")</f>
        <v>Paper r</v>
      </c>
      <c r="H96" s="15">
        <f>IF(F96,Raw!AE96,"Not Included")</f>
        <v>44</v>
      </c>
      <c r="I96" s="15" t="str">
        <f>IF(COUNTIF(Raw!AA96:AD96,"&gt;=0") = 4, SUM(Raw!AA96:AD96), "No Contingency Table")</f>
        <v>No Contingency Table</v>
      </c>
      <c r="J96" s="15">
        <f t="shared" si="0"/>
        <v>44</v>
      </c>
      <c r="K96" s="38" t="str">
        <f>IF(F96, IF(COUNTIF(Raw!AA96:AD96,"&gt;=0") = 4, IFERROR((I96*Raw!AA96 - SUM(Raw!AA96,Raw!AB96)*SUM(Raw!AA96,Raw!AD96)) / SQRT((I96*SUM(Raw!AA96,Raw!AB96) - SUM(Raw!AA96,Raw!AB96)^2) * (I96*SUM(Raw!AA96,Raw!AD96) - SUM(Raw!AA96,Raw!AD96)^2)), 0), "No Contingency Table"), "Not Included")</f>
        <v>No Contingency Table</v>
      </c>
      <c r="L96" s="41">
        <f>IF(F96,IF(NOT(ISBLANK(Raw!AF96)), Raw!AF96, IF(NOT(ISBLANK(Raw!AG96)), Raw!AG96, IF(NOT(ISBLANK(Raw!AH96)), Raw!AH96, IF(NOT(ISBLANK(Raw!AI96)), SQRT(Raw!AI96/H96)*Raw!AJ96, "Not Reported")))),"Not Included")</f>
        <v>-0.08</v>
      </c>
      <c r="M96" s="43">
        <f t="shared" si="1"/>
        <v>-0.08</v>
      </c>
      <c r="N96" s="11" t="str">
        <f t="shared" si="2"/>
        <v>NA</v>
      </c>
      <c r="O96" s="48" t="b">
        <f>OR(NOT(ISBLANK(Raw!AK96)), COUNTIF(Raw!AA96:AD96, "&gt;=0") = 4)</f>
        <v>0</v>
      </c>
      <c r="P96" s="24" t="str">
        <f>IF(O96,IF(COUNTIF(Raw!AA96:AD96,"&gt;=0") = 4,"Contingency", "Paper k"), "Not Included")</f>
        <v>Not Included</v>
      </c>
      <c r="Q96" s="48" t="str">
        <f>IF(O96, IF(COUNTIF(Raw!AA96:AD96,"&gt;=0") = 4,SUM(Raw!AA96,Raw!AC96)/H96,"No Contingency Table"), "Not Included")</f>
        <v>Not Included</v>
      </c>
      <c r="R96" s="38" t="str">
        <f>IF(O96, IF(COUNTIF(Raw!AA96:AD96, "&gt;=0") = 4,SUM(SUM(Raw!AA96,Raw!AB96)*SUM(Raw!AA96,Raw!AD96),SUM(Raw!AC96,Raw!AD96)*SUM(Raw!AC96,Raw!AB96))/H96^2,"No Contingency Table"), "Not Included")</f>
        <v>Not Included</v>
      </c>
      <c r="S96" s="38" t="str">
        <f>IF(O96, IF(COUNTIF(Raw!AA96:AD96,"&gt;=0") = 4, IFERROR((Q96 - R96) / (1 - R96), "Could not calculate"), "No Contingency Table"), "Not Included")</f>
        <v>Not Included</v>
      </c>
      <c r="T96" s="52" t="str">
        <f>IF(O96,IF(NOT(ISBLANK(Raw!AK96)), Raw!AK96, "Not Reported"), "Not Included")</f>
        <v>Not Included</v>
      </c>
      <c r="U96" s="11" t="str">
        <f t="shared" si="3"/>
        <v>Not Included</v>
      </c>
      <c r="V96" s="11" t="str">
        <f t="shared" si="4"/>
        <v>Not Included</v>
      </c>
      <c r="W96" s="11" t="b">
        <f>OR(NOT(ISBLANK(Raw!AU96)),COUNTIF(Raw!AL96:AT96,"&gt;=0") = 9)</f>
        <v>0</v>
      </c>
      <c r="X96" s="11" t="str">
        <f>IF(W96, IF(COUNTIF(Raw!AL96:AT96,"&gt;=0") = 9, "Contingency", "Paper k"), "Not Included")</f>
        <v>Not Included</v>
      </c>
      <c r="Y96" s="11" t="str">
        <f>IF(W96,IF(COUNTIF(Raw!AL96:AT96,"&gt;=0") = 9,SUM(Raw!AL96:AT96),"No Contingency Table"),"Not Included")</f>
        <v>Not Included</v>
      </c>
      <c r="Z96" s="11" t="str">
        <f t="shared" si="5"/>
        <v>Not Included</v>
      </c>
      <c r="AA96" s="11" t="str">
        <f>IF(W96,IF(COUNTIF(Raw!AL96:AT96,"&gt;=0") = 9,SUM(Raw!AL96,Raw!AP96,Raw!AT96)/Y96,"No Contingency Table"), "Not Included")</f>
        <v>Not Included</v>
      </c>
      <c r="AB96" s="11" t="str">
        <f>IF(W96,IF(COUNTIF(Raw!AL96:AT96,"&gt;=0") = 9,SUM(SUM(Raw!AL96,Raw!AM96,Raw!AN96)*SUM(Raw!AL96,Raw!AO96,Raw!AR96),SUM(Raw!AO96,Raw!AP96,Raw!AQ96)*SUM(Raw!AM96,Raw!AP96,Raw!AS96),SUM(Raw!AR96,Raw!AS96,Raw!AT96)*SUM(Raw!AN96,Raw!AQ96,Raw!AT96))/Y96^2,"No Contingency Table"), "Not Included")</f>
        <v>Not Included</v>
      </c>
      <c r="AC96" s="11" t="str">
        <f>IF(W96,IF(COUNTIF(Raw!AL96:AT96,"&gt;=0") = 9,(AA96 - AB96) / (1 - AB96),"No Contingency Table"), "Not Included")</f>
        <v>Not Included</v>
      </c>
      <c r="AD96" s="11" t="str">
        <f>IF(W96, IF(NOT(ISBLANK(Raw!AU96)),Raw!AU96,"Not Reported"), "Not Included")</f>
        <v>Not Included</v>
      </c>
      <c r="AE96" s="11" t="str">
        <f t="shared" si="6"/>
        <v>Not Included</v>
      </c>
      <c r="AF96" s="11" t="str">
        <f t="shared" si="7"/>
        <v>Not Included</v>
      </c>
      <c r="AG96" s="11" t="b">
        <f>COUNTIF(Raw!AV96:BK96, "&gt;=0") = 16</f>
        <v>0</v>
      </c>
      <c r="AH96" s="11" t="str">
        <f>IF(AG96, IF(COUNTIF(Raw!AV96:BK96,"&gt;=0") = 16, "Contingency", "Paper k"), "Not Included")</f>
        <v>Not Included</v>
      </c>
      <c r="AI96" s="11" t="str">
        <f>IF(AG96,IF(COUNTIF(Raw!AV96:BK96,"&gt;=0") = 16,SUM(Raw!AV96:BK96),"No Contingency Table"),"Not Included")</f>
        <v>Not Included</v>
      </c>
      <c r="AJ96" s="15">
        <f t="shared" si="8"/>
        <v>44</v>
      </c>
      <c r="AK96" s="11" t="str">
        <f>IF(AG96,IF(COUNTIF(Raw!AV96:BK96,"&gt;=0") = 16,SUM(Raw!AV96,Raw!BA96,Raw!BF96,Raw!BK96)/AI96,"No Contingency Table"), "Not Included")</f>
        <v>Not Included</v>
      </c>
      <c r="AL96" s="11" t="str">
        <f>IF(AG96,IF(COUNTIF(Raw!AV96:BK96,"&gt;=0") = 16,SUM(SUM(Raw!AV96,Raw!AW96,Raw!AX96,Raw!AY96)*SUM(Raw!AV96,Raw!AZ96,Raw!BD96,Raw!BH96),SUM(Raw!AZ96,Raw!BA96,Raw!BB96,Raw!BC96)*SUM(Raw!AW96,Raw!BA96,Raw!BE96,Raw!BI96),SUM(Raw!BD96,Raw!BE96,Raw!BF96,Raw!BG96)*SUM(Raw!AX96,Raw!BB96,Raw!BF96,Raw!BJ96),SUM(Raw!BH96,Raw!BI96,Raw!BJ96,Raw!BK96)*SUM(Raw!AY96,Raw!BC96,Raw!BG96,Raw!BK96))/AI96^2,"No Contingency Table"), "Not Included")</f>
        <v>Not Included</v>
      </c>
      <c r="AM96" s="11" t="str">
        <f>IF(AG96,IF(COUNTIF(Raw!AV96:BK96,"&gt;=0") = 16,(AK96 - AL96) / (1 - AL96),"No Contingency Table"), "Not Included")</f>
        <v>Not Included</v>
      </c>
      <c r="AN96" s="11" t="str">
        <f>IF(NOT(ISBLANK(Raw!BL96)),Raw!BL96,"Not Reported")</f>
        <v>Not Reported</v>
      </c>
      <c r="AO96" s="11" t="str">
        <f t="shared" si="9"/>
        <v>Not Reported</v>
      </c>
      <c r="AP96" s="11" t="str">
        <f t="shared" si="10"/>
        <v>Not Included</v>
      </c>
      <c r="AQ96" s="11" t="b">
        <f t="shared" ref="AQ96:AR96" si="395">BQ96</f>
        <v>0</v>
      </c>
      <c r="AR96" s="11" t="str">
        <f t="shared" si="395"/>
        <v>Not Included</v>
      </c>
      <c r="AS96" s="11" t="str">
        <f t="shared" si="12"/>
        <v>Not Included</v>
      </c>
      <c r="AT96" s="11" t="str">
        <f t="shared" si="13"/>
        <v>Not Included</v>
      </c>
      <c r="AU96" s="11" t="str">
        <f>IF(AQ96, IF(COUNTIF(Raw!AV96:BK96, "&gt;=0") = 16, IFERROR((AT96*Raw!BK96 - SUM(Raw!BH96, Raw!BI96, Raw!BJ96, Raw!BK96)*SUM(Raw!AY96, Raw!BC96, Raw!BG96, Raw!BK96)) / SQRT((AT96*SUM(Raw!BH96, Raw!BI96, Raw!BJ96, Raw!BK96) - SUM(Raw!BH96, Raw!BI96, Raw!BJ96, Raw!BK96)^2) * (AT96*SUM(Raw!AY96, Raw!BC96, Raw!BG96, Raw!BK96) - SUM(Raw!AY96, Raw!BC96, Raw!BG96, Raw!BK96)^2)), 0), "No Contingency Table"), "Not Included")</f>
        <v>Not Included</v>
      </c>
      <c r="AV96" s="11" t="str">
        <f>IF(AQ96,IF(NOT(ISBLANK(Raw!BQ96)), Raw!BQ96, IF(NOT(ISBLANK(Raw!BR96)), Raw!BR96, "Not Reported")), "Not Included")</f>
        <v>Not Included</v>
      </c>
      <c r="AW96" s="57" t="str">
        <f t="shared" si="14"/>
        <v>Not Included</v>
      </c>
      <c r="AX96" s="11" t="str">
        <f t="shared" si="15"/>
        <v>Not Included</v>
      </c>
      <c r="AY96" s="11" t="b">
        <f t="shared" ref="AY96:AZ96" si="396">AQ96</f>
        <v>0</v>
      </c>
      <c r="AZ96" s="11" t="str">
        <f t="shared" si="396"/>
        <v>Not Included</v>
      </c>
      <c r="BA96" s="11" t="str">
        <f>IF(AY96, IF(COUNTIF(Raw!AV96:BK96, "&gt;=0") = 16, SUM(Raw!AV96,Raw!AW96,Raw!AX96,Raw!AZ96,Raw!BA96,Raw!BB96,Raw!BD96,Raw!BE96,Raw!BF96,Raw!BK96)/SUM(Raw!AV96:BK96), "No Contingency Table"), "Not Included")</f>
        <v>Not Included</v>
      </c>
      <c r="BB96" s="11" t="str">
        <f>IF(AY96, IF(COUNTIF(Raw!AV96:BK96, "&gt;=0") = 16,SUM(SUM(Raw!BH96,Raw!BI96,Raw!BJ96,Raw!BK96)*SUM(Raw!AY96,Raw!BC96,Raw!BG96,Raw!BK96),SUM(Raw!AV96:BG96)*SUM(Raw!AV96,Raw!AW96,Raw!AX96,Raw!AZ96,Raw!BA96,Raw!BB96,Raw!BD96,Raw!BE96,Raw!BF96,Raw!BH96,Raw!BI96,Raw!BJ96))/AT96^2,"No Contingency Table"), "Not Included")</f>
        <v>Not Included</v>
      </c>
      <c r="BC96" s="11" t="str">
        <f>IF(AY96, IF(COUNTIF(Raw!AV96:BK96, "&gt;=0") = 16,(BA96-BB96) / (1 - BB96),"No Contingency Table"), "Not Included")</f>
        <v>Not Included</v>
      </c>
      <c r="BD96" s="11" t="str">
        <f>IF(AY96,IF(NOT(ISBLANK(Raw!BT117)),Raw!BT117,"Not Reported"),"Not Included")</f>
        <v>Not Included</v>
      </c>
      <c r="BE96" s="11" t="str">
        <f t="shared" si="17"/>
        <v>Not Included</v>
      </c>
      <c r="BF96" s="11" t="str">
        <f t="shared" si="18"/>
        <v>Not Included</v>
      </c>
      <c r="BG96" s="11">
        <f>Raw!K96</f>
        <v>1994</v>
      </c>
      <c r="BH96" s="11" t="str">
        <f>IF(Raw!L96 = "USA","USA","Non-USA")</f>
        <v>USA</v>
      </c>
      <c r="BI96" s="11" t="str">
        <f>Raw!M96</f>
        <v>Ainsworth/Cassidy-Marvin</v>
      </c>
      <c r="BJ96" s="11">
        <f>Raw!N96</f>
        <v>0</v>
      </c>
      <c r="BK96" s="11">
        <f>Raw!P96</f>
        <v>0</v>
      </c>
      <c r="BL96" s="11">
        <f>Raw!Q96</f>
        <v>0</v>
      </c>
      <c r="BM96" s="11">
        <f>Raw!T96</f>
        <v>0</v>
      </c>
      <c r="BN96" s="11">
        <f>IFERROR(IF(AND(ISBLANK(Raw!U96), ISBLANK(Raw!V96), ISBLANK(Raw!W96), ISBLANK(Raw!X96)), "NA", IF(OR(NOT(ISBLANK(Raw!U96)), NOT(ISBLANK(Raw!W96))), AVERAGE(Raw!U96,Raw!W96), AVERAGE(Raw!V96,Raw!X96) + IF(Raw!Y96 = "2-way", R96, IF(Raw!Y96 = "3-way", AB96, IF(Raw!Y96 = "4-way", AL96, "NA")))*(1 - AVERAGE(Raw!V96,Raw!X96)))), "NA")</f>
        <v>0.82</v>
      </c>
      <c r="BO96" s="11">
        <f>Raw!O96</f>
        <v>0</v>
      </c>
      <c r="BP96" s="11" t="str">
        <f>Raw!F96</f>
        <v>Female</v>
      </c>
      <c r="BQ96" s="11" t="b">
        <f>COUNTIF(Raw!AV96:BK96, "&gt;=0") = 16</f>
        <v>0</v>
      </c>
      <c r="BR96" s="11" t="str">
        <f t="shared" si="19"/>
        <v>Not Included</v>
      </c>
      <c r="BS96" s="11" t="str">
        <f t="shared" si="20"/>
        <v>Not Included</v>
      </c>
      <c r="BT96" s="11" t="str">
        <f>IF(BQ96, IF(COUNTIF(Raw!AV96:BK96, "&gt;=0") = 16, IFERROR((BS96*Raw!AV96 - SUM(Raw!AV96, Raw!AW96, Raw!AX96, Raw!AY96)*SUM(Raw!AV96, Raw!AZ96, Raw!BD96, Raw!BH96)) / SQRT((BS96*SUM(Raw!AV96, Raw!AW96, Raw!AX96, Raw!AY96) - SUM(Raw!AV96, Raw!AW96, Raw!AX96, Raw!AY96)^2) * (BS96*SUM(Raw!AV96, Raw!AZ96, Raw!BD96, Raw!BH96) - SUM(Raw!AV96, Raw!AZ96, Raw!BD96, Raw!BH96)^2)), 0), "No Contingency Table"), "Not Included")</f>
        <v>Not Included</v>
      </c>
      <c r="BU96" s="11" t="str">
        <f>IF(BQ96, IF(COUNTIF(Raw!AV96:BK96, "&gt;=0") = 16, SUM(Raw!BK96,Raw!BJ96,Raw!BI96,Raw!BG96,Raw!BF96,Raw!BE96,Raw!BC96,Raw!BB96,Raw!BA96,Raw!AV96)/SUM(Raw!AV96:BK96), "No Contingency Table"), "Not Included")</f>
        <v>Not Included</v>
      </c>
      <c r="BV96" s="11" t="str">
        <f>IF(BQ96, IF(COUNTIF(Raw!AV96:BK96, "&gt;=0") = 16,SUM(SUM(Raw!AV96,Raw!AW96,Raw!AX96,Raw!AY96)*SUM(Raw!AV96,Raw!AZ96,Raw!BD96,Raw!BH96),SUM(Raw!AZ96:BK96)*SUM(Raw!AW96,Raw!AX96,Raw!AY96,Raw!BA96,Raw!BB96,Raw!BC96,Raw!BE96,Raw!BF96,Raw!BG96,Raw!BI96,Raw!BJ96,Raw!BK96))/BS96^2,"No Contingency Table"), "Not Included")</f>
        <v>Not Included</v>
      </c>
      <c r="BW96" s="11" t="str">
        <f>IF(BQ96, IF(COUNTIF(Raw!AV96:BK96, "&gt;=0") = 16,(BU96-BV96) / (1 - BV96),"No Contingency Table"), "Not Included")</f>
        <v>Not Included</v>
      </c>
      <c r="BX96" s="11" t="b">
        <f t="shared" ref="BX96:BZ96" si="397">BQ96</f>
        <v>0</v>
      </c>
      <c r="BY96" s="11" t="str">
        <f t="shared" si="397"/>
        <v>Not Included</v>
      </c>
      <c r="BZ96" s="11" t="str">
        <f t="shared" si="397"/>
        <v>Not Included</v>
      </c>
      <c r="CA96" s="11" t="str">
        <f>IF(BX96, IF(COUNTIF(Raw!AV96:BK96, "&gt;=0") = 16, IFERROR((BZ96*Raw!BF96 - SUM(Raw!BD96, Raw!BE96, Raw!BF96, Raw!BG96)*SUM(Raw!BF96, Raw!AX96, Raw!BB96, Raw!BJ96)) / SQRT((BZ96*SUM(Raw!BD96, Raw!BE96, Raw!BF96, Raw!BG96) - SUM(Raw!BD96, Raw!BE96, Raw!BF96, Raw!BG96)^2) * (BZ96*SUM(Raw!BF96, Raw!AX96, Raw!BB96, Raw!BJ96) - SUM(Raw!BF96, Raw!AX96, Raw!BB96, Raw!BJ96)^2)), 0), "No Contingency Table"), "Not Included")</f>
        <v>Not Included</v>
      </c>
      <c r="CB96" s="11" t="str">
        <f>IF(BX96, IF(COUNTIF(Raw!AV96:BK96, "&gt;=0") = 16, SUM(Raw!AV96,Raw!AW96,Raw!AY96,Raw!AZ96,Raw!BA96,Raw!BC96,Raw!BF96,Raw!BH96,Raw!BI96,Raw!BK96) / SUM(Raw!AV96:BK96), "No Contingency Table"), "Not Included")</f>
        <v>Not Included</v>
      </c>
      <c r="CC96" s="11" t="str">
        <f>IF(BX96, IF(COUNTIF(Raw!AV96:BK96, "&gt;=0") = 16,SUM(SUM(Raw!BD96,Raw!BE96,Raw!BF96,Raw!BG96)*SUM(Raw!BF96,Raw!AX96,Raw!BB96,Raw!BJ96),SUM(Raw!AV96:BC96,Raw!BH96:BK96)*SUM(Raw!AV96,Raw!AW96,Raw!AY96,Raw!AZ96,Raw!BA96,Raw!BC96,Raw!BD96,Raw!BE96,Raw!BG96,Raw!BH96,Raw!BI96,Raw!BK96))/BZ96^2,"No Contingency Table"), "Not Included")</f>
        <v>Not Included</v>
      </c>
      <c r="CD96" s="11" t="str">
        <f>IF(BX96, IF(COUNTIF(Raw!AV96:BK96, "&gt;=0") = 16,(CB96 - CC96) / (1 - CC96+0.000001),"No Contingency Table"), "Not Included")</f>
        <v>Not Included</v>
      </c>
      <c r="CE96" s="11" t="b">
        <f t="shared" ref="CE96:CG96" si="398">BQ96</f>
        <v>0</v>
      </c>
      <c r="CF96" s="11" t="str">
        <f t="shared" si="398"/>
        <v>Not Included</v>
      </c>
      <c r="CG96" s="11" t="str">
        <f t="shared" si="398"/>
        <v>Not Included</v>
      </c>
      <c r="CH96" s="11" t="str">
        <f>IF(CE96, IF(COUNTIF(Raw!AV96:BK96, "&gt;=0") = 16, IFERROR((CG96*Raw!BA96 - SUM(Raw!BA96, Raw!AZ96, Raw!BB96, Raw!BC96)*SUM(Raw!BA96, Raw!AW96, Raw!BE96, Raw!BI96)) / SQRT((CG96*SUM(Raw!BA96, Raw!AZ96, Raw!BB96, Raw!BC96) - SUM(Raw!BA96, Raw!AZ96, Raw!BB96, Raw!BC96)^2) * (CG96*SUM(Raw!BA96, Raw!AW96, Raw!BE96, Raw!BI96) - SUM(Raw!BA96, Raw!AW96, Raw!BE96, Raw!BI96)^2)), 0), "No Contingency Table"), "Not Included")</f>
        <v>Not Included</v>
      </c>
      <c r="CI96" s="11" t="str">
        <f>IF(CE96, IF(COUNTIF(Raw!AV96:BK96, "&gt;=0") = 16, SUM(Raw!AV96,Raw!AX96,Raw!AY96,Raw!BA96,Raw!BD96,Raw!BF96,Raw!BG96,Raw!BH96,Raw!BJ96,Raw!BK96) / SUM(Raw!AV96:BK96), "No Contingency Table"), "Not Included")</f>
        <v>Not Included</v>
      </c>
      <c r="CJ96" s="61" t="str">
        <f>IF(BX96, IF(COUNTIF(Raw!AV96:BK96, "&gt;=0") = 16,SUM(SUM(Raw!AZ96,Raw!BA96,Raw!BB96,Raw!BC96)*SUM(Raw!BA96,Raw!AW96,Raw!BE96,Raw!BI96),SUM(Raw!AV96:AY96,Raw!BD96:BK96)*SUM(Raw!AV96,Raw!AX96,Raw!AY96,Raw!AZ96,Raw!BB96,Raw!BC96,Raw!BD96,Raw!BF96,Raw!BG96,Raw!BH96,Raw!BJ96,Raw!BK96))/CG96^2,"No Contingency Table"), "Not Included")</f>
        <v>Not Included</v>
      </c>
      <c r="CK96" s="11" t="str">
        <f>IF(BX96, IF(COUNTIF(Raw!AV96:BK96, "&gt;=0") = 16,(CI96 - CJ96) / (1 - CJ96),"No Contingency Table"), "Not Included")</f>
        <v>Not Included</v>
      </c>
      <c r="CL96" s="11" t="str">
        <f>IF(BQ96, IFERROR(Raw!AV96/SUM(Raw!AV96:AY96), 0), "Not Included")</f>
        <v>Not Included</v>
      </c>
      <c r="CM96" s="11" t="str">
        <f>IF(BQ96, IFERROR(Raw!BA96/SUM(Raw!AZ96:BC96), 0), "Not Included")</f>
        <v>Not Included</v>
      </c>
      <c r="CN96" s="11" t="str">
        <f>IF(BQ96, IFERROR(Raw!BF96/SUM(Raw!BD96:BG96), 0), "Not Included")</f>
        <v>Not Included</v>
      </c>
      <c r="CO96" s="11" t="str">
        <f>IF(BQ96, IFERROR(Raw!BK96/SUM(Raw!BH96:BK96), 0), "Not Included")</f>
        <v>Not Included</v>
      </c>
      <c r="CP96" s="11" t="str">
        <f>IF(BQ96, IFERROR(SUM(Raw!AV96,Raw!AX96,Raw!AY96,Raw!BD96,Raw!BF96,Raw!BG96,Raw!BH96,Raw!BJ96,Raw!BK96)/SUM(Raw!AV96,Raw!AW96,Raw!AX96,Raw!AY96,Raw!BD96,Raw!BE96,Raw!BF96,Raw!BG96,Raw!BH96,Raw!BI96,Raw!BJ96,Raw!BK96), 0), "Not Included")</f>
        <v>Not Included</v>
      </c>
      <c r="CQ96" s="11" t="str">
        <f>IF(BQ96, IFERROR(SUM(Raw!AV96:AX96,Raw!AZ96:BB96,Raw!BD96:BF96)/SUM(Raw!AV96:BF96), 0), "Not Included")</f>
        <v>Not Included</v>
      </c>
      <c r="CR96" s="11" t="str">
        <f>IF(BQ96, IFERROR(SUM(Raw!AV96:AY96), 0), "Not Included")</f>
        <v>Not Included</v>
      </c>
      <c r="CS96" s="11" t="str">
        <f>IF(BQ96, IFERROR(SUM(Raw!AZ96:BC96), 0), "Not Included")</f>
        <v>Not Included</v>
      </c>
      <c r="CT96" s="11" t="str">
        <f>IF(BQ96, IFERROR(SUM(Raw!BD96:BG96), 0), "Not Included")</f>
        <v>Not Included</v>
      </c>
      <c r="CU96" s="11" t="str">
        <f>IF(BQ96, IFERROR(SUM(Raw!BH96:BK96), 0), "Not Included")</f>
        <v>Not Included</v>
      </c>
      <c r="CV96" s="11" t="str">
        <f>IF(BQ96, IFERROR(SUM(Raw!AV96,Raw!AW96,Raw!AX96,Raw!AY96,Raw!BD96,Raw!BE96,Raw!BF96,Raw!BG96,Raw!BH96,Raw!BI96,Raw!BJ96,Raw!BK96), 0), "Not Included")</f>
        <v>Not Included</v>
      </c>
      <c r="CW96" s="11" t="str">
        <f>IF(BQ96, IFERROR(SUM(Raw!AV96:BF96), 0), "Not Included")</f>
        <v>Not Included</v>
      </c>
      <c r="CX96" s="11" t="str">
        <f>IF(BQ96, IFERROR((CR96*SUM(Raw!AV96,Raw!AZ96,Raw!BD96,Raw!BH96))/BS96/CR96, 0), "Not Included")</f>
        <v>Not Included</v>
      </c>
      <c r="CY96" s="11" t="str">
        <f>IF(BX96, IFERROR((CS96*SUM(Raw!BA96,Raw!AW96,Raw!BE96,Raw!BI96))/CG96/CS96, 0), "Not Included")</f>
        <v>Not Included</v>
      </c>
      <c r="CZ96" s="11" t="str">
        <f>IF(BX96, IFERROR((CT96*SUM(Raw!BF96,Raw!AX96,Raw!BB96,Raw!BJ96))/BZ96/CT96, 0), "Not Included")</f>
        <v>Not Included</v>
      </c>
      <c r="DA96" s="11" t="str">
        <f>IF(AY96, IFERROR((CU96*SUM(Raw!AY96,Raw!BC96,Raw!BG96,Raw!BK96))/AT96/CU96, 0), "Not Included")</f>
        <v>Not Included</v>
      </c>
      <c r="DB96" s="11" t="str">
        <f>IF(BX96, IFERROR((CV96*SUM(Raw!AV96,Raw!AX96,Raw!AY96,Raw!AZ96,Raw!BB96,Raw!BC96,Raw!BD96,Raw!BF96,Raw!BG96,Raw!BH96,Raw!BJ96,Raw!BK96))/CG96/CV96,0), "Not Included")</f>
        <v>Not Included</v>
      </c>
      <c r="DC96" s="11" t="str">
        <f>IF(AY96, IFERROR((CW96*SUM(Raw!AV96,Raw!AW96,Raw!AX96,Raw!AZ96,Raw!BA96,Raw!BB96,Raw!BD96,Raw!BE96,Raw!BF96,Raw!BH96,Raw!BI96,Raw!BJ96))/AT96/CW96,0), "Not Included")</f>
        <v>Not Included</v>
      </c>
    </row>
    <row r="97" spans="1:107" ht="12.75" customHeight="1">
      <c r="A97" s="11">
        <f>Raw!D97</f>
        <v>69</v>
      </c>
      <c r="B97" s="11" t="str">
        <f>Raw!A97</f>
        <v>Sutton (1994)</v>
      </c>
      <c r="C97" s="11">
        <f>Raw!G97</f>
        <v>3</v>
      </c>
      <c r="D97" s="11" t="str">
        <f>Raw!E97</f>
        <v>24-58 months</v>
      </c>
      <c r="E97" s="11" t="str">
        <f>CONCATENATE(IF(Raw!I97&lt;='Interval Definitions'!$B$2, 'Interval Definitions'!$A$2, IF(Raw!I97&lt;='Interval Definitions'!$B$3, 'Interval Definitions'!$A$3, IF(Raw!I97&lt;='Interval Definitions'!$B$4, 'Interval Definitions'!$A$4, IF(Raw!I97&lt;='Interval Definitions'!$B$5, 'Interval Definitions'!$A$5, "None")))), " - ", IF(Raw!J97&lt;='Interval Definitions'!$B$2, 'Interval Definitions'!$A$2, IF(Raw!J97&lt;='Interval Definitions'!$B$3, 'Interval Definitions'!$A$3, IF(Raw!J97&lt;='Interval Definitions'!$B$4, 'Interval Definitions'!$A$4, IF(Raw!J97&lt;='Interval Definitions'!$B$5, 'Interval Definitions'!$A$5, "None")))))</f>
        <v>Toddlerhood - Preschool</v>
      </c>
      <c r="F97" s="11" t="b">
        <f>OR(NOT(ISBLANK(Raw!AF97)),NOT(ISBLANK(Raw!AG97)),NOT(ISBLANK(Raw!AH97)),NOT(ISBLANK(Raw!AI97)),COUNTIF(Raw!AA97:AD97, "&gt;=0") = 4)</f>
        <v>1</v>
      </c>
      <c r="G97" s="11" t="str">
        <f>IF(F97, IF(COUNTIF(Raw!AA97:AD97,"&gt;=0") = 4, "Contingency", IF(NOT(ISBLANK(Raw!AF97)), "Paper r", IF(NOT(ISBLANK(Raw!AG97)), "Pinquart", IF(NOT(ISBLANK(Raw!AH97)), "Fraley", "Paper chiSq")))), "Not Included")</f>
        <v>Paper r</v>
      </c>
      <c r="H97" s="15">
        <f>IF(F97,Raw!AE97,"Not Included")</f>
        <v>46</v>
      </c>
      <c r="I97" s="15" t="str">
        <f>IF(COUNTIF(Raw!AA97:AD97,"&gt;=0") = 4, SUM(Raw!AA97:AD97), "No Contingency Table")</f>
        <v>No Contingency Table</v>
      </c>
      <c r="J97" s="15">
        <f t="shared" si="0"/>
        <v>46</v>
      </c>
      <c r="K97" s="38" t="str">
        <f>IF(F97, IF(COUNTIF(Raw!AA97:AD97,"&gt;=0") = 4, IFERROR((I97*Raw!AA97 - SUM(Raw!AA97,Raw!AB97)*SUM(Raw!AA97,Raw!AD97)) / SQRT((I97*SUM(Raw!AA97,Raw!AB97) - SUM(Raw!AA97,Raw!AB97)^2) * (I97*SUM(Raw!AA97,Raw!AD97) - SUM(Raw!AA97,Raw!AD97)^2)), 0), "No Contingency Table"), "Not Included")</f>
        <v>No Contingency Table</v>
      </c>
      <c r="L97" s="41">
        <f>IF(F97,IF(NOT(ISBLANK(Raw!AF97)), Raw!AF97, IF(NOT(ISBLANK(Raw!AG97)), Raw!AG97, IF(NOT(ISBLANK(Raw!AH97)), Raw!AH97, IF(NOT(ISBLANK(Raw!AI97)), SQRT(Raw!AI97/H97)*Raw!AJ97, "Not Reported")))),"Not Included")</f>
        <v>-0.09</v>
      </c>
      <c r="M97" s="43">
        <f t="shared" si="1"/>
        <v>-0.09</v>
      </c>
      <c r="N97" s="11" t="str">
        <f t="shared" si="2"/>
        <v>NA</v>
      </c>
      <c r="O97" s="48" t="b">
        <f>OR(NOT(ISBLANK(Raw!AK97)), COUNTIF(Raw!AA97:AD97, "&gt;=0") = 4)</f>
        <v>0</v>
      </c>
      <c r="P97" s="24" t="str">
        <f>IF(O97,IF(COUNTIF(Raw!AA97:AD97,"&gt;=0") = 4,"Contingency", "Paper k"), "Not Included")</f>
        <v>Not Included</v>
      </c>
      <c r="Q97" s="48" t="str">
        <f>IF(O97, IF(COUNTIF(Raw!AA97:AD97,"&gt;=0") = 4,SUM(Raw!AA97,Raw!AC97)/H97,"No Contingency Table"), "Not Included")</f>
        <v>Not Included</v>
      </c>
      <c r="R97" s="38" t="str">
        <f>IF(O97, IF(COUNTIF(Raw!AA97:AD97, "&gt;=0") = 4,SUM(SUM(Raw!AA97,Raw!AB97)*SUM(Raw!AA97,Raw!AD97),SUM(Raw!AC97,Raw!AD97)*SUM(Raw!AC97,Raw!AB97))/H97^2,"No Contingency Table"), "Not Included")</f>
        <v>Not Included</v>
      </c>
      <c r="S97" s="38" t="str">
        <f>IF(O97, IF(COUNTIF(Raw!AA97:AD97,"&gt;=0") = 4, IFERROR((Q97 - R97) / (1 - R97), "Could not calculate"), "No Contingency Table"), "Not Included")</f>
        <v>Not Included</v>
      </c>
      <c r="T97" s="52" t="str">
        <f>IF(O97,IF(NOT(ISBLANK(Raw!AK97)), Raw!AK97, "Not Reported"), "Not Included")</f>
        <v>Not Included</v>
      </c>
      <c r="U97" s="11" t="str">
        <f t="shared" si="3"/>
        <v>Not Included</v>
      </c>
      <c r="V97" s="11" t="str">
        <f t="shared" si="4"/>
        <v>Not Included</v>
      </c>
      <c r="W97" s="11" t="b">
        <f>OR(NOT(ISBLANK(Raw!AU97)),COUNTIF(Raw!AL97:AT97,"&gt;=0") = 9)</f>
        <v>0</v>
      </c>
      <c r="X97" s="11" t="str">
        <f>IF(W97, IF(COUNTIF(Raw!AL97:AT97,"&gt;=0") = 9, "Contingency", "Paper k"), "Not Included")</f>
        <v>Not Included</v>
      </c>
      <c r="Y97" s="11" t="str">
        <f>IF(W97,IF(COUNTIF(Raw!AL97:AT97,"&gt;=0") = 9,SUM(Raw!AL97:AT97),"No Contingency Table"),"Not Included")</f>
        <v>Not Included</v>
      </c>
      <c r="Z97" s="11" t="str">
        <f t="shared" si="5"/>
        <v>Not Included</v>
      </c>
      <c r="AA97" s="11" t="str">
        <f>IF(W97,IF(COUNTIF(Raw!AL97:AT97,"&gt;=0") = 9,SUM(Raw!AL97,Raw!AP97,Raw!AT97)/Y97,"No Contingency Table"), "Not Included")</f>
        <v>Not Included</v>
      </c>
      <c r="AB97" s="11" t="str">
        <f>IF(W97,IF(COUNTIF(Raw!AL97:AT97,"&gt;=0") = 9,SUM(SUM(Raw!AL97,Raw!AM97,Raw!AN97)*SUM(Raw!AL97,Raw!AO97,Raw!AR97),SUM(Raw!AO97,Raw!AP97,Raw!AQ97)*SUM(Raw!AM97,Raw!AP97,Raw!AS97),SUM(Raw!AR97,Raw!AS97,Raw!AT97)*SUM(Raw!AN97,Raw!AQ97,Raw!AT97))/Y97^2,"No Contingency Table"), "Not Included")</f>
        <v>Not Included</v>
      </c>
      <c r="AC97" s="11" t="str">
        <f>IF(W97,IF(COUNTIF(Raw!AL97:AT97,"&gt;=0") = 9,(AA97 - AB97) / (1 - AB97),"No Contingency Table"), "Not Included")</f>
        <v>Not Included</v>
      </c>
      <c r="AD97" s="11" t="str">
        <f>IF(W97, IF(NOT(ISBLANK(Raw!AU97)),Raw!AU97,"Not Reported"), "Not Included")</f>
        <v>Not Included</v>
      </c>
      <c r="AE97" s="11" t="str">
        <f t="shared" si="6"/>
        <v>Not Included</v>
      </c>
      <c r="AF97" s="11" t="str">
        <f t="shared" si="7"/>
        <v>Not Included</v>
      </c>
      <c r="AG97" s="11" t="b">
        <f>COUNTIF(Raw!AV97:BK97, "&gt;=0") = 16</f>
        <v>0</v>
      </c>
      <c r="AH97" s="11" t="str">
        <f>IF(AG97, IF(COUNTIF(Raw!AV97:BK97,"&gt;=0") = 16, "Contingency", "Paper k"), "Not Included")</f>
        <v>Not Included</v>
      </c>
      <c r="AI97" s="11" t="str">
        <f>IF(AG97,IF(COUNTIF(Raw!AV97:BK97,"&gt;=0") = 16,SUM(Raw!AV97:BK97),"No Contingency Table"),"Not Included")</f>
        <v>Not Included</v>
      </c>
      <c r="AJ97" s="15">
        <f t="shared" si="8"/>
        <v>46</v>
      </c>
      <c r="AK97" s="11" t="str">
        <f>IF(AG97,IF(COUNTIF(Raw!AV97:BK97,"&gt;=0") = 16,SUM(Raw!AV97,Raw!BA97,Raw!BF97,Raw!BK97)/AI97,"No Contingency Table"), "Not Included")</f>
        <v>Not Included</v>
      </c>
      <c r="AL97" s="11" t="str">
        <f>IF(AG97,IF(COUNTIF(Raw!AV97:BK97,"&gt;=0") = 16,SUM(SUM(Raw!AV97,Raw!AW97,Raw!AX97,Raw!AY97)*SUM(Raw!AV97,Raw!AZ97,Raw!BD97,Raw!BH97),SUM(Raw!AZ97,Raw!BA97,Raw!BB97,Raw!BC97)*SUM(Raw!AW97,Raw!BA97,Raw!BE97,Raw!BI97),SUM(Raw!BD97,Raw!BE97,Raw!BF97,Raw!BG97)*SUM(Raw!AX97,Raw!BB97,Raw!BF97,Raw!BJ97),SUM(Raw!BH97,Raw!BI97,Raw!BJ97,Raw!BK97)*SUM(Raw!AY97,Raw!BC97,Raw!BG97,Raw!BK97))/AI97^2,"No Contingency Table"), "Not Included")</f>
        <v>Not Included</v>
      </c>
      <c r="AM97" s="11" t="str">
        <f>IF(AG97,IF(COUNTIF(Raw!AV97:BK97,"&gt;=0") = 16,(AK97 - AL97) / (1 - AL97),"No Contingency Table"), "Not Included")</f>
        <v>Not Included</v>
      </c>
      <c r="AN97" s="11" t="str">
        <f>IF(NOT(ISBLANK(Raw!BL97)),Raw!BL97,"Not Reported")</f>
        <v>Not Reported</v>
      </c>
      <c r="AO97" s="11" t="str">
        <f t="shared" si="9"/>
        <v>Not Reported</v>
      </c>
      <c r="AP97" s="11" t="str">
        <f t="shared" si="10"/>
        <v>Not Included</v>
      </c>
      <c r="AQ97" s="11" t="b">
        <f t="shared" ref="AQ97:AR97" si="399">BQ97</f>
        <v>0</v>
      </c>
      <c r="AR97" s="11" t="str">
        <f t="shared" si="399"/>
        <v>Not Included</v>
      </c>
      <c r="AS97" s="11" t="str">
        <f t="shared" si="12"/>
        <v>Not Included</v>
      </c>
      <c r="AT97" s="11" t="str">
        <f t="shared" si="13"/>
        <v>Not Included</v>
      </c>
      <c r="AU97" s="11" t="str">
        <f>IF(AQ97, IF(COUNTIF(Raw!AV97:BK97, "&gt;=0") = 16, IFERROR((AT97*Raw!BK97 - SUM(Raw!BH97, Raw!BI97, Raw!BJ97, Raw!BK97)*SUM(Raw!AY97, Raw!BC97, Raw!BG97, Raw!BK97)) / SQRT((AT97*SUM(Raw!BH97, Raw!BI97, Raw!BJ97, Raw!BK97) - SUM(Raw!BH97, Raw!BI97, Raw!BJ97, Raw!BK97)^2) * (AT97*SUM(Raw!AY97, Raw!BC97, Raw!BG97, Raw!BK97) - SUM(Raw!AY97, Raw!BC97, Raw!BG97, Raw!BK97)^2)), 0), "No Contingency Table"), "Not Included")</f>
        <v>Not Included</v>
      </c>
      <c r="AV97" s="11" t="str">
        <f>IF(AQ97,IF(NOT(ISBLANK(Raw!BQ97)), Raw!BQ97, IF(NOT(ISBLANK(Raw!BR97)), Raw!BR97, "Not Reported")), "Not Included")</f>
        <v>Not Included</v>
      </c>
      <c r="AW97" s="57" t="str">
        <f t="shared" si="14"/>
        <v>Not Included</v>
      </c>
      <c r="AX97" s="11" t="str">
        <f t="shared" si="15"/>
        <v>Not Included</v>
      </c>
      <c r="AY97" s="11" t="b">
        <f t="shared" ref="AY97:AZ97" si="400">AQ97</f>
        <v>0</v>
      </c>
      <c r="AZ97" s="11" t="str">
        <f t="shared" si="400"/>
        <v>Not Included</v>
      </c>
      <c r="BA97" s="11" t="str">
        <f>IF(AY97, IF(COUNTIF(Raw!AV97:BK97, "&gt;=0") = 16, SUM(Raw!AV97,Raw!AW97,Raw!AX97,Raw!AZ97,Raw!BA97,Raw!BB97,Raw!BD97,Raw!BE97,Raw!BF97,Raw!BK97)/SUM(Raw!AV97:BK97), "No Contingency Table"), "Not Included")</f>
        <v>Not Included</v>
      </c>
      <c r="BB97" s="11" t="str">
        <f>IF(AY97, IF(COUNTIF(Raw!AV97:BK97, "&gt;=0") = 16,SUM(SUM(Raw!BH97,Raw!BI97,Raw!BJ97,Raw!BK97)*SUM(Raw!AY97,Raw!BC97,Raw!BG97,Raw!BK97),SUM(Raw!AV97:BG97)*SUM(Raw!AV97,Raw!AW97,Raw!AX97,Raw!AZ97,Raw!BA97,Raw!BB97,Raw!BD97,Raw!BE97,Raw!BF97,Raw!BH97,Raw!BI97,Raw!BJ97))/AT97^2,"No Contingency Table"), "Not Included")</f>
        <v>Not Included</v>
      </c>
      <c r="BC97" s="11" t="str">
        <f>IF(AY97, IF(COUNTIF(Raw!AV97:BK97, "&gt;=0") = 16,(BA97-BB97) / (1 - BB97),"No Contingency Table"), "Not Included")</f>
        <v>Not Included</v>
      </c>
      <c r="BD97" s="11" t="str">
        <f>IF(AY97,IF(NOT(ISBLANK(Raw!BT118)),Raw!BT118,"Not Reported"),"Not Included")</f>
        <v>Not Included</v>
      </c>
      <c r="BE97" s="11" t="str">
        <f t="shared" si="17"/>
        <v>Not Included</v>
      </c>
      <c r="BF97" s="11" t="str">
        <f t="shared" si="18"/>
        <v>Not Included</v>
      </c>
      <c r="BG97" s="11">
        <f>Raw!K97</f>
        <v>1994</v>
      </c>
      <c r="BH97" s="11" t="str">
        <f>IF(Raw!L97 = "USA","USA","Non-USA")</f>
        <v>USA</v>
      </c>
      <c r="BI97" s="11" t="str">
        <f>Raw!M97</f>
        <v>Ainsworth/Cassidy-Marvin</v>
      </c>
      <c r="BJ97" s="11">
        <f>Raw!N97</f>
        <v>0</v>
      </c>
      <c r="BK97" s="11">
        <f>Raw!P97</f>
        <v>0</v>
      </c>
      <c r="BL97" s="11">
        <f>Raw!Q97</f>
        <v>0</v>
      </c>
      <c r="BM97" s="11">
        <f>Raw!T97</f>
        <v>0</v>
      </c>
      <c r="BN97" s="11">
        <f>IFERROR(IF(AND(ISBLANK(Raw!U97), ISBLANK(Raw!V97), ISBLANK(Raw!W97), ISBLANK(Raw!X97)), "NA", IF(OR(NOT(ISBLANK(Raw!U97)), NOT(ISBLANK(Raw!W97))), AVERAGE(Raw!U97,Raw!W97), AVERAGE(Raw!V97,Raw!X97) + IF(Raw!Y97 = "2-way", R97, IF(Raw!Y97 = "3-way", AB97, IF(Raw!Y97 = "4-way", AL97, "NA")))*(1 - AVERAGE(Raw!V97,Raw!X97)))), "NA")</f>
        <v>0.82</v>
      </c>
      <c r="BO97" s="11">
        <f>Raw!O97</f>
        <v>0</v>
      </c>
      <c r="BP97" s="11" t="str">
        <f>Raw!F97</f>
        <v>Female</v>
      </c>
      <c r="BQ97" s="11" t="b">
        <f>COUNTIF(Raw!AV97:BK97, "&gt;=0") = 16</f>
        <v>0</v>
      </c>
      <c r="BR97" s="11" t="str">
        <f t="shared" si="19"/>
        <v>Not Included</v>
      </c>
      <c r="BS97" s="11" t="str">
        <f t="shared" si="20"/>
        <v>Not Included</v>
      </c>
      <c r="BT97" s="11" t="str">
        <f>IF(BQ97, IF(COUNTIF(Raw!AV97:BK97, "&gt;=0") = 16, IFERROR((BS97*Raw!AV97 - SUM(Raw!AV97, Raw!AW97, Raw!AX97, Raw!AY97)*SUM(Raw!AV97, Raw!AZ97, Raw!BD97, Raw!BH97)) / SQRT((BS97*SUM(Raw!AV97, Raw!AW97, Raw!AX97, Raw!AY97) - SUM(Raw!AV97, Raw!AW97, Raw!AX97, Raw!AY97)^2) * (BS97*SUM(Raw!AV97, Raw!AZ97, Raw!BD97, Raw!BH97) - SUM(Raw!AV97, Raw!AZ97, Raw!BD97, Raw!BH97)^2)), 0), "No Contingency Table"), "Not Included")</f>
        <v>Not Included</v>
      </c>
      <c r="BU97" s="11" t="str">
        <f>IF(BQ97, IF(COUNTIF(Raw!AV97:BK97, "&gt;=0") = 16, SUM(Raw!BK97,Raw!BJ97,Raw!BI97,Raw!BG97,Raw!BF97,Raw!BE97,Raw!BC97,Raw!BB97,Raw!BA97,Raw!AV97)/SUM(Raw!AV97:BK97), "No Contingency Table"), "Not Included")</f>
        <v>Not Included</v>
      </c>
      <c r="BV97" s="11" t="str">
        <f>IF(BQ97, IF(COUNTIF(Raw!AV97:BK97, "&gt;=0") = 16,SUM(SUM(Raw!AV97,Raw!AW97,Raw!AX97,Raw!AY97)*SUM(Raw!AV97,Raw!AZ97,Raw!BD97,Raw!BH97),SUM(Raw!AZ97:BK97)*SUM(Raw!AW97,Raw!AX97,Raw!AY97,Raw!BA97,Raw!BB97,Raw!BC97,Raw!BE97,Raw!BF97,Raw!BG97,Raw!BI97,Raw!BJ97,Raw!BK97))/BS97^2,"No Contingency Table"), "Not Included")</f>
        <v>Not Included</v>
      </c>
      <c r="BW97" s="11" t="str">
        <f>IF(BQ97, IF(COUNTIF(Raw!AV97:BK97, "&gt;=0") = 16,(BU97-BV97) / (1 - BV97),"No Contingency Table"), "Not Included")</f>
        <v>Not Included</v>
      </c>
      <c r="BX97" s="11" t="b">
        <f t="shared" ref="BX97:BZ97" si="401">BQ97</f>
        <v>0</v>
      </c>
      <c r="BY97" s="11" t="str">
        <f t="shared" si="401"/>
        <v>Not Included</v>
      </c>
      <c r="BZ97" s="11" t="str">
        <f t="shared" si="401"/>
        <v>Not Included</v>
      </c>
      <c r="CA97" s="11" t="str">
        <f>IF(BX97, IF(COUNTIF(Raw!AV97:BK97, "&gt;=0") = 16, IFERROR((BZ97*Raw!BF97 - SUM(Raw!BD97, Raw!BE97, Raw!BF97, Raw!BG97)*SUM(Raw!BF97, Raw!AX97, Raw!BB97, Raw!BJ97)) / SQRT((BZ97*SUM(Raw!BD97, Raw!BE97, Raw!BF97, Raw!BG97) - SUM(Raw!BD97, Raw!BE97, Raw!BF97, Raw!BG97)^2) * (BZ97*SUM(Raw!BF97, Raw!AX97, Raw!BB97, Raw!BJ97) - SUM(Raw!BF97, Raw!AX97, Raw!BB97, Raw!BJ97)^2)), 0), "No Contingency Table"), "Not Included")</f>
        <v>Not Included</v>
      </c>
      <c r="CB97" s="11" t="str">
        <f>IF(BX97, IF(COUNTIF(Raw!AV97:BK97, "&gt;=0") = 16, SUM(Raw!AV97,Raw!AW97,Raw!AY97,Raw!AZ97,Raw!BA97,Raw!BC97,Raw!BF97,Raw!BH97,Raw!BI97,Raw!BK97) / SUM(Raw!AV97:BK97), "No Contingency Table"), "Not Included")</f>
        <v>Not Included</v>
      </c>
      <c r="CC97" s="11" t="str">
        <f>IF(BX97, IF(COUNTIF(Raw!AV97:BK97, "&gt;=0") = 16,SUM(SUM(Raw!BD97,Raw!BE97,Raw!BF97,Raw!BG97)*SUM(Raw!BF97,Raw!AX97,Raw!BB97,Raw!BJ97),SUM(Raw!AV97:BC97,Raw!BH97:BK97)*SUM(Raw!AV97,Raw!AW97,Raw!AY97,Raw!AZ97,Raw!BA97,Raw!BC97,Raw!BD97,Raw!BE97,Raw!BG97,Raw!BH97,Raw!BI97,Raw!BK97))/BZ97^2,"No Contingency Table"), "Not Included")</f>
        <v>Not Included</v>
      </c>
      <c r="CD97" s="11" t="str">
        <f>IF(BX97, IF(COUNTIF(Raw!AV97:BK97, "&gt;=0") = 16,(CB97 - CC97) / (1 - CC97+0.000001),"No Contingency Table"), "Not Included")</f>
        <v>Not Included</v>
      </c>
      <c r="CE97" s="11" t="b">
        <f t="shared" ref="CE97:CG97" si="402">BQ97</f>
        <v>0</v>
      </c>
      <c r="CF97" s="11" t="str">
        <f t="shared" si="402"/>
        <v>Not Included</v>
      </c>
      <c r="CG97" s="11" t="str">
        <f t="shared" si="402"/>
        <v>Not Included</v>
      </c>
      <c r="CH97" s="11" t="str">
        <f>IF(CE97, IF(COUNTIF(Raw!AV97:BK97, "&gt;=0") = 16, IFERROR((CG97*Raw!BA97 - SUM(Raw!BA97, Raw!AZ97, Raw!BB97, Raw!BC97)*SUM(Raw!BA97, Raw!AW97, Raw!BE97, Raw!BI97)) / SQRT((CG97*SUM(Raw!BA97, Raw!AZ97, Raw!BB97, Raw!BC97) - SUM(Raw!BA97, Raw!AZ97, Raw!BB97, Raw!BC97)^2) * (CG97*SUM(Raw!BA97, Raw!AW97, Raw!BE97, Raw!BI97) - SUM(Raw!BA97, Raw!AW97, Raw!BE97, Raw!BI97)^2)), 0), "No Contingency Table"), "Not Included")</f>
        <v>Not Included</v>
      </c>
      <c r="CI97" s="11" t="str">
        <f>IF(CE97, IF(COUNTIF(Raw!AV97:BK97, "&gt;=0") = 16, SUM(Raw!AV97,Raw!AX97,Raw!AY97,Raw!BA97,Raw!BD97,Raw!BF97,Raw!BG97,Raw!BH97,Raw!BJ97,Raw!BK97) / SUM(Raw!AV97:BK97), "No Contingency Table"), "Not Included")</f>
        <v>Not Included</v>
      </c>
      <c r="CJ97" s="61" t="str">
        <f>IF(BX97, IF(COUNTIF(Raw!AV97:BK97, "&gt;=0") = 16,SUM(SUM(Raw!AZ97,Raw!BA97,Raw!BB97,Raw!BC97)*SUM(Raw!BA97,Raw!AW97,Raw!BE97,Raw!BI97),SUM(Raw!AV97:AY97,Raw!BD97:BK97)*SUM(Raw!AV97,Raw!AX97,Raw!AY97,Raw!AZ97,Raw!BB97,Raw!BC97,Raw!BD97,Raw!BF97,Raw!BG97,Raw!BH97,Raw!BJ97,Raw!BK97))/CG97^2,"No Contingency Table"), "Not Included")</f>
        <v>Not Included</v>
      </c>
      <c r="CK97" s="11" t="str">
        <f>IF(BX97, IF(COUNTIF(Raw!AV97:BK97, "&gt;=0") = 16,(CI97 - CJ97) / (1 - CJ97),"No Contingency Table"), "Not Included")</f>
        <v>Not Included</v>
      </c>
      <c r="CL97" s="11" t="str">
        <f>IF(BQ97, IFERROR(Raw!AV97/SUM(Raw!AV97:AY97), 0), "Not Included")</f>
        <v>Not Included</v>
      </c>
      <c r="CM97" s="11" t="str">
        <f>IF(BQ97, IFERROR(Raw!BA97/SUM(Raw!AZ97:BC97), 0), "Not Included")</f>
        <v>Not Included</v>
      </c>
      <c r="CN97" s="11" t="str">
        <f>IF(BQ97, IFERROR(Raw!BF97/SUM(Raw!BD97:BG97), 0), "Not Included")</f>
        <v>Not Included</v>
      </c>
      <c r="CO97" s="11" t="str">
        <f>IF(BQ97, IFERROR(Raw!BK97/SUM(Raw!BH97:BK97), 0), "Not Included")</f>
        <v>Not Included</v>
      </c>
      <c r="CP97" s="11" t="str">
        <f>IF(BQ97, IFERROR(SUM(Raw!AV97,Raw!AX97,Raw!AY97,Raw!BD97,Raw!BF97,Raw!BG97,Raw!BH97,Raw!BJ97,Raw!BK97)/SUM(Raw!AV97,Raw!AW97,Raw!AX97,Raw!AY97,Raw!BD97,Raw!BE97,Raw!BF97,Raw!BG97,Raw!BH97,Raw!BI97,Raw!BJ97,Raw!BK97), 0), "Not Included")</f>
        <v>Not Included</v>
      </c>
      <c r="CQ97" s="11" t="str">
        <f>IF(BQ97, IFERROR(SUM(Raw!AV97:AX97,Raw!AZ97:BB97,Raw!BD97:BF97)/SUM(Raw!AV97:BF97), 0), "Not Included")</f>
        <v>Not Included</v>
      </c>
      <c r="CR97" s="11" t="str">
        <f>IF(BQ97, IFERROR(SUM(Raw!AV97:AY97), 0), "Not Included")</f>
        <v>Not Included</v>
      </c>
      <c r="CS97" s="11" t="str">
        <f>IF(BQ97, IFERROR(SUM(Raw!AZ97:BC97), 0), "Not Included")</f>
        <v>Not Included</v>
      </c>
      <c r="CT97" s="11" t="str">
        <f>IF(BQ97, IFERROR(SUM(Raw!BD97:BG97), 0), "Not Included")</f>
        <v>Not Included</v>
      </c>
      <c r="CU97" s="11" t="str">
        <f>IF(BQ97, IFERROR(SUM(Raw!BH97:BK97), 0), "Not Included")</f>
        <v>Not Included</v>
      </c>
      <c r="CV97" s="11" t="str">
        <f>IF(BQ97, IFERROR(SUM(Raw!AV97,Raw!AW97,Raw!AX97,Raw!AY97,Raw!BD97,Raw!BE97,Raw!BF97,Raw!BG97,Raw!BH97,Raw!BI97,Raw!BJ97,Raw!BK97), 0), "Not Included")</f>
        <v>Not Included</v>
      </c>
      <c r="CW97" s="11" t="str">
        <f>IF(BQ97, IFERROR(SUM(Raw!AV97:BF97), 0), "Not Included")</f>
        <v>Not Included</v>
      </c>
      <c r="CX97" s="11" t="str">
        <f>IF(BQ97, IFERROR((CR97*SUM(Raw!AV97,Raw!AZ97,Raw!BD97,Raw!BH97))/BS97/CR97, 0), "Not Included")</f>
        <v>Not Included</v>
      </c>
      <c r="CY97" s="11" t="str">
        <f>IF(BX97, IFERROR((CS97*SUM(Raw!BA97,Raw!AW97,Raw!BE97,Raw!BI97))/CG97/CS97, 0), "Not Included")</f>
        <v>Not Included</v>
      </c>
      <c r="CZ97" s="11" t="str">
        <f>IF(BX97, IFERROR((CT97*SUM(Raw!BF97,Raw!AX97,Raw!BB97,Raw!BJ97))/BZ97/CT97, 0), "Not Included")</f>
        <v>Not Included</v>
      </c>
      <c r="DA97" s="11" t="str">
        <f>IF(AY97, IFERROR((CU97*SUM(Raw!AY97,Raw!BC97,Raw!BG97,Raw!BK97))/AT97/CU97, 0), "Not Included")</f>
        <v>Not Included</v>
      </c>
      <c r="DB97" s="11" t="str">
        <f>IF(BX97, IFERROR((CV97*SUM(Raw!AV97,Raw!AX97,Raw!AY97,Raw!AZ97,Raw!BB97,Raw!BC97,Raw!BD97,Raw!BF97,Raw!BG97,Raw!BH97,Raw!BJ97,Raw!BK97))/CG97/CV97,0), "Not Included")</f>
        <v>Not Included</v>
      </c>
      <c r="DC97" s="11" t="str">
        <f>IF(AY97, IFERROR((CW97*SUM(Raw!AV97,Raw!AW97,Raw!AX97,Raw!AZ97,Raw!BA97,Raw!BB97,Raw!BD97,Raw!BE97,Raw!BF97,Raw!BH97,Raw!BI97,Raw!BJ97))/AT97/CW97,0), "Not Included")</f>
        <v>Not Included</v>
      </c>
    </row>
    <row r="98" spans="1:107" ht="12.75" customHeight="1">
      <c r="A98" s="11">
        <f>Raw!D98</f>
        <v>70</v>
      </c>
      <c r="B98" s="11" t="str">
        <f>Raw!A98</f>
        <v>Touris, Krimelow, &amp; Harding (1995)</v>
      </c>
      <c r="C98" s="11">
        <f>Raw!G98</f>
        <v>1</v>
      </c>
      <c r="D98" s="11" t="str">
        <f>Raw!E98</f>
        <v>At-risk</v>
      </c>
      <c r="E98" s="11" t="str">
        <f>CONCATENATE(IF(Raw!I98&lt;='Interval Definitions'!$B$2, 'Interval Definitions'!$A$2, IF(Raw!I98&lt;='Interval Definitions'!$B$3, 'Interval Definitions'!$A$3, IF(Raw!I98&lt;='Interval Definitions'!$B$4, 'Interval Definitions'!$A$4, IF(Raw!I98&lt;='Interval Definitions'!$B$5, 'Interval Definitions'!$A$5, "None")))), " - ", IF(Raw!J98&lt;='Interval Definitions'!$B$2, 'Interval Definitions'!$A$2, IF(Raw!J98&lt;='Interval Definitions'!$B$3, 'Interval Definitions'!$A$3, IF(Raw!J98&lt;='Interval Definitions'!$B$4, 'Interval Definitions'!$A$4, IF(Raw!J98&lt;='Interval Definitions'!$B$5, 'Interval Definitions'!$A$5, "None")))))</f>
        <v>Toddlerhood - Toddlerhood</v>
      </c>
      <c r="F98" s="11" t="b">
        <f>OR(NOT(ISBLANK(Raw!AF98)),NOT(ISBLANK(Raw!AG98)),NOT(ISBLANK(Raw!AH98)),NOT(ISBLANK(Raw!AI98)),COUNTIF(Raw!AA98:AD98, "&gt;=0") = 4)</f>
        <v>1</v>
      </c>
      <c r="G98" s="11" t="str">
        <f>IF(F98, IF(COUNTIF(Raw!AA98:AD98,"&gt;=0") = 4, "Contingency", IF(NOT(ISBLANK(Raw!AF98)), "Paper r", IF(NOT(ISBLANK(Raw!AG98)), "Pinquart", IF(NOT(ISBLANK(Raw!AH98)), "Fraley", "Paper chiSq")))), "Not Included")</f>
        <v>Contingency</v>
      </c>
      <c r="H98" s="15">
        <f>IF(F98,Raw!AE98,"Not Included")</f>
        <v>20</v>
      </c>
      <c r="I98" s="15">
        <f>IF(COUNTIF(Raw!AA98:AD98,"&gt;=0") = 4, SUM(Raw!AA98:AD98), "No Contingency Table")</f>
        <v>20</v>
      </c>
      <c r="J98" s="15">
        <f t="shared" si="0"/>
        <v>20</v>
      </c>
      <c r="K98" s="38">
        <f>IF(F98, IF(COUNTIF(Raw!AA98:AD98,"&gt;=0") = 4, IFERROR((I98*Raw!AA98 - SUM(Raw!AA98,Raw!AB98)*SUM(Raw!AA98,Raw!AD98)) / SQRT((I98*SUM(Raw!AA98,Raw!AB98) - SUM(Raw!AA98,Raw!AB98)^2) * (I98*SUM(Raw!AA98,Raw!AD98) - SUM(Raw!AA98,Raw!AD98)^2)), 0), "No Contingency Table"), "Not Included")</f>
        <v>-0.17118419700436516</v>
      </c>
      <c r="L98" s="41">
        <f>IF(F98,IF(NOT(ISBLANK(Raw!AF98)), Raw!AF98, IF(NOT(ISBLANK(Raw!AG98)), Raw!AG98, IF(NOT(ISBLANK(Raw!AH98)), Raw!AH98, IF(NOT(ISBLANK(Raw!AI98)), SQRT(Raw!AI98/H98)*Raw!AJ98, "Not Reported")))),"Not Included")</f>
        <v>-0.17</v>
      </c>
      <c r="M98" s="43">
        <f t="shared" si="1"/>
        <v>-0.17118419700436516</v>
      </c>
      <c r="N98" s="11">
        <f t="shared" si="2"/>
        <v>1</v>
      </c>
      <c r="O98" s="48" t="b">
        <f>OR(NOT(ISBLANK(Raw!AK98)), COUNTIF(Raw!AA98:AD98, "&gt;=0") = 4)</f>
        <v>1</v>
      </c>
      <c r="P98" s="24" t="str">
        <f>IF(O98,IF(COUNTIF(Raw!AA98:AD98,"&gt;=0") = 4,"Contingency", "Paper k"), "Not Included")</f>
        <v>Contingency</v>
      </c>
      <c r="Q98" s="48">
        <f>IF(O98, IF(COUNTIF(Raw!AA98:AD98,"&gt;=0") = 4,SUM(Raw!AA98,Raw!AC98)/H98,"No Contingency Table"), "Not Included")</f>
        <v>0.45</v>
      </c>
      <c r="R98" s="38">
        <f>IF(O98, IF(COUNTIF(Raw!AA98:AD98, "&gt;=0") = 4,SUM(SUM(Raw!AA98,Raw!AB98)*SUM(Raw!AA98,Raw!AD98),SUM(Raw!AC98,Raw!AD98)*SUM(Raw!AC98,Raw!AB98))/H98^2,"No Contingency Table"), "Not Included")</f>
        <v>0.53</v>
      </c>
      <c r="S98" s="38">
        <f>IF(O98, IF(COUNTIF(Raw!AA98:AD98,"&gt;=0") = 4, IFERROR((Q98 - R98) / (1 - R98), "Could not calculate"), "No Contingency Table"), "Not Included")</f>
        <v>-0.17021276595744686</v>
      </c>
      <c r="T98" s="52" t="str">
        <f>IF(O98,IF(NOT(ISBLANK(Raw!AK98)), Raw!AK98, "Not Reported"), "Not Included")</f>
        <v>Not Reported</v>
      </c>
      <c r="U98" s="38">
        <f t="shared" si="3"/>
        <v>-0.17021276595744686</v>
      </c>
      <c r="V98" s="11" t="str">
        <f t="shared" si="4"/>
        <v>NA</v>
      </c>
      <c r="W98" s="11" t="b">
        <f>OR(NOT(ISBLANK(Raw!AU98)),COUNTIF(Raw!AL98:AT98,"&gt;=0") = 9)</f>
        <v>0</v>
      </c>
      <c r="X98" s="11" t="str">
        <f>IF(W98, IF(COUNTIF(Raw!AL98:AT98,"&gt;=0") = 9, "Contingency", "Paper k"), "Not Included")</f>
        <v>Not Included</v>
      </c>
      <c r="Y98" s="11" t="str">
        <f>IF(W98,IF(COUNTIF(Raw!AL98:AT98,"&gt;=0") = 9,SUM(Raw!AL98:AT98),"No Contingency Table"),"Not Included")</f>
        <v>Not Included</v>
      </c>
      <c r="Z98" s="11" t="str">
        <f t="shared" si="5"/>
        <v>Not Included</v>
      </c>
      <c r="AA98" s="11" t="str">
        <f>IF(W98,IF(COUNTIF(Raw!AL98:AT98,"&gt;=0") = 9,SUM(Raw!AL98,Raw!AP98,Raw!AT98)/Y98,"No Contingency Table"), "Not Included")</f>
        <v>Not Included</v>
      </c>
      <c r="AB98" s="11" t="str">
        <f>IF(W98,IF(COUNTIF(Raw!AL98:AT98,"&gt;=0") = 9,SUM(SUM(Raw!AL98,Raw!AM98,Raw!AN98)*SUM(Raw!AL98,Raw!AO98,Raw!AR98),SUM(Raw!AO98,Raw!AP98,Raw!AQ98)*SUM(Raw!AM98,Raw!AP98,Raw!AS98),SUM(Raw!AR98,Raw!AS98,Raw!AT98)*SUM(Raw!AN98,Raw!AQ98,Raw!AT98))/Y98^2,"No Contingency Table"), "Not Included")</f>
        <v>Not Included</v>
      </c>
      <c r="AC98" s="11" t="str">
        <f>IF(W98,IF(COUNTIF(Raw!AL98:AT98,"&gt;=0") = 9,(AA98 - AB98) / (1 - AB98),"No Contingency Table"), "Not Included")</f>
        <v>Not Included</v>
      </c>
      <c r="AD98" s="11" t="str">
        <f>IF(W98, IF(NOT(ISBLANK(Raw!AU98)),Raw!AU98,"Not Reported"), "Not Included")</f>
        <v>Not Included</v>
      </c>
      <c r="AE98" s="11" t="str">
        <f t="shared" si="6"/>
        <v>Not Included</v>
      </c>
      <c r="AF98" s="11" t="str">
        <f t="shared" si="7"/>
        <v>Not Included</v>
      </c>
      <c r="AG98" s="11" t="b">
        <f>COUNTIF(Raw!AV98:BK98, "&gt;=0") = 16</f>
        <v>0</v>
      </c>
      <c r="AH98" s="11" t="str">
        <f>IF(AG98, IF(COUNTIF(Raw!AV98:BK98,"&gt;=0") = 16, "Contingency", "Paper k"), "Not Included")</f>
        <v>Not Included</v>
      </c>
      <c r="AI98" s="11" t="str">
        <f>IF(AG98,IF(COUNTIF(Raw!AV98:BK98,"&gt;=0") = 16,SUM(Raw!AV98:BK98),"No Contingency Table"),"Not Included")</f>
        <v>Not Included</v>
      </c>
      <c r="AJ98" s="15">
        <f t="shared" si="8"/>
        <v>20</v>
      </c>
      <c r="AK98" s="11" t="str">
        <f>IF(AG98,IF(COUNTIF(Raw!AV98:BK98,"&gt;=0") = 16,SUM(Raw!AV98,Raw!BA98,Raw!BF98,Raw!BK98)/AI98,"No Contingency Table"), "Not Included")</f>
        <v>Not Included</v>
      </c>
      <c r="AL98" s="11" t="str">
        <f>IF(AG98,IF(COUNTIF(Raw!AV98:BK98,"&gt;=0") = 16,SUM(SUM(Raw!AV98,Raw!AW98,Raw!AX98,Raw!AY98)*SUM(Raw!AV98,Raw!AZ98,Raw!BD98,Raw!BH98),SUM(Raw!AZ98,Raw!BA98,Raw!BB98,Raw!BC98)*SUM(Raw!AW98,Raw!BA98,Raw!BE98,Raw!BI98),SUM(Raw!BD98,Raw!BE98,Raw!BF98,Raw!BG98)*SUM(Raw!AX98,Raw!BB98,Raw!BF98,Raw!BJ98),SUM(Raw!BH98,Raw!BI98,Raw!BJ98,Raw!BK98)*SUM(Raw!AY98,Raw!BC98,Raw!BG98,Raw!BK98))/AI98^2,"No Contingency Table"), "Not Included")</f>
        <v>Not Included</v>
      </c>
      <c r="AM98" s="11" t="str">
        <f>IF(AG98,IF(COUNTIF(Raw!AV98:BK98,"&gt;=0") = 16,(AK98 - AL98) / (1 - AL98),"No Contingency Table"), "Not Included")</f>
        <v>Not Included</v>
      </c>
      <c r="AN98" s="11" t="str">
        <f>IF(NOT(ISBLANK(Raw!BL98)),Raw!BL98,"Not Reported")</f>
        <v>Not Reported</v>
      </c>
      <c r="AO98" s="11" t="str">
        <f t="shared" si="9"/>
        <v>Not Reported</v>
      </c>
      <c r="AP98" s="11" t="str">
        <f t="shared" si="10"/>
        <v>Not Included</v>
      </c>
      <c r="AQ98" s="11" t="b">
        <f t="shared" ref="AQ98:AR98" si="403">BQ98</f>
        <v>0</v>
      </c>
      <c r="AR98" s="11" t="str">
        <f t="shared" si="403"/>
        <v>Not Included</v>
      </c>
      <c r="AS98" s="11" t="str">
        <f t="shared" si="12"/>
        <v>Not Included</v>
      </c>
      <c r="AT98" s="11" t="str">
        <f t="shared" si="13"/>
        <v>Not Included</v>
      </c>
      <c r="AU98" s="11" t="str">
        <f>IF(AQ98, IF(COUNTIF(Raw!AV98:BK98, "&gt;=0") = 16, IFERROR((AT98*Raw!BK98 - SUM(Raw!BH98, Raw!BI98, Raw!BJ98, Raw!BK98)*SUM(Raw!AY98, Raw!BC98, Raw!BG98, Raw!BK98)) / SQRT((AT98*SUM(Raw!BH98, Raw!BI98, Raw!BJ98, Raw!BK98) - SUM(Raw!BH98, Raw!BI98, Raw!BJ98, Raw!BK98)^2) * (AT98*SUM(Raw!AY98, Raw!BC98, Raw!BG98, Raw!BK98) - SUM(Raw!AY98, Raw!BC98, Raw!BG98, Raw!BK98)^2)), 0), "No Contingency Table"), "Not Included")</f>
        <v>Not Included</v>
      </c>
      <c r="AV98" s="11" t="str">
        <f>IF(AQ98,IF(NOT(ISBLANK(Raw!BQ98)), Raw!BQ98, IF(NOT(ISBLANK(Raw!BR98)), Raw!BR98, "Not Reported")), "Not Included")</f>
        <v>Not Included</v>
      </c>
      <c r="AW98" s="57" t="str">
        <f t="shared" si="14"/>
        <v>Not Included</v>
      </c>
      <c r="AX98" s="11" t="str">
        <f t="shared" si="15"/>
        <v>Not Included</v>
      </c>
      <c r="AY98" s="11" t="b">
        <f t="shared" ref="AY98:AZ98" si="404">AQ98</f>
        <v>0</v>
      </c>
      <c r="AZ98" s="11" t="str">
        <f t="shared" si="404"/>
        <v>Not Included</v>
      </c>
      <c r="BA98" s="11" t="str">
        <f>IF(AY98, IF(COUNTIF(Raw!AV98:BK98, "&gt;=0") = 16, SUM(Raw!AV98,Raw!AW98,Raw!AX98,Raw!AZ98,Raw!BA98,Raw!BB98,Raw!BD98,Raw!BE98,Raw!BF98,Raw!BK98)/SUM(Raw!AV98:BK98), "No Contingency Table"), "Not Included")</f>
        <v>Not Included</v>
      </c>
      <c r="BB98" s="11" t="str">
        <f>IF(AY98, IF(COUNTIF(Raw!AV98:BK98, "&gt;=0") = 16,SUM(SUM(Raw!BH98,Raw!BI98,Raw!BJ98,Raw!BK98)*SUM(Raw!AY98,Raw!BC98,Raw!BG98,Raw!BK98),SUM(Raw!AV98:BG98)*SUM(Raw!AV98,Raw!AW98,Raw!AX98,Raw!AZ98,Raw!BA98,Raw!BB98,Raw!BD98,Raw!BE98,Raw!BF98,Raw!BH98,Raw!BI98,Raw!BJ98))/AT98^2,"No Contingency Table"), "Not Included")</f>
        <v>Not Included</v>
      </c>
      <c r="BC98" s="11" t="str">
        <f>IF(AY98, IF(COUNTIF(Raw!AV98:BK98, "&gt;=0") = 16,(BA98-BB98) / (1 - BB98),"No Contingency Table"), "Not Included")</f>
        <v>Not Included</v>
      </c>
      <c r="BD98" s="11" t="str">
        <f>IF(AY98,IF(NOT(ISBLANK(Raw!BT119)),Raw!BT119,"Not Reported"),"Not Included")</f>
        <v>Not Included</v>
      </c>
      <c r="BE98" s="11" t="str">
        <f t="shared" si="17"/>
        <v>Not Included</v>
      </c>
      <c r="BF98" s="11" t="str">
        <f t="shared" si="18"/>
        <v>Not Included</v>
      </c>
      <c r="BG98" s="11">
        <f>Raw!K98</f>
        <v>1995</v>
      </c>
      <c r="BH98" s="11" t="str">
        <f>IF(Raw!L98 = "USA","USA","Non-USA")</f>
        <v>USA</v>
      </c>
      <c r="BI98" s="11" t="str">
        <f>Raw!M98</f>
        <v>Ainsworth/Ainsworth</v>
      </c>
      <c r="BJ98" s="11">
        <f>Raw!N98</f>
        <v>1</v>
      </c>
      <c r="BK98" s="11">
        <f>Raw!P98</f>
        <v>1</v>
      </c>
      <c r="BL98" s="11">
        <f>Raw!Q98</f>
        <v>0</v>
      </c>
      <c r="BM98" s="11">
        <f>Raw!T98</f>
        <v>1</v>
      </c>
      <c r="BN98" s="11">
        <f>IFERROR(IF(AND(ISBLANK(Raw!U98), ISBLANK(Raw!V98), ISBLANK(Raw!W98), ISBLANK(Raw!X98)), "NA", IF(OR(NOT(ISBLANK(Raw!U98)), NOT(ISBLANK(Raw!W98))), AVERAGE(Raw!U98,Raw!W98), AVERAGE(Raw!V98,Raw!X98) + IF(Raw!Y98 = "2-way", R98, IF(Raw!Y98 = "3-way", AB98, IF(Raw!Y98 = "4-way", AL98, "NA")))*(1 - AVERAGE(Raw!V98,Raw!X98)))), "NA")</f>
        <v>0.82</v>
      </c>
      <c r="BO98" s="11">
        <f>Raw!O98</f>
        <v>0</v>
      </c>
      <c r="BP98" s="11" t="str">
        <f>Raw!F98</f>
        <v>Female</v>
      </c>
      <c r="BQ98" s="11" t="b">
        <f>COUNTIF(Raw!AV98:BK98, "&gt;=0") = 16</f>
        <v>0</v>
      </c>
      <c r="BR98" s="11" t="str">
        <f t="shared" si="19"/>
        <v>Not Included</v>
      </c>
      <c r="BS98" s="11" t="str">
        <f t="shared" si="20"/>
        <v>Not Included</v>
      </c>
      <c r="BT98" s="11" t="str">
        <f>IF(BQ98, IF(COUNTIF(Raw!AV98:BK98, "&gt;=0") = 16, IFERROR((BS98*Raw!AV98 - SUM(Raw!AV98, Raw!AW98, Raw!AX98, Raw!AY98)*SUM(Raw!AV98, Raw!AZ98, Raw!BD98, Raw!BH98)) / SQRT((BS98*SUM(Raw!AV98, Raw!AW98, Raw!AX98, Raw!AY98) - SUM(Raw!AV98, Raw!AW98, Raw!AX98, Raw!AY98)^2) * (BS98*SUM(Raw!AV98, Raw!AZ98, Raw!BD98, Raw!BH98) - SUM(Raw!AV98, Raw!AZ98, Raw!BD98, Raw!BH98)^2)), 0), "No Contingency Table"), "Not Included")</f>
        <v>Not Included</v>
      </c>
      <c r="BU98" s="11" t="str">
        <f>IF(BQ98, IF(COUNTIF(Raw!AV98:BK98, "&gt;=0") = 16, SUM(Raw!BK98,Raw!BJ98,Raw!BI98,Raw!BG98,Raw!BF98,Raw!BE98,Raw!BC98,Raw!BB98,Raw!BA98,Raw!AV98)/SUM(Raw!AV98:BK98), "No Contingency Table"), "Not Included")</f>
        <v>Not Included</v>
      </c>
      <c r="BV98" s="11" t="str">
        <f>IF(BQ98, IF(COUNTIF(Raw!AV98:BK98, "&gt;=0") = 16,SUM(SUM(Raw!AV98,Raw!AW98,Raw!AX98,Raw!AY98)*SUM(Raw!AV98,Raw!AZ98,Raw!BD98,Raw!BH98),SUM(Raw!AZ98:BK98)*SUM(Raw!AW98,Raw!AX98,Raw!AY98,Raw!BA98,Raw!BB98,Raw!BC98,Raw!BE98,Raw!BF98,Raw!BG98,Raw!BI98,Raw!BJ98,Raw!BK98))/BS98^2,"No Contingency Table"), "Not Included")</f>
        <v>Not Included</v>
      </c>
      <c r="BW98" s="11" t="str">
        <f>IF(BQ98, IF(COUNTIF(Raw!AV98:BK98, "&gt;=0") = 16,(BU98-BV98) / (1 - BV98),"No Contingency Table"), "Not Included")</f>
        <v>Not Included</v>
      </c>
      <c r="BX98" s="11" t="b">
        <f t="shared" ref="BX98:BZ98" si="405">BQ98</f>
        <v>0</v>
      </c>
      <c r="BY98" s="11" t="str">
        <f t="shared" si="405"/>
        <v>Not Included</v>
      </c>
      <c r="BZ98" s="11" t="str">
        <f t="shared" si="405"/>
        <v>Not Included</v>
      </c>
      <c r="CA98" s="11" t="str">
        <f>IF(BX98, IF(COUNTIF(Raw!AV98:BK98, "&gt;=0") = 16, IFERROR((BZ98*Raw!BF98 - SUM(Raw!BD98, Raw!BE98, Raw!BF98, Raw!BG98)*SUM(Raw!BF98, Raw!AX98, Raw!BB98, Raw!BJ98)) / SQRT((BZ98*SUM(Raw!BD98, Raw!BE98, Raw!BF98, Raw!BG98) - SUM(Raw!BD98, Raw!BE98, Raw!BF98, Raw!BG98)^2) * (BZ98*SUM(Raw!BF98, Raw!AX98, Raw!BB98, Raw!BJ98) - SUM(Raw!BF98, Raw!AX98, Raw!BB98, Raw!BJ98)^2)), 0), "No Contingency Table"), "Not Included")</f>
        <v>Not Included</v>
      </c>
      <c r="CB98" s="11" t="str">
        <f>IF(BX98, IF(COUNTIF(Raw!AV98:BK98, "&gt;=0") = 16, SUM(Raw!AV98,Raw!AW98,Raw!AY98,Raw!AZ98,Raw!BA98,Raw!BC98,Raw!BF98,Raw!BH98,Raw!BI98,Raw!BK98) / SUM(Raw!AV98:BK98), "No Contingency Table"), "Not Included")</f>
        <v>Not Included</v>
      </c>
      <c r="CC98" s="11" t="str">
        <f>IF(BX98, IF(COUNTIF(Raw!AV98:BK98, "&gt;=0") = 16,SUM(SUM(Raw!BD98,Raw!BE98,Raw!BF98,Raw!BG98)*SUM(Raw!BF98,Raw!AX98,Raw!BB98,Raw!BJ98),SUM(Raw!AV98:BC98,Raw!BH98:BK98)*SUM(Raw!AV98,Raw!AW98,Raw!AY98,Raw!AZ98,Raw!BA98,Raw!BC98,Raw!BD98,Raw!BE98,Raw!BG98,Raw!BH98,Raw!BI98,Raw!BK98))/BZ98^2,"No Contingency Table"), "Not Included")</f>
        <v>Not Included</v>
      </c>
      <c r="CD98" s="11" t="str">
        <f>IF(BX98, IF(COUNTIF(Raw!AV98:BK98, "&gt;=0") = 16,(CB98 - CC98) / (1 - CC98+0.000001),"No Contingency Table"), "Not Included")</f>
        <v>Not Included</v>
      </c>
      <c r="CE98" s="11" t="b">
        <f t="shared" ref="CE98:CG98" si="406">BQ98</f>
        <v>0</v>
      </c>
      <c r="CF98" s="11" t="str">
        <f t="shared" si="406"/>
        <v>Not Included</v>
      </c>
      <c r="CG98" s="11" t="str">
        <f t="shared" si="406"/>
        <v>Not Included</v>
      </c>
      <c r="CH98" s="11" t="str">
        <f>IF(CE98, IF(COUNTIF(Raw!AV98:BK98, "&gt;=0") = 16, IFERROR((CG98*Raw!BA98 - SUM(Raw!BA98, Raw!AZ98, Raw!BB98, Raw!BC98)*SUM(Raw!BA98, Raw!AW98, Raw!BE98, Raw!BI98)) / SQRT((CG98*SUM(Raw!BA98, Raw!AZ98, Raw!BB98, Raw!BC98) - SUM(Raw!BA98, Raw!AZ98, Raw!BB98, Raw!BC98)^2) * (CG98*SUM(Raw!BA98, Raw!AW98, Raw!BE98, Raw!BI98) - SUM(Raw!BA98, Raw!AW98, Raw!BE98, Raw!BI98)^2)), 0), "No Contingency Table"), "Not Included")</f>
        <v>Not Included</v>
      </c>
      <c r="CI98" s="11" t="str">
        <f>IF(CE98, IF(COUNTIF(Raw!AV98:BK98, "&gt;=0") = 16, SUM(Raw!AV98,Raw!AX98,Raw!AY98,Raw!BA98,Raw!BD98,Raw!BF98,Raw!BG98,Raw!BH98,Raw!BJ98,Raw!BK98) / SUM(Raw!AV98:BK98), "No Contingency Table"), "Not Included")</f>
        <v>Not Included</v>
      </c>
      <c r="CJ98" s="61" t="str">
        <f>IF(BX98, IF(COUNTIF(Raw!AV98:BK98, "&gt;=0") = 16,SUM(SUM(Raw!AZ98,Raw!BA98,Raw!BB98,Raw!BC98)*SUM(Raw!BA98,Raw!AW98,Raw!BE98,Raw!BI98),SUM(Raw!AV98:AY98,Raw!BD98:BK98)*SUM(Raw!AV98,Raw!AX98,Raw!AY98,Raw!AZ98,Raw!BB98,Raw!BC98,Raw!BD98,Raw!BF98,Raw!BG98,Raw!BH98,Raw!BJ98,Raw!BK98))/CG98^2,"No Contingency Table"), "Not Included")</f>
        <v>Not Included</v>
      </c>
      <c r="CK98" s="11" t="str">
        <f>IF(BX98, IF(COUNTIF(Raw!AV98:BK98, "&gt;=0") = 16,(CI98 - CJ98) / (1 - CJ98),"No Contingency Table"), "Not Included")</f>
        <v>Not Included</v>
      </c>
      <c r="CL98" s="11" t="str">
        <f>IF(BQ98, IFERROR(Raw!AV98/SUM(Raw!AV98:AY98), 0), "Not Included")</f>
        <v>Not Included</v>
      </c>
      <c r="CM98" s="11" t="str">
        <f>IF(BQ98, IFERROR(Raw!BA98/SUM(Raw!AZ98:BC98), 0), "Not Included")</f>
        <v>Not Included</v>
      </c>
      <c r="CN98" s="11" t="str">
        <f>IF(BQ98, IFERROR(Raw!BF98/SUM(Raw!BD98:BG98), 0), "Not Included")</f>
        <v>Not Included</v>
      </c>
      <c r="CO98" s="11" t="str">
        <f>IF(BQ98, IFERROR(Raw!BK98/SUM(Raw!BH98:BK98), 0), "Not Included")</f>
        <v>Not Included</v>
      </c>
      <c r="CP98" s="11" t="str">
        <f>IF(BQ98, IFERROR(SUM(Raw!AV98,Raw!AX98,Raw!AY98,Raw!BD98,Raw!BF98,Raw!BG98,Raw!BH98,Raw!BJ98,Raw!BK98)/SUM(Raw!AV98,Raw!AW98,Raw!AX98,Raw!AY98,Raw!BD98,Raw!BE98,Raw!BF98,Raw!BG98,Raw!BH98,Raw!BI98,Raw!BJ98,Raw!BK98), 0), "Not Included")</f>
        <v>Not Included</v>
      </c>
      <c r="CQ98" s="11" t="str">
        <f>IF(BQ98, IFERROR(SUM(Raw!AV98:AX98,Raw!AZ98:BB98,Raw!BD98:BF98)/SUM(Raw!AV98:BF98), 0), "Not Included")</f>
        <v>Not Included</v>
      </c>
      <c r="CR98" s="11" t="str">
        <f>IF(BQ98, IFERROR(SUM(Raw!AV98:AY98), 0), "Not Included")</f>
        <v>Not Included</v>
      </c>
      <c r="CS98" s="11" t="str">
        <f>IF(BQ98, IFERROR(SUM(Raw!AZ98:BC98), 0), "Not Included")</f>
        <v>Not Included</v>
      </c>
      <c r="CT98" s="11" t="str">
        <f>IF(BQ98, IFERROR(SUM(Raw!BD98:BG98), 0), "Not Included")</f>
        <v>Not Included</v>
      </c>
      <c r="CU98" s="11" t="str">
        <f>IF(BQ98, IFERROR(SUM(Raw!BH98:BK98), 0), "Not Included")</f>
        <v>Not Included</v>
      </c>
      <c r="CV98" s="11" t="str">
        <f>IF(BQ98, IFERROR(SUM(Raw!AV98,Raw!AW98,Raw!AX98,Raw!AY98,Raw!BD98,Raw!BE98,Raw!BF98,Raw!BG98,Raw!BH98,Raw!BI98,Raw!BJ98,Raw!BK98), 0), "Not Included")</f>
        <v>Not Included</v>
      </c>
      <c r="CW98" s="11" t="str">
        <f>IF(BQ98, IFERROR(SUM(Raw!AV98:BF98), 0), "Not Included")</f>
        <v>Not Included</v>
      </c>
      <c r="CX98" s="11" t="str">
        <f>IF(BQ98, IFERROR((CR98*SUM(Raw!AV98,Raw!AZ98,Raw!BD98,Raw!BH98))/BS98/CR98, 0), "Not Included")</f>
        <v>Not Included</v>
      </c>
      <c r="CY98" s="11" t="str">
        <f>IF(BX98, IFERROR((CS98*SUM(Raw!BA98,Raw!AW98,Raw!BE98,Raw!BI98))/CG98/CS98, 0), "Not Included")</f>
        <v>Not Included</v>
      </c>
      <c r="CZ98" s="11" t="str">
        <f>IF(BX98, IFERROR((CT98*SUM(Raw!BF98,Raw!AX98,Raw!BB98,Raw!BJ98))/BZ98/CT98, 0), "Not Included")</f>
        <v>Not Included</v>
      </c>
      <c r="DA98" s="11" t="str">
        <f>IF(AY98, IFERROR((CU98*SUM(Raw!AY98,Raw!BC98,Raw!BG98,Raw!BK98))/AT98/CU98, 0), "Not Included")</f>
        <v>Not Included</v>
      </c>
      <c r="DB98" s="11" t="str">
        <f>IF(BX98, IFERROR((CV98*SUM(Raw!AV98,Raw!AX98,Raw!AY98,Raw!AZ98,Raw!BB98,Raw!BC98,Raw!BD98,Raw!BF98,Raw!BG98,Raw!BH98,Raw!BJ98,Raw!BK98))/CG98/CV98,0), "Not Included")</f>
        <v>Not Included</v>
      </c>
      <c r="DC98" s="11" t="str">
        <f>IF(AY98, IFERROR((CW98*SUM(Raw!AV98,Raw!AW98,Raw!AX98,Raw!AZ98,Raw!BA98,Raw!BB98,Raw!BD98,Raw!BE98,Raw!BF98,Raw!BH98,Raw!BI98,Raw!BJ98))/AT98/CW98,0), "Not Included")</f>
        <v>Not Included</v>
      </c>
    </row>
    <row r="99" spans="1:107" ht="12.75" customHeight="1">
      <c r="A99" s="11">
        <f>Raw!D99</f>
        <v>71</v>
      </c>
      <c r="B99" s="11" t="str">
        <f>Raw!A99</f>
        <v>Touris, Krimelow, &amp; Harding (1995)</v>
      </c>
      <c r="C99" s="11">
        <f>Raw!G99</f>
        <v>2</v>
      </c>
      <c r="D99" s="11" t="str">
        <f>Raw!E99</f>
        <v>Comparison</v>
      </c>
      <c r="E99" s="11" t="str">
        <f>CONCATENATE(IF(Raw!I99&lt;='Interval Definitions'!$B$2, 'Interval Definitions'!$A$2, IF(Raw!I99&lt;='Interval Definitions'!$B$3, 'Interval Definitions'!$A$3, IF(Raw!I99&lt;='Interval Definitions'!$B$4, 'Interval Definitions'!$A$4, IF(Raw!I99&lt;='Interval Definitions'!$B$5, 'Interval Definitions'!$A$5, "None")))), " - ", IF(Raw!J99&lt;='Interval Definitions'!$B$2, 'Interval Definitions'!$A$2, IF(Raw!J99&lt;='Interval Definitions'!$B$3, 'Interval Definitions'!$A$3, IF(Raw!J99&lt;='Interval Definitions'!$B$4, 'Interval Definitions'!$A$4, IF(Raw!J99&lt;='Interval Definitions'!$B$5, 'Interval Definitions'!$A$5, "None")))))</f>
        <v>Toddlerhood - Toddlerhood</v>
      </c>
      <c r="F99" s="11" t="b">
        <f>OR(NOT(ISBLANK(Raw!AF99)),NOT(ISBLANK(Raw!AG99)),NOT(ISBLANK(Raw!AH99)),NOT(ISBLANK(Raw!AI99)),COUNTIF(Raw!AA99:AD99, "&gt;=0") = 4)</f>
        <v>1</v>
      </c>
      <c r="G99" s="11" t="str">
        <f>IF(F99, IF(COUNTIF(Raw!AA99:AD99,"&gt;=0") = 4, "Contingency", IF(NOT(ISBLANK(Raw!AF99)), "Paper r", IF(NOT(ISBLANK(Raw!AG99)), "Pinquart", IF(NOT(ISBLANK(Raw!AH99)), "Fraley", "Paper chiSq")))), "Not Included")</f>
        <v>Contingency</v>
      </c>
      <c r="H99" s="15">
        <f>IF(F99,Raw!AE99,"Not Included")</f>
        <v>20</v>
      </c>
      <c r="I99" s="15">
        <f>IF(COUNTIF(Raw!AA99:AD99,"&gt;=0") = 4, SUM(Raw!AA99:AD99), "No Contingency Table")</f>
        <v>20</v>
      </c>
      <c r="J99" s="15">
        <f t="shared" si="0"/>
        <v>20</v>
      </c>
      <c r="K99" s="38">
        <f>IF(F99, IF(COUNTIF(Raw!AA99:AD99,"&gt;=0") = 4, IFERROR((I99*Raw!AA99 - SUM(Raw!AA99,Raw!AB99)*SUM(Raw!AA99,Raw!AD99)) / SQRT((I99*SUM(Raw!AA99,Raw!AB99) - SUM(Raw!AA99,Raw!AB99)^2) * (I99*SUM(Raw!AA99,Raw!AD99) - SUM(Raw!AA99,Raw!AD99)^2)), 0), "No Contingency Table"), "Not Included")</f>
        <v>0.21568627450980393</v>
      </c>
      <c r="L99" s="41">
        <f>IF(F99,IF(NOT(ISBLANK(Raw!AF99)), Raw!AF99, IF(NOT(ISBLANK(Raw!AG99)), Raw!AG99, IF(NOT(ISBLANK(Raw!AH99)), Raw!AH99, IF(NOT(ISBLANK(Raw!AI99)), SQRT(Raw!AI99/H99)*Raw!AJ99, "Not Reported")))),"Not Included")</f>
        <v>0.22</v>
      </c>
      <c r="M99" s="43">
        <f t="shared" si="1"/>
        <v>0.21568627450980393</v>
      </c>
      <c r="N99" s="11">
        <f t="shared" si="2"/>
        <v>1</v>
      </c>
      <c r="O99" s="48" t="b">
        <f>OR(NOT(ISBLANK(Raw!AK99)), COUNTIF(Raw!AA99:AD99, "&gt;=0") = 4)</f>
        <v>1</v>
      </c>
      <c r="P99" s="24" t="str">
        <f>IF(O99,IF(COUNTIF(Raw!AA99:AD99,"&gt;=0") = 4,"Contingency", "Paper k"), "Not Included")</f>
        <v>Contingency</v>
      </c>
      <c r="Q99" s="48">
        <f>IF(O99, IF(COUNTIF(Raw!AA99:AD99,"&gt;=0") = 4,SUM(Raw!AA99,Raw!AC99)/H99,"No Contingency Table"), "Not Included")</f>
        <v>0.8</v>
      </c>
      <c r="R99" s="38">
        <f>IF(O99, IF(COUNTIF(Raw!AA99:AD99, "&gt;=0") = 4,SUM(SUM(Raw!AA99,Raw!AB99)*SUM(Raw!AA99,Raw!AD99),SUM(Raw!AC99,Raw!AD99)*SUM(Raw!AC99,Raw!AB99))/H99^2,"No Contingency Table"), "Not Included")</f>
        <v>0.745</v>
      </c>
      <c r="S99" s="38">
        <f>IF(O99, IF(COUNTIF(Raw!AA99:AD99,"&gt;=0") = 4, IFERROR((Q99 - R99) / (1 - R99), "Could not calculate"), "No Contingency Table"), "Not Included")</f>
        <v>0.2156862745098041</v>
      </c>
      <c r="T99" s="52" t="str">
        <f>IF(O99,IF(NOT(ISBLANK(Raw!AK99)), Raw!AK99, "Not Reported"), "Not Included")</f>
        <v>Not Reported</v>
      </c>
      <c r="U99" s="38">
        <f t="shared" si="3"/>
        <v>0.2156862745098041</v>
      </c>
      <c r="V99" s="11" t="str">
        <f t="shared" si="4"/>
        <v>NA</v>
      </c>
      <c r="W99" s="11" t="b">
        <f>OR(NOT(ISBLANK(Raw!AU99)),COUNTIF(Raw!AL99:AT99,"&gt;=0") = 9)</f>
        <v>0</v>
      </c>
      <c r="X99" s="11" t="str">
        <f>IF(W99, IF(COUNTIF(Raw!AL99:AT99,"&gt;=0") = 9, "Contingency", "Paper k"), "Not Included")</f>
        <v>Not Included</v>
      </c>
      <c r="Y99" s="11" t="str">
        <f>IF(W99,IF(COUNTIF(Raw!AL99:AT99,"&gt;=0") = 9,SUM(Raw!AL99:AT99),"No Contingency Table"),"Not Included")</f>
        <v>Not Included</v>
      </c>
      <c r="Z99" s="11" t="str">
        <f t="shared" si="5"/>
        <v>Not Included</v>
      </c>
      <c r="AA99" s="11" t="str">
        <f>IF(W99,IF(COUNTIF(Raw!AL99:AT99,"&gt;=0") = 9,SUM(Raw!AL99,Raw!AP99,Raw!AT99)/Y99,"No Contingency Table"), "Not Included")</f>
        <v>Not Included</v>
      </c>
      <c r="AB99" s="11" t="str">
        <f>IF(W99,IF(COUNTIF(Raw!AL99:AT99,"&gt;=0") = 9,SUM(SUM(Raw!AL99,Raw!AM99,Raw!AN99)*SUM(Raw!AL99,Raw!AO99,Raw!AR99),SUM(Raw!AO99,Raw!AP99,Raw!AQ99)*SUM(Raw!AM99,Raw!AP99,Raw!AS99),SUM(Raw!AR99,Raw!AS99,Raw!AT99)*SUM(Raw!AN99,Raw!AQ99,Raw!AT99))/Y99^2,"No Contingency Table"), "Not Included")</f>
        <v>Not Included</v>
      </c>
      <c r="AC99" s="11" t="str">
        <f>IF(W99,IF(COUNTIF(Raw!AL99:AT99,"&gt;=0") = 9,(AA99 - AB99) / (1 - AB99),"No Contingency Table"), "Not Included")</f>
        <v>Not Included</v>
      </c>
      <c r="AD99" s="11" t="str">
        <f>IF(W99, IF(NOT(ISBLANK(Raw!AU99)),Raw!AU99,"Not Reported"), "Not Included")</f>
        <v>Not Included</v>
      </c>
      <c r="AE99" s="11" t="str">
        <f t="shared" si="6"/>
        <v>Not Included</v>
      </c>
      <c r="AF99" s="11" t="str">
        <f t="shared" si="7"/>
        <v>Not Included</v>
      </c>
      <c r="AG99" s="11" t="b">
        <f>COUNTIF(Raw!AV99:BK99, "&gt;=0") = 16</f>
        <v>0</v>
      </c>
      <c r="AH99" s="11" t="str">
        <f>IF(AG99, IF(COUNTIF(Raw!AV99:BK99,"&gt;=0") = 16, "Contingency", "Paper k"), "Not Included")</f>
        <v>Not Included</v>
      </c>
      <c r="AI99" s="11" t="str">
        <f>IF(AG99,IF(COUNTIF(Raw!AV99:BK99,"&gt;=0") = 16,SUM(Raw!AV99:BK99),"No Contingency Table"),"Not Included")</f>
        <v>Not Included</v>
      </c>
      <c r="AJ99" s="15">
        <f t="shared" si="8"/>
        <v>20</v>
      </c>
      <c r="AK99" s="11" t="str">
        <f>IF(AG99,IF(COUNTIF(Raw!AV99:BK99,"&gt;=0") = 16,SUM(Raw!AV99,Raw!BA99,Raw!BF99,Raw!BK99)/AI99,"No Contingency Table"), "Not Included")</f>
        <v>Not Included</v>
      </c>
      <c r="AL99" s="11" t="str">
        <f>IF(AG99,IF(COUNTIF(Raw!AV99:BK99,"&gt;=0") = 16,SUM(SUM(Raw!AV99,Raw!AW99,Raw!AX99,Raw!AY99)*SUM(Raw!AV99,Raw!AZ99,Raw!BD99,Raw!BH99),SUM(Raw!AZ99,Raw!BA99,Raw!BB99,Raw!BC99)*SUM(Raw!AW99,Raw!BA99,Raw!BE99,Raw!BI99),SUM(Raw!BD99,Raw!BE99,Raw!BF99,Raw!BG99)*SUM(Raw!AX99,Raw!BB99,Raw!BF99,Raw!BJ99),SUM(Raw!BH99,Raw!BI99,Raw!BJ99,Raw!BK99)*SUM(Raw!AY99,Raw!BC99,Raw!BG99,Raw!BK99))/AI99^2,"No Contingency Table"), "Not Included")</f>
        <v>Not Included</v>
      </c>
      <c r="AM99" s="11" t="str">
        <f>IF(AG99,IF(COUNTIF(Raw!AV99:BK99,"&gt;=0") = 16,(AK99 - AL99) / (1 - AL99),"No Contingency Table"), "Not Included")</f>
        <v>Not Included</v>
      </c>
      <c r="AN99" s="11" t="str">
        <f>IF(NOT(ISBLANK(Raw!BL99)),Raw!BL99,"Not Reported")</f>
        <v>Not Reported</v>
      </c>
      <c r="AO99" s="11" t="str">
        <f t="shared" si="9"/>
        <v>Not Reported</v>
      </c>
      <c r="AP99" s="11" t="str">
        <f t="shared" si="10"/>
        <v>Not Included</v>
      </c>
      <c r="AQ99" s="11" t="b">
        <f t="shared" ref="AQ99:AR99" si="407">BQ99</f>
        <v>0</v>
      </c>
      <c r="AR99" s="11" t="str">
        <f t="shared" si="407"/>
        <v>Not Included</v>
      </c>
      <c r="AS99" s="11" t="str">
        <f t="shared" si="12"/>
        <v>Not Included</v>
      </c>
      <c r="AT99" s="11" t="str">
        <f t="shared" si="13"/>
        <v>Not Included</v>
      </c>
      <c r="AU99" s="11" t="str">
        <f>IF(AQ99, IF(COUNTIF(Raw!AV99:BK99, "&gt;=0") = 16, IFERROR((AT99*Raw!BK99 - SUM(Raw!BH99, Raw!BI99, Raw!BJ99, Raw!BK99)*SUM(Raw!AY99, Raw!BC99, Raw!BG99, Raw!BK99)) / SQRT((AT99*SUM(Raw!BH99, Raw!BI99, Raw!BJ99, Raw!BK99) - SUM(Raw!BH99, Raw!BI99, Raw!BJ99, Raw!BK99)^2) * (AT99*SUM(Raw!AY99, Raw!BC99, Raw!BG99, Raw!BK99) - SUM(Raw!AY99, Raw!BC99, Raw!BG99, Raw!BK99)^2)), 0), "No Contingency Table"), "Not Included")</f>
        <v>Not Included</v>
      </c>
      <c r="AV99" s="11" t="str">
        <f>IF(AQ99,IF(NOT(ISBLANK(Raw!BQ99)), Raw!BQ99, IF(NOT(ISBLANK(Raw!BR99)), Raw!BR99, "Not Reported")), "Not Included")</f>
        <v>Not Included</v>
      </c>
      <c r="AW99" s="57" t="str">
        <f t="shared" si="14"/>
        <v>Not Included</v>
      </c>
      <c r="AX99" s="11" t="str">
        <f t="shared" si="15"/>
        <v>Not Included</v>
      </c>
      <c r="AY99" s="11" t="b">
        <f t="shared" ref="AY99:AZ99" si="408">AQ99</f>
        <v>0</v>
      </c>
      <c r="AZ99" s="11" t="str">
        <f t="shared" si="408"/>
        <v>Not Included</v>
      </c>
      <c r="BA99" s="11" t="str">
        <f>IF(AY99, IF(COUNTIF(Raw!AV99:BK99, "&gt;=0") = 16, SUM(Raw!AV99,Raw!AW99,Raw!AX99,Raw!AZ99,Raw!BA99,Raw!BB99,Raw!BD99,Raw!BE99,Raw!BF99,Raw!BK99)/SUM(Raw!AV99:BK99), "No Contingency Table"), "Not Included")</f>
        <v>Not Included</v>
      </c>
      <c r="BB99" s="11" t="str">
        <f>IF(AY99, IF(COUNTIF(Raw!AV99:BK99, "&gt;=0") = 16,SUM(SUM(Raw!BH99,Raw!BI99,Raw!BJ99,Raw!BK99)*SUM(Raw!AY99,Raw!BC99,Raw!BG99,Raw!BK99),SUM(Raw!AV99:BG99)*SUM(Raw!AV99,Raw!AW99,Raw!AX99,Raw!AZ99,Raw!BA99,Raw!BB99,Raw!BD99,Raw!BE99,Raw!BF99,Raw!BH99,Raw!BI99,Raw!BJ99))/AT99^2,"No Contingency Table"), "Not Included")</f>
        <v>Not Included</v>
      </c>
      <c r="BC99" s="11" t="str">
        <f>IF(AY99, IF(COUNTIF(Raw!AV99:BK99, "&gt;=0") = 16,(BA99-BB99) / (1 - BB99),"No Contingency Table"), "Not Included")</f>
        <v>Not Included</v>
      </c>
      <c r="BD99" s="11" t="str">
        <f>IF(AY99,IF(NOT(ISBLANK(Raw!BT120)),Raw!BT120,"Not Reported"),"Not Included")</f>
        <v>Not Included</v>
      </c>
      <c r="BE99" s="11" t="str">
        <f t="shared" si="17"/>
        <v>Not Included</v>
      </c>
      <c r="BF99" s="11" t="str">
        <f t="shared" si="18"/>
        <v>Not Included</v>
      </c>
      <c r="BG99" s="11">
        <f>Raw!K99</f>
        <v>1995</v>
      </c>
      <c r="BH99" s="11" t="str">
        <f>IF(Raw!L99 = "USA","USA","Non-USA")</f>
        <v>USA</v>
      </c>
      <c r="BI99" s="11" t="str">
        <f>Raw!M99</f>
        <v>Ainsworth/Ainsworth</v>
      </c>
      <c r="BJ99" s="11">
        <f>Raw!N99</f>
        <v>1</v>
      </c>
      <c r="BK99" s="11">
        <f>Raw!P99</f>
        <v>0</v>
      </c>
      <c r="BL99" s="11">
        <f>Raw!Q99</f>
        <v>0</v>
      </c>
      <c r="BM99" s="11">
        <f>Raw!T99</f>
        <v>1</v>
      </c>
      <c r="BN99" s="11">
        <f>IFERROR(IF(AND(ISBLANK(Raw!U99), ISBLANK(Raw!V99), ISBLANK(Raw!W99), ISBLANK(Raw!X99)), "NA", IF(OR(NOT(ISBLANK(Raw!U99)), NOT(ISBLANK(Raw!W99))), AVERAGE(Raw!U99,Raw!W99), AVERAGE(Raw!V99,Raw!X99) + IF(Raw!Y99 = "2-way", R99, IF(Raw!Y99 = "3-way", AB99, IF(Raw!Y99 = "4-way", AL99, "NA")))*(1 - AVERAGE(Raw!V99,Raw!X99)))), "NA")</f>
        <v>0.82</v>
      </c>
      <c r="BO99" s="11">
        <f>Raw!O99</f>
        <v>0</v>
      </c>
      <c r="BP99" s="11" t="str">
        <f>Raw!F99</f>
        <v>Female</v>
      </c>
      <c r="BQ99" s="11" t="b">
        <f>COUNTIF(Raw!AV99:BK99, "&gt;=0") = 16</f>
        <v>0</v>
      </c>
      <c r="BR99" s="11" t="str">
        <f t="shared" si="19"/>
        <v>Not Included</v>
      </c>
      <c r="BS99" s="11" t="str">
        <f t="shared" si="20"/>
        <v>Not Included</v>
      </c>
      <c r="BT99" s="11" t="str">
        <f>IF(BQ99, IF(COUNTIF(Raw!AV99:BK99, "&gt;=0") = 16, IFERROR((BS99*Raw!AV99 - SUM(Raw!AV99, Raw!AW99, Raw!AX99, Raw!AY99)*SUM(Raw!AV99, Raw!AZ99, Raw!BD99, Raw!BH99)) / SQRT((BS99*SUM(Raw!AV99, Raw!AW99, Raw!AX99, Raw!AY99) - SUM(Raw!AV99, Raw!AW99, Raw!AX99, Raw!AY99)^2) * (BS99*SUM(Raw!AV99, Raw!AZ99, Raw!BD99, Raw!BH99) - SUM(Raw!AV99, Raw!AZ99, Raw!BD99, Raw!BH99)^2)), 0), "No Contingency Table"), "Not Included")</f>
        <v>Not Included</v>
      </c>
      <c r="BU99" s="11" t="str">
        <f>IF(BQ99, IF(COUNTIF(Raw!AV99:BK99, "&gt;=0") = 16, SUM(Raw!BK99,Raw!BJ99,Raw!BI99,Raw!BG99,Raw!BF99,Raw!BE99,Raw!BC99,Raw!BB99,Raw!BA99,Raw!AV99)/SUM(Raw!AV99:BK99), "No Contingency Table"), "Not Included")</f>
        <v>Not Included</v>
      </c>
      <c r="BV99" s="11" t="str">
        <f>IF(BQ99, IF(COUNTIF(Raw!AV99:BK99, "&gt;=0") = 16,SUM(SUM(Raw!AV99,Raw!AW99,Raw!AX99,Raw!AY99)*SUM(Raw!AV99,Raw!AZ99,Raw!BD99,Raw!BH99),SUM(Raw!AZ99:BK99)*SUM(Raw!AW99,Raw!AX99,Raw!AY99,Raw!BA99,Raw!BB99,Raw!BC99,Raw!BE99,Raw!BF99,Raw!BG99,Raw!BI99,Raw!BJ99,Raw!BK99))/BS99^2,"No Contingency Table"), "Not Included")</f>
        <v>Not Included</v>
      </c>
      <c r="BW99" s="11" t="str">
        <f>IF(BQ99, IF(COUNTIF(Raw!AV99:BK99, "&gt;=0") = 16,(BU99-BV99) / (1 - BV99),"No Contingency Table"), "Not Included")</f>
        <v>Not Included</v>
      </c>
      <c r="BX99" s="11" t="b">
        <f t="shared" ref="BX99:BZ99" si="409">BQ99</f>
        <v>0</v>
      </c>
      <c r="BY99" s="11" t="str">
        <f t="shared" si="409"/>
        <v>Not Included</v>
      </c>
      <c r="BZ99" s="11" t="str">
        <f t="shared" si="409"/>
        <v>Not Included</v>
      </c>
      <c r="CA99" s="11" t="str">
        <f>IF(BX99, IF(COUNTIF(Raw!AV99:BK99, "&gt;=0") = 16, IFERROR((BZ99*Raw!BF99 - SUM(Raw!BD99, Raw!BE99, Raw!BF99, Raw!BG99)*SUM(Raw!BF99, Raw!AX99, Raw!BB99, Raw!BJ99)) / SQRT((BZ99*SUM(Raw!BD99, Raw!BE99, Raw!BF99, Raw!BG99) - SUM(Raw!BD99, Raw!BE99, Raw!BF99, Raw!BG99)^2) * (BZ99*SUM(Raw!BF99, Raw!AX99, Raw!BB99, Raw!BJ99) - SUM(Raw!BF99, Raw!AX99, Raw!BB99, Raw!BJ99)^2)), 0), "No Contingency Table"), "Not Included")</f>
        <v>Not Included</v>
      </c>
      <c r="CB99" s="11" t="str">
        <f>IF(BX99, IF(COUNTIF(Raw!AV99:BK99, "&gt;=0") = 16, SUM(Raw!AV99,Raw!AW99,Raw!AY99,Raw!AZ99,Raw!BA99,Raw!BC99,Raw!BF99,Raw!BH99,Raw!BI99,Raw!BK99) / SUM(Raw!AV99:BK99), "No Contingency Table"), "Not Included")</f>
        <v>Not Included</v>
      </c>
      <c r="CC99" s="11" t="str">
        <f>IF(BX99, IF(COUNTIF(Raw!AV99:BK99, "&gt;=0") = 16,SUM(SUM(Raw!BD99,Raw!BE99,Raw!BF99,Raw!BG99)*SUM(Raw!BF99,Raw!AX99,Raw!BB99,Raw!BJ99),SUM(Raw!AV99:BC99,Raw!BH99:BK99)*SUM(Raw!AV99,Raw!AW99,Raw!AY99,Raw!AZ99,Raw!BA99,Raw!BC99,Raw!BD99,Raw!BE99,Raw!BG99,Raw!BH99,Raw!BI99,Raw!BK99))/BZ99^2,"No Contingency Table"), "Not Included")</f>
        <v>Not Included</v>
      </c>
      <c r="CD99" s="11" t="str">
        <f>IF(BX99, IF(COUNTIF(Raw!AV99:BK99, "&gt;=0") = 16,(CB99 - CC99) / (1 - CC99+0.000001),"No Contingency Table"), "Not Included")</f>
        <v>Not Included</v>
      </c>
      <c r="CE99" s="11" t="b">
        <f t="shared" ref="CE99:CG99" si="410">BQ99</f>
        <v>0</v>
      </c>
      <c r="CF99" s="11" t="str">
        <f t="shared" si="410"/>
        <v>Not Included</v>
      </c>
      <c r="CG99" s="11" t="str">
        <f t="shared" si="410"/>
        <v>Not Included</v>
      </c>
      <c r="CH99" s="11" t="str">
        <f>IF(CE99, IF(COUNTIF(Raw!AV99:BK99, "&gt;=0") = 16, IFERROR((CG99*Raw!BA99 - SUM(Raw!BA99, Raw!AZ99, Raw!BB99, Raw!BC99)*SUM(Raw!BA99, Raw!AW99, Raw!BE99, Raw!BI99)) / SQRT((CG99*SUM(Raw!BA99, Raw!AZ99, Raw!BB99, Raw!BC99) - SUM(Raw!BA99, Raw!AZ99, Raw!BB99, Raw!BC99)^2) * (CG99*SUM(Raw!BA99, Raw!AW99, Raw!BE99, Raw!BI99) - SUM(Raw!BA99, Raw!AW99, Raw!BE99, Raw!BI99)^2)), 0), "No Contingency Table"), "Not Included")</f>
        <v>Not Included</v>
      </c>
      <c r="CI99" s="11" t="str">
        <f>IF(CE99, IF(COUNTIF(Raw!AV99:BK99, "&gt;=0") = 16, SUM(Raw!AV99,Raw!AX99,Raw!AY99,Raw!BA99,Raw!BD99,Raw!BF99,Raw!BG99,Raw!BH99,Raw!BJ99,Raw!BK99) / SUM(Raw!AV99:BK99), "No Contingency Table"), "Not Included")</f>
        <v>Not Included</v>
      </c>
      <c r="CJ99" s="61" t="str">
        <f>IF(BX99, IF(COUNTIF(Raw!AV99:BK99, "&gt;=0") = 16,SUM(SUM(Raw!AZ99,Raw!BA99,Raw!BB99,Raw!BC99)*SUM(Raw!BA99,Raw!AW99,Raw!BE99,Raw!BI99),SUM(Raw!AV99:AY99,Raw!BD99:BK99)*SUM(Raw!AV99,Raw!AX99,Raw!AY99,Raw!AZ99,Raw!BB99,Raw!BC99,Raw!BD99,Raw!BF99,Raw!BG99,Raw!BH99,Raw!BJ99,Raw!BK99))/CG99^2,"No Contingency Table"), "Not Included")</f>
        <v>Not Included</v>
      </c>
      <c r="CK99" s="11" t="str">
        <f>IF(BX99, IF(COUNTIF(Raw!AV99:BK99, "&gt;=0") = 16,(CI99 - CJ99) / (1 - CJ99),"No Contingency Table"), "Not Included")</f>
        <v>Not Included</v>
      </c>
      <c r="CL99" s="11" t="str">
        <f>IF(BQ99, IFERROR(Raw!AV99/SUM(Raw!AV99:AY99), 0), "Not Included")</f>
        <v>Not Included</v>
      </c>
      <c r="CM99" s="11" t="str">
        <f>IF(BQ99, IFERROR(Raw!BA99/SUM(Raw!AZ99:BC99), 0), "Not Included")</f>
        <v>Not Included</v>
      </c>
      <c r="CN99" s="11" t="str">
        <f>IF(BQ99, IFERROR(Raw!BF99/SUM(Raw!BD99:BG99), 0), "Not Included")</f>
        <v>Not Included</v>
      </c>
      <c r="CO99" s="11" t="str">
        <f>IF(BQ99, IFERROR(Raw!BK99/SUM(Raw!BH99:BK99), 0), "Not Included")</f>
        <v>Not Included</v>
      </c>
      <c r="CP99" s="11" t="str">
        <f>IF(BQ99, IFERROR(SUM(Raw!AV99,Raw!AX99,Raw!AY99,Raw!BD99,Raw!BF99,Raw!BG99,Raw!BH99,Raw!BJ99,Raw!BK99)/SUM(Raw!AV99,Raw!AW99,Raw!AX99,Raw!AY99,Raw!BD99,Raw!BE99,Raw!BF99,Raw!BG99,Raw!BH99,Raw!BI99,Raw!BJ99,Raw!BK99), 0), "Not Included")</f>
        <v>Not Included</v>
      </c>
      <c r="CQ99" s="11" t="str">
        <f>IF(BQ99, IFERROR(SUM(Raw!AV99:AX99,Raw!AZ99:BB99,Raw!BD99:BF99)/SUM(Raw!AV99:BF99), 0), "Not Included")</f>
        <v>Not Included</v>
      </c>
      <c r="CR99" s="11" t="str">
        <f>IF(BQ99, IFERROR(SUM(Raw!AV99:AY99), 0), "Not Included")</f>
        <v>Not Included</v>
      </c>
      <c r="CS99" s="11" t="str">
        <f>IF(BQ99, IFERROR(SUM(Raw!AZ99:BC99), 0), "Not Included")</f>
        <v>Not Included</v>
      </c>
      <c r="CT99" s="11" t="str">
        <f>IF(BQ99, IFERROR(SUM(Raw!BD99:BG99), 0), "Not Included")</f>
        <v>Not Included</v>
      </c>
      <c r="CU99" s="11" t="str">
        <f>IF(BQ99, IFERROR(SUM(Raw!BH99:BK99), 0), "Not Included")</f>
        <v>Not Included</v>
      </c>
      <c r="CV99" s="11" t="str">
        <f>IF(BQ99, IFERROR(SUM(Raw!AV99,Raw!AW99,Raw!AX99,Raw!AY99,Raw!BD99,Raw!BE99,Raw!BF99,Raw!BG99,Raw!BH99,Raw!BI99,Raw!BJ99,Raw!BK99), 0), "Not Included")</f>
        <v>Not Included</v>
      </c>
      <c r="CW99" s="11" t="str">
        <f>IF(BQ99, IFERROR(SUM(Raw!AV99:BF99), 0), "Not Included")</f>
        <v>Not Included</v>
      </c>
      <c r="CX99" s="11" t="str">
        <f>IF(BQ99, IFERROR((CR99*SUM(Raw!AV99,Raw!AZ99,Raw!BD99,Raw!BH99))/BS99/CR99, 0), "Not Included")</f>
        <v>Not Included</v>
      </c>
      <c r="CY99" s="11" t="str">
        <f>IF(BX99, IFERROR((CS99*SUM(Raw!BA99,Raw!AW99,Raw!BE99,Raw!BI99))/CG99/CS99, 0), "Not Included")</f>
        <v>Not Included</v>
      </c>
      <c r="CZ99" s="11" t="str">
        <f>IF(BX99, IFERROR((CT99*SUM(Raw!BF99,Raw!AX99,Raw!BB99,Raw!BJ99))/BZ99/CT99, 0), "Not Included")</f>
        <v>Not Included</v>
      </c>
      <c r="DA99" s="11" t="str">
        <f>IF(AY99, IFERROR((CU99*SUM(Raw!AY99,Raw!BC99,Raw!BG99,Raw!BK99))/AT99/CU99, 0), "Not Included")</f>
        <v>Not Included</v>
      </c>
      <c r="DB99" s="11" t="str">
        <f>IF(BX99, IFERROR((CV99*SUM(Raw!AV99,Raw!AX99,Raw!AY99,Raw!AZ99,Raw!BB99,Raw!BC99,Raw!BD99,Raw!BF99,Raw!BG99,Raw!BH99,Raw!BJ99,Raw!BK99))/CG99/CV99,0), "Not Included")</f>
        <v>Not Included</v>
      </c>
      <c r="DC99" s="11" t="str">
        <f>IF(AY99, IFERROR((CW99*SUM(Raw!AV99,Raw!AW99,Raw!AX99,Raw!AZ99,Raw!BA99,Raw!BB99,Raw!BD99,Raw!BE99,Raw!BF99,Raw!BH99,Raw!BI99,Raw!BJ99))/AT99/CW99,0), "Not Included")</f>
        <v>Not Included</v>
      </c>
    </row>
    <row r="100" spans="1:107" ht="12.75" customHeight="1">
      <c r="A100" s="11">
        <f>Raw!D100</f>
        <v>72</v>
      </c>
      <c r="B100" s="11" t="str">
        <f>Raw!A100</f>
        <v>Egeland &amp; Farber (1984)</v>
      </c>
      <c r="C100" s="11">
        <f>Raw!G100</f>
        <v>1</v>
      </c>
      <c r="D100" s="11" t="str">
        <f>Raw!E100</f>
        <v>Mother-child</v>
      </c>
      <c r="E100" s="11" t="str">
        <f>CONCATENATE(IF(Raw!I100&lt;='Interval Definitions'!$B$2, 'Interval Definitions'!$A$2, IF(Raw!I100&lt;='Interval Definitions'!$B$3, 'Interval Definitions'!$A$3, IF(Raw!I100&lt;='Interval Definitions'!$B$4, 'Interval Definitions'!$A$4, IF(Raw!I100&lt;='Interval Definitions'!$B$5, 'Interval Definitions'!$A$5, "None")))), " - ", IF(Raw!J100&lt;='Interval Definitions'!$B$2, 'Interval Definitions'!$A$2, IF(Raw!J100&lt;='Interval Definitions'!$B$3, 'Interval Definitions'!$A$3, IF(Raw!J100&lt;='Interval Definitions'!$B$4, 'Interval Definitions'!$A$4, IF(Raw!J100&lt;='Interval Definitions'!$B$5, 'Interval Definitions'!$A$5, "None")))))</f>
        <v>Infancy - Infancy</v>
      </c>
      <c r="F100" s="11" t="b">
        <f>OR(NOT(ISBLANK(Raw!AF100)),NOT(ISBLANK(Raw!AG100)),NOT(ISBLANK(Raw!AH100)),NOT(ISBLANK(Raw!AI100)),COUNTIF(Raw!AA100:AD100, "&gt;=0") = 4)</f>
        <v>1</v>
      </c>
      <c r="G100" s="11" t="str">
        <f>IF(F100, IF(COUNTIF(Raw!AA100:AD100,"&gt;=0") = 4, "Contingency", IF(NOT(ISBLANK(Raw!AF100)), "Paper r", IF(NOT(ISBLANK(Raw!AG100)), "Pinquart", IF(NOT(ISBLANK(Raw!AH100)), "Fraley", "Paper chiSq")))), "Not Included")</f>
        <v>Contingency</v>
      </c>
      <c r="H100" s="15">
        <f>IF(F100,Raw!AE100,"Not Included")</f>
        <v>189</v>
      </c>
      <c r="I100" s="15">
        <f>IF(COUNTIF(Raw!AA100:AD100,"&gt;=0") = 4, SUM(Raw!AA100:AD100), "No Contingency Table")</f>
        <v>189</v>
      </c>
      <c r="J100" s="15">
        <f t="shared" si="0"/>
        <v>189</v>
      </c>
      <c r="K100" s="38">
        <f>IF(F100, IF(COUNTIF(Raw!AA100:AD100,"&gt;=0") = 4, IFERROR((I100*Raw!AA100 - SUM(Raw!AA100,Raw!AB100)*SUM(Raw!AA100,Raw!AD100)) / SQRT((I100*SUM(Raw!AA100,Raw!AB100) - SUM(Raw!AA100,Raw!AB100)^2) * (I100*SUM(Raw!AA100,Raw!AD100) - SUM(Raw!AA100,Raw!AD100)^2)), 0), "No Contingency Table"), "Not Included")</f>
        <v>0.31554242532940774</v>
      </c>
      <c r="L100" s="41">
        <f>IF(F100,IF(NOT(ISBLANK(Raw!AF100)), Raw!AF100, IF(NOT(ISBLANK(Raw!AG100)), Raw!AG100, IF(NOT(ISBLANK(Raw!AH100)), Raw!AH100, IF(NOT(ISBLANK(Raw!AI100)), SQRT(Raw!AI100/H100)*Raw!AJ100, "Not Reported")))),"Not Included")</f>
        <v>0.32</v>
      </c>
      <c r="M100" s="43">
        <f t="shared" si="1"/>
        <v>0.31554242532940774</v>
      </c>
      <c r="N100" s="11">
        <f t="shared" si="2"/>
        <v>1</v>
      </c>
      <c r="O100" s="48" t="b">
        <f>OR(NOT(ISBLANK(Raw!AK100)), COUNTIF(Raw!AA100:AD100, "&gt;=0") = 4)</f>
        <v>1</v>
      </c>
      <c r="P100" s="24" t="str">
        <f>IF(O100,IF(COUNTIF(Raw!AA100:AD100,"&gt;=0") = 4,"Contingency", "Paper k"), "Not Included")</f>
        <v>Contingency</v>
      </c>
      <c r="Q100" s="48">
        <f>IF(O100, IF(COUNTIF(Raw!AA100:AD100,"&gt;=0") = 4,SUM(Raw!AA100,Raw!AC100)/H100,"No Contingency Table"), "Not Included")</f>
        <v>0.66666666666666663</v>
      </c>
      <c r="R100" s="38">
        <f>IF(O100, IF(COUNTIF(Raw!AA100:AD100, "&gt;=0") = 4,SUM(SUM(Raw!AA100,Raw!AB100)*SUM(Raw!AA100,Raw!AD100),SUM(Raw!AC100,Raw!AD100)*SUM(Raw!AC100,Raw!AB100))/H100^2,"No Contingency Table"), "Not Included")</f>
        <v>0.51364743428235493</v>
      </c>
      <c r="S100" s="38">
        <f>IF(O100, IF(COUNTIF(Raw!AA100:AD100,"&gt;=0") = 4, IFERROR((Q100 - R100) / (1 - R100), "Could not calculate"), "No Contingency Table"), "Not Included")</f>
        <v>0.31462614401657735</v>
      </c>
      <c r="T100" s="52" t="str">
        <f>IF(O100,IF(NOT(ISBLANK(Raw!AK100)), Raw!AK100, "Not Reported"), "Not Included")</f>
        <v>Not Reported</v>
      </c>
      <c r="U100" s="38">
        <f t="shared" si="3"/>
        <v>0.31462614401657735</v>
      </c>
      <c r="V100" s="11" t="str">
        <f t="shared" si="4"/>
        <v>NA</v>
      </c>
      <c r="W100" s="11" t="b">
        <f>OR(NOT(ISBLANK(Raw!AU100)),COUNTIF(Raw!AL100:AT100,"&gt;=0") = 9)</f>
        <v>1</v>
      </c>
      <c r="X100" s="11" t="str">
        <f>IF(W100, IF(COUNTIF(Raw!AL100:AT100,"&gt;=0") = 9, "Contingency", "Paper k"), "Not Included")</f>
        <v>Contingency</v>
      </c>
      <c r="Y100" s="11">
        <f>IF(W100,IF(COUNTIF(Raw!AL100:AT100,"&gt;=0") = 9,SUM(Raw!AL100:AT100),"No Contingency Table"),"Not Included")</f>
        <v>189</v>
      </c>
      <c r="Z100" s="11">
        <f t="shared" si="5"/>
        <v>189</v>
      </c>
      <c r="AA100" s="11">
        <f>IF(W100,IF(COUNTIF(Raw!AL100:AT100,"&gt;=0") = 9,SUM(Raw!AL100,Raw!AP100,Raw!AT100)/Y100,"No Contingency Table"), "Not Included")</f>
        <v>0.59788359788359791</v>
      </c>
      <c r="AB100" s="11">
        <f>IF(W100,IF(COUNTIF(Raw!AL100:AT100,"&gt;=0") = 9,SUM(SUM(Raw!AL100,Raw!AM100,Raw!AN100)*SUM(Raw!AL100,Raw!AO100,Raw!AR100),SUM(Raw!AO100,Raw!AP100,Raw!AQ100)*SUM(Raw!AM100,Raw!AP100,Raw!AS100),SUM(Raw!AR100,Raw!AS100,Raw!AT100)*SUM(Raw!AN100,Raw!AQ100,Raw!AT100))/Y100^2,"No Contingency Table"), "Not Included")</f>
        <v>0.42848744436046021</v>
      </c>
      <c r="AC100" s="11">
        <f>IF(W100,IF(COUNTIF(Raw!AL100:AT100,"&gt;=0") = 9,(AA100 - AB100) / (1 - AB100),"No Contingency Table"), "Not Included")</f>
        <v>0.29639970609845712</v>
      </c>
      <c r="AD100" s="11" t="str">
        <f>IF(W100, IF(NOT(ISBLANK(Raw!AU100)),Raw!AU100,"Not Reported"), "Not Included")</f>
        <v>Not Reported</v>
      </c>
      <c r="AE100" s="11">
        <f t="shared" si="6"/>
        <v>0.29639970609845712</v>
      </c>
      <c r="AF100" s="11" t="str">
        <f t="shared" si="7"/>
        <v>NA</v>
      </c>
      <c r="AG100" s="11" t="b">
        <f>COUNTIF(Raw!AV100:BK100, "&gt;=0") = 16</f>
        <v>0</v>
      </c>
      <c r="AH100" s="11" t="str">
        <f>IF(AG100, IF(COUNTIF(Raw!AV100:BK100,"&gt;=0") = 16, "Contingency", "Paper k"), "Not Included")</f>
        <v>Not Included</v>
      </c>
      <c r="AI100" s="11" t="str">
        <f>IF(AG100,IF(COUNTIF(Raw!AV100:BK100,"&gt;=0") = 16,SUM(Raw!AV100:BK100),"No Contingency Table"),"Not Included")</f>
        <v>Not Included</v>
      </c>
      <c r="AJ100" s="15">
        <f t="shared" si="8"/>
        <v>189</v>
      </c>
      <c r="AK100" s="11" t="str">
        <f>IF(AG100,IF(COUNTIF(Raw!AV100:BK100,"&gt;=0") = 16,SUM(Raw!AV100,Raw!BA100,Raw!BF100,Raw!BK100)/AI100,"No Contingency Table"), "Not Included")</f>
        <v>Not Included</v>
      </c>
      <c r="AL100" s="11" t="str">
        <f>IF(AG100,IF(COUNTIF(Raw!AV100:BK100,"&gt;=0") = 16,SUM(SUM(Raw!AV100,Raw!AW100,Raw!AX100,Raw!AY100)*SUM(Raw!AV100,Raw!AZ100,Raw!BD100,Raw!BH100),SUM(Raw!AZ100,Raw!BA100,Raw!BB100,Raw!BC100)*SUM(Raw!AW100,Raw!BA100,Raw!BE100,Raw!BI100),SUM(Raw!BD100,Raw!BE100,Raw!BF100,Raw!BG100)*SUM(Raw!AX100,Raw!BB100,Raw!BF100,Raw!BJ100),SUM(Raw!BH100,Raw!BI100,Raw!BJ100,Raw!BK100)*SUM(Raw!AY100,Raw!BC100,Raw!BG100,Raw!BK100))/AI100^2,"No Contingency Table"), "Not Included")</f>
        <v>Not Included</v>
      </c>
      <c r="AM100" s="11" t="str">
        <f>IF(AG100,IF(COUNTIF(Raw!AV100:BK100,"&gt;=0") = 16,(AK100 - AL100) / (1 - AL100),"No Contingency Table"), "Not Included")</f>
        <v>Not Included</v>
      </c>
      <c r="AN100" s="11" t="str">
        <f>IF(NOT(ISBLANK(Raw!BL100)),Raw!BL100,"Not Reported")</f>
        <v>Not Reported</v>
      </c>
      <c r="AO100" s="11" t="str">
        <f t="shared" si="9"/>
        <v>Not Reported</v>
      </c>
      <c r="AP100" s="11" t="str">
        <f t="shared" si="10"/>
        <v>Not Included</v>
      </c>
      <c r="AQ100" s="11" t="b">
        <f t="shared" ref="AQ100:AR100" si="411">BQ100</f>
        <v>0</v>
      </c>
      <c r="AR100" s="11" t="str">
        <f t="shared" si="411"/>
        <v>Not Included</v>
      </c>
      <c r="AS100" s="11" t="str">
        <f t="shared" si="12"/>
        <v>Not Included</v>
      </c>
      <c r="AT100" s="11" t="str">
        <f t="shared" si="13"/>
        <v>Not Included</v>
      </c>
      <c r="AU100" s="11" t="str">
        <f>IF(AQ100, IF(COUNTIF(Raw!AV100:BK100, "&gt;=0") = 16, IFERROR((AT100*Raw!BK100 - SUM(Raw!BH100, Raw!BI100, Raw!BJ100, Raw!BK100)*SUM(Raw!AY100, Raw!BC100, Raw!BG100, Raw!BK100)) / SQRT((AT100*SUM(Raw!BH100, Raw!BI100, Raw!BJ100, Raw!BK100) - SUM(Raw!BH100, Raw!BI100, Raw!BJ100, Raw!BK100)^2) * (AT100*SUM(Raw!AY100, Raw!BC100, Raw!BG100, Raw!BK100) - SUM(Raw!AY100, Raw!BC100, Raw!BG100, Raw!BK100)^2)), 0), "No Contingency Table"), "Not Included")</f>
        <v>Not Included</v>
      </c>
      <c r="AV100" s="11" t="str">
        <f>IF(AQ100,IF(NOT(ISBLANK(Raw!BQ100)), Raw!BQ100, IF(NOT(ISBLANK(Raw!BR100)), Raw!BR100, "Not Reported")), "Not Included")</f>
        <v>Not Included</v>
      </c>
      <c r="AW100" s="57" t="str">
        <f t="shared" si="14"/>
        <v>Not Included</v>
      </c>
      <c r="AX100" s="11" t="str">
        <f t="shared" si="15"/>
        <v>Not Included</v>
      </c>
      <c r="AY100" s="11" t="b">
        <f t="shared" ref="AY100:AZ100" si="412">AQ100</f>
        <v>0</v>
      </c>
      <c r="AZ100" s="11" t="str">
        <f t="shared" si="412"/>
        <v>Not Included</v>
      </c>
      <c r="BA100" s="11" t="str">
        <f>IF(AY100, IF(COUNTIF(Raw!AV100:BK100, "&gt;=0") = 16, SUM(Raw!AV100,Raw!AW100,Raw!AX100,Raw!AZ100,Raw!BA100,Raw!BB100,Raw!BD100,Raw!BE100,Raw!BF100,Raw!BK100)/SUM(Raw!AV100:BK100), "No Contingency Table"), "Not Included")</f>
        <v>Not Included</v>
      </c>
      <c r="BB100" s="11" t="str">
        <f>IF(AY100, IF(COUNTIF(Raw!AV100:BK100, "&gt;=0") = 16,SUM(SUM(Raw!BH100,Raw!BI100,Raw!BJ100,Raw!BK100)*SUM(Raw!AY100,Raw!BC100,Raw!BG100,Raw!BK100),SUM(Raw!AV100:BG100)*SUM(Raw!AV100,Raw!AW100,Raw!AX100,Raw!AZ100,Raw!BA100,Raw!BB100,Raw!BD100,Raw!BE100,Raw!BF100,Raw!BH100,Raw!BI100,Raw!BJ100))/AT100^2,"No Contingency Table"), "Not Included")</f>
        <v>Not Included</v>
      </c>
      <c r="BC100" s="11" t="str">
        <f>IF(AY100, IF(COUNTIF(Raw!AV100:BK100, "&gt;=0") = 16,(BA100-BB100) / (1 - BB100),"No Contingency Table"), "Not Included")</f>
        <v>Not Included</v>
      </c>
      <c r="BD100" s="11" t="str">
        <f>IF(AY100,IF(NOT(ISBLANK(Raw!BT121)),Raw!BT121,"Not Reported"),"Not Included")</f>
        <v>Not Included</v>
      </c>
      <c r="BE100" s="11" t="str">
        <f t="shared" si="17"/>
        <v>Not Included</v>
      </c>
      <c r="BF100" s="11" t="str">
        <f t="shared" si="18"/>
        <v>Not Included</v>
      </c>
      <c r="BG100" s="11">
        <f>Raw!K100</f>
        <v>1984</v>
      </c>
      <c r="BH100" s="11" t="str">
        <f>IF(Raw!L100 = "USA","USA","Non-USA")</f>
        <v>USA</v>
      </c>
      <c r="BI100" s="11" t="str">
        <f>Raw!M100</f>
        <v>Ainsworth/Ainsworth</v>
      </c>
      <c r="BJ100" s="11">
        <f>Raw!N100</f>
        <v>1</v>
      </c>
      <c r="BK100" s="11">
        <f>Raw!P100</f>
        <v>1</v>
      </c>
      <c r="BL100" s="11">
        <f>Raw!Q100</f>
        <v>0</v>
      </c>
      <c r="BM100" s="11">
        <f>Raw!T100</f>
        <v>1</v>
      </c>
      <c r="BN100" s="11">
        <f>IFERROR(IF(AND(ISBLANK(Raw!U100), ISBLANK(Raw!V100), ISBLANK(Raw!W100), ISBLANK(Raw!X100)), "NA", IF(OR(NOT(ISBLANK(Raw!U100)), NOT(ISBLANK(Raw!W100))), AVERAGE(Raw!U100,Raw!W100), AVERAGE(Raw!V100,Raw!X100) + IF(Raw!Y100 = "2-way", R100, IF(Raw!Y100 = "3-way", AB100, IF(Raw!Y100 = "4-way", AL100, "NA")))*(1 - AVERAGE(Raw!V100,Raw!X100)))), "NA")</f>
        <v>0.91</v>
      </c>
      <c r="BO100" s="11">
        <f>Raw!O100</f>
        <v>0</v>
      </c>
      <c r="BP100" s="11" t="str">
        <f>Raw!F100</f>
        <v>Female</v>
      </c>
      <c r="BQ100" s="11" t="b">
        <f>COUNTIF(Raw!AV100:BK100, "&gt;=0") = 16</f>
        <v>0</v>
      </c>
      <c r="BR100" s="11" t="str">
        <f t="shared" si="19"/>
        <v>Not Included</v>
      </c>
      <c r="BS100" s="11" t="str">
        <f t="shared" si="20"/>
        <v>Not Included</v>
      </c>
      <c r="BT100" s="11" t="str">
        <f>IF(BQ100, IF(COUNTIF(Raw!AV100:BK100, "&gt;=0") = 16, IFERROR((BS100*Raw!AV100 - SUM(Raw!AV100, Raw!AW100, Raw!AX100, Raw!AY100)*SUM(Raw!AV100, Raw!AZ100, Raw!BD100, Raw!BH100)) / SQRT((BS100*SUM(Raw!AV100, Raw!AW100, Raw!AX100, Raw!AY100) - SUM(Raw!AV100, Raw!AW100, Raw!AX100, Raw!AY100)^2) * (BS100*SUM(Raw!AV100, Raw!AZ100, Raw!BD100, Raw!BH100) - SUM(Raw!AV100, Raw!AZ100, Raw!BD100, Raw!BH100)^2)), 0), "No Contingency Table"), "Not Included")</f>
        <v>Not Included</v>
      </c>
      <c r="BU100" s="11" t="str">
        <f>IF(BQ100, IF(COUNTIF(Raw!AV100:BK100, "&gt;=0") = 16, SUM(Raw!BK100,Raw!BJ100,Raw!BI100,Raw!BG100,Raw!BF100,Raw!BE100,Raw!BC100,Raw!BB100,Raw!BA100,Raw!AV100)/SUM(Raw!AV100:BK100), "No Contingency Table"), "Not Included")</f>
        <v>Not Included</v>
      </c>
      <c r="BV100" s="11" t="str">
        <f>IF(BQ100, IF(COUNTIF(Raw!AV100:BK100, "&gt;=0") = 16,SUM(SUM(Raw!AV100,Raw!AW100,Raw!AX100,Raw!AY100)*SUM(Raw!AV100,Raw!AZ100,Raw!BD100,Raw!BH100),SUM(Raw!AZ100:BK100)*SUM(Raw!AW100,Raw!AX100,Raw!AY100,Raw!BA100,Raw!BB100,Raw!BC100,Raw!BE100,Raw!BF100,Raw!BG100,Raw!BI100,Raw!BJ100,Raw!BK100))/BS100^2,"No Contingency Table"), "Not Included")</f>
        <v>Not Included</v>
      </c>
      <c r="BW100" s="11" t="str">
        <f>IF(BQ100, IF(COUNTIF(Raw!AV100:BK100, "&gt;=0") = 16,(BU100-BV100) / (1 - BV100),"No Contingency Table"), "Not Included")</f>
        <v>Not Included</v>
      </c>
      <c r="BX100" s="11" t="b">
        <f t="shared" ref="BX100:BZ100" si="413">BQ100</f>
        <v>0</v>
      </c>
      <c r="BY100" s="11" t="str">
        <f t="shared" si="413"/>
        <v>Not Included</v>
      </c>
      <c r="BZ100" s="11" t="str">
        <f t="shared" si="413"/>
        <v>Not Included</v>
      </c>
      <c r="CA100" s="11" t="str">
        <f>IF(BX100, IF(COUNTIF(Raw!AV100:BK100, "&gt;=0") = 16, IFERROR((BZ100*Raw!BF100 - SUM(Raw!BD100, Raw!BE100, Raw!BF100, Raw!BG100)*SUM(Raw!BF100, Raw!AX100, Raw!BB100, Raw!BJ100)) / SQRT((BZ100*SUM(Raw!BD100, Raw!BE100, Raw!BF100, Raw!BG100) - SUM(Raw!BD100, Raw!BE100, Raw!BF100, Raw!BG100)^2) * (BZ100*SUM(Raw!BF100, Raw!AX100, Raw!BB100, Raw!BJ100) - SUM(Raw!BF100, Raw!AX100, Raw!BB100, Raw!BJ100)^2)), 0), "No Contingency Table"), "Not Included")</f>
        <v>Not Included</v>
      </c>
      <c r="CB100" s="11" t="str">
        <f>IF(BX100, IF(COUNTIF(Raw!AV100:BK100, "&gt;=0") = 16, SUM(Raw!AV100,Raw!AW100,Raw!AY100,Raw!AZ100,Raw!BA100,Raw!BC100,Raw!BF100,Raw!BH100,Raw!BI100,Raw!BK100) / SUM(Raw!AV100:BK100), "No Contingency Table"), "Not Included")</f>
        <v>Not Included</v>
      </c>
      <c r="CC100" s="11" t="str">
        <f>IF(BX100, IF(COUNTIF(Raw!AV100:BK100, "&gt;=0") = 16,SUM(SUM(Raw!BD100,Raw!BE100,Raw!BF100,Raw!BG100)*SUM(Raw!BF100,Raw!AX100,Raw!BB100,Raw!BJ100),SUM(Raw!AV100:BC100,Raw!BH100:BK100)*SUM(Raw!AV100,Raw!AW100,Raw!AY100,Raw!AZ100,Raw!BA100,Raw!BC100,Raw!BD100,Raw!BE100,Raw!BG100,Raw!BH100,Raw!BI100,Raw!BK100))/BZ100^2,"No Contingency Table"), "Not Included")</f>
        <v>Not Included</v>
      </c>
      <c r="CD100" s="11" t="str">
        <f>IF(BX100, IF(COUNTIF(Raw!AV100:BK100, "&gt;=0") = 16,(CB100 - CC100) / (1 - CC100+0.000001),"No Contingency Table"), "Not Included")</f>
        <v>Not Included</v>
      </c>
      <c r="CE100" s="11" t="b">
        <f t="shared" ref="CE100:CG100" si="414">BQ100</f>
        <v>0</v>
      </c>
      <c r="CF100" s="11" t="str">
        <f t="shared" si="414"/>
        <v>Not Included</v>
      </c>
      <c r="CG100" s="11" t="str">
        <f t="shared" si="414"/>
        <v>Not Included</v>
      </c>
      <c r="CH100" s="11" t="str">
        <f>IF(CE100, IF(COUNTIF(Raw!AV100:BK100, "&gt;=0") = 16, IFERROR((CG100*Raw!BA100 - SUM(Raw!BA100, Raw!AZ100, Raw!BB100, Raw!BC100)*SUM(Raw!BA100, Raw!AW100, Raw!BE100, Raw!BI100)) / SQRT((CG100*SUM(Raw!BA100, Raw!AZ100, Raw!BB100, Raw!BC100) - SUM(Raw!BA100, Raw!AZ100, Raw!BB100, Raw!BC100)^2) * (CG100*SUM(Raw!BA100, Raw!AW100, Raw!BE100, Raw!BI100) - SUM(Raw!BA100, Raw!AW100, Raw!BE100, Raw!BI100)^2)), 0), "No Contingency Table"), "Not Included")</f>
        <v>Not Included</v>
      </c>
      <c r="CI100" s="11" t="str">
        <f>IF(CE100, IF(COUNTIF(Raw!AV100:BK100, "&gt;=0") = 16, SUM(Raw!AV100,Raw!AX100,Raw!AY100,Raw!BA100,Raw!BD100,Raw!BF100,Raw!BG100,Raw!BH100,Raw!BJ100,Raw!BK100) / SUM(Raw!AV100:BK100), "No Contingency Table"), "Not Included")</f>
        <v>Not Included</v>
      </c>
      <c r="CJ100" s="61" t="str">
        <f>IF(BX100, IF(COUNTIF(Raw!AV100:BK100, "&gt;=0") = 16,SUM(SUM(Raw!AZ100,Raw!BA100,Raw!BB100,Raw!BC100)*SUM(Raw!BA100,Raw!AW100,Raw!BE100,Raw!BI100),SUM(Raw!AV100:AY100,Raw!BD100:BK100)*SUM(Raw!AV100,Raw!AX100,Raw!AY100,Raw!AZ100,Raw!BB100,Raw!BC100,Raw!BD100,Raw!BF100,Raw!BG100,Raw!BH100,Raw!BJ100,Raw!BK100))/CG100^2,"No Contingency Table"), "Not Included")</f>
        <v>Not Included</v>
      </c>
      <c r="CK100" s="11" t="str">
        <f>IF(BX100, IF(COUNTIF(Raw!AV100:BK100, "&gt;=0") = 16,(CI100 - CJ100) / (1 - CJ100),"No Contingency Table"), "Not Included")</f>
        <v>Not Included</v>
      </c>
      <c r="CL100" s="11" t="str">
        <f>IF(BQ100, IFERROR(Raw!AV100/SUM(Raw!AV100:AY100), 0), "Not Included")</f>
        <v>Not Included</v>
      </c>
      <c r="CM100" s="11" t="str">
        <f>IF(BQ100, IFERROR(Raw!BA100/SUM(Raw!AZ100:BC100), 0), "Not Included")</f>
        <v>Not Included</v>
      </c>
      <c r="CN100" s="11" t="str">
        <f>IF(BQ100, IFERROR(Raw!BF100/SUM(Raw!BD100:BG100), 0), "Not Included")</f>
        <v>Not Included</v>
      </c>
      <c r="CO100" s="11" t="str">
        <f>IF(BQ100, IFERROR(Raw!BK100/SUM(Raw!BH100:BK100), 0), "Not Included")</f>
        <v>Not Included</v>
      </c>
      <c r="CP100" s="11" t="str">
        <f>IF(BQ100, IFERROR(SUM(Raw!AV100,Raw!AX100,Raw!AY100,Raw!BD100,Raw!BF100,Raw!BG100,Raw!BH100,Raw!BJ100,Raw!BK100)/SUM(Raw!AV100,Raw!AW100,Raw!AX100,Raw!AY100,Raw!BD100,Raw!BE100,Raw!BF100,Raw!BG100,Raw!BH100,Raw!BI100,Raw!BJ100,Raw!BK100), 0), "Not Included")</f>
        <v>Not Included</v>
      </c>
      <c r="CQ100" s="11" t="str">
        <f>IF(BQ100, IFERROR(SUM(Raw!AV100:AX100,Raw!AZ100:BB100,Raw!BD100:BF100)/SUM(Raw!AV100:BF100), 0), "Not Included")</f>
        <v>Not Included</v>
      </c>
      <c r="CR100" s="11" t="str">
        <f>IF(BQ100, IFERROR(SUM(Raw!AV100:AY100), 0), "Not Included")</f>
        <v>Not Included</v>
      </c>
      <c r="CS100" s="11" t="str">
        <f>IF(BQ100, IFERROR(SUM(Raw!AZ100:BC100), 0), "Not Included")</f>
        <v>Not Included</v>
      </c>
      <c r="CT100" s="11" t="str">
        <f>IF(BQ100, IFERROR(SUM(Raw!BD100:BG100), 0), "Not Included")</f>
        <v>Not Included</v>
      </c>
      <c r="CU100" s="11" t="str">
        <f>IF(BQ100, IFERROR(SUM(Raw!BH100:BK100), 0), "Not Included")</f>
        <v>Not Included</v>
      </c>
      <c r="CV100" s="11" t="str">
        <f>IF(BQ100, IFERROR(SUM(Raw!AV100,Raw!AW100,Raw!AX100,Raw!AY100,Raw!BD100,Raw!BE100,Raw!BF100,Raw!BG100,Raw!BH100,Raw!BI100,Raw!BJ100,Raw!BK100), 0), "Not Included")</f>
        <v>Not Included</v>
      </c>
      <c r="CW100" s="11" t="str">
        <f>IF(BQ100, IFERROR(SUM(Raw!AV100:BF100), 0), "Not Included")</f>
        <v>Not Included</v>
      </c>
      <c r="CX100" s="11" t="str">
        <f>IF(BQ100, IFERROR((CR100*SUM(Raw!AV100,Raw!AZ100,Raw!BD100,Raw!BH100))/BS100/CR100, 0), "Not Included")</f>
        <v>Not Included</v>
      </c>
      <c r="CY100" s="11" t="str">
        <f>IF(BX100, IFERROR((CS100*SUM(Raw!BA100,Raw!AW100,Raw!BE100,Raw!BI100))/CG100/CS100, 0), "Not Included")</f>
        <v>Not Included</v>
      </c>
      <c r="CZ100" s="11" t="str">
        <f>IF(BX100, IFERROR((CT100*SUM(Raw!BF100,Raw!AX100,Raw!BB100,Raw!BJ100))/BZ100/CT100, 0), "Not Included")</f>
        <v>Not Included</v>
      </c>
      <c r="DA100" s="11" t="str">
        <f>IF(AY100, IFERROR((CU100*SUM(Raw!AY100,Raw!BC100,Raw!BG100,Raw!BK100))/AT100/CU100, 0), "Not Included")</f>
        <v>Not Included</v>
      </c>
      <c r="DB100" s="11" t="str">
        <f>IF(BX100, IFERROR((CV100*SUM(Raw!AV100,Raw!AX100,Raw!AY100,Raw!AZ100,Raw!BB100,Raw!BC100,Raw!BD100,Raw!BF100,Raw!BG100,Raw!BH100,Raw!BJ100,Raw!BK100))/CG100/CV100,0), "Not Included")</f>
        <v>Not Included</v>
      </c>
      <c r="DC100" s="11" t="str">
        <f>IF(AY100, IFERROR((CW100*SUM(Raw!AV100,Raw!AW100,Raw!AX100,Raw!AZ100,Raw!BA100,Raw!BB100,Raw!BD100,Raw!BE100,Raw!BF100,Raw!BH100,Raw!BI100,Raw!BJ100))/AT100/CW100,0), "Not Included")</f>
        <v>Not Included</v>
      </c>
    </row>
    <row r="101" spans="1:107" ht="12.75" customHeight="1">
      <c r="A101" s="11">
        <f>Raw!D101</f>
        <v>73</v>
      </c>
      <c r="B101" s="11" t="str">
        <f>Raw!A101</f>
        <v>Egeland &amp; Sroufe (1981)</v>
      </c>
      <c r="C101" s="11">
        <f>Raw!G101</f>
        <v>1</v>
      </c>
      <c r="D101" s="11" t="str">
        <f>Raw!E101</f>
        <v>Maltreated</v>
      </c>
      <c r="E101" s="11" t="str">
        <f>CONCATENATE(IF(Raw!I101&lt;='Interval Definitions'!$B$2, 'Interval Definitions'!$A$2, IF(Raw!I101&lt;='Interval Definitions'!$B$3, 'Interval Definitions'!$A$3, IF(Raw!I101&lt;='Interval Definitions'!$B$4, 'Interval Definitions'!$A$4, IF(Raw!I101&lt;='Interval Definitions'!$B$5, 'Interval Definitions'!$A$5, "None")))), " - ", IF(Raw!J101&lt;='Interval Definitions'!$B$2, 'Interval Definitions'!$A$2, IF(Raw!J101&lt;='Interval Definitions'!$B$3, 'Interval Definitions'!$A$3, IF(Raw!J101&lt;='Interval Definitions'!$B$4, 'Interval Definitions'!$A$4, IF(Raw!J101&lt;='Interval Definitions'!$B$5, 'Interval Definitions'!$A$5, "None")))))</f>
        <v>Infancy - Infancy</v>
      </c>
      <c r="F101" s="11" t="b">
        <f>OR(NOT(ISBLANK(Raw!AF101)),NOT(ISBLANK(Raw!AG101)),NOT(ISBLANK(Raw!AH101)),NOT(ISBLANK(Raw!AI101)),COUNTIF(Raw!AA101:AD101, "&gt;=0") = 4)</f>
        <v>1</v>
      </c>
      <c r="G101" s="11" t="str">
        <f>IF(F101, IF(COUNTIF(Raw!AA101:AD101,"&gt;=0") = 4, "Contingency", IF(NOT(ISBLANK(Raw!AF101)), "Paper r", IF(NOT(ISBLANK(Raw!AG101)), "Pinquart", IF(NOT(ISBLANK(Raw!AH101)), "Fraley", "Paper chiSq")))), "Not Included")</f>
        <v>Contingency</v>
      </c>
      <c r="H101" s="15">
        <f>IF(F101,Raw!AE101,"Not Included")</f>
        <v>25</v>
      </c>
      <c r="I101" s="15">
        <f>IF(COUNTIF(Raw!AA101:AD101,"&gt;=0") = 4, SUM(Raw!AA101:AD101), "No Contingency Table")</f>
        <v>25</v>
      </c>
      <c r="J101" s="15">
        <f t="shared" si="0"/>
        <v>25</v>
      </c>
      <c r="K101" s="38">
        <f>IF(F101, IF(COUNTIF(Raw!AA101:AD101,"&gt;=0") = 4, IFERROR((I101*Raw!AA101 - SUM(Raw!AA101,Raw!AB101)*SUM(Raw!AA101,Raw!AD101)) / SQRT((I101*SUM(Raw!AA101,Raw!AB101) - SUM(Raw!AA101,Raw!AB101)^2) * (I101*SUM(Raw!AA101,Raw!AD101) - SUM(Raw!AA101,Raw!AD101)^2)), 0), "No Contingency Table"), "Not Included")</f>
        <v>0.32904437697703026</v>
      </c>
      <c r="L101" s="41">
        <f>IF(F101,IF(NOT(ISBLANK(Raw!AF101)), Raw!AF101, IF(NOT(ISBLANK(Raw!AG101)), Raw!AG101, IF(NOT(ISBLANK(Raw!AH101)), Raw!AH101, IF(NOT(ISBLANK(Raw!AI101)), SQRT(Raw!AI101/H101)*Raw!AJ101, "Not Reported")))),"Not Included")</f>
        <v>0.33</v>
      </c>
      <c r="M101" s="43">
        <f t="shared" si="1"/>
        <v>0.32904437697703026</v>
      </c>
      <c r="N101" s="11">
        <f t="shared" si="2"/>
        <v>1</v>
      </c>
      <c r="O101" s="48" t="b">
        <f>OR(NOT(ISBLANK(Raw!AK101)), COUNTIF(Raw!AA101:AD101, "&gt;=0") = 4)</f>
        <v>1</v>
      </c>
      <c r="P101" s="24" t="str">
        <f>IF(O101,IF(COUNTIF(Raw!AA101:AD101,"&gt;=0") = 4,"Contingency", "Paper k"), "Not Included")</f>
        <v>Contingency</v>
      </c>
      <c r="Q101" s="48">
        <f>IF(O101, IF(COUNTIF(Raw!AA101:AD101,"&gt;=0") = 4,SUM(Raw!AA101,Raw!AC101)/H101,"No Contingency Table"), "Not Included")</f>
        <v>0.64</v>
      </c>
      <c r="R101" s="38">
        <f>IF(O101, IF(COUNTIF(Raw!AA101:AD101, "&gt;=0") = 4,SUM(SUM(Raw!AA101,Raw!AB101)*SUM(Raw!AA101,Raw!AD101),SUM(Raw!AC101,Raw!AD101)*SUM(Raw!AC101,Raw!AB101))/H101^2,"No Contingency Table"), "Not Included")</f>
        <v>0.48320000000000002</v>
      </c>
      <c r="S101" s="38">
        <f>IF(O101, IF(COUNTIF(Raw!AA101:AD101,"&gt;=0") = 4, IFERROR((Q101 - R101) / (1 - R101), "Could not calculate"), "No Contingency Table"), "Not Included")</f>
        <v>0.30340557275541796</v>
      </c>
      <c r="T101" s="52" t="str">
        <f>IF(O101,IF(NOT(ISBLANK(Raw!AK101)), Raw!AK101, "Not Reported"), "Not Included")</f>
        <v>Not Reported</v>
      </c>
      <c r="U101" s="38">
        <f t="shared" si="3"/>
        <v>0.30340557275541796</v>
      </c>
      <c r="V101" s="11" t="str">
        <f t="shared" si="4"/>
        <v>NA</v>
      </c>
      <c r="W101" s="11" t="b">
        <f>OR(NOT(ISBLANK(Raw!AU101)),COUNTIF(Raw!AL101:AT101,"&gt;=0") = 9)</f>
        <v>1</v>
      </c>
      <c r="X101" s="11" t="str">
        <f>IF(W101, IF(COUNTIF(Raw!AL101:AT101,"&gt;=0") = 9, "Contingency", "Paper k"), "Not Included")</f>
        <v>Contingency</v>
      </c>
      <c r="Y101" s="11">
        <f>IF(W101,IF(COUNTIF(Raw!AL101:AT101,"&gt;=0") = 9,SUM(Raw!AL101:AT101),"No Contingency Table"),"Not Included")</f>
        <v>25</v>
      </c>
      <c r="Z101" s="11">
        <f t="shared" si="5"/>
        <v>25</v>
      </c>
      <c r="AA101" s="11">
        <f>IF(W101,IF(COUNTIF(Raw!AL101:AT101,"&gt;=0") = 9,SUM(Raw!AL101,Raw!AP101,Raw!AT101)/Y101,"No Contingency Table"), "Not Included")</f>
        <v>0.48</v>
      </c>
      <c r="AB101" s="11">
        <f>IF(W101,IF(COUNTIF(Raw!AL101:AT101,"&gt;=0") = 9,SUM(SUM(Raw!AL101,Raw!AM101,Raw!AN101)*SUM(Raw!AL101,Raw!AO101,Raw!AR101),SUM(Raw!AO101,Raw!AP101,Raw!AQ101)*SUM(Raw!AM101,Raw!AP101,Raw!AS101),SUM(Raw!AR101,Raw!AS101,Raw!AT101)*SUM(Raw!AN101,Raw!AQ101,Raw!AT101))/Y101^2,"No Contingency Table"), "Not Included")</f>
        <v>0.33119999999999999</v>
      </c>
      <c r="AC101" s="11">
        <f>IF(W101,IF(COUNTIF(Raw!AL101:AT101,"&gt;=0") = 9,(AA101 - AB101) / (1 - AB101),"No Contingency Table"), "Not Included")</f>
        <v>0.22248803827751193</v>
      </c>
      <c r="AD101" s="11" t="str">
        <f>IF(W101, IF(NOT(ISBLANK(Raw!AU101)),Raw!AU101,"Not Reported"), "Not Included")</f>
        <v>Not Reported</v>
      </c>
      <c r="AE101" s="11">
        <f t="shared" si="6"/>
        <v>0.22248803827751193</v>
      </c>
      <c r="AF101" s="11" t="str">
        <f t="shared" si="7"/>
        <v>NA</v>
      </c>
      <c r="AG101" s="11" t="b">
        <f>COUNTIF(Raw!AV101:BK101, "&gt;=0") = 16</f>
        <v>0</v>
      </c>
      <c r="AH101" s="11" t="str">
        <f>IF(AG101, IF(COUNTIF(Raw!AV101:BK101,"&gt;=0") = 16, "Contingency", "Paper k"), "Not Included")</f>
        <v>Not Included</v>
      </c>
      <c r="AI101" s="11" t="str">
        <f>IF(AG101,IF(COUNTIF(Raw!AV101:BK101,"&gt;=0") = 16,SUM(Raw!AV101:BK101),"No Contingency Table"),"Not Included")</f>
        <v>Not Included</v>
      </c>
      <c r="AJ101" s="15">
        <f t="shared" si="8"/>
        <v>25</v>
      </c>
      <c r="AK101" s="11" t="str">
        <f>IF(AG101,IF(COUNTIF(Raw!AV101:BK101,"&gt;=0") = 16,SUM(Raw!AV101,Raw!BA101,Raw!BF101,Raw!BK101)/AI101,"No Contingency Table"), "Not Included")</f>
        <v>Not Included</v>
      </c>
      <c r="AL101" s="11" t="str">
        <f>IF(AG101,IF(COUNTIF(Raw!AV101:BK101,"&gt;=0") = 16,SUM(SUM(Raw!AV101,Raw!AW101,Raw!AX101,Raw!AY101)*SUM(Raw!AV101,Raw!AZ101,Raw!BD101,Raw!BH101),SUM(Raw!AZ101,Raw!BA101,Raw!BB101,Raw!BC101)*SUM(Raw!AW101,Raw!BA101,Raw!BE101,Raw!BI101),SUM(Raw!BD101,Raw!BE101,Raw!BF101,Raw!BG101)*SUM(Raw!AX101,Raw!BB101,Raw!BF101,Raw!BJ101),SUM(Raw!BH101,Raw!BI101,Raw!BJ101,Raw!BK101)*SUM(Raw!AY101,Raw!BC101,Raw!BG101,Raw!BK101))/AI101^2,"No Contingency Table"), "Not Included")</f>
        <v>Not Included</v>
      </c>
      <c r="AM101" s="11" t="str">
        <f>IF(AG101,IF(COUNTIF(Raw!AV101:BK101,"&gt;=0") = 16,(AK101 - AL101) / (1 - AL101),"No Contingency Table"), "Not Included")</f>
        <v>Not Included</v>
      </c>
      <c r="AN101" s="11" t="str">
        <f>IF(NOT(ISBLANK(Raw!BL101)),Raw!BL101,"Not Reported")</f>
        <v>Not Reported</v>
      </c>
      <c r="AO101" s="11" t="str">
        <f t="shared" si="9"/>
        <v>Not Reported</v>
      </c>
      <c r="AP101" s="11" t="str">
        <f t="shared" si="10"/>
        <v>Not Included</v>
      </c>
      <c r="AQ101" s="11" t="b">
        <f t="shared" ref="AQ101:AR101" si="415">BQ101</f>
        <v>0</v>
      </c>
      <c r="AR101" s="11" t="str">
        <f t="shared" si="415"/>
        <v>Not Included</v>
      </c>
      <c r="AS101" s="11" t="str">
        <f t="shared" si="12"/>
        <v>Not Included</v>
      </c>
      <c r="AT101" s="11" t="str">
        <f t="shared" si="13"/>
        <v>Not Included</v>
      </c>
      <c r="AU101" s="11" t="str">
        <f>IF(AQ101, IF(COUNTIF(Raw!AV101:BK101, "&gt;=0") = 16, IFERROR((AT101*Raw!BK101 - SUM(Raw!BH101, Raw!BI101, Raw!BJ101, Raw!BK101)*SUM(Raw!AY101, Raw!BC101, Raw!BG101, Raw!BK101)) / SQRT((AT101*SUM(Raw!BH101, Raw!BI101, Raw!BJ101, Raw!BK101) - SUM(Raw!BH101, Raw!BI101, Raw!BJ101, Raw!BK101)^2) * (AT101*SUM(Raw!AY101, Raw!BC101, Raw!BG101, Raw!BK101) - SUM(Raw!AY101, Raw!BC101, Raw!BG101, Raw!BK101)^2)), 0), "No Contingency Table"), "Not Included")</f>
        <v>Not Included</v>
      </c>
      <c r="AV101" s="11" t="str">
        <f>IF(AQ101,IF(NOT(ISBLANK(Raw!BQ101)), Raw!BQ101, IF(NOT(ISBLANK(Raw!BR101)), Raw!BR101, "Not Reported")), "Not Included")</f>
        <v>Not Included</v>
      </c>
      <c r="AW101" s="57" t="str">
        <f t="shared" si="14"/>
        <v>Not Included</v>
      </c>
      <c r="AX101" s="11" t="str">
        <f t="shared" si="15"/>
        <v>Not Included</v>
      </c>
      <c r="AY101" s="11" t="b">
        <f t="shared" ref="AY101:AZ101" si="416">AQ101</f>
        <v>0</v>
      </c>
      <c r="AZ101" s="11" t="str">
        <f t="shared" si="416"/>
        <v>Not Included</v>
      </c>
      <c r="BA101" s="11" t="str">
        <f>IF(AY101, IF(COUNTIF(Raw!AV101:BK101, "&gt;=0") = 16, SUM(Raw!AV101,Raw!AW101,Raw!AX101,Raw!AZ101,Raw!BA101,Raw!BB101,Raw!BD101,Raw!BE101,Raw!BF101,Raw!BK101)/SUM(Raw!AV101:BK101), "No Contingency Table"), "Not Included")</f>
        <v>Not Included</v>
      </c>
      <c r="BB101" s="11" t="str">
        <f>IF(AY101, IF(COUNTIF(Raw!AV101:BK101, "&gt;=0") = 16,SUM(SUM(Raw!BH101,Raw!BI101,Raw!BJ101,Raw!BK101)*SUM(Raw!AY101,Raw!BC101,Raw!BG101,Raw!BK101),SUM(Raw!AV101:BG101)*SUM(Raw!AV101,Raw!AW101,Raw!AX101,Raw!AZ101,Raw!BA101,Raw!BB101,Raw!BD101,Raw!BE101,Raw!BF101,Raw!BH101,Raw!BI101,Raw!BJ101))/AT101^2,"No Contingency Table"), "Not Included")</f>
        <v>Not Included</v>
      </c>
      <c r="BC101" s="11" t="str">
        <f>IF(AY101, IF(COUNTIF(Raw!AV101:BK101, "&gt;=0") = 16,(BA101-BB101) / (1 - BB101),"No Contingency Table"), "Not Included")</f>
        <v>Not Included</v>
      </c>
      <c r="BD101" s="11" t="str">
        <f>IF(AY101,IF(NOT(ISBLANK(Raw!BT122)),Raw!BT122,"Not Reported"),"Not Included")</f>
        <v>Not Included</v>
      </c>
      <c r="BE101" s="11" t="str">
        <f t="shared" si="17"/>
        <v>Not Included</v>
      </c>
      <c r="BF101" s="11" t="str">
        <f t="shared" si="18"/>
        <v>Not Included</v>
      </c>
      <c r="BG101" s="11">
        <f>Raw!K101</f>
        <v>1981</v>
      </c>
      <c r="BH101" s="11" t="str">
        <f>IF(Raw!L101 = "USA","USA","Non-USA")</f>
        <v>USA</v>
      </c>
      <c r="BI101" s="11" t="str">
        <f>Raw!M101</f>
        <v>Ainsworth/Ainsworth</v>
      </c>
      <c r="BJ101" s="11">
        <f>Raw!N101</f>
        <v>1</v>
      </c>
      <c r="BK101" s="11">
        <f>Raw!P101</f>
        <v>1</v>
      </c>
      <c r="BL101" s="11">
        <f>Raw!Q101</f>
        <v>0</v>
      </c>
      <c r="BM101" s="11">
        <f>Raw!T101</f>
        <v>1</v>
      </c>
      <c r="BN101" s="11">
        <f>IFERROR(IF(AND(ISBLANK(Raw!U101), ISBLANK(Raw!V101), ISBLANK(Raw!W101), ISBLANK(Raw!X101)), "NA", IF(OR(NOT(ISBLANK(Raw!U101)), NOT(ISBLANK(Raw!W101))), AVERAGE(Raw!U101,Raw!W101), AVERAGE(Raw!V101,Raw!X101) + IF(Raw!Y101 = "2-way", R101, IF(Raw!Y101 = "3-way", AB101, IF(Raw!Y101 = "4-way", AL101, "NA")))*(1 - AVERAGE(Raw!V101,Raw!X101)))), "NA")</f>
        <v>0.91</v>
      </c>
      <c r="BO101" s="11">
        <f>Raw!O101</f>
        <v>0</v>
      </c>
      <c r="BP101" s="11" t="str">
        <f>Raw!F101</f>
        <v>Female</v>
      </c>
      <c r="BQ101" s="11" t="b">
        <f>COUNTIF(Raw!AV101:BK101, "&gt;=0") = 16</f>
        <v>0</v>
      </c>
      <c r="BR101" s="11" t="str">
        <f t="shared" si="19"/>
        <v>Not Included</v>
      </c>
      <c r="BS101" s="11" t="str">
        <f t="shared" si="20"/>
        <v>Not Included</v>
      </c>
      <c r="BT101" s="11" t="str">
        <f>IF(BQ101, IF(COUNTIF(Raw!AV101:BK101, "&gt;=0") = 16, IFERROR((BS101*Raw!AV101 - SUM(Raw!AV101, Raw!AW101, Raw!AX101, Raw!AY101)*SUM(Raw!AV101, Raw!AZ101, Raw!BD101, Raw!BH101)) / SQRT((BS101*SUM(Raw!AV101, Raw!AW101, Raw!AX101, Raw!AY101) - SUM(Raw!AV101, Raw!AW101, Raw!AX101, Raw!AY101)^2) * (BS101*SUM(Raw!AV101, Raw!AZ101, Raw!BD101, Raw!BH101) - SUM(Raw!AV101, Raw!AZ101, Raw!BD101, Raw!BH101)^2)), 0), "No Contingency Table"), "Not Included")</f>
        <v>Not Included</v>
      </c>
      <c r="BU101" s="11" t="str">
        <f>IF(BQ101, IF(COUNTIF(Raw!AV101:BK101, "&gt;=0") = 16, SUM(Raw!BK101,Raw!BJ101,Raw!BI101,Raw!BG101,Raw!BF101,Raw!BE101,Raw!BC101,Raw!BB101,Raw!BA101,Raw!AV101)/SUM(Raw!AV101:BK101), "No Contingency Table"), "Not Included")</f>
        <v>Not Included</v>
      </c>
      <c r="BV101" s="11" t="str">
        <f>IF(BQ101, IF(COUNTIF(Raw!AV101:BK101, "&gt;=0") = 16,SUM(SUM(Raw!AV101,Raw!AW101,Raw!AX101,Raw!AY101)*SUM(Raw!AV101,Raw!AZ101,Raw!BD101,Raw!BH101),SUM(Raw!AZ101:BK101)*SUM(Raw!AW101,Raw!AX101,Raw!AY101,Raw!BA101,Raw!BB101,Raw!BC101,Raw!BE101,Raw!BF101,Raw!BG101,Raw!BI101,Raw!BJ101,Raw!BK101))/BS101^2,"No Contingency Table"), "Not Included")</f>
        <v>Not Included</v>
      </c>
      <c r="BW101" s="11" t="str">
        <f>IF(BQ101, IF(COUNTIF(Raw!AV101:BK101, "&gt;=0") = 16,(BU101-BV101) / (1 - BV101),"No Contingency Table"), "Not Included")</f>
        <v>Not Included</v>
      </c>
      <c r="BX101" s="11" t="b">
        <f t="shared" ref="BX101:BZ101" si="417">BQ101</f>
        <v>0</v>
      </c>
      <c r="BY101" s="11" t="str">
        <f t="shared" si="417"/>
        <v>Not Included</v>
      </c>
      <c r="BZ101" s="11" t="str">
        <f t="shared" si="417"/>
        <v>Not Included</v>
      </c>
      <c r="CA101" s="11" t="str">
        <f>IF(BX101, IF(COUNTIF(Raw!AV101:BK101, "&gt;=0") = 16, IFERROR((BZ101*Raw!BF101 - SUM(Raw!BD101, Raw!BE101, Raw!BF101, Raw!BG101)*SUM(Raw!BF101, Raw!AX101, Raw!BB101, Raw!BJ101)) / SQRT((BZ101*SUM(Raw!BD101, Raw!BE101, Raw!BF101, Raw!BG101) - SUM(Raw!BD101, Raw!BE101, Raw!BF101, Raw!BG101)^2) * (BZ101*SUM(Raw!BF101, Raw!AX101, Raw!BB101, Raw!BJ101) - SUM(Raw!BF101, Raw!AX101, Raw!BB101, Raw!BJ101)^2)), 0), "No Contingency Table"), "Not Included")</f>
        <v>Not Included</v>
      </c>
      <c r="CB101" s="11" t="str">
        <f>IF(BX101, IF(COUNTIF(Raw!AV101:BK101, "&gt;=0") = 16, SUM(Raw!AV101,Raw!AW101,Raw!AY101,Raw!AZ101,Raw!BA101,Raw!BC101,Raw!BF101,Raw!BH101,Raw!BI101,Raw!BK101) / SUM(Raw!AV101:BK101), "No Contingency Table"), "Not Included")</f>
        <v>Not Included</v>
      </c>
      <c r="CC101" s="11" t="str">
        <f>IF(BX101, IF(COUNTIF(Raw!AV101:BK101, "&gt;=0") = 16,SUM(SUM(Raw!BD101,Raw!BE101,Raw!BF101,Raw!BG101)*SUM(Raw!BF101,Raw!AX101,Raw!BB101,Raw!BJ101),SUM(Raw!AV101:BC101,Raw!BH101:BK101)*SUM(Raw!AV101,Raw!AW101,Raw!AY101,Raw!AZ101,Raw!BA101,Raw!BC101,Raw!BD101,Raw!BE101,Raw!BG101,Raw!BH101,Raw!BI101,Raw!BK101))/BZ101^2,"No Contingency Table"), "Not Included")</f>
        <v>Not Included</v>
      </c>
      <c r="CD101" s="11" t="str">
        <f>IF(BX101, IF(COUNTIF(Raw!AV101:BK101, "&gt;=0") = 16,(CB101 - CC101) / (1 - CC101+0.000001),"No Contingency Table"), "Not Included")</f>
        <v>Not Included</v>
      </c>
      <c r="CE101" s="11" t="b">
        <f t="shared" ref="CE101:CG101" si="418">BQ101</f>
        <v>0</v>
      </c>
      <c r="CF101" s="11" t="str">
        <f t="shared" si="418"/>
        <v>Not Included</v>
      </c>
      <c r="CG101" s="11" t="str">
        <f t="shared" si="418"/>
        <v>Not Included</v>
      </c>
      <c r="CH101" s="11" t="str">
        <f>IF(CE101, IF(COUNTIF(Raw!AV101:BK101, "&gt;=0") = 16, IFERROR((CG101*Raw!BA101 - SUM(Raw!BA101, Raw!AZ101, Raw!BB101, Raw!BC101)*SUM(Raw!BA101, Raw!AW101, Raw!BE101, Raw!BI101)) / SQRT((CG101*SUM(Raw!BA101, Raw!AZ101, Raw!BB101, Raw!BC101) - SUM(Raw!BA101, Raw!AZ101, Raw!BB101, Raw!BC101)^2) * (CG101*SUM(Raw!BA101, Raw!AW101, Raw!BE101, Raw!BI101) - SUM(Raw!BA101, Raw!AW101, Raw!BE101, Raw!BI101)^2)), 0), "No Contingency Table"), "Not Included")</f>
        <v>Not Included</v>
      </c>
      <c r="CI101" s="11" t="str">
        <f>IF(CE101, IF(COUNTIF(Raw!AV101:BK101, "&gt;=0") = 16, SUM(Raw!AV101,Raw!AX101,Raw!AY101,Raw!BA101,Raw!BD101,Raw!BF101,Raw!BG101,Raw!BH101,Raw!BJ101,Raw!BK101) / SUM(Raw!AV101:BK101), "No Contingency Table"), "Not Included")</f>
        <v>Not Included</v>
      </c>
      <c r="CJ101" s="61" t="str">
        <f>IF(BX101, IF(COUNTIF(Raw!AV101:BK101, "&gt;=0") = 16,SUM(SUM(Raw!AZ101,Raw!BA101,Raw!BB101,Raw!BC101)*SUM(Raw!BA101,Raw!AW101,Raw!BE101,Raw!BI101),SUM(Raw!AV101:AY101,Raw!BD101:BK101)*SUM(Raw!AV101,Raw!AX101,Raw!AY101,Raw!AZ101,Raw!BB101,Raw!BC101,Raw!BD101,Raw!BF101,Raw!BG101,Raw!BH101,Raw!BJ101,Raw!BK101))/CG101^2,"No Contingency Table"), "Not Included")</f>
        <v>Not Included</v>
      </c>
      <c r="CK101" s="11" t="str">
        <f>IF(BX101, IF(COUNTIF(Raw!AV101:BK101, "&gt;=0") = 16,(CI101 - CJ101) / (1 - CJ101),"No Contingency Table"), "Not Included")</f>
        <v>Not Included</v>
      </c>
      <c r="CL101" s="11" t="str">
        <f>IF(BQ101, IFERROR(Raw!AV101/SUM(Raw!AV101:AY101), 0), "Not Included")</f>
        <v>Not Included</v>
      </c>
      <c r="CM101" s="11" t="str">
        <f>IF(BQ101, IFERROR(Raw!BA101/SUM(Raw!AZ101:BC101), 0), "Not Included")</f>
        <v>Not Included</v>
      </c>
      <c r="CN101" s="11" t="str">
        <f>IF(BQ101, IFERROR(Raw!BF101/SUM(Raw!BD101:BG101), 0), "Not Included")</f>
        <v>Not Included</v>
      </c>
      <c r="CO101" s="11" t="str">
        <f>IF(BQ101, IFERROR(Raw!BK101/SUM(Raw!BH101:BK101), 0), "Not Included")</f>
        <v>Not Included</v>
      </c>
      <c r="CP101" s="11" t="str">
        <f>IF(BQ101, IFERROR(SUM(Raw!AV101,Raw!AX101,Raw!AY101,Raw!BD101,Raw!BF101,Raw!BG101,Raw!BH101,Raw!BJ101,Raw!BK101)/SUM(Raw!AV101,Raw!AW101,Raw!AX101,Raw!AY101,Raw!BD101,Raw!BE101,Raw!BF101,Raw!BG101,Raw!BH101,Raw!BI101,Raw!BJ101,Raw!BK101), 0), "Not Included")</f>
        <v>Not Included</v>
      </c>
      <c r="CQ101" s="11" t="str">
        <f>IF(BQ101, IFERROR(SUM(Raw!AV101:AX101,Raw!AZ101:BB101,Raw!BD101:BF101)/SUM(Raw!AV101:BF101), 0), "Not Included")</f>
        <v>Not Included</v>
      </c>
      <c r="CR101" s="11" t="str">
        <f>IF(BQ101, IFERROR(SUM(Raw!AV101:AY101), 0), "Not Included")</f>
        <v>Not Included</v>
      </c>
      <c r="CS101" s="11" t="str">
        <f>IF(BQ101, IFERROR(SUM(Raw!AZ101:BC101), 0), "Not Included")</f>
        <v>Not Included</v>
      </c>
      <c r="CT101" s="11" t="str">
        <f>IF(BQ101, IFERROR(SUM(Raw!BD101:BG101), 0), "Not Included")</f>
        <v>Not Included</v>
      </c>
      <c r="CU101" s="11" t="str">
        <f>IF(BQ101, IFERROR(SUM(Raw!BH101:BK101), 0), "Not Included")</f>
        <v>Not Included</v>
      </c>
      <c r="CV101" s="11" t="str">
        <f>IF(BQ101, IFERROR(SUM(Raw!AV101,Raw!AW101,Raw!AX101,Raw!AY101,Raw!BD101,Raw!BE101,Raw!BF101,Raw!BG101,Raw!BH101,Raw!BI101,Raw!BJ101,Raw!BK101), 0), "Not Included")</f>
        <v>Not Included</v>
      </c>
      <c r="CW101" s="11" t="str">
        <f>IF(BQ101, IFERROR(SUM(Raw!AV101:BF101), 0), "Not Included")</f>
        <v>Not Included</v>
      </c>
      <c r="CX101" s="11" t="str">
        <f>IF(BQ101, IFERROR((CR101*SUM(Raw!AV101,Raw!AZ101,Raw!BD101,Raw!BH101))/BS101/CR101, 0), "Not Included")</f>
        <v>Not Included</v>
      </c>
      <c r="CY101" s="11" t="str">
        <f>IF(BX101, IFERROR((CS101*SUM(Raw!BA101,Raw!AW101,Raw!BE101,Raw!BI101))/CG101/CS101, 0), "Not Included")</f>
        <v>Not Included</v>
      </c>
      <c r="CZ101" s="11" t="str">
        <f>IF(BX101, IFERROR((CT101*SUM(Raw!BF101,Raw!AX101,Raw!BB101,Raw!BJ101))/BZ101/CT101, 0), "Not Included")</f>
        <v>Not Included</v>
      </c>
      <c r="DA101" s="11" t="str">
        <f>IF(AY101, IFERROR((CU101*SUM(Raw!AY101,Raw!BC101,Raw!BG101,Raw!BK101))/AT101/CU101, 0), "Not Included")</f>
        <v>Not Included</v>
      </c>
      <c r="DB101" s="11" t="str">
        <f>IF(BX101, IFERROR((CV101*SUM(Raw!AV101,Raw!AX101,Raw!AY101,Raw!AZ101,Raw!BB101,Raw!BC101,Raw!BD101,Raw!BF101,Raw!BG101,Raw!BH101,Raw!BJ101,Raw!BK101))/CG101/CV101,0), "Not Included")</f>
        <v>Not Included</v>
      </c>
      <c r="DC101" s="11" t="str">
        <f>IF(AY101, IFERROR((CW101*SUM(Raw!AV101,Raw!AW101,Raw!AX101,Raw!AZ101,Raw!BA101,Raw!BB101,Raw!BD101,Raw!BE101,Raw!BF101,Raw!BH101,Raw!BI101,Raw!BJ101))/AT101/CW101,0), "Not Included")</f>
        <v>Not Included</v>
      </c>
    </row>
    <row r="102" spans="1:107" ht="12.75" customHeight="1">
      <c r="A102" s="11">
        <f>Raw!D102</f>
        <v>74</v>
      </c>
      <c r="B102" s="11" t="str">
        <f>Raw!A102</f>
        <v>Egeland &amp; Sroufe (1981)</v>
      </c>
      <c r="C102" s="11">
        <f>Raw!G102</f>
        <v>1</v>
      </c>
      <c r="D102" s="11" t="str">
        <f>Raw!E102</f>
        <v>Comparison</v>
      </c>
      <c r="E102" s="11" t="str">
        <f>CONCATENATE(IF(Raw!I102&lt;='Interval Definitions'!$B$2, 'Interval Definitions'!$A$2, IF(Raw!I102&lt;='Interval Definitions'!$B$3, 'Interval Definitions'!$A$3, IF(Raw!I102&lt;='Interval Definitions'!$B$4, 'Interval Definitions'!$A$4, IF(Raw!I102&lt;='Interval Definitions'!$B$5, 'Interval Definitions'!$A$5, "None")))), " - ", IF(Raw!J102&lt;='Interval Definitions'!$B$2, 'Interval Definitions'!$A$2, IF(Raw!J102&lt;='Interval Definitions'!$B$3, 'Interval Definitions'!$A$3, IF(Raw!J102&lt;='Interval Definitions'!$B$4, 'Interval Definitions'!$A$4, IF(Raw!J102&lt;='Interval Definitions'!$B$5, 'Interval Definitions'!$A$5, "None")))))</f>
        <v>Infancy - Infancy</v>
      </c>
      <c r="F102" s="11" t="b">
        <f>OR(NOT(ISBLANK(Raw!AF102)),NOT(ISBLANK(Raw!AG102)),NOT(ISBLANK(Raw!AH102)),NOT(ISBLANK(Raw!AI102)),COUNTIF(Raw!AA102:AD102, "&gt;=0") = 4)</f>
        <v>1</v>
      </c>
      <c r="G102" s="11" t="str">
        <f>IF(F102, IF(COUNTIF(Raw!AA102:AD102,"&gt;=0") = 4, "Contingency", IF(NOT(ISBLANK(Raw!AF102)), "Paper r", IF(NOT(ISBLANK(Raw!AG102)), "Pinquart", IF(NOT(ISBLANK(Raw!AH102)), "Fraley", "Paper chiSq")))), "Not Included")</f>
        <v>Contingency</v>
      </c>
      <c r="H102" s="15">
        <f>IF(F102,Raw!AE102,"Not Included")</f>
        <v>32</v>
      </c>
      <c r="I102" s="15">
        <f>IF(COUNTIF(Raw!AA102:AD102,"&gt;=0") = 4, SUM(Raw!AA102:AD102), "No Contingency Table")</f>
        <v>32</v>
      </c>
      <c r="J102" s="15">
        <f t="shared" si="0"/>
        <v>32</v>
      </c>
      <c r="K102" s="38">
        <f>IF(F102, IF(COUNTIF(Raw!AA102:AD102,"&gt;=0") = 4, IFERROR((I102*Raw!AA102 - SUM(Raw!AA102,Raw!AB102)*SUM(Raw!AA102,Raw!AD102)) / SQRT((I102*SUM(Raw!AA102,Raw!AB102) - SUM(Raw!AA102,Raw!AB102)^2) * (I102*SUM(Raw!AA102,Raw!AD102) - SUM(Raw!AA102,Raw!AD102)^2)), 0), "No Contingency Table"), "Not Included")</f>
        <v>0.66666666666666663</v>
      </c>
      <c r="L102" s="41">
        <f>IF(F102,IF(NOT(ISBLANK(Raw!AF102)), Raw!AF102, IF(NOT(ISBLANK(Raw!AG102)), Raw!AG102, IF(NOT(ISBLANK(Raw!AH102)), Raw!AH102, IF(NOT(ISBLANK(Raw!AI102)), SQRT(Raw!AI102/H102)*Raw!AJ102, "Not Reported")))),"Not Included")</f>
        <v>0.67</v>
      </c>
      <c r="M102" s="43">
        <f t="shared" si="1"/>
        <v>0.66666666666666663</v>
      </c>
      <c r="N102" s="11">
        <f t="shared" si="2"/>
        <v>1</v>
      </c>
      <c r="O102" s="48" t="b">
        <f>OR(NOT(ISBLANK(Raw!AK102)), COUNTIF(Raw!AA102:AD102, "&gt;=0") = 4)</f>
        <v>1</v>
      </c>
      <c r="P102" s="24" t="str">
        <f>IF(O102,IF(COUNTIF(Raw!AA102:AD102,"&gt;=0") = 4,"Contingency", "Paper k"), "Not Included")</f>
        <v>Contingency</v>
      </c>
      <c r="Q102" s="48">
        <f>IF(O102, IF(COUNTIF(Raw!AA102:AD102,"&gt;=0") = 4,SUM(Raw!AA102,Raw!AC102)/H102,"No Contingency Table"), "Not Included")</f>
        <v>0.875</v>
      </c>
      <c r="R102" s="38">
        <f>IF(O102, IF(COUNTIF(Raw!AA102:AD102, "&gt;=0") = 4,SUM(SUM(Raw!AA102,Raw!AB102)*SUM(Raw!AA102,Raw!AD102),SUM(Raw!AC102,Raw!AD102)*SUM(Raw!AC102,Raw!AB102))/H102^2,"No Contingency Table"), "Not Included")</f>
        <v>0.625</v>
      </c>
      <c r="S102" s="38">
        <f>IF(O102, IF(COUNTIF(Raw!AA102:AD102,"&gt;=0") = 4, IFERROR((Q102 - R102) / (1 - R102), "Could not calculate"), "No Contingency Table"), "Not Included")</f>
        <v>0.66666666666666663</v>
      </c>
      <c r="T102" s="52" t="str">
        <f>IF(O102,IF(NOT(ISBLANK(Raw!AK102)), Raw!AK102, "Not Reported"), "Not Included")</f>
        <v>Not Reported</v>
      </c>
      <c r="U102" s="38">
        <f t="shared" si="3"/>
        <v>0.66666666666666663</v>
      </c>
      <c r="V102" s="11" t="str">
        <f t="shared" si="4"/>
        <v>NA</v>
      </c>
      <c r="W102" s="11" t="b">
        <f>OR(NOT(ISBLANK(Raw!AU102)),COUNTIF(Raw!AL102:AT102,"&gt;=0") = 9)</f>
        <v>1</v>
      </c>
      <c r="X102" s="11" t="str">
        <f>IF(W102, IF(COUNTIF(Raw!AL102:AT102,"&gt;=0") = 9, "Contingency", "Paper k"), "Not Included")</f>
        <v>Contingency</v>
      </c>
      <c r="Y102" s="11">
        <f>IF(W102,IF(COUNTIF(Raw!AL102:AT102,"&gt;=0") = 9,SUM(Raw!AL102:AT102),"No Contingency Table"),"Not Included")</f>
        <v>32</v>
      </c>
      <c r="Z102" s="11">
        <f t="shared" si="5"/>
        <v>32</v>
      </c>
      <c r="AA102" s="11">
        <f>IF(W102,IF(COUNTIF(Raw!AL102:AT102,"&gt;=0") = 9,SUM(Raw!AL102,Raw!AP102,Raw!AT102)/Y102,"No Contingency Table"), "Not Included")</f>
        <v>0.8125</v>
      </c>
      <c r="AB102" s="11">
        <f>IF(W102,IF(COUNTIF(Raw!AL102:AT102,"&gt;=0") = 9,SUM(SUM(Raw!AL102,Raw!AM102,Raw!AN102)*SUM(Raw!AL102,Raw!AO102,Raw!AR102),SUM(Raw!AO102,Raw!AP102,Raw!AQ102)*SUM(Raw!AM102,Raw!AP102,Raw!AS102),SUM(Raw!AR102,Raw!AS102,Raw!AT102)*SUM(Raw!AN102,Raw!AQ102,Raw!AT102))/Y102^2,"No Contingency Table"), "Not Included")</f>
        <v>0.59765625</v>
      </c>
      <c r="AC102" s="11">
        <f>IF(W102,IF(COUNTIF(Raw!AL102:AT102,"&gt;=0") = 9,(AA102 - AB102) / (1 - AB102),"No Contingency Table"), "Not Included")</f>
        <v>0.53398058252427183</v>
      </c>
      <c r="AD102" s="11" t="str">
        <f>IF(W102, IF(NOT(ISBLANK(Raw!AU102)),Raw!AU102,"Not Reported"), "Not Included")</f>
        <v>Not Reported</v>
      </c>
      <c r="AE102" s="11">
        <f t="shared" si="6"/>
        <v>0.53398058252427183</v>
      </c>
      <c r="AF102" s="11" t="str">
        <f t="shared" si="7"/>
        <v>NA</v>
      </c>
      <c r="AG102" s="11" t="b">
        <f>COUNTIF(Raw!AV102:BK102, "&gt;=0") = 16</f>
        <v>0</v>
      </c>
      <c r="AH102" s="11" t="str">
        <f>IF(AG102, IF(COUNTIF(Raw!AV102:BK102,"&gt;=0") = 16, "Contingency", "Paper k"), "Not Included")</f>
        <v>Not Included</v>
      </c>
      <c r="AI102" s="11" t="str">
        <f>IF(AG102,IF(COUNTIF(Raw!AV102:BK102,"&gt;=0") = 16,SUM(Raw!AV102:BK102),"No Contingency Table"),"Not Included")</f>
        <v>Not Included</v>
      </c>
      <c r="AJ102" s="15">
        <f t="shared" si="8"/>
        <v>32</v>
      </c>
      <c r="AK102" s="11" t="str">
        <f>IF(AG102,IF(COUNTIF(Raw!AV102:BK102,"&gt;=0") = 16,SUM(Raw!AV102,Raw!BA102,Raw!BF102,Raw!BK102)/AI102,"No Contingency Table"), "Not Included")</f>
        <v>Not Included</v>
      </c>
      <c r="AL102" s="11" t="str">
        <f>IF(AG102,IF(COUNTIF(Raw!AV102:BK102,"&gt;=0") = 16,SUM(SUM(Raw!AV102,Raw!AW102,Raw!AX102,Raw!AY102)*SUM(Raw!AV102,Raw!AZ102,Raw!BD102,Raw!BH102),SUM(Raw!AZ102,Raw!BA102,Raw!BB102,Raw!BC102)*SUM(Raw!AW102,Raw!BA102,Raw!BE102,Raw!BI102),SUM(Raw!BD102,Raw!BE102,Raw!BF102,Raw!BG102)*SUM(Raw!AX102,Raw!BB102,Raw!BF102,Raw!BJ102),SUM(Raw!BH102,Raw!BI102,Raw!BJ102,Raw!BK102)*SUM(Raw!AY102,Raw!BC102,Raw!BG102,Raw!BK102))/AI102^2,"No Contingency Table"), "Not Included")</f>
        <v>Not Included</v>
      </c>
      <c r="AM102" s="11" t="str">
        <f>IF(AG102,IF(COUNTIF(Raw!AV102:BK102,"&gt;=0") = 16,(AK102 - AL102) / (1 - AL102),"No Contingency Table"), "Not Included")</f>
        <v>Not Included</v>
      </c>
      <c r="AN102" s="11" t="str">
        <f>IF(NOT(ISBLANK(Raw!BL102)),Raw!BL102,"Not Reported")</f>
        <v>Not Reported</v>
      </c>
      <c r="AO102" s="11" t="str">
        <f t="shared" si="9"/>
        <v>Not Reported</v>
      </c>
      <c r="AP102" s="11" t="str">
        <f t="shared" si="10"/>
        <v>Not Included</v>
      </c>
      <c r="AQ102" s="11" t="b">
        <f t="shared" ref="AQ102:AR102" si="419">BQ102</f>
        <v>0</v>
      </c>
      <c r="AR102" s="11" t="str">
        <f t="shared" si="419"/>
        <v>Not Included</v>
      </c>
      <c r="AS102" s="11" t="str">
        <f t="shared" si="12"/>
        <v>Not Included</v>
      </c>
      <c r="AT102" s="11" t="str">
        <f t="shared" si="13"/>
        <v>Not Included</v>
      </c>
      <c r="AU102" s="11" t="str">
        <f>IF(AQ102, IF(COUNTIF(Raw!AV102:BK102, "&gt;=0") = 16, IFERROR((AT102*Raw!BK102 - SUM(Raw!BH102, Raw!BI102, Raw!BJ102, Raw!BK102)*SUM(Raw!AY102, Raw!BC102, Raw!BG102, Raw!BK102)) / SQRT((AT102*SUM(Raw!BH102, Raw!BI102, Raw!BJ102, Raw!BK102) - SUM(Raw!BH102, Raw!BI102, Raw!BJ102, Raw!BK102)^2) * (AT102*SUM(Raw!AY102, Raw!BC102, Raw!BG102, Raw!BK102) - SUM(Raw!AY102, Raw!BC102, Raw!BG102, Raw!BK102)^2)), 0), "No Contingency Table"), "Not Included")</f>
        <v>Not Included</v>
      </c>
      <c r="AV102" s="11" t="str">
        <f>IF(AQ102,IF(NOT(ISBLANK(Raw!BQ102)), Raw!BQ102, IF(NOT(ISBLANK(Raw!BR102)), Raw!BR102, "Not Reported")), "Not Included")</f>
        <v>Not Included</v>
      </c>
      <c r="AW102" s="57" t="str">
        <f t="shared" si="14"/>
        <v>Not Included</v>
      </c>
      <c r="AX102" s="11" t="str">
        <f t="shared" si="15"/>
        <v>Not Included</v>
      </c>
      <c r="AY102" s="11" t="b">
        <f t="shared" ref="AY102:AZ102" si="420">AQ102</f>
        <v>0</v>
      </c>
      <c r="AZ102" s="11" t="str">
        <f t="shared" si="420"/>
        <v>Not Included</v>
      </c>
      <c r="BA102" s="11" t="str">
        <f>IF(AY102, IF(COUNTIF(Raw!AV102:BK102, "&gt;=0") = 16, SUM(Raw!AV102,Raw!AW102,Raw!AX102,Raw!AZ102,Raw!BA102,Raw!BB102,Raw!BD102,Raw!BE102,Raw!BF102,Raw!BK102)/SUM(Raw!AV102:BK102), "No Contingency Table"), "Not Included")</f>
        <v>Not Included</v>
      </c>
      <c r="BB102" s="11" t="str">
        <f>IF(AY102, IF(COUNTIF(Raw!AV102:BK102, "&gt;=0") = 16,SUM(SUM(Raw!BH102,Raw!BI102,Raw!BJ102,Raw!BK102)*SUM(Raw!AY102,Raw!BC102,Raw!BG102,Raw!BK102),SUM(Raw!AV102:BG102)*SUM(Raw!AV102,Raw!AW102,Raw!AX102,Raw!AZ102,Raw!BA102,Raw!BB102,Raw!BD102,Raw!BE102,Raw!BF102,Raw!BH102,Raw!BI102,Raw!BJ102))/AT102^2,"No Contingency Table"), "Not Included")</f>
        <v>Not Included</v>
      </c>
      <c r="BC102" s="11" t="str">
        <f>IF(AY102, IF(COUNTIF(Raw!AV102:BK102, "&gt;=0") = 16,(BA102-BB102) / (1 - BB102),"No Contingency Table"), "Not Included")</f>
        <v>Not Included</v>
      </c>
      <c r="BD102" s="11" t="str">
        <f>IF(AY102,IF(NOT(ISBLANK(Raw!BT123)),Raw!BT123,"Not Reported"),"Not Included")</f>
        <v>Not Included</v>
      </c>
      <c r="BE102" s="11" t="str">
        <f t="shared" si="17"/>
        <v>Not Included</v>
      </c>
      <c r="BF102" s="11" t="str">
        <f t="shared" si="18"/>
        <v>Not Included</v>
      </c>
      <c r="BG102" s="11">
        <f>Raw!K102</f>
        <v>1981</v>
      </c>
      <c r="BH102" s="11" t="str">
        <f>IF(Raw!L102 = "USA","USA","Non-USA")</f>
        <v>USA</v>
      </c>
      <c r="BI102" s="11" t="str">
        <f>Raw!M102</f>
        <v>Ainsworth/Ainsworth</v>
      </c>
      <c r="BJ102" s="11">
        <f>Raw!N102</f>
        <v>1</v>
      </c>
      <c r="BK102" s="11">
        <f>Raw!P102</f>
        <v>0</v>
      </c>
      <c r="BL102" s="11">
        <f>Raw!Q102</f>
        <v>0</v>
      </c>
      <c r="BM102" s="11">
        <f>Raw!T102</f>
        <v>1</v>
      </c>
      <c r="BN102" s="11">
        <f>IFERROR(IF(AND(ISBLANK(Raw!U102), ISBLANK(Raw!V102), ISBLANK(Raw!W102), ISBLANK(Raw!X102)), "NA", IF(OR(NOT(ISBLANK(Raw!U102)), NOT(ISBLANK(Raw!W102))), AVERAGE(Raw!U102,Raw!W102), AVERAGE(Raw!V102,Raw!X102) + IF(Raw!Y102 = "2-way", R102, IF(Raw!Y102 = "3-way", AB102, IF(Raw!Y102 = "4-way", AL102, "NA")))*(1 - AVERAGE(Raw!V102,Raw!X102)))), "NA")</f>
        <v>0.91</v>
      </c>
      <c r="BO102" s="11">
        <f>Raw!O102</f>
        <v>0</v>
      </c>
      <c r="BP102" s="11" t="str">
        <f>Raw!F102</f>
        <v>Female</v>
      </c>
      <c r="BQ102" s="11" t="b">
        <f>COUNTIF(Raw!AV102:BK102, "&gt;=0") = 16</f>
        <v>0</v>
      </c>
      <c r="BR102" s="11" t="str">
        <f t="shared" si="19"/>
        <v>Not Included</v>
      </c>
      <c r="BS102" s="11" t="str">
        <f t="shared" si="20"/>
        <v>Not Included</v>
      </c>
      <c r="BT102" s="11" t="str">
        <f>IF(BQ102, IF(COUNTIF(Raw!AV102:BK102, "&gt;=0") = 16, IFERROR((BS102*Raw!AV102 - SUM(Raw!AV102, Raw!AW102, Raw!AX102, Raw!AY102)*SUM(Raw!AV102, Raw!AZ102, Raw!BD102, Raw!BH102)) / SQRT((BS102*SUM(Raw!AV102, Raw!AW102, Raw!AX102, Raw!AY102) - SUM(Raw!AV102, Raw!AW102, Raw!AX102, Raw!AY102)^2) * (BS102*SUM(Raw!AV102, Raw!AZ102, Raw!BD102, Raw!BH102) - SUM(Raw!AV102, Raw!AZ102, Raw!BD102, Raw!BH102)^2)), 0), "No Contingency Table"), "Not Included")</f>
        <v>Not Included</v>
      </c>
      <c r="BU102" s="11" t="str">
        <f>IF(BQ102, IF(COUNTIF(Raw!AV102:BK102, "&gt;=0") = 16, SUM(Raw!BK102,Raw!BJ102,Raw!BI102,Raw!BG102,Raw!BF102,Raw!BE102,Raw!BC102,Raw!BB102,Raw!BA102,Raw!AV102)/SUM(Raw!AV102:BK102), "No Contingency Table"), "Not Included")</f>
        <v>Not Included</v>
      </c>
      <c r="BV102" s="11" t="str">
        <f>IF(BQ102, IF(COUNTIF(Raw!AV102:BK102, "&gt;=0") = 16,SUM(SUM(Raw!AV102,Raw!AW102,Raw!AX102,Raw!AY102)*SUM(Raw!AV102,Raw!AZ102,Raw!BD102,Raw!BH102),SUM(Raw!AZ102:BK102)*SUM(Raw!AW102,Raw!AX102,Raw!AY102,Raw!BA102,Raw!BB102,Raw!BC102,Raw!BE102,Raw!BF102,Raw!BG102,Raw!BI102,Raw!BJ102,Raw!BK102))/BS102^2,"No Contingency Table"), "Not Included")</f>
        <v>Not Included</v>
      </c>
      <c r="BW102" s="11" t="str">
        <f>IF(BQ102, IF(COUNTIF(Raw!AV102:BK102, "&gt;=0") = 16,(BU102-BV102) / (1 - BV102),"No Contingency Table"), "Not Included")</f>
        <v>Not Included</v>
      </c>
      <c r="BX102" s="11" t="b">
        <f t="shared" ref="BX102:BZ102" si="421">BQ102</f>
        <v>0</v>
      </c>
      <c r="BY102" s="11" t="str">
        <f t="shared" si="421"/>
        <v>Not Included</v>
      </c>
      <c r="BZ102" s="11" t="str">
        <f t="shared" si="421"/>
        <v>Not Included</v>
      </c>
      <c r="CA102" s="11" t="str">
        <f>IF(BX102, IF(COUNTIF(Raw!AV102:BK102, "&gt;=0") = 16, IFERROR((BZ102*Raw!BF102 - SUM(Raw!BD102, Raw!BE102, Raw!BF102, Raw!BG102)*SUM(Raw!BF102, Raw!AX102, Raw!BB102, Raw!BJ102)) / SQRT((BZ102*SUM(Raw!BD102, Raw!BE102, Raw!BF102, Raw!BG102) - SUM(Raw!BD102, Raw!BE102, Raw!BF102, Raw!BG102)^2) * (BZ102*SUM(Raw!BF102, Raw!AX102, Raw!BB102, Raw!BJ102) - SUM(Raw!BF102, Raw!AX102, Raw!BB102, Raw!BJ102)^2)), 0), "No Contingency Table"), "Not Included")</f>
        <v>Not Included</v>
      </c>
      <c r="CB102" s="11" t="str">
        <f>IF(BX102, IF(COUNTIF(Raw!AV102:BK102, "&gt;=0") = 16, SUM(Raw!AV102,Raw!AW102,Raw!AY102,Raw!AZ102,Raw!BA102,Raw!BC102,Raw!BF102,Raw!BH102,Raw!BI102,Raw!BK102) / SUM(Raw!AV102:BK102), "No Contingency Table"), "Not Included")</f>
        <v>Not Included</v>
      </c>
      <c r="CC102" s="11" t="str">
        <f>IF(BX102, IF(COUNTIF(Raw!AV102:BK102, "&gt;=0") = 16,SUM(SUM(Raw!BD102,Raw!BE102,Raw!BF102,Raw!BG102)*SUM(Raw!BF102,Raw!AX102,Raw!BB102,Raw!BJ102),SUM(Raw!AV102:BC102,Raw!BH102:BK102)*SUM(Raw!AV102,Raw!AW102,Raw!AY102,Raw!AZ102,Raw!BA102,Raw!BC102,Raw!BD102,Raw!BE102,Raw!BG102,Raw!BH102,Raw!BI102,Raw!BK102))/BZ102^2,"No Contingency Table"), "Not Included")</f>
        <v>Not Included</v>
      </c>
      <c r="CD102" s="11" t="str">
        <f>IF(BX102, IF(COUNTIF(Raw!AV102:BK102, "&gt;=0") = 16,(CB102 - CC102) / (1 - CC102+0.000001),"No Contingency Table"), "Not Included")</f>
        <v>Not Included</v>
      </c>
      <c r="CE102" s="11" t="b">
        <f t="shared" ref="CE102:CG102" si="422">BQ102</f>
        <v>0</v>
      </c>
      <c r="CF102" s="11" t="str">
        <f t="shared" si="422"/>
        <v>Not Included</v>
      </c>
      <c r="CG102" s="11" t="str">
        <f t="shared" si="422"/>
        <v>Not Included</v>
      </c>
      <c r="CH102" s="11" t="str">
        <f>IF(CE102, IF(COUNTIF(Raw!AV102:BK102, "&gt;=0") = 16, IFERROR((CG102*Raw!BA102 - SUM(Raw!BA102, Raw!AZ102, Raw!BB102, Raw!BC102)*SUM(Raw!BA102, Raw!AW102, Raw!BE102, Raw!BI102)) / SQRT((CG102*SUM(Raw!BA102, Raw!AZ102, Raw!BB102, Raw!BC102) - SUM(Raw!BA102, Raw!AZ102, Raw!BB102, Raw!BC102)^2) * (CG102*SUM(Raw!BA102, Raw!AW102, Raw!BE102, Raw!BI102) - SUM(Raw!BA102, Raw!AW102, Raw!BE102, Raw!BI102)^2)), 0), "No Contingency Table"), "Not Included")</f>
        <v>Not Included</v>
      </c>
      <c r="CI102" s="11" t="str">
        <f>IF(CE102, IF(COUNTIF(Raw!AV102:BK102, "&gt;=0") = 16, SUM(Raw!AV102,Raw!AX102,Raw!AY102,Raw!BA102,Raw!BD102,Raw!BF102,Raw!BG102,Raw!BH102,Raw!BJ102,Raw!BK102) / SUM(Raw!AV102:BK102), "No Contingency Table"), "Not Included")</f>
        <v>Not Included</v>
      </c>
      <c r="CJ102" s="61" t="str">
        <f>IF(BX102, IF(COUNTIF(Raw!AV102:BK102, "&gt;=0") = 16,SUM(SUM(Raw!AZ102,Raw!BA102,Raw!BB102,Raw!BC102)*SUM(Raw!BA102,Raw!AW102,Raw!BE102,Raw!BI102),SUM(Raw!AV102:AY102,Raw!BD102:BK102)*SUM(Raw!AV102,Raw!AX102,Raw!AY102,Raw!AZ102,Raw!BB102,Raw!BC102,Raw!BD102,Raw!BF102,Raw!BG102,Raw!BH102,Raw!BJ102,Raw!BK102))/CG102^2,"No Contingency Table"), "Not Included")</f>
        <v>Not Included</v>
      </c>
      <c r="CK102" s="11" t="str">
        <f>IF(BX102, IF(COUNTIF(Raw!AV102:BK102, "&gt;=0") = 16,(CI102 - CJ102) / (1 - CJ102),"No Contingency Table"), "Not Included")</f>
        <v>Not Included</v>
      </c>
      <c r="CL102" s="11" t="str">
        <f>IF(BQ102, IFERROR(Raw!AV102/SUM(Raw!AV102:AY102), 0), "Not Included")</f>
        <v>Not Included</v>
      </c>
      <c r="CM102" s="11" t="str">
        <f>IF(BQ102, IFERROR(Raw!BA102/SUM(Raw!AZ102:BC102), 0), "Not Included")</f>
        <v>Not Included</v>
      </c>
      <c r="CN102" s="11" t="str">
        <f>IF(BQ102, IFERROR(Raw!BF102/SUM(Raw!BD102:BG102), 0), "Not Included")</f>
        <v>Not Included</v>
      </c>
      <c r="CO102" s="11" t="str">
        <f>IF(BQ102, IFERROR(Raw!BK102/SUM(Raw!BH102:BK102), 0), "Not Included")</f>
        <v>Not Included</v>
      </c>
      <c r="CP102" s="11" t="str">
        <f>IF(BQ102, IFERROR(SUM(Raw!AV102,Raw!AX102,Raw!AY102,Raw!BD102,Raw!BF102,Raw!BG102,Raw!BH102,Raw!BJ102,Raw!BK102)/SUM(Raw!AV102,Raw!AW102,Raw!AX102,Raw!AY102,Raw!BD102,Raw!BE102,Raw!BF102,Raw!BG102,Raw!BH102,Raw!BI102,Raw!BJ102,Raw!BK102), 0), "Not Included")</f>
        <v>Not Included</v>
      </c>
      <c r="CQ102" s="11" t="str">
        <f>IF(BQ102, IFERROR(SUM(Raw!AV102:AX102,Raw!AZ102:BB102,Raw!BD102:BF102)/SUM(Raw!AV102:BF102), 0), "Not Included")</f>
        <v>Not Included</v>
      </c>
      <c r="CR102" s="11" t="str">
        <f>IF(BQ102, IFERROR(SUM(Raw!AV102:AY102), 0), "Not Included")</f>
        <v>Not Included</v>
      </c>
      <c r="CS102" s="11" t="str">
        <f>IF(BQ102, IFERROR(SUM(Raw!AZ102:BC102), 0), "Not Included")</f>
        <v>Not Included</v>
      </c>
      <c r="CT102" s="11" t="str">
        <f>IF(BQ102, IFERROR(SUM(Raw!BD102:BG102), 0), "Not Included")</f>
        <v>Not Included</v>
      </c>
      <c r="CU102" s="11" t="str">
        <f>IF(BQ102, IFERROR(SUM(Raw!BH102:BK102), 0), "Not Included")</f>
        <v>Not Included</v>
      </c>
      <c r="CV102" s="11" t="str">
        <f>IF(BQ102, IFERROR(SUM(Raw!AV102,Raw!AW102,Raw!AX102,Raw!AY102,Raw!BD102,Raw!BE102,Raw!BF102,Raw!BG102,Raw!BH102,Raw!BI102,Raw!BJ102,Raw!BK102), 0), "Not Included")</f>
        <v>Not Included</v>
      </c>
      <c r="CW102" s="11" t="str">
        <f>IF(BQ102, IFERROR(SUM(Raw!AV102:BF102), 0), "Not Included")</f>
        <v>Not Included</v>
      </c>
      <c r="CX102" s="11" t="str">
        <f>IF(BQ102, IFERROR((CR102*SUM(Raw!AV102,Raw!AZ102,Raw!BD102,Raw!BH102))/BS102/CR102, 0), "Not Included")</f>
        <v>Not Included</v>
      </c>
      <c r="CY102" s="11" t="str">
        <f>IF(BX102, IFERROR((CS102*SUM(Raw!BA102,Raw!AW102,Raw!BE102,Raw!BI102))/CG102/CS102, 0), "Not Included")</f>
        <v>Not Included</v>
      </c>
      <c r="CZ102" s="11" t="str">
        <f>IF(BX102, IFERROR((CT102*SUM(Raw!BF102,Raw!AX102,Raw!BB102,Raw!BJ102))/BZ102/CT102, 0), "Not Included")</f>
        <v>Not Included</v>
      </c>
      <c r="DA102" s="11" t="str">
        <f>IF(AY102, IFERROR((CU102*SUM(Raw!AY102,Raw!BC102,Raw!BG102,Raw!BK102))/AT102/CU102, 0), "Not Included")</f>
        <v>Not Included</v>
      </c>
      <c r="DB102" s="11" t="str">
        <f>IF(BX102, IFERROR((CV102*SUM(Raw!AV102,Raw!AX102,Raw!AY102,Raw!AZ102,Raw!BB102,Raw!BC102,Raw!BD102,Raw!BF102,Raw!BG102,Raw!BH102,Raw!BJ102,Raw!BK102))/CG102/CV102,0), "Not Included")</f>
        <v>Not Included</v>
      </c>
      <c r="DC102" s="11" t="str">
        <f>IF(AY102, IFERROR((CW102*SUM(Raw!AV102,Raw!AW102,Raw!AX102,Raw!AZ102,Raw!BA102,Raw!BB102,Raw!BD102,Raw!BE102,Raw!BF102,Raw!BH102,Raw!BI102,Raw!BJ102))/AT102/CW102,0), "Not Included")</f>
        <v>Not Included</v>
      </c>
    </row>
    <row r="103" spans="1:107" ht="12.75" customHeight="1">
      <c r="A103" s="11">
        <f>Raw!D103</f>
        <v>75</v>
      </c>
      <c r="B103" s="11" t="str">
        <f>Raw!A103</f>
        <v xml:space="preserve">Vaughn, Gove, &amp; Egeland (1980) </v>
      </c>
      <c r="C103" s="11">
        <f>Raw!G103</f>
        <v>1</v>
      </c>
      <c r="D103" s="11" t="str">
        <f>Raw!E103</f>
        <v>Early return to work</v>
      </c>
      <c r="E103" s="11" t="str">
        <f>CONCATENATE(IF(Raw!I103&lt;='Interval Definitions'!$B$2, 'Interval Definitions'!$A$2, IF(Raw!I103&lt;='Interval Definitions'!$B$3, 'Interval Definitions'!$A$3, IF(Raw!I103&lt;='Interval Definitions'!$B$4, 'Interval Definitions'!$A$4, IF(Raw!I103&lt;='Interval Definitions'!$B$5, 'Interval Definitions'!$A$5, "None")))), " - ", IF(Raw!J103&lt;='Interval Definitions'!$B$2, 'Interval Definitions'!$A$2, IF(Raw!J103&lt;='Interval Definitions'!$B$3, 'Interval Definitions'!$A$3, IF(Raw!J103&lt;='Interval Definitions'!$B$4, 'Interval Definitions'!$A$4, IF(Raw!J103&lt;='Interval Definitions'!$B$5, 'Interval Definitions'!$A$5, "None")))))</f>
        <v>Infancy - Infancy</v>
      </c>
      <c r="F103" s="11" t="b">
        <f>OR(NOT(ISBLANK(Raw!AF103)),NOT(ISBLANK(Raw!AG103)),NOT(ISBLANK(Raw!AH103)),NOT(ISBLANK(Raw!AI103)),COUNTIF(Raw!AA103:AD103, "&gt;=0") = 4)</f>
        <v>1</v>
      </c>
      <c r="G103" s="11" t="str">
        <f>IF(F103, IF(COUNTIF(Raw!AA103:AD103,"&gt;=0") = 4, "Contingency", IF(NOT(ISBLANK(Raw!AF103)), "Paper r", IF(NOT(ISBLANK(Raw!AG103)), "Pinquart", IF(NOT(ISBLANK(Raw!AH103)), "Fraley", "Paper chiSq")))), "Not Included")</f>
        <v>Contingency</v>
      </c>
      <c r="H103" s="15">
        <f>IF(F103,Raw!AE103,"Not Included")</f>
        <v>34</v>
      </c>
      <c r="I103" s="15">
        <f>IF(COUNTIF(Raw!AA103:AD103,"&gt;=0") = 4, SUM(Raw!AA103:AD103), "No Contingency Table")</f>
        <v>34</v>
      </c>
      <c r="J103" s="15">
        <f t="shared" si="0"/>
        <v>34</v>
      </c>
      <c r="K103" s="38">
        <f>IF(F103, IF(COUNTIF(Raw!AA103:AD103,"&gt;=0") = 4, IFERROR((I103*Raw!AA103 - SUM(Raw!AA103,Raw!AB103)*SUM(Raw!AA103,Raw!AD103)) / SQRT((I103*SUM(Raw!AA103,Raw!AB103) - SUM(Raw!AA103,Raw!AB103)^2) * (I103*SUM(Raw!AA103,Raw!AD103) - SUM(Raw!AA103,Raw!AD103)^2)), 0), "No Contingency Table"), "Not Included")</f>
        <v>0.58925565098878963</v>
      </c>
      <c r="L103" s="41" t="str">
        <f>IF(F103,IF(NOT(ISBLANK(Raw!AF103)), Raw!AF103, IF(NOT(ISBLANK(Raw!AG103)), Raw!AG103, IF(NOT(ISBLANK(Raw!AH103)), Raw!AH103, IF(NOT(ISBLANK(Raw!AI103)), SQRT(Raw!AI103/H103)*Raw!AJ103, "Not Reported")))),"Not Included")</f>
        <v>Not Reported</v>
      </c>
      <c r="M103" s="43">
        <f t="shared" si="1"/>
        <v>0.58925565098878963</v>
      </c>
      <c r="N103" s="11" t="str">
        <f t="shared" si="2"/>
        <v>NA</v>
      </c>
      <c r="O103" s="48" t="b">
        <f>OR(NOT(ISBLANK(Raw!AK103)), COUNTIF(Raw!AA103:AD103, "&gt;=0") = 4)</f>
        <v>1</v>
      </c>
      <c r="P103" s="24" t="str">
        <f>IF(O103,IF(COUNTIF(Raw!AA103:AD103,"&gt;=0") = 4,"Contingency", "Paper k"), "Not Included")</f>
        <v>Contingency</v>
      </c>
      <c r="Q103" s="48">
        <f>IF(O103, IF(COUNTIF(Raw!AA103:AD103,"&gt;=0") = 4,SUM(Raw!AA103,Raw!AC103)/H103,"No Contingency Table"), "Not Included")</f>
        <v>0.79411764705882348</v>
      </c>
      <c r="R103" s="38">
        <f>IF(O103, IF(COUNTIF(Raw!AA103:AD103, "&gt;=0") = 4,SUM(SUM(Raw!AA103,Raw!AB103)*SUM(Raw!AA103,Raw!AD103),SUM(Raw!AC103,Raw!AD103)*SUM(Raw!AC103,Raw!AB103))/H103^2,"No Contingency Table"), "Not Included")</f>
        <v>0.5</v>
      </c>
      <c r="S103" s="38">
        <f>IF(O103, IF(COUNTIF(Raw!AA103:AD103,"&gt;=0") = 4, IFERROR((Q103 - R103) / (1 - R103), "Could not calculate"), "No Contingency Table"), "Not Included")</f>
        <v>0.58823529411764697</v>
      </c>
      <c r="T103" s="52" t="str">
        <f>IF(O103,IF(NOT(ISBLANK(Raw!AK103)), Raw!AK103, "Not Reported"), "Not Included")</f>
        <v>Not Reported</v>
      </c>
      <c r="U103" s="38">
        <f t="shared" si="3"/>
        <v>0.58823529411764697</v>
      </c>
      <c r="V103" s="11" t="str">
        <f t="shared" si="4"/>
        <v>NA</v>
      </c>
      <c r="W103" s="11" t="b">
        <f>OR(NOT(ISBLANK(Raw!AU103)),COUNTIF(Raw!AL103:AT103,"&gt;=0") = 9)</f>
        <v>1</v>
      </c>
      <c r="X103" s="11" t="str">
        <f>IF(W103, IF(COUNTIF(Raw!AL103:AT103,"&gt;=0") = 9, "Contingency", "Paper k"), "Not Included")</f>
        <v>Contingency</v>
      </c>
      <c r="Y103" s="11">
        <f>IF(W103,IF(COUNTIF(Raw!AL103:AT103,"&gt;=0") = 9,SUM(Raw!AL103:AT103),"No Contingency Table"),"Not Included")</f>
        <v>34</v>
      </c>
      <c r="Z103" s="11">
        <f t="shared" si="5"/>
        <v>34</v>
      </c>
      <c r="AA103" s="11">
        <f>IF(W103,IF(COUNTIF(Raw!AL103:AT103,"&gt;=0") = 9,SUM(Raw!AL103,Raw!AP103,Raw!AT103)/Y103,"No Contingency Table"), "Not Included")</f>
        <v>0.73529411764705888</v>
      </c>
      <c r="AB103" s="11">
        <f>IF(W103,IF(COUNTIF(Raw!AL103:AT103,"&gt;=0") = 9,SUM(SUM(Raw!AL103,Raw!AM103,Raw!AN103)*SUM(Raw!AL103,Raw!AO103,Raw!AR103),SUM(Raw!AO103,Raw!AP103,Raw!AQ103)*SUM(Raw!AM103,Raw!AP103,Raw!AS103),SUM(Raw!AR103,Raw!AS103,Raw!AT103)*SUM(Raw!AN103,Raw!AQ103,Raw!AT103))/Y103^2,"No Contingency Table"), "Not Included")</f>
        <v>0.45847750865051901</v>
      </c>
      <c r="AC103" s="11">
        <f>IF(W103,IF(COUNTIF(Raw!AL103:AT103,"&gt;=0") = 9,(AA103 - AB103) / (1 - AB103),"No Contingency Table"), "Not Included")</f>
        <v>0.51118210862619828</v>
      </c>
      <c r="AD103" s="11" t="str">
        <f>IF(W103, IF(NOT(ISBLANK(Raw!AU103)),Raw!AU103,"Not Reported"), "Not Included")</f>
        <v>Not Reported</v>
      </c>
      <c r="AE103" s="11">
        <f t="shared" si="6"/>
        <v>0.51118210862619828</v>
      </c>
      <c r="AF103" s="11" t="str">
        <f t="shared" si="7"/>
        <v>NA</v>
      </c>
      <c r="AG103" s="11" t="b">
        <f>COUNTIF(Raw!AV103:BK103, "&gt;=0") = 16</f>
        <v>0</v>
      </c>
      <c r="AH103" s="11" t="str">
        <f>IF(AG103, IF(COUNTIF(Raw!AV103:BK103,"&gt;=0") = 16, "Contingency", "Paper k"), "Not Included")</f>
        <v>Not Included</v>
      </c>
      <c r="AI103" s="11" t="str">
        <f>IF(AG103,IF(COUNTIF(Raw!AV103:BK103,"&gt;=0") = 16,SUM(Raw!AV103:BK103),"No Contingency Table"),"Not Included")</f>
        <v>Not Included</v>
      </c>
      <c r="AJ103" s="15">
        <f t="shared" si="8"/>
        <v>34</v>
      </c>
      <c r="AK103" s="11" t="str">
        <f>IF(AG103,IF(COUNTIF(Raw!AV103:BK103,"&gt;=0") = 16,SUM(Raw!AV103,Raw!BA103,Raw!BF103,Raw!BK103)/AI103,"No Contingency Table"), "Not Included")</f>
        <v>Not Included</v>
      </c>
      <c r="AL103" s="11" t="str">
        <f>IF(AG103,IF(COUNTIF(Raw!AV103:BK103,"&gt;=0") = 16,SUM(SUM(Raw!AV103,Raw!AW103,Raw!AX103,Raw!AY103)*SUM(Raw!AV103,Raw!AZ103,Raw!BD103,Raw!BH103),SUM(Raw!AZ103,Raw!BA103,Raw!BB103,Raw!BC103)*SUM(Raw!AW103,Raw!BA103,Raw!BE103,Raw!BI103),SUM(Raw!BD103,Raw!BE103,Raw!BF103,Raw!BG103)*SUM(Raw!AX103,Raw!BB103,Raw!BF103,Raw!BJ103),SUM(Raw!BH103,Raw!BI103,Raw!BJ103,Raw!BK103)*SUM(Raw!AY103,Raw!BC103,Raw!BG103,Raw!BK103))/AI103^2,"No Contingency Table"), "Not Included")</f>
        <v>Not Included</v>
      </c>
      <c r="AM103" s="11" t="str">
        <f>IF(AG103,IF(COUNTIF(Raw!AV103:BK103,"&gt;=0") = 16,(AK103 - AL103) / (1 - AL103),"No Contingency Table"), "Not Included")</f>
        <v>Not Included</v>
      </c>
      <c r="AN103" s="11" t="str">
        <f>IF(NOT(ISBLANK(Raw!BL103)),Raw!BL103,"Not Reported")</f>
        <v>Not Reported</v>
      </c>
      <c r="AO103" s="11" t="str">
        <f t="shared" si="9"/>
        <v>Not Reported</v>
      </c>
      <c r="AP103" s="11" t="str">
        <f t="shared" si="10"/>
        <v>Not Included</v>
      </c>
      <c r="AQ103" s="11" t="b">
        <f t="shared" ref="AQ103:AR103" si="423">BQ103</f>
        <v>0</v>
      </c>
      <c r="AR103" s="11" t="str">
        <f t="shared" si="423"/>
        <v>Not Included</v>
      </c>
      <c r="AS103" s="11" t="str">
        <f t="shared" si="12"/>
        <v>Not Included</v>
      </c>
      <c r="AT103" s="11" t="str">
        <f t="shared" si="13"/>
        <v>Not Included</v>
      </c>
      <c r="AU103" s="11" t="str">
        <f>IF(AQ103, IF(COUNTIF(Raw!AV103:BK103, "&gt;=0") = 16, IFERROR((AT103*Raw!BK103 - SUM(Raw!BH103, Raw!BI103, Raw!BJ103, Raw!BK103)*SUM(Raw!AY103, Raw!BC103, Raw!BG103, Raw!BK103)) / SQRT((AT103*SUM(Raw!BH103, Raw!BI103, Raw!BJ103, Raw!BK103) - SUM(Raw!BH103, Raw!BI103, Raw!BJ103, Raw!BK103)^2) * (AT103*SUM(Raw!AY103, Raw!BC103, Raw!BG103, Raw!BK103) - SUM(Raw!AY103, Raw!BC103, Raw!BG103, Raw!BK103)^2)), 0), "No Contingency Table"), "Not Included")</f>
        <v>Not Included</v>
      </c>
      <c r="AV103" s="11" t="str">
        <f>IF(AQ103,IF(NOT(ISBLANK(Raw!BQ103)), Raw!BQ103, IF(NOT(ISBLANK(Raw!BR103)), Raw!BR103, "Not Reported")), "Not Included")</f>
        <v>Not Included</v>
      </c>
      <c r="AW103" s="57" t="str">
        <f t="shared" si="14"/>
        <v>Not Included</v>
      </c>
      <c r="AX103" s="11" t="str">
        <f t="shared" si="15"/>
        <v>Not Included</v>
      </c>
      <c r="AY103" s="11" t="b">
        <f t="shared" ref="AY103:AZ103" si="424">AQ103</f>
        <v>0</v>
      </c>
      <c r="AZ103" s="11" t="str">
        <f t="shared" si="424"/>
        <v>Not Included</v>
      </c>
      <c r="BA103" s="11" t="str">
        <f>IF(AY103, IF(COUNTIF(Raw!AV103:BK103, "&gt;=0") = 16, SUM(Raw!AV103,Raw!AW103,Raw!AX103,Raw!AZ103,Raw!BA103,Raw!BB103,Raw!BD103,Raw!BE103,Raw!BF103,Raw!BK103)/SUM(Raw!AV103:BK103), "No Contingency Table"), "Not Included")</f>
        <v>Not Included</v>
      </c>
      <c r="BB103" s="11" t="str">
        <f>IF(AY103, IF(COUNTIF(Raw!AV103:BK103, "&gt;=0") = 16,SUM(SUM(Raw!BH103,Raw!BI103,Raw!BJ103,Raw!BK103)*SUM(Raw!AY103,Raw!BC103,Raw!BG103,Raw!BK103),SUM(Raw!AV103:BG103)*SUM(Raw!AV103,Raw!AW103,Raw!AX103,Raw!AZ103,Raw!BA103,Raw!BB103,Raw!BD103,Raw!BE103,Raw!BF103,Raw!BH103,Raw!BI103,Raw!BJ103))/AT103^2,"No Contingency Table"), "Not Included")</f>
        <v>Not Included</v>
      </c>
      <c r="BC103" s="11" t="str">
        <f>IF(AY103, IF(COUNTIF(Raw!AV103:BK103, "&gt;=0") = 16,(BA103-BB103) / (1 - BB103),"No Contingency Table"), "Not Included")</f>
        <v>Not Included</v>
      </c>
      <c r="BD103" s="11" t="str">
        <f>IF(AY103,IF(NOT(ISBLANK(Raw!BT124)),Raw!BT124,"Not Reported"),"Not Included")</f>
        <v>Not Included</v>
      </c>
      <c r="BE103" s="11" t="str">
        <f t="shared" si="17"/>
        <v>Not Included</v>
      </c>
      <c r="BF103" s="11" t="str">
        <f t="shared" si="18"/>
        <v>Not Included</v>
      </c>
      <c r="BG103" s="11">
        <f>Raw!K103</f>
        <v>1980</v>
      </c>
      <c r="BH103" s="11" t="str">
        <f>IF(Raw!L103 = "USA","USA","Non-USA")</f>
        <v>USA</v>
      </c>
      <c r="BI103" s="11" t="str">
        <f>Raw!M103</f>
        <v>Ainsworth/Ainsworth</v>
      </c>
      <c r="BJ103" s="11">
        <f>Raw!N103</f>
        <v>0</v>
      </c>
      <c r="BK103" s="11">
        <f>Raw!P103</f>
        <v>1</v>
      </c>
      <c r="BL103" s="11">
        <f>Raw!Q103</f>
        <v>0</v>
      </c>
      <c r="BM103" s="11">
        <f>Raw!T103</f>
        <v>1</v>
      </c>
      <c r="BN103" s="11">
        <f>IFERROR(IF(AND(ISBLANK(Raw!U103), ISBLANK(Raw!V103), ISBLANK(Raw!W103), ISBLANK(Raw!X103)), "NA", IF(OR(NOT(ISBLANK(Raw!U103)), NOT(ISBLANK(Raw!W103))), AVERAGE(Raw!U103,Raw!W103), AVERAGE(Raw!V103,Raw!X103) + IF(Raw!Y103 = "2-way", R103, IF(Raw!Y103 = "3-way", AB103, IF(Raw!Y103 = "4-way", AL103, "NA")))*(1 - AVERAGE(Raw!V103,Raw!X103)))), "NA")</f>
        <v>0.91500000000000004</v>
      </c>
      <c r="BO103" s="11">
        <f>Raw!O103</f>
        <v>0</v>
      </c>
      <c r="BP103" s="11" t="str">
        <f>Raw!F103</f>
        <v>Female</v>
      </c>
      <c r="BQ103" s="11" t="b">
        <f>COUNTIF(Raw!AV103:BK103, "&gt;=0") = 16</f>
        <v>0</v>
      </c>
      <c r="BR103" s="11" t="str">
        <f t="shared" si="19"/>
        <v>Not Included</v>
      </c>
      <c r="BS103" s="11" t="str">
        <f t="shared" si="20"/>
        <v>Not Included</v>
      </c>
      <c r="BT103" s="11" t="str">
        <f>IF(BQ103, IF(COUNTIF(Raw!AV103:BK103, "&gt;=0") = 16, IFERROR((BS103*Raw!AV103 - SUM(Raw!AV103, Raw!AW103, Raw!AX103, Raw!AY103)*SUM(Raw!AV103, Raw!AZ103, Raw!BD103, Raw!BH103)) / SQRT((BS103*SUM(Raw!AV103, Raw!AW103, Raw!AX103, Raw!AY103) - SUM(Raw!AV103, Raw!AW103, Raw!AX103, Raw!AY103)^2) * (BS103*SUM(Raw!AV103, Raw!AZ103, Raw!BD103, Raw!BH103) - SUM(Raw!AV103, Raw!AZ103, Raw!BD103, Raw!BH103)^2)), 0), "No Contingency Table"), "Not Included")</f>
        <v>Not Included</v>
      </c>
      <c r="BU103" s="11" t="str">
        <f>IF(BQ103, IF(COUNTIF(Raw!AV103:BK103, "&gt;=0") = 16, SUM(Raw!BK103,Raw!BJ103,Raw!BI103,Raw!BG103,Raw!BF103,Raw!BE103,Raw!BC103,Raw!BB103,Raw!BA103,Raw!AV103)/SUM(Raw!AV103:BK103), "No Contingency Table"), "Not Included")</f>
        <v>Not Included</v>
      </c>
      <c r="BV103" s="11" t="str">
        <f>IF(BQ103, IF(COUNTIF(Raw!AV103:BK103, "&gt;=0") = 16,SUM(SUM(Raw!AV103,Raw!AW103,Raw!AX103,Raw!AY103)*SUM(Raw!AV103,Raw!AZ103,Raw!BD103,Raw!BH103),SUM(Raw!AZ103:BK103)*SUM(Raw!AW103,Raw!AX103,Raw!AY103,Raw!BA103,Raw!BB103,Raw!BC103,Raw!BE103,Raw!BF103,Raw!BG103,Raw!BI103,Raw!BJ103,Raw!BK103))/BS103^2,"No Contingency Table"), "Not Included")</f>
        <v>Not Included</v>
      </c>
      <c r="BW103" s="11" t="str">
        <f>IF(BQ103, IF(COUNTIF(Raw!AV103:BK103, "&gt;=0") = 16,(BU103-BV103) / (1 - BV103),"No Contingency Table"), "Not Included")</f>
        <v>Not Included</v>
      </c>
      <c r="BX103" s="11" t="b">
        <f t="shared" ref="BX103:BZ103" si="425">BQ103</f>
        <v>0</v>
      </c>
      <c r="BY103" s="11" t="str">
        <f t="shared" si="425"/>
        <v>Not Included</v>
      </c>
      <c r="BZ103" s="11" t="str">
        <f t="shared" si="425"/>
        <v>Not Included</v>
      </c>
      <c r="CA103" s="11" t="str">
        <f>IF(BX103, IF(COUNTIF(Raw!AV103:BK103, "&gt;=0") = 16, IFERROR((BZ103*Raw!BF103 - SUM(Raw!BD103, Raw!BE103, Raw!BF103, Raw!BG103)*SUM(Raw!BF103, Raw!AX103, Raw!BB103, Raw!BJ103)) / SQRT((BZ103*SUM(Raw!BD103, Raw!BE103, Raw!BF103, Raw!BG103) - SUM(Raw!BD103, Raw!BE103, Raw!BF103, Raw!BG103)^2) * (BZ103*SUM(Raw!BF103, Raw!AX103, Raw!BB103, Raw!BJ103) - SUM(Raw!BF103, Raw!AX103, Raw!BB103, Raw!BJ103)^2)), 0), "No Contingency Table"), "Not Included")</f>
        <v>Not Included</v>
      </c>
      <c r="CB103" s="11" t="str">
        <f>IF(BX103, IF(COUNTIF(Raw!AV103:BK103, "&gt;=0") = 16, SUM(Raw!AV103,Raw!AW103,Raw!AY103,Raw!AZ103,Raw!BA103,Raw!BC103,Raw!BF103,Raw!BH103,Raw!BI103,Raw!BK103) / SUM(Raw!AV103:BK103), "No Contingency Table"), "Not Included")</f>
        <v>Not Included</v>
      </c>
      <c r="CC103" s="11" t="str">
        <f>IF(BX103, IF(COUNTIF(Raw!AV103:BK103, "&gt;=0") = 16,SUM(SUM(Raw!BD103,Raw!BE103,Raw!BF103,Raw!BG103)*SUM(Raw!BF103,Raw!AX103,Raw!BB103,Raw!BJ103),SUM(Raw!AV103:BC103,Raw!BH103:BK103)*SUM(Raw!AV103,Raw!AW103,Raw!AY103,Raw!AZ103,Raw!BA103,Raw!BC103,Raw!BD103,Raw!BE103,Raw!BG103,Raw!BH103,Raw!BI103,Raw!BK103))/BZ103^2,"No Contingency Table"), "Not Included")</f>
        <v>Not Included</v>
      </c>
      <c r="CD103" s="11" t="str">
        <f>IF(BX103, IF(COUNTIF(Raw!AV103:BK103, "&gt;=0") = 16,(CB103 - CC103) / (1 - CC103+0.000001),"No Contingency Table"), "Not Included")</f>
        <v>Not Included</v>
      </c>
      <c r="CE103" s="11" t="b">
        <f t="shared" ref="CE103:CG103" si="426">BQ103</f>
        <v>0</v>
      </c>
      <c r="CF103" s="11" t="str">
        <f t="shared" si="426"/>
        <v>Not Included</v>
      </c>
      <c r="CG103" s="11" t="str">
        <f t="shared" si="426"/>
        <v>Not Included</v>
      </c>
      <c r="CH103" s="11" t="str">
        <f>IF(CE103, IF(COUNTIF(Raw!AV103:BK103, "&gt;=0") = 16, IFERROR((CG103*Raw!BA103 - SUM(Raw!BA103, Raw!AZ103, Raw!BB103, Raw!BC103)*SUM(Raw!BA103, Raw!AW103, Raw!BE103, Raw!BI103)) / SQRT((CG103*SUM(Raw!BA103, Raw!AZ103, Raw!BB103, Raw!BC103) - SUM(Raw!BA103, Raw!AZ103, Raw!BB103, Raw!BC103)^2) * (CG103*SUM(Raw!BA103, Raw!AW103, Raw!BE103, Raw!BI103) - SUM(Raw!BA103, Raw!AW103, Raw!BE103, Raw!BI103)^2)), 0), "No Contingency Table"), "Not Included")</f>
        <v>Not Included</v>
      </c>
      <c r="CI103" s="11" t="str">
        <f>IF(CE103, IF(COUNTIF(Raw!AV103:BK103, "&gt;=0") = 16, SUM(Raw!AV103,Raw!AX103,Raw!AY103,Raw!BA103,Raw!BD103,Raw!BF103,Raw!BG103,Raw!BH103,Raw!BJ103,Raw!BK103) / SUM(Raw!AV103:BK103), "No Contingency Table"), "Not Included")</f>
        <v>Not Included</v>
      </c>
      <c r="CJ103" s="61" t="str">
        <f>IF(BX103, IF(COUNTIF(Raw!AV103:BK103, "&gt;=0") = 16,SUM(SUM(Raw!AZ103,Raw!BA103,Raw!BB103,Raw!BC103)*SUM(Raw!BA103,Raw!AW103,Raw!BE103,Raw!BI103),SUM(Raw!AV103:AY103,Raw!BD103:BK103)*SUM(Raw!AV103,Raw!AX103,Raw!AY103,Raw!AZ103,Raw!BB103,Raw!BC103,Raw!BD103,Raw!BF103,Raw!BG103,Raw!BH103,Raw!BJ103,Raw!BK103))/CG103^2,"No Contingency Table"), "Not Included")</f>
        <v>Not Included</v>
      </c>
      <c r="CK103" s="11" t="str">
        <f>IF(BX103, IF(COUNTIF(Raw!AV103:BK103, "&gt;=0") = 16,(CI103 - CJ103) / (1 - CJ103),"No Contingency Table"), "Not Included")</f>
        <v>Not Included</v>
      </c>
      <c r="CL103" s="11" t="str">
        <f>IF(BQ103, IFERROR(Raw!AV103/SUM(Raw!AV103:AY103), 0), "Not Included")</f>
        <v>Not Included</v>
      </c>
      <c r="CM103" s="11" t="str">
        <f>IF(BQ103, IFERROR(Raw!BA103/SUM(Raw!AZ103:BC103), 0), "Not Included")</f>
        <v>Not Included</v>
      </c>
      <c r="CN103" s="11" t="str">
        <f>IF(BQ103, IFERROR(Raw!BF103/SUM(Raw!BD103:BG103), 0), "Not Included")</f>
        <v>Not Included</v>
      </c>
      <c r="CO103" s="11" t="str">
        <f>IF(BQ103, IFERROR(Raw!BK103/SUM(Raw!BH103:BK103), 0), "Not Included")</f>
        <v>Not Included</v>
      </c>
      <c r="CP103" s="11" t="str">
        <f>IF(BQ103, IFERROR(SUM(Raw!AV103,Raw!AX103,Raw!AY103,Raw!BD103,Raw!BF103,Raw!BG103,Raw!BH103,Raw!BJ103,Raw!BK103)/SUM(Raw!AV103,Raw!AW103,Raw!AX103,Raw!AY103,Raw!BD103,Raw!BE103,Raw!BF103,Raw!BG103,Raw!BH103,Raw!BI103,Raw!BJ103,Raw!BK103), 0), "Not Included")</f>
        <v>Not Included</v>
      </c>
      <c r="CQ103" s="11" t="str">
        <f>IF(BQ103, IFERROR(SUM(Raw!AV103:AX103,Raw!AZ103:BB103,Raw!BD103:BF103)/SUM(Raw!AV103:BF103), 0), "Not Included")</f>
        <v>Not Included</v>
      </c>
      <c r="CR103" s="11" t="str">
        <f>IF(BQ103, IFERROR(SUM(Raw!AV103:AY103), 0), "Not Included")</f>
        <v>Not Included</v>
      </c>
      <c r="CS103" s="11" t="str">
        <f>IF(BQ103, IFERROR(SUM(Raw!AZ103:BC103), 0), "Not Included")</f>
        <v>Not Included</v>
      </c>
      <c r="CT103" s="11" t="str">
        <f>IF(BQ103, IFERROR(SUM(Raw!BD103:BG103), 0), "Not Included")</f>
        <v>Not Included</v>
      </c>
      <c r="CU103" s="11" t="str">
        <f>IF(BQ103, IFERROR(SUM(Raw!BH103:BK103), 0), "Not Included")</f>
        <v>Not Included</v>
      </c>
      <c r="CV103" s="11" t="str">
        <f>IF(BQ103, IFERROR(SUM(Raw!AV103,Raw!AW103,Raw!AX103,Raw!AY103,Raw!BD103,Raw!BE103,Raw!BF103,Raw!BG103,Raw!BH103,Raw!BI103,Raw!BJ103,Raw!BK103), 0), "Not Included")</f>
        <v>Not Included</v>
      </c>
      <c r="CW103" s="11" t="str">
        <f>IF(BQ103, IFERROR(SUM(Raw!AV103:BF103), 0), "Not Included")</f>
        <v>Not Included</v>
      </c>
      <c r="CX103" s="11" t="str">
        <f>IF(BQ103, IFERROR((CR103*SUM(Raw!AV103,Raw!AZ103,Raw!BD103,Raw!BH103))/BS103/CR103, 0), "Not Included")</f>
        <v>Not Included</v>
      </c>
      <c r="CY103" s="11" t="str">
        <f>IF(BX103, IFERROR((CS103*SUM(Raw!BA103,Raw!AW103,Raw!BE103,Raw!BI103))/CG103/CS103, 0), "Not Included")</f>
        <v>Not Included</v>
      </c>
      <c r="CZ103" s="11" t="str">
        <f>IF(BX103, IFERROR((CT103*SUM(Raw!BF103,Raw!AX103,Raw!BB103,Raw!BJ103))/BZ103/CT103, 0), "Not Included")</f>
        <v>Not Included</v>
      </c>
      <c r="DA103" s="11" t="str">
        <f>IF(AY103, IFERROR((CU103*SUM(Raw!AY103,Raw!BC103,Raw!BG103,Raw!BK103))/AT103/CU103, 0), "Not Included")</f>
        <v>Not Included</v>
      </c>
      <c r="DB103" s="11" t="str">
        <f>IF(BX103, IFERROR((CV103*SUM(Raw!AV103,Raw!AX103,Raw!AY103,Raw!AZ103,Raw!BB103,Raw!BC103,Raw!BD103,Raw!BF103,Raw!BG103,Raw!BH103,Raw!BJ103,Raw!BK103))/CG103/CV103,0), "Not Included")</f>
        <v>Not Included</v>
      </c>
      <c r="DC103" s="11" t="str">
        <f>IF(AY103, IFERROR((CW103*SUM(Raw!AV103,Raw!AW103,Raw!AX103,Raw!AZ103,Raw!BA103,Raw!BB103,Raw!BD103,Raw!BE103,Raw!BF103,Raw!BH103,Raw!BI103,Raw!BJ103))/AT103/CW103,0), "Not Included")</f>
        <v>Not Included</v>
      </c>
    </row>
    <row r="104" spans="1:107" ht="12.75" customHeight="1">
      <c r="A104" s="11">
        <f>Raw!D104</f>
        <v>76</v>
      </c>
      <c r="B104" s="11" t="str">
        <f>Raw!A104</f>
        <v xml:space="preserve">Vaughn, Gove, &amp; Egeland (1980) </v>
      </c>
      <c r="C104" s="11">
        <f>Raw!G104</f>
        <v>1</v>
      </c>
      <c r="D104" s="11" t="str">
        <f>Raw!E104</f>
        <v>Late return to work</v>
      </c>
      <c r="E104" s="11" t="str">
        <f>CONCATENATE(IF(Raw!I104&lt;='Interval Definitions'!$B$2, 'Interval Definitions'!$A$2, IF(Raw!I104&lt;='Interval Definitions'!$B$3, 'Interval Definitions'!$A$3, IF(Raw!I104&lt;='Interval Definitions'!$B$4, 'Interval Definitions'!$A$4, IF(Raw!I104&lt;='Interval Definitions'!$B$5, 'Interval Definitions'!$A$5, "None")))), " - ", IF(Raw!J104&lt;='Interval Definitions'!$B$2, 'Interval Definitions'!$A$2, IF(Raw!J104&lt;='Interval Definitions'!$B$3, 'Interval Definitions'!$A$3, IF(Raw!J104&lt;='Interval Definitions'!$B$4, 'Interval Definitions'!$A$4, IF(Raw!J104&lt;='Interval Definitions'!$B$5, 'Interval Definitions'!$A$5, "None")))))</f>
        <v>Infancy - Infancy</v>
      </c>
      <c r="F104" s="11" t="b">
        <f>OR(NOT(ISBLANK(Raw!AF104)),NOT(ISBLANK(Raw!AG104)),NOT(ISBLANK(Raw!AH104)),NOT(ISBLANK(Raw!AI104)),COUNTIF(Raw!AA104:AD104, "&gt;=0") = 4)</f>
        <v>1</v>
      </c>
      <c r="G104" s="11" t="str">
        <f>IF(F104, IF(COUNTIF(Raw!AA104:AD104,"&gt;=0") = 4, "Contingency", IF(NOT(ISBLANK(Raw!AF104)), "Paper r", IF(NOT(ISBLANK(Raw!AG104)), "Pinquart", IF(NOT(ISBLANK(Raw!AH104)), "Fraley", "Paper chiSq")))), "Not Included")</f>
        <v>Contingency</v>
      </c>
      <c r="H104" s="15">
        <f>IF(F104,Raw!AE104,"Not Included")</f>
        <v>18</v>
      </c>
      <c r="I104" s="15">
        <f>IF(COUNTIF(Raw!AA104:AD104,"&gt;=0") = 4, SUM(Raw!AA104:AD104), "No Contingency Table")</f>
        <v>18</v>
      </c>
      <c r="J104" s="15">
        <f t="shared" si="0"/>
        <v>18</v>
      </c>
      <c r="K104" s="38">
        <f>IF(F104, IF(COUNTIF(Raw!AA104:AD104,"&gt;=0") = 4, IFERROR((I104*Raw!AA104 - SUM(Raw!AA104,Raw!AB104)*SUM(Raw!AA104,Raw!AD104)) / SQRT((I104*SUM(Raw!AA104,Raw!AB104) - SUM(Raw!AA104,Raw!AB104)^2) * (I104*SUM(Raw!AA104,Raw!AD104) - SUM(Raw!AA104,Raw!AD104)^2)), 0), "No Contingency Table"), "Not Included")</f>
        <v>0.11396057645963795</v>
      </c>
      <c r="L104" s="41" t="str">
        <f>IF(F104,IF(NOT(ISBLANK(Raw!AF104)), Raw!AF104, IF(NOT(ISBLANK(Raw!AG104)), Raw!AG104, IF(NOT(ISBLANK(Raw!AH104)), Raw!AH104, IF(NOT(ISBLANK(Raw!AI104)), SQRT(Raw!AI104/H104)*Raw!AJ104, "Not Reported")))),"Not Included")</f>
        <v>Not Reported</v>
      </c>
      <c r="M104" s="43">
        <f t="shared" si="1"/>
        <v>0.11396057645963795</v>
      </c>
      <c r="N104" s="11" t="str">
        <f t="shared" si="2"/>
        <v>NA</v>
      </c>
      <c r="O104" s="48" t="b">
        <f>OR(NOT(ISBLANK(Raw!AK104)), COUNTIF(Raw!AA104:AD104, "&gt;=0") = 4)</f>
        <v>1</v>
      </c>
      <c r="P104" s="24" t="str">
        <f>IF(O104,IF(COUNTIF(Raw!AA104:AD104,"&gt;=0") = 4,"Contingency", "Paper k"), "Not Included")</f>
        <v>Contingency</v>
      </c>
      <c r="Q104" s="48">
        <f>IF(O104, IF(COUNTIF(Raw!AA104:AD104,"&gt;=0") = 4,SUM(Raw!AA104,Raw!AC104)/H104,"No Contingency Table"), "Not Included")</f>
        <v>0.55555555555555558</v>
      </c>
      <c r="R104" s="38">
        <f>IF(O104, IF(COUNTIF(Raw!AA104:AD104, "&gt;=0") = 4,SUM(SUM(Raw!AA104,Raw!AB104)*SUM(Raw!AA104,Raw!AD104),SUM(Raw!AC104,Raw!AD104)*SUM(Raw!AC104,Raw!AB104))/H104^2,"No Contingency Table"), "Not Included")</f>
        <v>0.5</v>
      </c>
      <c r="S104" s="38">
        <f>IF(O104, IF(COUNTIF(Raw!AA104:AD104,"&gt;=0") = 4, IFERROR((Q104 - R104) / (1 - R104), "Could not calculate"), "No Contingency Table"), "Not Included")</f>
        <v>0.11111111111111116</v>
      </c>
      <c r="T104" s="52" t="str">
        <f>IF(O104,IF(NOT(ISBLANK(Raw!AK104)), Raw!AK104, "Not Reported"), "Not Included")</f>
        <v>Not Reported</v>
      </c>
      <c r="U104" s="38">
        <f t="shared" si="3"/>
        <v>0.11111111111111116</v>
      </c>
      <c r="V104" s="11" t="str">
        <f t="shared" si="4"/>
        <v>NA</v>
      </c>
      <c r="W104" s="11" t="b">
        <f>OR(NOT(ISBLANK(Raw!AU104)),COUNTIF(Raw!AL104:AT104,"&gt;=0") = 9)</f>
        <v>1</v>
      </c>
      <c r="X104" s="11" t="str">
        <f>IF(W104, IF(COUNTIF(Raw!AL104:AT104,"&gt;=0") = 9, "Contingency", "Paper k"), "Not Included")</f>
        <v>Contingency</v>
      </c>
      <c r="Y104" s="11">
        <f>IF(W104,IF(COUNTIF(Raw!AL104:AT104,"&gt;=0") = 9,SUM(Raw!AL104:AT104),"No Contingency Table"),"Not Included")</f>
        <v>18</v>
      </c>
      <c r="Z104" s="11">
        <f t="shared" si="5"/>
        <v>18</v>
      </c>
      <c r="AA104" s="11">
        <f>IF(W104,IF(COUNTIF(Raw!AL104:AT104,"&gt;=0") = 9,SUM(Raw!AL104,Raw!AP104,Raw!AT104)/Y104,"No Contingency Table"), "Not Included")</f>
        <v>0.5</v>
      </c>
      <c r="AB104" s="11">
        <f>IF(W104,IF(COUNTIF(Raw!AL104:AT104,"&gt;=0") = 9,SUM(SUM(Raw!AL104,Raw!AM104,Raw!AN104)*SUM(Raw!AL104,Raw!AO104,Raw!AR104),SUM(Raw!AO104,Raw!AP104,Raw!AQ104)*SUM(Raw!AM104,Raw!AP104,Raw!AS104),SUM(Raw!AR104,Raw!AS104,Raw!AT104)*SUM(Raw!AN104,Raw!AQ104,Raw!AT104))/Y104^2,"No Contingency Table"), "Not Included")</f>
        <v>0.35185185185185186</v>
      </c>
      <c r="AC104" s="11">
        <f>IF(W104,IF(COUNTIF(Raw!AL104:AT104,"&gt;=0") = 9,(AA104 - AB104) / (1 - AB104),"No Contingency Table"), "Not Included")</f>
        <v>0.22857142857142856</v>
      </c>
      <c r="AD104" s="11" t="str">
        <f>IF(W104, IF(NOT(ISBLANK(Raw!AU104)),Raw!AU104,"Not Reported"), "Not Included")</f>
        <v>Not Reported</v>
      </c>
      <c r="AE104" s="11">
        <f t="shared" si="6"/>
        <v>0.22857142857142856</v>
      </c>
      <c r="AF104" s="11" t="str">
        <f t="shared" si="7"/>
        <v>NA</v>
      </c>
      <c r="AG104" s="11" t="b">
        <f>COUNTIF(Raw!AV104:BK104, "&gt;=0") = 16</f>
        <v>0</v>
      </c>
      <c r="AH104" s="11" t="str">
        <f>IF(AG104, IF(COUNTIF(Raw!AV104:BK104,"&gt;=0") = 16, "Contingency", "Paper k"), "Not Included")</f>
        <v>Not Included</v>
      </c>
      <c r="AI104" s="11" t="str">
        <f>IF(AG104,IF(COUNTIF(Raw!AV104:BK104,"&gt;=0") = 16,SUM(Raw!AV104:BK104),"No Contingency Table"),"Not Included")</f>
        <v>Not Included</v>
      </c>
      <c r="AJ104" s="15">
        <f t="shared" si="8"/>
        <v>18</v>
      </c>
      <c r="AK104" s="11" t="str">
        <f>IF(AG104,IF(COUNTIF(Raw!AV104:BK104,"&gt;=0") = 16,SUM(Raw!AV104,Raw!BA104,Raw!BF104,Raw!BK104)/AI104,"No Contingency Table"), "Not Included")</f>
        <v>Not Included</v>
      </c>
      <c r="AL104" s="11" t="str">
        <f>IF(AG104,IF(COUNTIF(Raw!AV104:BK104,"&gt;=0") = 16,SUM(SUM(Raw!AV104,Raw!AW104,Raw!AX104,Raw!AY104)*SUM(Raw!AV104,Raw!AZ104,Raw!BD104,Raw!BH104),SUM(Raw!AZ104,Raw!BA104,Raw!BB104,Raw!BC104)*SUM(Raw!AW104,Raw!BA104,Raw!BE104,Raw!BI104),SUM(Raw!BD104,Raw!BE104,Raw!BF104,Raw!BG104)*SUM(Raw!AX104,Raw!BB104,Raw!BF104,Raw!BJ104),SUM(Raw!BH104,Raw!BI104,Raw!BJ104,Raw!BK104)*SUM(Raw!AY104,Raw!BC104,Raw!BG104,Raw!BK104))/AI104^2,"No Contingency Table"), "Not Included")</f>
        <v>Not Included</v>
      </c>
      <c r="AM104" s="11" t="str">
        <f>IF(AG104,IF(COUNTIF(Raw!AV104:BK104,"&gt;=0") = 16,(AK104 - AL104) / (1 - AL104),"No Contingency Table"), "Not Included")</f>
        <v>Not Included</v>
      </c>
      <c r="AN104" s="11" t="str">
        <f>IF(NOT(ISBLANK(Raw!BL104)),Raw!BL104,"Not Reported")</f>
        <v>Not Reported</v>
      </c>
      <c r="AO104" s="11" t="str">
        <f t="shared" si="9"/>
        <v>Not Reported</v>
      </c>
      <c r="AP104" s="11" t="str">
        <f t="shared" si="10"/>
        <v>Not Included</v>
      </c>
      <c r="AQ104" s="11" t="b">
        <f t="shared" ref="AQ104:AR104" si="427">BQ104</f>
        <v>0</v>
      </c>
      <c r="AR104" s="11" t="str">
        <f t="shared" si="427"/>
        <v>Not Included</v>
      </c>
      <c r="AS104" s="11" t="str">
        <f t="shared" si="12"/>
        <v>Not Included</v>
      </c>
      <c r="AT104" s="11" t="str">
        <f t="shared" si="13"/>
        <v>Not Included</v>
      </c>
      <c r="AU104" s="11" t="str">
        <f>IF(AQ104, IF(COUNTIF(Raw!AV104:BK104, "&gt;=0") = 16, IFERROR((AT104*Raw!BK104 - SUM(Raw!BH104, Raw!BI104, Raw!BJ104, Raw!BK104)*SUM(Raw!AY104, Raw!BC104, Raw!BG104, Raw!BK104)) / SQRT((AT104*SUM(Raw!BH104, Raw!BI104, Raw!BJ104, Raw!BK104) - SUM(Raw!BH104, Raw!BI104, Raw!BJ104, Raw!BK104)^2) * (AT104*SUM(Raw!AY104, Raw!BC104, Raw!BG104, Raw!BK104) - SUM(Raw!AY104, Raw!BC104, Raw!BG104, Raw!BK104)^2)), 0), "No Contingency Table"), "Not Included")</f>
        <v>Not Included</v>
      </c>
      <c r="AV104" s="11" t="str">
        <f>IF(AQ104,IF(NOT(ISBLANK(Raw!BQ104)), Raw!BQ104, IF(NOT(ISBLANK(Raw!BR104)), Raw!BR104, "Not Reported")), "Not Included")</f>
        <v>Not Included</v>
      </c>
      <c r="AW104" s="57" t="str">
        <f t="shared" si="14"/>
        <v>Not Included</v>
      </c>
      <c r="AX104" s="11" t="str">
        <f t="shared" si="15"/>
        <v>Not Included</v>
      </c>
      <c r="AY104" s="11" t="b">
        <f t="shared" ref="AY104:AZ104" si="428">AQ104</f>
        <v>0</v>
      </c>
      <c r="AZ104" s="11" t="str">
        <f t="shared" si="428"/>
        <v>Not Included</v>
      </c>
      <c r="BA104" s="11" t="str">
        <f>IF(AY104, IF(COUNTIF(Raw!AV104:BK104, "&gt;=0") = 16, SUM(Raw!AV104,Raw!AW104,Raw!AX104,Raw!AZ104,Raw!BA104,Raw!BB104,Raw!BD104,Raw!BE104,Raw!BF104,Raw!BK104)/SUM(Raw!AV104:BK104), "No Contingency Table"), "Not Included")</f>
        <v>Not Included</v>
      </c>
      <c r="BB104" s="11" t="str">
        <f>IF(AY104, IF(COUNTIF(Raw!AV104:BK104, "&gt;=0") = 16,SUM(SUM(Raw!BH104,Raw!BI104,Raw!BJ104,Raw!BK104)*SUM(Raw!AY104,Raw!BC104,Raw!BG104,Raw!BK104),SUM(Raw!AV104:BG104)*SUM(Raw!AV104,Raw!AW104,Raw!AX104,Raw!AZ104,Raw!BA104,Raw!BB104,Raw!BD104,Raw!BE104,Raw!BF104,Raw!BH104,Raw!BI104,Raw!BJ104))/AT104^2,"No Contingency Table"), "Not Included")</f>
        <v>Not Included</v>
      </c>
      <c r="BC104" s="11" t="str">
        <f>IF(AY104, IF(COUNTIF(Raw!AV104:BK104, "&gt;=0") = 16,(BA104-BB104) / (1 - BB104),"No Contingency Table"), "Not Included")</f>
        <v>Not Included</v>
      </c>
      <c r="BD104" s="11" t="str">
        <f>IF(AY104,IF(NOT(ISBLANK(Raw!BT125)),Raw!BT125,"Not Reported"),"Not Included")</f>
        <v>Not Included</v>
      </c>
      <c r="BE104" s="11" t="str">
        <f t="shared" si="17"/>
        <v>Not Included</v>
      </c>
      <c r="BF104" s="11" t="str">
        <f t="shared" si="18"/>
        <v>Not Included</v>
      </c>
      <c r="BG104" s="11">
        <f>Raw!K104</f>
        <v>1980</v>
      </c>
      <c r="BH104" s="11" t="str">
        <f>IF(Raw!L104 = "USA","USA","Non-USA")</f>
        <v>USA</v>
      </c>
      <c r="BI104" s="11" t="str">
        <f>Raw!M104</f>
        <v>Ainsworth/Ainsworth</v>
      </c>
      <c r="BJ104" s="11">
        <f>Raw!N104</f>
        <v>0</v>
      </c>
      <c r="BK104" s="11">
        <f>Raw!P104</f>
        <v>1</v>
      </c>
      <c r="BL104" s="11">
        <f>Raw!Q104</f>
        <v>0</v>
      </c>
      <c r="BM104" s="11">
        <f>Raw!T104</f>
        <v>1</v>
      </c>
      <c r="BN104" s="11">
        <f>IFERROR(IF(AND(ISBLANK(Raw!U104), ISBLANK(Raw!V104), ISBLANK(Raw!W104), ISBLANK(Raw!X104)), "NA", IF(OR(NOT(ISBLANK(Raw!U104)), NOT(ISBLANK(Raw!W104))), AVERAGE(Raw!U104,Raw!W104), AVERAGE(Raw!V104,Raw!X104) + IF(Raw!Y104 = "2-way", R104, IF(Raw!Y104 = "3-way", AB104, IF(Raw!Y104 = "4-way", AL104, "NA")))*(1 - AVERAGE(Raw!V104,Raw!X104)))), "NA")</f>
        <v>0.91500000000000004</v>
      </c>
      <c r="BO104" s="11">
        <f>Raw!O104</f>
        <v>0</v>
      </c>
      <c r="BP104" s="11" t="str">
        <f>Raw!F104</f>
        <v>Female</v>
      </c>
      <c r="BQ104" s="11" t="b">
        <f>COUNTIF(Raw!AV104:BK104, "&gt;=0") = 16</f>
        <v>0</v>
      </c>
      <c r="BR104" s="11" t="str">
        <f t="shared" si="19"/>
        <v>Not Included</v>
      </c>
      <c r="BS104" s="11" t="str">
        <f t="shared" si="20"/>
        <v>Not Included</v>
      </c>
      <c r="BT104" s="11" t="str">
        <f>IF(BQ104, IF(COUNTIF(Raw!AV104:BK104, "&gt;=0") = 16, IFERROR((BS104*Raw!AV104 - SUM(Raw!AV104, Raw!AW104, Raw!AX104, Raw!AY104)*SUM(Raw!AV104, Raw!AZ104, Raw!BD104, Raw!BH104)) / SQRT((BS104*SUM(Raw!AV104, Raw!AW104, Raw!AX104, Raw!AY104) - SUM(Raw!AV104, Raw!AW104, Raw!AX104, Raw!AY104)^2) * (BS104*SUM(Raw!AV104, Raw!AZ104, Raw!BD104, Raw!BH104) - SUM(Raw!AV104, Raw!AZ104, Raw!BD104, Raw!BH104)^2)), 0), "No Contingency Table"), "Not Included")</f>
        <v>Not Included</v>
      </c>
      <c r="BU104" s="11" t="str">
        <f>IF(BQ104, IF(COUNTIF(Raw!AV104:BK104, "&gt;=0") = 16, SUM(Raw!BK104,Raw!BJ104,Raw!BI104,Raw!BG104,Raw!BF104,Raw!BE104,Raw!BC104,Raw!BB104,Raw!BA104,Raw!AV104)/SUM(Raw!AV104:BK104), "No Contingency Table"), "Not Included")</f>
        <v>Not Included</v>
      </c>
      <c r="BV104" s="11" t="str">
        <f>IF(BQ104, IF(COUNTIF(Raw!AV104:BK104, "&gt;=0") = 16,SUM(SUM(Raw!AV104,Raw!AW104,Raw!AX104,Raw!AY104)*SUM(Raw!AV104,Raw!AZ104,Raw!BD104,Raw!BH104),SUM(Raw!AZ104:BK104)*SUM(Raw!AW104,Raw!AX104,Raw!AY104,Raw!BA104,Raw!BB104,Raw!BC104,Raw!BE104,Raw!BF104,Raw!BG104,Raw!BI104,Raw!BJ104,Raw!BK104))/BS104^2,"No Contingency Table"), "Not Included")</f>
        <v>Not Included</v>
      </c>
      <c r="BW104" s="11" t="str">
        <f>IF(BQ104, IF(COUNTIF(Raw!AV104:BK104, "&gt;=0") = 16,(BU104-BV104) / (1 - BV104),"No Contingency Table"), "Not Included")</f>
        <v>Not Included</v>
      </c>
      <c r="BX104" s="11" t="b">
        <f t="shared" ref="BX104:BZ104" si="429">BQ104</f>
        <v>0</v>
      </c>
      <c r="BY104" s="11" t="str">
        <f t="shared" si="429"/>
        <v>Not Included</v>
      </c>
      <c r="BZ104" s="11" t="str">
        <f t="shared" si="429"/>
        <v>Not Included</v>
      </c>
      <c r="CA104" s="11" t="str">
        <f>IF(BX104, IF(COUNTIF(Raw!AV104:BK104, "&gt;=0") = 16, IFERROR((BZ104*Raw!BF104 - SUM(Raw!BD104, Raw!BE104, Raw!BF104, Raw!BG104)*SUM(Raw!BF104, Raw!AX104, Raw!BB104, Raw!BJ104)) / SQRT((BZ104*SUM(Raw!BD104, Raw!BE104, Raw!BF104, Raw!BG104) - SUM(Raw!BD104, Raw!BE104, Raw!BF104, Raw!BG104)^2) * (BZ104*SUM(Raw!BF104, Raw!AX104, Raw!BB104, Raw!BJ104) - SUM(Raw!BF104, Raw!AX104, Raw!BB104, Raw!BJ104)^2)), 0), "No Contingency Table"), "Not Included")</f>
        <v>Not Included</v>
      </c>
      <c r="CB104" s="11" t="str">
        <f>IF(BX104, IF(COUNTIF(Raw!AV104:BK104, "&gt;=0") = 16, SUM(Raw!AV104,Raw!AW104,Raw!AY104,Raw!AZ104,Raw!BA104,Raw!BC104,Raw!BF104,Raw!BH104,Raw!BI104,Raw!BK104) / SUM(Raw!AV104:BK104), "No Contingency Table"), "Not Included")</f>
        <v>Not Included</v>
      </c>
      <c r="CC104" s="11" t="str">
        <f>IF(BX104, IF(COUNTIF(Raw!AV104:BK104, "&gt;=0") = 16,SUM(SUM(Raw!BD104,Raw!BE104,Raw!BF104,Raw!BG104)*SUM(Raw!BF104,Raw!AX104,Raw!BB104,Raw!BJ104),SUM(Raw!AV104:BC104,Raw!BH104:BK104)*SUM(Raw!AV104,Raw!AW104,Raw!AY104,Raw!AZ104,Raw!BA104,Raw!BC104,Raw!BD104,Raw!BE104,Raw!BG104,Raw!BH104,Raw!BI104,Raw!BK104))/BZ104^2,"No Contingency Table"), "Not Included")</f>
        <v>Not Included</v>
      </c>
      <c r="CD104" s="11" t="str">
        <f>IF(BX104, IF(COUNTIF(Raw!AV104:BK104, "&gt;=0") = 16,(CB104 - CC104) / (1 - CC104+0.000001),"No Contingency Table"), "Not Included")</f>
        <v>Not Included</v>
      </c>
      <c r="CE104" s="11" t="b">
        <f t="shared" ref="CE104:CG104" si="430">BQ104</f>
        <v>0</v>
      </c>
      <c r="CF104" s="11" t="str">
        <f t="shared" si="430"/>
        <v>Not Included</v>
      </c>
      <c r="CG104" s="11" t="str">
        <f t="shared" si="430"/>
        <v>Not Included</v>
      </c>
      <c r="CH104" s="11" t="str">
        <f>IF(CE104, IF(COUNTIF(Raw!AV104:BK104, "&gt;=0") = 16, IFERROR((CG104*Raw!BA104 - SUM(Raw!BA104, Raw!AZ104, Raw!BB104, Raw!BC104)*SUM(Raw!BA104, Raw!AW104, Raw!BE104, Raw!BI104)) / SQRT((CG104*SUM(Raw!BA104, Raw!AZ104, Raw!BB104, Raw!BC104) - SUM(Raw!BA104, Raw!AZ104, Raw!BB104, Raw!BC104)^2) * (CG104*SUM(Raw!BA104, Raw!AW104, Raw!BE104, Raw!BI104) - SUM(Raw!BA104, Raw!AW104, Raw!BE104, Raw!BI104)^2)), 0), "No Contingency Table"), "Not Included")</f>
        <v>Not Included</v>
      </c>
      <c r="CI104" s="11" t="str">
        <f>IF(CE104, IF(COUNTIF(Raw!AV104:BK104, "&gt;=0") = 16, SUM(Raw!AV104,Raw!AX104,Raw!AY104,Raw!BA104,Raw!BD104,Raw!BF104,Raw!BG104,Raw!BH104,Raw!BJ104,Raw!BK104) / SUM(Raw!AV104:BK104), "No Contingency Table"), "Not Included")</f>
        <v>Not Included</v>
      </c>
      <c r="CJ104" s="61" t="str">
        <f>IF(BX104, IF(COUNTIF(Raw!AV104:BK104, "&gt;=0") = 16,SUM(SUM(Raw!AZ104,Raw!BA104,Raw!BB104,Raw!BC104)*SUM(Raw!BA104,Raw!AW104,Raw!BE104,Raw!BI104),SUM(Raw!AV104:AY104,Raw!BD104:BK104)*SUM(Raw!AV104,Raw!AX104,Raw!AY104,Raw!AZ104,Raw!BB104,Raw!BC104,Raw!BD104,Raw!BF104,Raw!BG104,Raw!BH104,Raw!BJ104,Raw!BK104))/CG104^2,"No Contingency Table"), "Not Included")</f>
        <v>Not Included</v>
      </c>
      <c r="CK104" s="11" t="str">
        <f>IF(BX104, IF(COUNTIF(Raw!AV104:BK104, "&gt;=0") = 16,(CI104 - CJ104) / (1 - CJ104),"No Contingency Table"), "Not Included")</f>
        <v>Not Included</v>
      </c>
      <c r="CL104" s="11" t="str">
        <f>IF(BQ104, IFERROR(Raw!AV104/SUM(Raw!AV104:AY104), 0), "Not Included")</f>
        <v>Not Included</v>
      </c>
      <c r="CM104" s="11" t="str">
        <f>IF(BQ104, IFERROR(Raw!BA104/SUM(Raw!AZ104:BC104), 0), "Not Included")</f>
        <v>Not Included</v>
      </c>
      <c r="CN104" s="11" t="str">
        <f>IF(BQ104, IFERROR(Raw!BF104/SUM(Raw!BD104:BG104), 0), "Not Included")</f>
        <v>Not Included</v>
      </c>
      <c r="CO104" s="11" t="str">
        <f>IF(BQ104, IFERROR(Raw!BK104/SUM(Raw!BH104:BK104), 0), "Not Included")</f>
        <v>Not Included</v>
      </c>
      <c r="CP104" s="11" t="str">
        <f>IF(BQ104, IFERROR(SUM(Raw!AV104,Raw!AX104,Raw!AY104,Raw!BD104,Raw!BF104,Raw!BG104,Raw!BH104,Raw!BJ104,Raw!BK104)/SUM(Raw!AV104,Raw!AW104,Raw!AX104,Raw!AY104,Raw!BD104,Raw!BE104,Raw!BF104,Raw!BG104,Raw!BH104,Raw!BI104,Raw!BJ104,Raw!BK104), 0), "Not Included")</f>
        <v>Not Included</v>
      </c>
      <c r="CQ104" s="11" t="str">
        <f>IF(BQ104, IFERROR(SUM(Raw!AV104:AX104,Raw!AZ104:BB104,Raw!BD104:BF104)/SUM(Raw!AV104:BF104), 0), "Not Included")</f>
        <v>Not Included</v>
      </c>
      <c r="CR104" s="11" t="str">
        <f>IF(BQ104, IFERROR(SUM(Raw!AV104:AY104), 0), "Not Included")</f>
        <v>Not Included</v>
      </c>
      <c r="CS104" s="11" t="str">
        <f>IF(BQ104, IFERROR(SUM(Raw!AZ104:BC104), 0), "Not Included")</f>
        <v>Not Included</v>
      </c>
      <c r="CT104" s="11" t="str">
        <f>IF(BQ104, IFERROR(SUM(Raw!BD104:BG104), 0), "Not Included")</f>
        <v>Not Included</v>
      </c>
      <c r="CU104" s="11" t="str">
        <f>IF(BQ104, IFERROR(SUM(Raw!BH104:BK104), 0), "Not Included")</f>
        <v>Not Included</v>
      </c>
      <c r="CV104" s="11" t="str">
        <f>IF(BQ104, IFERROR(SUM(Raw!AV104,Raw!AW104,Raw!AX104,Raw!AY104,Raw!BD104,Raw!BE104,Raw!BF104,Raw!BG104,Raw!BH104,Raw!BI104,Raw!BJ104,Raw!BK104), 0), "Not Included")</f>
        <v>Not Included</v>
      </c>
      <c r="CW104" s="11" t="str">
        <f>IF(BQ104, IFERROR(SUM(Raw!AV104:BF104), 0), "Not Included")</f>
        <v>Not Included</v>
      </c>
      <c r="CX104" s="11" t="str">
        <f>IF(BQ104, IFERROR((CR104*SUM(Raw!AV104,Raw!AZ104,Raw!BD104,Raw!BH104))/BS104/CR104, 0), "Not Included")</f>
        <v>Not Included</v>
      </c>
      <c r="CY104" s="11" t="str">
        <f>IF(BX104, IFERROR((CS104*SUM(Raw!BA104,Raw!AW104,Raw!BE104,Raw!BI104))/CG104/CS104, 0), "Not Included")</f>
        <v>Not Included</v>
      </c>
      <c r="CZ104" s="11" t="str">
        <f>IF(BX104, IFERROR((CT104*SUM(Raw!BF104,Raw!AX104,Raw!BB104,Raw!BJ104))/BZ104/CT104, 0), "Not Included")</f>
        <v>Not Included</v>
      </c>
      <c r="DA104" s="11" t="str">
        <f>IF(AY104, IFERROR((CU104*SUM(Raw!AY104,Raw!BC104,Raw!BG104,Raw!BK104))/AT104/CU104, 0), "Not Included")</f>
        <v>Not Included</v>
      </c>
      <c r="DB104" s="11" t="str">
        <f>IF(BX104, IFERROR((CV104*SUM(Raw!AV104,Raw!AX104,Raw!AY104,Raw!AZ104,Raw!BB104,Raw!BC104,Raw!BD104,Raw!BF104,Raw!BG104,Raw!BH104,Raw!BJ104,Raw!BK104))/CG104/CV104,0), "Not Included")</f>
        <v>Not Included</v>
      </c>
      <c r="DC104" s="11" t="str">
        <f>IF(AY104, IFERROR((CW104*SUM(Raw!AV104,Raw!AW104,Raw!AX104,Raw!AZ104,Raw!BA104,Raw!BB104,Raw!BD104,Raw!BE104,Raw!BF104,Raw!BH104,Raw!BI104,Raw!BJ104))/AT104/CW104,0), "Not Included")</f>
        <v>Not Included</v>
      </c>
    </row>
    <row r="105" spans="1:107" ht="12.75" customHeight="1">
      <c r="A105" s="11">
        <f>Raw!D105</f>
        <v>77</v>
      </c>
      <c r="B105" s="11" t="str">
        <f>Raw!A105</f>
        <v xml:space="preserve">Vaughn, Gove, &amp; Egeland (1980) </v>
      </c>
      <c r="C105" s="11">
        <f>Raw!G105</f>
        <v>1</v>
      </c>
      <c r="D105" s="11" t="str">
        <f>Raw!E105</f>
        <v>Did not return</v>
      </c>
      <c r="E105" s="11" t="str">
        <f>CONCATENATE(IF(Raw!I105&lt;='Interval Definitions'!$B$2, 'Interval Definitions'!$A$2, IF(Raw!I105&lt;='Interval Definitions'!$B$3, 'Interval Definitions'!$A$3, IF(Raw!I105&lt;='Interval Definitions'!$B$4, 'Interval Definitions'!$A$4, IF(Raw!I105&lt;='Interval Definitions'!$B$5, 'Interval Definitions'!$A$5, "None")))), " - ", IF(Raw!J105&lt;='Interval Definitions'!$B$2, 'Interval Definitions'!$A$2, IF(Raw!J105&lt;='Interval Definitions'!$B$3, 'Interval Definitions'!$A$3, IF(Raw!J105&lt;='Interval Definitions'!$B$4, 'Interval Definitions'!$A$4, IF(Raw!J105&lt;='Interval Definitions'!$B$5, 'Interval Definitions'!$A$5, "None")))))</f>
        <v>Infancy - Infancy</v>
      </c>
      <c r="F105" s="11" t="b">
        <f>OR(NOT(ISBLANK(Raw!AF105)),NOT(ISBLANK(Raw!AG105)),NOT(ISBLANK(Raw!AH105)),NOT(ISBLANK(Raw!AI105)),COUNTIF(Raw!AA105:AD105, "&gt;=0") = 4)</f>
        <v>1</v>
      </c>
      <c r="G105" s="11" t="str">
        <f>IF(F105, IF(COUNTIF(Raw!AA105:AD105,"&gt;=0") = 4, "Contingency", IF(NOT(ISBLANK(Raw!AF105)), "Paper r", IF(NOT(ISBLANK(Raw!AG105)), "Pinquart", IF(NOT(ISBLANK(Raw!AH105)), "Fraley", "Paper chiSq")))), "Not Included")</f>
        <v>Contingency</v>
      </c>
      <c r="H105" s="15">
        <f>IF(F105,Raw!AE105,"Not Included")</f>
        <v>52</v>
      </c>
      <c r="I105" s="15">
        <f>IF(COUNTIF(Raw!AA105:AD105,"&gt;=0") = 4, SUM(Raw!AA105:AD105), "No Contingency Table")</f>
        <v>52</v>
      </c>
      <c r="J105" s="15">
        <f t="shared" si="0"/>
        <v>52</v>
      </c>
      <c r="K105" s="38">
        <f>IF(F105, IF(COUNTIF(Raw!AA105:AD105,"&gt;=0") = 4, IFERROR((I105*Raw!AA105 - SUM(Raw!AA105,Raw!AB105)*SUM(Raw!AA105,Raw!AD105)) / SQRT((I105*SUM(Raw!AA105,Raw!AB105) - SUM(Raw!AA105,Raw!AB105)^2) * (I105*SUM(Raw!AA105,Raw!AD105) - SUM(Raw!AA105,Raw!AD105)^2)), 0), "No Contingency Table"), "Not Included")</f>
        <v>0.29169167559847398</v>
      </c>
      <c r="L105" s="41" t="str">
        <f>IF(F105,IF(NOT(ISBLANK(Raw!AF105)), Raw!AF105, IF(NOT(ISBLANK(Raw!AG105)), Raw!AG105, IF(NOT(ISBLANK(Raw!AH105)), Raw!AH105, IF(NOT(ISBLANK(Raw!AI105)), SQRT(Raw!AI105/H105)*Raw!AJ105, "Not Reported")))),"Not Included")</f>
        <v>Not Reported</v>
      </c>
      <c r="M105" s="43">
        <f t="shared" si="1"/>
        <v>0.29169167559847398</v>
      </c>
      <c r="N105" s="11" t="str">
        <f t="shared" si="2"/>
        <v>NA</v>
      </c>
      <c r="O105" s="48" t="b">
        <f>OR(NOT(ISBLANK(Raw!AK105)), COUNTIF(Raw!AA105:AD105, "&gt;=0") = 4)</f>
        <v>1</v>
      </c>
      <c r="P105" s="24" t="str">
        <f>IF(O105,IF(COUNTIF(Raw!AA105:AD105,"&gt;=0") = 4,"Contingency", "Paper k"), "Not Included")</f>
        <v>Contingency</v>
      </c>
      <c r="Q105" s="48">
        <f>IF(O105, IF(COUNTIF(Raw!AA105:AD105,"&gt;=0") = 4,SUM(Raw!AA105,Raw!AC105)/H105,"No Contingency Table"), "Not Included")</f>
        <v>0.67307692307692313</v>
      </c>
      <c r="R105" s="38">
        <f>IF(O105, IF(COUNTIF(Raw!AA105:AD105, "&gt;=0") = 4,SUM(SUM(Raw!AA105,Raw!AB105)*SUM(Raw!AA105,Raw!AD105),SUM(Raw!AC105,Raw!AD105)*SUM(Raw!AC105,Raw!AB105))/H105^2,"No Contingency Table"), "Not Included")</f>
        <v>0.5399408284023669</v>
      </c>
      <c r="S105" s="38">
        <f>IF(O105, IF(COUNTIF(Raw!AA105:AD105,"&gt;=0") = 4, IFERROR((Q105 - R105) / (1 - R105), "Could not calculate"), "No Contingency Table"), "Not Included")</f>
        <v>0.28938906752411581</v>
      </c>
      <c r="T105" s="52" t="str">
        <f>IF(O105,IF(NOT(ISBLANK(Raw!AK105)), Raw!AK105, "Not Reported"), "Not Included")</f>
        <v>Not Reported</v>
      </c>
      <c r="U105" s="38">
        <f t="shared" si="3"/>
        <v>0.28938906752411581</v>
      </c>
      <c r="V105" s="11" t="str">
        <f t="shared" si="4"/>
        <v>NA</v>
      </c>
      <c r="W105" s="11" t="b">
        <f>OR(NOT(ISBLANK(Raw!AU105)),COUNTIF(Raw!AL105:AT105,"&gt;=0") = 9)</f>
        <v>1</v>
      </c>
      <c r="X105" s="11" t="str">
        <f>IF(W105, IF(COUNTIF(Raw!AL105:AT105,"&gt;=0") = 9, "Contingency", "Paper k"), "Not Included")</f>
        <v>Contingency</v>
      </c>
      <c r="Y105" s="11">
        <f>IF(W105,IF(COUNTIF(Raw!AL105:AT105,"&gt;=0") = 9,SUM(Raw!AL105:AT105),"No Contingency Table"),"Not Included")</f>
        <v>52</v>
      </c>
      <c r="Z105" s="11">
        <f t="shared" si="5"/>
        <v>52</v>
      </c>
      <c r="AA105" s="11">
        <f>IF(W105,IF(COUNTIF(Raw!AL105:AT105,"&gt;=0") = 9,SUM(Raw!AL105,Raw!AP105,Raw!AT105)/Y105,"No Contingency Table"), "Not Included")</f>
        <v>0.57692307692307687</v>
      </c>
      <c r="AB105" s="11">
        <f>IF(W105,IF(COUNTIF(Raw!AL105:AT105,"&gt;=0") = 9,SUM(SUM(Raw!AL105,Raw!AM105,Raw!AN105)*SUM(Raw!AL105,Raw!AO105,Raw!AR105),SUM(Raw!AO105,Raw!AP105,Raw!AQ105)*SUM(Raw!AM105,Raw!AP105,Raw!AS105),SUM(Raw!AR105,Raw!AS105,Raw!AT105)*SUM(Raw!AN105,Raw!AQ105,Raw!AT105))/Y105^2,"No Contingency Table"), "Not Included")</f>
        <v>0.47707100591715978</v>
      </c>
      <c r="AC105" s="11">
        <f>IF(W105,IF(COUNTIF(Raw!AL105:AT105,"&gt;=0") = 9,(AA105 - AB105) / (1 - AB105),"No Contingency Table"), "Not Included")</f>
        <v>0.19094766619519082</v>
      </c>
      <c r="AD105" s="11" t="str">
        <f>IF(W105, IF(NOT(ISBLANK(Raw!AU105)),Raw!AU105,"Not Reported"), "Not Included")</f>
        <v>Not Reported</v>
      </c>
      <c r="AE105" s="11">
        <f t="shared" si="6"/>
        <v>0.19094766619519082</v>
      </c>
      <c r="AF105" s="11" t="str">
        <f t="shared" si="7"/>
        <v>NA</v>
      </c>
      <c r="AG105" s="11" t="b">
        <f>COUNTIF(Raw!AV105:BK105, "&gt;=0") = 16</f>
        <v>0</v>
      </c>
      <c r="AH105" s="11" t="str">
        <f>IF(AG105, IF(COUNTIF(Raw!AV105:BK105,"&gt;=0") = 16, "Contingency", "Paper k"), "Not Included")</f>
        <v>Not Included</v>
      </c>
      <c r="AI105" s="11" t="str">
        <f>IF(AG105,IF(COUNTIF(Raw!AV105:BK105,"&gt;=0") = 16,SUM(Raw!AV105:BK105),"No Contingency Table"),"Not Included")</f>
        <v>Not Included</v>
      </c>
      <c r="AJ105" s="15">
        <f t="shared" si="8"/>
        <v>52</v>
      </c>
      <c r="AK105" s="11" t="str">
        <f>IF(AG105,IF(COUNTIF(Raw!AV105:BK105,"&gt;=0") = 16,SUM(Raw!AV105,Raw!BA105,Raw!BF105,Raw!BK105)/AI105,"No Contingency Table"), "Not Included")</f>
        <v>Not Included</v>
      </c>
      <c r="AL105" s="11" t="str">
        <f>IF(AG105,IF(COUNTIF(Raw!AV105:BK105,"&gt;=0") = 16,SUM(SUM(Raw!AV105,Raw!AW105,Raw!AX105,Raw!AY105)*SUM(Raw!AV105,Raw!AZ105,Raw!BD105,Raw!BH105),SUM(Raw!AZ105,Raw!BA105,Raw!BB105,Raw!BC105)*SUM(Raw!AW105,Raw!BA105,Raw!BE105,Raw!BI105),SUM(Raw!BD105,Raw!BE105,Raw!BF105,Raw!BG105)*SUM(Raw!AX105,Raw!BB105,Raw!BF105,Raw!BJ105),SUM(Raw!BH105,Raw!BI105,Raw!BJ105,Raw!BK105)*SUM(Raw!AY105,Raw!BC105,Raw!BG105,Raw!BK105))/AI105^2,"No Contingency Table"), "Not Included")</f>
        <v>Not Included</v>
      </c>
      <c r="AM105" s="11" t="str">
        <f>IF(AG105,IF(COUNTIF(Raw!AV105:BK105,"&gt;=0") = 16,(AK105 - AL105) / (1 - AL105),"No Contingency Table"), "Not Included")</f>
        <v>Not Included</v>
      </c>
      <c r="AN105" s="11" t="str">
        <f>IF(NOT(ISBLANK(Raw!BL105)),Raw!BL105,"Not Reported")</f>
        <v>Not Reported</v>
      </c>
      <c r="AO105" s="11" t="str">
        <f t="shared" si="9"/>
        <v>Not Reported</v>
      </c>
      <c r="AP105" s="11" t="str">
        <f t="shared" si="10"/>
        <v>Not Included</v>
      </c>
      <c r="AQ105" s="11" t="b">
        <f t="shared" ref="AQ105:AR105" si="431">BQ105</f>
        <v>0</v>
      </c>
      <c r="AR105" s="11" t="str">
        <f t="shared" si="431"/>
        <v>Not Included</v>
      </c>
      <c r="AS105" s="11" t="str">
        <f t="shared" si="12"/>
        <v>Not Included</v>
      </c>
      <c r="AT105" s="11" t="str">
        <f t="shared" si="13"/>
        <v>Not Included</v>
      </c>
      <c r="AU105" s="11" t="str">
        <f>IF(AQ105, IF(COUNTIF(Raw!AV105:BK105, "&gt;=0") = 16, IFERROR((AT105*Raw!BK105 - SUM(Raw!BH105, Raw!BI105, Raw!BJ105, Raw!BK105)*SUM(Raw!AY105, Raw!BC105, Raw!BG105, Raw!BK105)) / SQRT((AT105*SUM(Raw!BH105, Raw!BI105, Raw!BJ105, Raw!BK105) - SUM(Raw!BH105, Raw!BI105, Raw!BJ105, Raw!BK105)^2) * (AT105*SUM(Raw!AY105, Raw!BC105, Raw!BG105, Raw!BK105) - SUM(Raw!AY105, Raw!BC105, Raw!BG105, Raw!BK105)^2)), 0), "No Contingency Table"), "Not Included")</f>
        <v>Not Included</v>
      </c>
      <c r="AV105" s="11" t="str">
        <f>IF(AQ105,IF(NOT(ISBLANK(Raw!BQ105)), Raw!BQ105, IF(NOT(ISBLANK(Raw!BR105)), Raw!BR105, "Not Reported")), "Not Included")</f>
        <v>Not Included</v>
      </c>
      <c r="AW105" s="57" t="str">
        <f t="shared" si="14"/>
        <v>Not Included</v>
      </c>
      <c r="AX105" s="11" t="str">
        <f t="shared" si="15"/>
        <v>Not Included</v>
      </c>
      <c r="AY105" s="11" t="b">
        <f t="shared" ref="AY105:AZ105" si="432">AQ105</f>
        <v>0</v>
      </c>
      <c r="AZ105" s="11" t="str">
        <f t="shared" si="432"/>
        <v>Not Included</v>
      </c>
      <c r="BA105" s="11" t="str">
        <f>IF(AY105, IF(COUNTIF(Raw!AV105:BK105, "&gt;=0") = 16, SUM(Raw!AV105,Raw!AW105,Raw!AX105,Raw!AZ105,Raw!BA105,Raw!BB105,Raw!BD105,Raw!BE105,Raw!BF105,Raw!BK105)/SUM(Raw!AV105:BK105), "No Contingency Table"), "Not Included")</f>
        <v>Not Included</v>
      </c>
      <c r="BB105" s="11" t="str">
        <f>IF(AY105, IF(COUNTIF(Raw!AV105:BK105, "&gt;=0") = 16,SUM(SUM(Raw!BH105,Raw!BI105,Raw!BJ105,Raw!BK105)*SUM(Raw!AY105,Raw!BC105,Raw!BG105,Raw!BK105),SUM(Raw!AV105:BG105)*SUM(Raw!AV105,Raw!AW105,Raw!AX105,Raw!AZ105,Raw!BA105,Raw!BB105,Raw!BD105,Raw!BE105,Raw!BF105,Raw!BH105,Raw!BI105,Raw!BJ105))/AT105^2,"No Contingency Table"), "Not Included")</f>
        <v>Not Included</v>
      </c>
      <c r="BC105" s="11" t="str">
        <f>IF(AY105, IF(COUNTIF(Raw!AV105:BK105, "&gt;=0") = 16,(BA105-BB105) / (1 - BB105),"No Contingency Table"), "Not Included")</f>
        <v>Not Included</v>
      </c>
      <c r="BD105" s="11" t="str">
        <f>IF(AY105,IF(NOT(ISBLANK(Raw!BT126)),Raw!BT126,"Not Reported"),"Not Included")</f>
        <v>Not Included</v>
      </c>
      <c r="BE105" s="11" t="str">
        <f t="shared" si="17"/>
        <v>Not Included</v>
      </c>
      <c r="BF105" s="11" t="str">
        <f t="shared" si="18"/>
        <v>Not Included</v>
      </c>
      <c r="BG105" s="11">
        <f>Raw!K105</f>
        <v>1980</v>
      </c>
      <c r="BH105" s="11" t="str">
        <f>IF(Raw!L105 = "USA","USA","Non-USA")</f>
        <v>USA</v>
      </c>
      <c r="BI105" s="11" t="str">
        <f>Raw!M105</f>
        <v>Ainsworth/Ainsworth</v>
      </c>
      <c r="BJ105" s="11">
        <f>Raw!N105</f>
        <v>0</v>
      </c>
      <c r="BK105" s="11">
        <f>Raw!P105</f>
        <v>1</v>
      </c>
      <c r="BL105" s="11">
        <f>Raw!Q105</f>
        <v>0</v>
      </c>
      <c r="BM105" s="11">
        <f>Raw!T105</f>
        <v>1</v>
      </c>
      <c r="BN105" s="11">
        <f>IFERROR(IF(AND(ISBLANK(Raw!U105), ISBLANK(Raw!V105), ISBLANK(Raw!W105), ISBLANK(Raw!X105)), "NA", IF(OR(NOT(ISBLANK(Raw!U105)), NOT(ISBLANK(Raw!W105))), AVERAGE(Raw!U105,Raw!W105), AVERAGE(Raw!V105,Raw!X105) + IF(Raw!Y105 = "2-way", R105, IF(Raw!Y105 = "3-way", AB105, IF(Raw!Y105 = "4-way", AL105, "NA")))*(1 - AVERAGE(Raw!V105,Raw!X105)))), "NA")</f>
        <v>0.91500000000000004</v>
      </c>
      <c r="BO105" s="11">
        <f>Raw!O105</f>
        <v>0</v>
      </c>
      <c r="BP105" s="11" t="str">
        <f>Raw!F105</f>
        <v>Female</v>
      </c>
      <c r="BQ105" s="11" t="b">
        <f>COUNTIF(Raw!AV105:BK105, "&gt;=0") = 16</f>
        <v>0</v>
      </c>
      <c r="BR105" s="11" t="str">
        <f t="shared" si="19"/>
        <v>Not Included</v>
      </c>
      <c r="BS105" s="11" t="str">
        <f t="shared" si="20"/>
        <v>Not Included</v>
      </c>
      <c r="BT105" s="11" t="str">
        <f>IF(BQ105, IF(COUNTIF(Raw!AV105:BK105, "&gt;=0") = 16, IFERROR((BS105*Raw!AV105 - SUM(Raw!AV105, Raw!AW105, Raw!AX105, Raw!AY105)*SUM(Raw!AV105, Raw!AZ105, Raw!BD105, Raw!BH105)) / SQRT((BS105*SUM(Raw!AV105, Raw!AW105, Raw!AX105, Raw!AY105) - SUM(Raw!AV105, Raw!AW105, Raw!AX105, Raw!AY105)^2) * (BS105*SUM(Raw!AV105, Raw!AZ105, Raw!BD105, Raw!BH105) - SUM(Raw!AV105, Raw!AZ105, Raw!BD105, Raw!BH105)^2)), 0), "No Contingency Table"), "Not Included")</f>
        <v>Not Included</v>
      </c>
      <c r="BU105" s="11" t="str">
        <f>IF(BQ105, IF(COUNTIF(Raw!AV105:BK105, "&gt;=0") = 16, SUM(Raw!BK105,Raw!BJ105,Raw!BI105,Raw!BG105,Raw!BF105,Raw!BE105,Raw!BC105,Raw!BB105,Raw!BA105,Raw!AV105)/SUM(Raw!AV105:BK105), "No Contingency Table"), "Not Included")</f>
        <v>Not Included</v>
      </c>
      <c r="BV105" s="11" t="str">
        <f>IF(BQ105, IF(COUNTIF(Raw!AV105:BK105, "&gt;=0") = 16,SUM(SUM(Raw!AV105,Raw!AW105,Raw!AX105,Raw!AY105)*SUM(Raw!AV105,Raw!AZ105,Raw!BD105,Raw!BH105),SUM(Raw!AZ105:BK105)*SUM(Raw!AW105,Raw!AX105,Raw!AY105,Raw!BA105,Raw!BB105,Raw!BC105,Raw!BE105,Raw!BF105,Raw!BG105,Raw!BI105,Raw!BJ105,Raw!BK105))/BS105^2,"No Contingency Table"), "Not Included")</f>
        <v>Not Included</v>
      </c>
      <c r="BW105" s="11" t="str">
        <f>IF(BQ105, IF(COUNTIF(Raw!AV105:BK105, "&gt;=0") = 16,(BU105-BV105) / (1 - BV105),"No Contingency Table"), "Not Included")</f>
        <v>Not Included</v>
      </c>
      <c r="BX105" s="11" t="b">
        <f t="shared" ref="BX105:BZ105" si="433">BQ105</f>
        <v>0</v>
      </c>
      <c r="BY105" s="11" t="str">
        <f t="shared" si="433"/>
        <v>Not Included</v>
      </c>
      <c r="BZ105" s="11" t="str">
        <f t="shared" si="433"/>
        <v>Not Included</v>
      </c>
      <c r="CA105" s="11" t="str">
        <f>IF(BX105, IF(COUNTIF(Raw!AV105:BK105, "&gt;=0") = 16, IFERROR((BZ105*Raw!BF105 - SUM(Raw!BD105, Raw!BE105, Raw!BF105, Raw!BG105)*SUM(Raw!BF105, Raw!AX105, Raw!BB105, Raw!BJ105)) / SQRT((BZ105*SUM(Raw!BD105, Raw!BE105, Raw!BF105, Raw!BG105) - SUM(Raw!BD105, Raw!BE105, Raw!BF105, Raw!BG105)^2) * (BZ105*SUM(Raw!BF105, Raw!AX105, Raw!BB105, Raw!BJ105) - SUM(Raw!BF105, Raw!AX105, Raw!BB105, Raw!BJ105)^2)), 0), "No Contingency Table"), "Not Included")</f>
        <v>Not Included</v>
      </c>
      <c r="CB105" s="11" t="str">
        <f>IF(BX105, IF(COUNTIF(Raw!AV105:BK105, "&gt;=0") = 16, SUM(Raw!AV105,Raw!AW105,Raw!AY105,Raw!AZ105,Raw!BA105,Raw!BC105,Raw!BF105,Raw!BH105,Raw!BI105,Raw!BK105) / SUM(Raw!AV105:BK105), "No Contingency Table"), "Not Included")</f>
        <v>Not Included</v>
      </c>
      <c r="CC105" s="11" t="str">
        <f>IF(BX105, IF(COUNTIF(Raw!AV105:BK105, "&gt;=0") = 16,SUM(SUM(Raw!BD105,Raw!BE105,Raw!BF105,Raw!BG105)*SUM(Raw!BF105,Raw!AX105,Raw!BB105,Raw!BJ105),SUM(Raw!AV105:BC105,Raw!BH105:BK105)*SUM(Raw!AV105,Raw!AW105,Raw!AY105,Raw!AZ105,Raw!BA105,Raw!BC105,Raw!BD105,Raw!BE105,Raw!BG105,Raw!BH105,Raw!BI105,Raw!BK105))/BZ105^2,"No Contingency Table"), "Not Included")</f>
        <v>Not Included</v>
      </c>
      <c r="CD105" s="11" t="str">
        <f>IF(BX105, IF(COUNTIF(Raw!AV105:BK105, "&gt;=0") = 16,(CB105 - CC105) / (1 - CC105+0.000001),"No Contingency Table"), "Not Included")</f>
        <v>Not Included</v>
      </c>
      <c r="CE105" s="11" t="b">
        <f t="shared" ref="CE105:CG105" si="434">BQ105</f>
        <v>0</v>
      </c>
      <c r="CF105" s="11" t="str">
        <f t="shared" si="434"/>
        <v>Not Included</v>
      </c>
      <c r="CG105" s="11" t="str">
        <f t="shared" si="434"/>
        <v>Not Included</v>
      </c>
      <c r="CH105" s="11" t="str">
        <f>IF(CE105, IF(COUNTIF(Raw!AV105:BK105, "&gt;=0") = 16, IFERROR((CG105*Raw!BA105 - SUM(Raw!BA105, Raw!AZ105, Raw!BB105, Raw!BC105)*SUM(Raw!BA105, Raw!AW105, Raw!BE105, Raw!BI105)) / SQRT((CG105*SUM(Raw!BA105, Raw!AZ105, Raw!BB105, Raw!BC105) - SUM(Raw!BA105, Raw!AZ105, Raw!BB105, Raw!BC105)^2) * (CG105*SUM(Raw!BA105, Raw!AW105, Raw!BE105, Raw!BI105) - SUM(Raw!BA105, Raw!AW105, Raw!BE105, Raw!BI105)^2)), 0), "No Contingency Table"), "Not Included")</f>
        <v>Not Included</v>
      </c>
      <c r="CI105" s="11" t="str">
        <f>IF(CE105, IF(COUNTIF(Raw!AV105:BK105, "&gt;=0") = 16, SUM(Raw!AV105,Raw!AX105,Raw!AY105,Raw!BA105,Raw!BD105,Raw!BF105,Raw!BG105,Raw!BH105,Raw!BJ105,Raw!BK105) / SUM(Raw!AV105:BK105), "No Contingency Table"), "Not Included")</f>
        <v>Not Included</v>
      </c>
      <c r="CJ105" s="61" t="str">
        <f>IF(BX105, IF(COUNTIF(Raw!AV105:BK105, "&gt;=0") = 16,SUM(SUM(Raw!AZ105,Raw!BA105,Raw!BB105,Raw!BC105)*SUM(Raw!BA105,Raw!AW105,Raw!BE105,Raw!BI105),SUM(Raw!AV105:AY105,Raw!BD105:BK105)*SUM(Raw!AV105,Raw!AX105,Raw!AY105,Raw!AZ105,Raw!BB105,Raw!BC105,Raw!BD105,Raw!BF105,Raw!BG105,Raw!BH105,Raw!BJ105,Raw!BK105))/CG105^2,"No Contingency Table"), "Not Included")</f>
        <v>Not Included</v>
      </c>
      <c r="CK105" s="11" t="str">
        <f>IF(BX105, IF(COUNTIF(Raw!AV105:BK105, "&gt;=0") = 16,(CI105 - CJ105) / (1 - CJ105),"No Contingency Table"), "Not Included")</f>
        <v>Not Included</v>
      </c>
      <c r="CL105" s="11" t="str">
        <f>IF(BQ105, IFERROR(Raw!AV105/SUM(Raw!AV105:AY105), 0), "Not Included")</f>
        <v>Not Included</v>
      </c>
      <c r="CM105" s="11" t="str">
        <f>IF(BQ105, IFERROR(Raw!BA105/SUM(Raw!AZ105:BC105), 0), "Not Included")</f>
        <v>Not Included</v>
      </c>
      <c r="CN105" s="11" t="str">
        <f>IF(BQ105, IFERROR(Raw!BF105/SUM(Raw!BD105:BG105), 0), "Not Included")</f>
        <v>Not Included</v>
      </c>
      <c r="CO105" s="11" t="str">
        <f>IF(BQ105, IFERROR(Raw!BK105/SUM(Raw!BH105:BK105), 0), "Not Included")</f>
        <v>Not Included</v>
      </c>
      <c r="CP105" s="11" t="str">
        <f>IF(BQ105, IFERROR(SUM(Raw!AV105,Raw!AX105,Raw!AY105,Raw!BD105,Raw!BF105,Raw!BG105,Raw!BH105,Raw!BJ105,Raw!BK105)/SUM(Raw!AV105,Raw!AW105,Raw!AX105,Raw!AY105,Raw!BD105,Raw!BE105,Raw!BF105,Raw!BG105,Raw!BH105,Raw!BI105,Raw!BJ105,Raw!BK105), 0), "Not Included")</f>
        <v>Not Included</v>
      </c>
      <c r="CQ105" s="11" t="str">
        <f>IF(BQ105, IFERROR(SUM(Raw!AV105:AX105,Raw!AZ105:BB105,Raw!BD105:BF105)/SUM(Raw!AV105:BF105), 0), "Not Included")</f>
        <v>Not Included</v>
      </c>
      <c r="CR105" s="11" t="str">
        <f>IF(BQ105, IFERROR(SUM(Raw!AV105:AY105), 0), "Not Included")</f>
        <v>Not Included</v>
      </c>
      <c r="CS105" s="11" t="str">
        <f>IF(BQ105, IFERROR(SUM(Raw!AZ105:BC105), 0), "Not Included")</f>
        <v>Not Included</v>
      </c>
      <c r="CT105" s="11" t="str">
        <f>IF(BQ105, IFERROR(SUM(Raw!BD105:BG105), 0), "Not Included")</f>
        <v>Not Included</v>
      </c>
      <c r="CU105" s="11" t="str">
        <f>IF(BQ105, IFERROR(SUM(Raw!BH105:BK105), 0), "Not Included")</f>
        <v>Not Included</v>
      </c>
      <c r="CV105" s="11" t="str">
        <f>IF(BQ105, IFERROR(SUM(Raw!AV105,Raw!AW105,Raw!AX105,Raw!AY105,Raw!BD105,Raw!BE105,Raw!BF105,Raw!BG105,Raw!BH105,Raw!BI105,Raw!BJ105,Raw!BK105), 0), "Not Included")</f>
        <v>Not Included</v>
      </c>
      <c r="CW105" s="11" t="str">
        <f>IF(BQ105, IFERROR(SUM(Raw!AV105:BF105), 0), "Not Included")</f>
        <v>Not Included</v>
      </c>
      <c r="CX105" s="11" t="str">
        <f>IF(BQ105, IFERROR((CR105*SUM(Raw!AV105,Raw!AZ105,Raw!BD105,Raw!BH105))/BS105/CR105, 0), "Not Included")</f>
        <v>Not Included</v>
      </c>
      <c r="CY105" s="11" t="str">
        <f>IF(BX105, IFERROR((CS105*SUM(Raw!BA105,Raw!AW105,Raw!BE105,Raw!BI105))/CG105/CS105, 0), "Not Included")</f>
        <v>Not Included</v>
      </c>
      <c r="CZ105" s="11" t="str">
        <f>IF(BX105, IFERROR((CT105*SUM(Raw!BF105,Raw!AX105,Raw!BB105,Raw!BJ105))/BZ105/CT105, 0), "Not Included")</f>
        <v>Not Included</v>
      </c>
      <c r="DA105" s="11" t="str">
        <f>IF(AY105, IFERROR((CU105*SUM(Raw!AY105,Raw!BC105,Raw!BG105,Raw!BK105))/AT105/CU105, 0), "Not Included")</f>
        <v>Not Included</v>
      </c>
      <c r="DB105" s="11" t="str">
        <f>IF(BX105, IFERROR((CV105*SUM(Raw!AV105,Raw!AX105,Raw!AY105,Raw!AZ105,Raw!BB105,Raw!BC105,Raw!BD105,Raw!BF105,Raw!BG105,Raw!BH105,Raw!BJ105,Raw!BK105))/CG105/CV105,0), "Not Included")</f>
        <v>Not Included</v>
      </c>
      <c r="DC105" s="11" t="str">
        <f>IF(AY105, IFERROR((CW105*SUM(Raw!AV105,Raw!AW105,Raw!AX105,Raw!AZ105,Raw!BA105,Raw!BB105,Raw!BD105,Raw!BE105,Raw!BF105,Raw!BH105,Raw!BI105,Raw!BJ105))/AT105/CW105,0), "Not Included")</f>
        <v>Not Included</v>
      </c>
    </row>
    <row r="106" spans="1:107" ht="12.75" customHeight="1">
      <c r="A106" s="11">
        <f>Raw!D106</f>
        <v>78</v>
      </c>
      <c r="B106" s="11" t="str">
        <f>Raw!A106</f>
        <v xml:space="preserve">Wijnroks (1994) </v>
      </c>
      <c r="C106" s="11">
        <f>Raw!G106</f>
        <v>1</v>
      </c>
      <c r="D106" s="11" t="str">
        <f>Raw!E106</f>
        <v>Mother-child</v>
      </c>
      <c r="E106" s="11" t="str">
        <f>CONCATENATE(IF(Raw!I106&lt;='Interval Definitions'!$B$2, 'Interval Definitions'!$A$2, IF(Raw!I106&lt;='Interval Definitions'!$B$3, 'Interval Definitions'!$A$3, IF(Raw!I106&lt;='Interval Definitions'!$B$4, 'Interval Definitions'!$A$4, IF(Raw!I106&lt;='Interval Definitions'!$B$5, 'Interval Definitions'!$A$5, "None")))), " - ", IF(Raw!J106&lt;='Interval Definitions'!$B$2, 'Interval Definitions'!$A$2, IF(Raw!J106&lt;='Interval Definitions'!$B$3, 'Interval Definitions'!$A$3, IF(Raw!J106&lt;='Interval Definitions'!$B$4, 'Interval Definitions'!$A$4, IF(Raw!J106&lt;='Interval Definitions'!$B$5, 'Interval Definitions'!$A$5, "None")))))</f>
        <v>Infancy - Infancy</v>
      </c>
      <c r="F106" s="11" t="b">
        <f>OR(NOT(ISBLANK(Raw!AF106)),NOT(ISBLANK(Raw!AG106)),NOT(ISBLANK(Raw!AH106)),NOT(ISBLANK(Raw!AI106)),COUNTIF(Raw!AA106:AD106, "&gt;=0") = 4)</f>
        <v>1</v>
      </c>
      <c r="G106" s="11" t="str">
        <f>IF(F106, IF(COUNTIF(Raw!AA106:AD106,"&gt;=0") = 4, "Contingency", IF(NOT(ISBLANK(Raw!AF106)), "Paper r", IF(NOT(ISBLANK(Raw!AG106)), "Pinquart", IF(NOT(ISBLANK(Raw!AH106)), "Fraley", "Paper chiSq")))), "Not Included")</f>
        <v>Contingency</v>
      </c>
      <c r="H106" s="15">
        <f>IF(F106,Raw!AE106,"Not Included")</f>
        <v>35</v>
      </c>
      <c r="I106" s="15">
        <f>IF(COUNTIF(Raw!AA106:AD106,"&gt;=0") = 4, SUM(Raw!AA106:AD106), "No Contingency Table")</f>
        <v>35</v>
      </c>
      <c r="J106" s="15">
        <f t="shared" si="0"/>
        <v>35</v>
      </c>
      <c r="K106" s="38">
        <f>IF(F106, IF(COUNTIF(Raw!AA106:AD106,"&gt;=0") = 4, IFERROR((I106*Raw!AA106 - SUM(Raw!AA106,Raw!AB106)*SUM(Raw!AA106,Raw!AD106)) / SQRT((I106*SUM(Raw!AA106,Raw!AB106) - SUM(Raw!AA106,Raw!AB106)^2) * (I106*SUM(Raw!AA106,Raw!AD106) - SUM(Raw!AA106,Raw!AD106)^2)), 0), "No Contingency Table"), "Not Included")</f>
        <v>0.11348048444153169</v>
      </c>
      <c r="L106" s="41">
        <f>IF(F106,IF(NOT(ISBLANK(Raw!AF106)), Raw!AF106, IF(NOT(ISBLANK(Raw!AG106)), Raw!AG106, IF(NOT(ISBLANK(Raw!AH106)), Raw!AH106, IF(NOT(ISBLANK(Raw!AI106)), SQRT(Raw!AI106/H106)*Raw!AJ106, "Not Reported")))),"Not Included")</f>
        <v>0.11</v>
      </c>
      <c r="M106" s="43">
        <f t="shared" si="1"/>
        <v>0.11348048444153169</v>
      </c>
      <c r="N106" s="11">
        <f t="shared" si="2"/>
        <v>1</v>
      </c>
      <c r="O106" s="48" t="b">
        <f>OR(NOT(ISBLANK(Raw!AK106)), COUNTIF(Raw!AA106:AD106, "&gt;=0") = 4)</f>
        <v>1</v>
      </c>
      <c r="P106" s="24" t="str">
        <f>IF(O106,IF(COUNTIF(Raw!AA106:AD106,"&gt;=0") = 4,"Contingency", "Paper k"), "Not Included")</f>
        <v>Contingency</v>
      </c>
      <c r="Q106" s="48">
        <f>IF(O106, IF(COUNTIF(Raw!AA106:AD106,"&gt;=0") = 4,SUM(Raw!AA106,Raw!AC106)/H106,"No Contingency Table"), "Not Included")</f>
        <v>0.7142857142857143</v>
      </c>
      <c r="R106" s="38">
        <f>IF(O106, IF(COUNTIF(Raw!AA106:AD106, "&gt;=0") = 4,SUM(SUM(Raw!AA106,Raw!AB106)*SUM(Raw!AA106,Raw!AD106),SUM(Raw!AC106,Raw!AD106)*SUM(Raw!AC106,Raw!AB106))/H106^2,"No Contingency Table"), "Not Included")</f>
        <v>0.67836734693877554</v>
      </c>
      <c r="S106" s="38">
        <f>IF(O106, IF(COUNTIF(Raw!AA106:AD106,"&gt;=0") = 4, IFERROR((Q106 - R106) / (1 - R106), "Could not calculate"), "No Contingency Table"), "Not Included")</f>
        <v>0.11167512690355327</v>
      </c>
      <c r="T106" s="52" t="str">
        <f>IF(O106,IF(NOT(ISBLANK(Raw!AK106)), Raw!AK106, "Not Reported"), "Not Included")</f>
        <v>Not Reported</v>
      </c>
      <c r="U106" s="38">
        <f t="shared" si="3"/>
        <v>0.11167512690355327</v>
      </c>
      <c r="V106" s="11" t="str">
        <f t="shared" si="4"/>
        <v>NA</v>
      </c>
      <c r="W106" s="11" t="b">
        <f>OR(NOT(ISBLANK(Raw!AU106)),COUNTIF(Raw!AL106:AT106,"&gt;=0") = 9)</f>
        <v>1</v>
      </c>
      <c r="X106" s="11" t="str">
        <f>IF(W106, IF(COUNTIF(Raw!AL106:AT106,"&gt;=0") = 9, "Contingency", "Paper k"), "Not Included")</f>
        <v>Contingency</v>
      </c>
      <c r="Y106" s="11">
        <f>IF(W106,IF(COUNTIF(Raw!AL106:AT106,"&gt;=0") = 9,SUM(Raw!AL106:AT106),"No Contingency Table"),"Not Included")</f>
        <v>35</v>
      </c>
      <c r="Z106" s="11">
        <f t="shared" si="5"/>
        <v>35</v>
      </c>
      <c r="AA106" s="11">
        <f>IF(W106,IF(COUNTIF(Raw!AL106:AT106,"&gt;=0") = 9,SUM(Raw!AL106,Raw!AP106,Raw!AT106)/Y106,"No Contingency Table"), "Not Included")</f>
        <v>0.7142857142857143</v>
      </c>
      <c r="AB106" s="11">
        <f>IF(W106,IF(COUNTIF(Raw!AL106:AT106,"&gt;=0") = 9,SUM(SUM(Raw!AL106,Raw!AM106,Raw!AN106)*SUM(Raw!AL106,Raw!AO106,Raw!AR106),SUM(Raw!AO106,Raw!AP106,Raw!AQ106)*SUM(Raw!AM106,Raw!AP106,Raw!AS106),SUM(Raw!AR106,Raw!AS106,Raw!AT106)*SUM(Raw!AN106,Raw!AQ106,Raw!AT106))/Y106^2,"No Contingency Table"), "Not Included")</f>
        <v>0.67346938775510201</v>
      </c>
      <c r="AC106" s="11">
        <f>IF(W106,IF(COUNTIF(Raw!AL106:AT106,"&gt;=0") = 9,(AA106 - AB106) / (1 - AB106),"No Contingency Table"), "Not Included")</f>
        <v>0.12500000000000014</v>
      </c>
      <c r="AD106" s="11" t="str">
        <f>IF(W106, IF(NOT(ISBLANK(Raw!AU106)),Raw!AU106,"Not Reported"), "Not Included")</f>
        <v>Not Reported</v>
      </c>
      <c r="AE106" s="11">
        <f t="shared" si="6"/>
        <v>0.12500000000000014</v>
      </c>
      <c r="AF106" s="11" t="str">
        <f t="shared" si="7"/>
        <v>NA</v>
      </c>
      <c r="AG106" s="11" t="b">
        <f>COUNTIF(Raw!AV106:BK106, "&gt;=0") = 16</f>
        <v>0</v>
      </c>
      <c r="AH106" s="11" t="str">
        <f>IF(AG106, IF(COUNTIF(Raw!AV106:BK106,"&gt;=0") = 16, "Contingency", "Paper k"), "Not Included")</f>
        <v>Not Included</v>
      </c>
      <c r="AI106" s="11" t="str">
        <f>IF(AG106,IF(COUNTIF(Raw!AV106:BK106,"&gt;=0") = 16,SUM(Raw!AV106:BK106),"No Contingency Table"),"Not Included")</f>
        <v>Not Included</v>
      </c>
      <c r="AJ106" s="15">
        <f t="shared" si="8"/>
        <v>35</v>
      </c>
      <c r="AK106" s="11" t="str">
        <f>IF(AG106,IF(COUNTIF(Raw!AV106:BK106,"&gt;=0") = 16,SUM(Raw!AV106,Raw!BA106,Raw!BF106,Raw!BK106)/AI106,"No Contingency Table"), "Not Included")</f>
        <v>Not Included</v>
      </c>
      <c r="AL106" s="11" t="str">
        <f>IF(AG106,IF(COUNTIF(Raw!AV106:BK106,"&gt;=0") = 16,SUM(SUM(Raw!AV106,Raw!AW106,Raw!AX106,Raw!AY106)*SUM(Raw!AV106,Raw!AZ106,Raw!BD106,Raw!BH106),SUM(Raw!AZ106,Raw!BA106,Raw!BB106,Raw!BC106)*SUM(Raw!AW106,Raw!BA106,Raw!BE106,Raw!BI106),SUM(Raw!BD106,Raw!BE106,Raw!BF106,Raw!BG106)*SUM(Raw!AX106,Raw!BB106,Raw!BF106,Raw!BJ106),SUM(Raw!BH106,Raw!BI106,Raw!BJ106,Raw!BK106)*SUM(Raw!AY106,Raw!BC106,Raw!BG106,Raw!BK106))/AI106^2,"No Contingency Table"), "Not Included")</f>
        <v>Not Included</v>
      </c>
      <c r="AM106" s="11" t="str">
        <f>IF(AG106,IF(COUNTIF(Raw!AV106:BK106,"&gt;=0") = 16,(AK106 - AL106) / (1 - AL106),"No Contingency Table"), "Not Included")</f>
        <v>Not Included</v>
      </c>
      <c r="AN106" s="11" t="str">
        <f>IF(NOT(ISBLANK(Raw!BL106)),Raw!BL106,"Not Reported")</f>
        <v>Not Reported</v>
      </c>
      <c r="AO106" s="11" t="str">
        <f t="shared" si="9"/>
        <v>Not Reported</v>
      </c>
      <c r="AP106" s="11" t="str">
        <f t="shared" si="10"/>
        <v>Not Included</v>
      </c>
      <c r="AQ106" s="11" t="b">
        <f t="shared" ref="AQ106:AR106" si="435">BQ106</f>
        <v>0</v>
      </c>
      <c r="AR106" s="11" t="str">
        <f t="shared" si="435"/>
        <v>Not Included</v>
      </c>
      <c r="AS106" s="11" t="str">
        <f t="shared" si="12"/>
        <v>Not Included</v>
      </c>
      <c r="AT106" s="11" t="str">
        <f t="shared" si="13"/>
        <v>Not Included</v>
      </c>
      <c r="AU106" s="11" t="str">
        <f>IF(AQ106, IF(COUNTIF(Raw!AV106:BK106, "&gt;=0") = 16, IFERROR((AT106*Raw!BK106 - SUM(Raw!BH106, Raw!BI106, Raw!BJ106, Raw!BK106)*SUM(Raw!AY106, Raw!BC106, Raw!BG106, Raw!BK106)) / SQRT((AT106*SUM(Raw!BH106, Raw!BI106, Raw!BJ106, Raw!BK106) - SUM(Raw!BH106, Raw!BI106, Raw!BJ106, Raw!BK106)^2) * (AT106*SUM(Raw!AY106, Raw!BC106, Raw!BG106, Raw!BK106) - SUM(Raw!AY106, Raw!BC106, Raw!BG106, Raw!BK106)^2)), 0), "No Contingency Table"), "Not Included")</f>
        <v>Not Included</v>
      </c>
      <c r="AV106" s="11" t="str">
        <f>IF(AQ106,IF(NOT(ISBLANK(Raw!BQ106)), Raw!BQ106, IF(NOT(ISBLANK(Raw!BR106)), Raw!BR106, "Not Reported")), "Not Included")</f>
        <v>Not Included</v>
      </c>
      <c r="AW106" s="57" t="str">
        <f t="shared" si="14"/>
        <v>Not Included</v>
      </c>
      <c r="AX106" s="11" t="str">
        <f t="shared" si="15"/>
        <v>Not Included</v>
      </c>
      <c r="AY106" s="11" t="b">
        <f t="shared" ref="AY106:AZ106" si="436">AQ106</f>
        <v>0</v>
      </c>
      <c r="AZ106" s="11" t="str">
        <f t="shared" si="436"/>
        <v>Not Included</v>
      </c>
      <c r="BA106" s="11" t="str">
        <f>IF(AY106, IF(COUNTIF(Raw!AV106:BK106, "&gt;=0") = 16, SUM(Raw!AV106,Raw!AW106,Raw!AX106,Raw!AZ106,Raw!BA106,Raw!BB106,Raw!BD106,Raw!BE106,Raw!BF106,Raw!BK106)/SUM(Raw!AV106:BK106), "No Contingency Table"), "Not Included")</f>
        <v>Not Included</v>
      </c>
      <c r="BB106" s="11" t="str">
        <f>IF(AY106, IF(COUNTIF(Raw!AV106:BK106, "&gt;=0") = 16,SUM(SUM(Raw!BH106,Raw!BI106,Raw!BJ106,Raw!BK106)*SUM(Raw!AY106,Raw!BC106,Raw!BG106,Raw!BK106),SUM(Raw!AV106:BG106)*SUM(Raw!AV106,Raw!AW106,Raw!AX106,Raw!AZ106,Raw!BA106,Raw!BB106,Raw!BD106,Raw!BE106,Raw!BF106,Raw!BH106,Raw!BI106,Raw!BJ106))/AT106^2,"No Contingency Table"), "Not Included")</f>
        <v>Not Included</v>
      </c>
      <c r="BC106" s="11" t="str">
        <f>IF(AY106, IF(COUNTIF(Raw!AV106:BK106, "&gt;=0") = 16,(BA106-BB106) / (1 - BB106),"No Contingency Table"), "Not Included")</f>
        <v>Not Included</v>
      </c>
      <c r="BD106" s="11" t="str">
        <f>IF(AY106,IF(NOT(ISBLANK(Raw!BT127)),Raw!BT127,"Not Reported"),"Not Included")</f>
        <v>Not Included</v>
      </c>
      <c r="BE106" s="11" t="str">
        <f t="shared" si="17"/>
        <v>Not Included</v>
      </c>
      <c r="BF106" s="11" t="str">
        <f t="shared" si="18"/>
        <v>Not Included</v>
      </c>
      <c r="BG106" s="11">
        <f>Raw!K106</f>
        <v>1994</v>
      </c>
      <c r="BH106" s="11" t="str">
        <f>IF(Raw!L106 = "USA","USA","Non-USA")</f>
        <v>Non-USA</v>
      </c>
      <c r="BI106" s="11" t="str">
        <f>Raw!M106</f>
        <v>Ainsworth/Ainsworth</v>
      </c>
      <c r="BJ106" s="11">
        <f>Raw!N106</f>
        <v>1</v>
      </c>
      <c r="BK106" s="11">
        <f>Raw!P106</f>
        <v>0</v>
      </c>
      <c r="BL106" s="11">
        <f>Raw!Q106</f>
        <v>1</v>
      </c>
      <c r="BM106" s="11">
        <f>Raw!T106</f>
        <v>0</v>
      </c>
      <c r="BN106" s="11">
        <f>IFERROR(IF(AND(ISBLANK(Raw!U106), ISBLANK(Raw!V106), ISBLANK(Raw!W106), ISBLANK(Raw!X106)), "NA", IF(OR(NOT(ISBLANK(Raw!U106)), NOT(ISBLANK(Raw!W106))), AVERAGE(Raw!U106,Raw!W106), AVERAGE(Raw!V106,Raw!X106) + IF(Raw!Y106 = "2-way", R106, IF(Raw!Y106 = "3-way", AB106, IF(Raw!Y106 = "4-way", AL106, "NA")))*(1 - AVERAGE(Raw!V106,Raw!X106)))), "NA")</f>
        <v>0.9</v>
      </c>
      <c r="BO106" s="11">
        <f>Raw!O106</f>
        <v>0</v>
      </c>
      <c r="BP106" s="11" t="str">
        <f>Raw!F106</f>
        <v>Female</v>
      </c>
      <c r="BQ106" s="11" t="b">
        <f>COUNTIF(Raw!AV106:BK106, "&gt;=0") = 16</f>
        <v>0</v>
      </c>
      <c r="BR106" s="11" t="str">
        <f t="shared" si="19"/>
        <v>Not Included</v>
      </c>
      <c r="BS106" s="11" t="str">
        <f t="shared" si="20"/>
        <v>Not Included</v>
      </c>
      <c r="BT106" s="11" t="str">
        <f>IF(BQ106, IF(COUNTIF(Raw!AV106:BK106, "&gt;=0") = 16, IFERROR((BS106*Raw!AV106 - SUM(Raw!AV106, Raw!AW106, Raw!AX106, Raw!AY106)*SUM(Raw!AV106, Raw!AZ106, Raw!BD106, Raw!BH106)) / SQRT((BS106*SUM(Raw!AV106, Raw!AW106, Raw!AX106, Raw!AY106) - SUM(Raw!AV106, Raw!AW106, Raw!AX106, Raw!AY106)^2) * (BS106*SUM(Raw!AV106, Raw!AZ106, Raw!BD106, Raw!BH106) - SUM(Raw!AV106, Raw!AZ106, Raw!BD106, Raw!BH106)^2)), 0), "No Contingency Table"), "Not Included")</f>
        <v>Not Included</v>
      </c>
      <c r="BU106" s="11" t="str">
        <f>IF(BQ106, IF(COUNTIF(Raw!AV106:BK106, "&gt;=0") = 16, SUM(Raw!BK106,Raw!BJ106,Raw!BI106,Raw!BG106,Raw!BF106,Raw!BE106,Raw!BC106,Raw!BB106,Raw!BA106,Raw!AV106)/SUM(Raw!AV106:BK106), "No Contingency Table"), "Not Included")</f>
        <v>Not Included</v>
      </c>
      <c r="BV106" s="11" t="str">
        <f>IF(BQ106, IF(COUNTIF(Raw!AV106:BK106, "&gt;=0") = 16,SUM(SUM(Raw!AV106,Raw!AW106,Raw!AX106,Raw!AY106)*SUM(Raw!AV106,Raw!AZ106,Raw!BD106,Raw!BH106),SUM(Raw!AZ106:BK106)*SUM(Raw!AW106,Raw!AX106,Raw!AY106,Raw!BA106,Raw!BB106,Raw!BC106,Raw!BE106,Raw!BF106,Raw!BG106,Raw!BI106,Raw!BJ106,Raw!BK106))/BS106^2,"No Contingency Table"), "Not Included")</f>
        <v>Not Included</v>
      </c>
      <c r="BW106" s="11" t="str">
        <f>IF(BQ106, IF(COUNTIF(Raw!AV106:BK106, "&gt;=0") = 16,(BU106-BV106) / (1 - BV106),"No Contingency Table"), "Not Included")</f>
        <v>Not Included</v>
      </c>
      <c r="BX106" s="11" t="b">
        <f t="shared" ref="BX106:BZ106" si="437">BQ106</f>
        <v>0</v>
      </c>
      <c r="BY106" s="11" t="str">
        <f t="shared" si="437"/>
        <v>Not Included</v>
      </c>
      <c r="BZ106" s="11" t="str">
        <f t="shared" si="437"/>
        <v>Not Included</v>
      </c>
      <c r="CA106" s="11" t="str">
        <f>IF(BX106, IF(COUNTIF(Raw!AV106:BK106, "&gt;=0") = 16, IFERROR((BZ106*Raw!BF106 - SUM(Raw!BD106, Raw!BE106, Raw!BF106, Raw!BG106)*SUM(Raw!BF106, Raw!AX106, Raw!BB106, Raw!BJ106)) / SQRT((BZ106*SUM(Raw!BD106, Raw!BE106, Raw!BF106, Raw!BG106) - SUM(Raw!BD106, Raw!BE106, Raw!BF106, Raw!BG106)^2) * (BZ106*SUM(Raw!BF106, Raw!AX106, Raw!BB106, Raw!BJ106) - SUM(Raw!BF106, Raw!AX106, Raw!BB106, Raw!BJ106)^2)), 0), "No Contingency Table"), "Not Included")</f>
        <v>Not Included</v>
      </c>
      <c r="CB106" s="11" t="str">
        <f>IF(BX106, IF(COUNTIF(Raw!AV106:BK106, "&gt;=0") = 16, SUM(Raw!AV106,Raw!AW106,Raw!AY106,Raw!AZ106,Raw!BA106,Raw!BC106,Raw!BF106,Raw!BH106,Raw!BI106,Raw!BK106) / SUM(Raw!AV106:BK106), "No Contingency Table"), "Not Included")</f>
        <v>Not Included</v>
      </c>
      <c r="CC106" s="11" t="str">
        <f>IF(BX106, IF(COUNTIF(Raw!AV106:BK106, "&gt;=0") = 16,SUM(SUM(Raw!BD106,Raw!BE106,Raw!BF106,Raw!BG106)*SUM(Raw!BF106,Raw!AX106,Raw!BB106,Raw!BJ106),SUM(Raw!AV106:BC106,Raw!BH106:BK106)*SUM(Raw!AV106,Raw!AW106,Raw!AY106,Raw!AZ106,Raw!BA106,Raw!BC106,Raw!BD106,Raw!BE106,Raw!BG106,Raw!BH106,Raw!BI106,Raw!BK106))/BZ106^2,"No Contingency Table"), "Not Included")</f>
        <v>Not Included</v>
      </c>
      <c r="CD106" s="11" t="str">
        <f>IF(BX106, IF(COUNTIF(Raw!AV106:BK106, "&gt;=0") = 16,(CB106 - CC106) / (1 - CC106+0.000001),"No Contingency Table"), "Not Included")</f>
        <v>Not Included</v>
      </c>
      <c r="CE106" s="11" t="b">
        <f t="shared" ref="CE106:CG106" si="438">BQ106</f>
        <v>0</v>
      </c>
      <c r="CF106" s="11" t="str">
        <f t="shared" si="438"/>
        <v>Not Included</v>
      </c>
      <c r="CG106" s="11" t="str">
        <f t="shared" si="438"/>
        <v>Not Included</v>
      </c>
      <c r="CH106" s="11" t="str">
        <f>IF(CE106, IF(COUNTIF(Raw!AV106:BK106, "&gt;=0") = 16, IFERROR((CG106*Raw!BA106 - SUM(Raw!BA106, Raw!AZ106, Raw!BB106, Raw!BC106)*SUM(Raw!BA106, Raw!AW106, Raw!BE106, Raw!BI106)) / SQRT((CG106*SUM(Raw!BA106, Raw!AZ106, Raw!BB106, Raw!BC106) - SUM(Raw!BA106, Raw!AZ106, Raw!BB106, Raw!BC106)^2) * (CG106*SUM(Raw!BA106, Raw!AW106, Raw!BE106, Raw!BI106) - SUM(Raw!BA106, Raw!AW106, Raw!BE106, Raw!BI106)^2)), 0), "No Contingency Table"), "Not Included")</f>
        <v>Not Included</v>
      </c>
      <c r="CI106" s="11" t="str">
        <f>IF(CE106, IF(COUNTIF(Raw!AV106:BK106, "&gt;=0") = 16, SUM(Raw!AV106,Raw!AX106,Raw!AY106,Raw!BA106,Raw!BD106,Raw!BF106,Raw!BG106,Raw!BH106,Raw!BJ106,Raw!BK106) / SUM(Raw!AV106:BK106), "No Contingency Table"), "Not Included")</f>
        <v>Not Included</v>
      </c>
      <c r="CJ106" s="61" t="str">
        <f>IF(BX106, IF(COUNTIF(Raw!AV106:BK106, "&gt;=0") = 16,SUM(SUM(Raw!AZ106,Raw!BA106,Raw!BB106,Raw!BC106)*SUM(Raw!BA106,Raw!AW106,Raw!BE106,Raw!BI106),SUM(Raw!AV106:AY106,Raw!BD106:BK106)*SUM(Raw!AV106,Raw!AX106,Raw!AY106,Raw!AZ106,Raw!BB106,Raw!BC106,Raw!BD106,Raw!BF106,Raw!BG106,Raw!BH106,Raw!BJ106,Raw!BK106))/CG106^2,"No Contingency Table"), "Not Included")</f>
        <v>Not Included</v>
      </c>
      <c r="CK106" s="11" t="str">
        <f>IF(BX106, IF(COUNTIF(Raw!AV106:BK106, "&gt;=0") = 16,(CI106 - CJ106) / (1 - CJ106),"No Contingency Table"), "Not Included")</f>
        <v>Not Included</v>
      </c>
      <c r="CL106" s="11" t="str">
        <f>IF(BQ106, IFERROR(Raw!AV106/SUM(Raw!AV106:AY106), 0), "Not Included")</f>
        <v>Not Included</v>
      </c>
      <c r="CM106" s="11" t="str">
        <f>IF(BQ106, IFERROR(Raw!BA106/SUM(Raw!AZ106:BC106), 0), "Not Included")</f>
        <v>Not Included</v>
      </c>
      <c r="CN106" s="11" t="str">
        <f>IF(BQ106, IFERROR(Raw!BF106/SUM(Raw!BD106:BG106), 0), "Not Included")</f>
        <v>Not Included</v>
      </c>
      <c r="CO106" s="11" t="str">
        <f>IF(BQ106, IFERROR(Raw!BK106/SUM(Raw!BH106:BK106), 0), "Not Included")</f>
        <v>Not Included</v>
      </c>
      <c r="CP106" s="11" t="str">
        <f>IF(BQ106, IFERROR(SUM(Raw!AV106,Raw!AX106,Raw!AY106,Raw!BD106,Raw!BF106,Raw!BG106,Raw!BH106,Raw!BJ106,Raw!BK106)/SUM(Raw!AV106,Raw!AW106,Raw!AX106,Raw!AY106,Raw!BD106,Raw!BE106,Raw!BF106,Raw!BG106,Raw!BH106,Raw!BI106,Raw!BJ106,Raw!BK106), 0), "Not Included")</f>
        <v>Not Included</v>
      </c>
      <c r="CQ106" s="11" t="str">
        <f>IF(BQ106, IFERROR(SUM(Raw!AV106:AX106,Raw!AZ106:BB106,Raw!BD106:BF106)/SUM(Raw!AV106:BF106), 0), "Not Included")</f>
        <v>Not Included</v>
      </c>
      <c r="CR106" s="11" t="str">
        <f>IF(BQ106, IFERROR(SUM(Raw!AV106:AY106), 0), "Not Included")</f>
        <v>Not Included</v>
      </c>
      <c r="CS106" s="11" t="str">
        <f>IF(BQ106, IFERROR(SUM(Raw!AZ106:BC106), 0), "Not Included")</f>
        <v>Not Included</v>
      </c>
      <c r="CT106" s="11" t="str">
        <f>IF(BQ106, IFERROR(SUM(Raw!BD106:BG106), 0), "Not Included")</f>
        <v>Not Included</v>
      </c>
      <c r="CU106" s="11" t="str">
        <f>IF(BQ106, IFERROR(SUM(Raw!BH106:BK106), 0), "Not Included")</f>
        <v>Not Included</v>
      </c>
      <c r="CV106" s="11" t="str">
        <f>IF(BQ106, IFERROR(SUM(Raw!AV106,Raw!AW106,Raw!AX106,Raw!AY106,Raw!BD106,Raw!BE106,Raw!BF106,Raw!BG106,Raw!BH106,Raw!BI106,Raw!BJ106,Raw!BK106), 0), "Not Included")</f>
        <v>Not Included</v>
      </c>
      <c r="CW106" s="11" t="str">
        <f>IF(BQ106, IFERROR(SUM(Raw!AV106:BF106), 0), "Not Included")</f>
        <v>Not Included</v>
      </c>
      <c r="CX106" s="11" t="str">
        <f>IF(BQ106, IFERROR((CR106*SUM(Raw!AV106,Raw!AZ106,Raw!BD106,Raw!BH106))/BS106/CR106, 0), "Not Included")</f>
        <v>Not Included</v>
      </c>
      <c r="CY106" s="11" t="str">
        <f>IF(BX106, IFERROR((CS106*SUM(Raw!BA106,Raw!AW106,Raw!BE106,Raw!BI106))/CG106/CS106, 0), "Not Included")</f>
        <v>Not Included</v>
      </c>
      <c r="CZ106" s="11" t="str">
        <f>IF(BX106, IFERROR((CT106*SUM(Raw!BF106,Raw!AX106,Raw!BB106,Raw!BJ106))/BZ106/CT106, 0), "Not Included")</f>
        <v>Not Included</v>
      </c>
      <c r="DA106" s="11" t="str">
        <f>IF(AY106, IFERROR((CU106*SUM(Raw!AY106,Raw!BC106,Raw!BG106,Raw!BK106))/AT106/CU106, 0), "Not Included")</f>
        <v>Not Included</v>
      </c>
      <c r="DB106" s="11" t="str">
        <f>IF(BX106, IFERROR((CV106*SUM(Raw!AV106,Raw!AX106,Raw!AY106,Raw!AZ106,Raw!BB106,Raw!BC106,Raw!BD106,Raw!BF106,Raw!BG106,Raw!BH106,Raw!BJ106,Raw!BK106))/CG106/CV106,0), "Not Included")</f>
        <v>Not Included</v>
      </c>
      <c r="DC106" s="11" t="str">
        <f>IF(AY106, IFERROR((CW106*SUM(Raw!AV106,Raw!AW106,Raw!AX106,Raw!AZ106,Raw!BA106,Raw!BB106,Raw!BD106,Raw!BE106,Raw!BF106,Raw!BH106,Raw!BI106,Raw!BJ106))/AT106/CW106,0), "Not Included")</f>
        <v>Not Included</v>
      </c>
    </row>
    <row r="107" spans="1:107" ht="12.75" customHeight="1">
      <c r="A107" s="11">
        <f>Raw!D107</f>
        <v>79</v>
      </c>
      <c r="B107" s="11" t="str">
        <f>Raw!A107</f>
        <v>Bakermans-Kranenberg &amp; van IJzendoorn (1997)</v>
      </c>
      <c r="C107" s="11">
        <f>Raw!G107</f>
        <v>1</v>
      </c>
      <c r="D107" s="11" t="str">
        <f>Raw!E107</f>
        <v>Mother-child</v>
      </c>
      <c r="E107" s="11" t="str">
        <f>CONCATENATE(IF(Raw!I107&lt;='Interval Definitions'!$B$2, 'Interval Definitions'!$A$2, IF(Raw!I107&lt;='Interval Definitions'!$B$3, 'Interval Definitions'!$A$3, IF(Raw!I107&lt;='Interval Definitions'!$B$4, 'Interval Definitions'!$A$4, IF(Raw!I107&lt;='Interval Definitions'!$B$5, 'Interval Definitions'!$A$5, "None")))), " - ", IF(Raw!J107&lt;='Interval Definitions'!$B$2, 'Interval Definitions'!$A$2, IF(Raw!J107&lt;='Interval Definitions'!$B$3, 'Interval Definitions'!$A$3, IF(Raw!J107&lt;='Interval Definitions'!$B$4, 'Interval Definitions'!$A$4, IF(Raw!J107&lt;='Interval Definitions'!$B$5, 'Interval Definitions'!$A$5, "None")))))</f>
        <v>Infancy - Infancy</v>
      </c>
      <c r="F107" s="11" t="b">
        <f>OR(NOT(ISBLANK(Raw!AF107)),NOT(ISBLANK(Raw!AG107)),NOT(ISBLANK(Raw!AH107)),NOT(ISBLANK(Raw!AI107)),COUNTIF(Raw!AA107:AD107, "&gt;=0") = 4)</f>
        <v>0</v>
      </c>
      <c r="G107" s="11" t="str">
        <f>IF(F107, IF(COUNTIF(Raw!AA107:AD107,"&gt;=0") = 4, "Contingency", IF(NOT(ISBLANK(Raw!AF107)), "Paper r", IF(NOT(ISBLANK(Raw!AG107)), "Pinquart", IF(NOT(ISBLANK(Raw!AH107)), "Fraley", "Paper chiSq")))), "Not Included")</f>
        <v>Not Included</v>
      </c>
      <c r="H107" s="15" t="str">
        <f>IF(F107,Raw!AE107,"Not Included")</f>
        <v>Not Included</v>
      </c>
      <c r="I107" s="15" t="str">
        <f>IF(COUNTIF(Raw!AA107:AD107,"&gt;=0") = 4, SUM(Raw!AA107:AD107), "No Contingency Table")</f>
        <v>No Contingency Table</v>
      </c>
      <c r="J107" s="15" t="str">
        <f t="shared" si="0"/>
        <v>Not Included</v>
      </c>
      <c r="K107" s="38" t="str">
        <f>IF(F107, IF(COUNTIF(Raw!AA107:AD107,"&gt;=0") = 4, IFERROR((I107*Raw!AA107 - SUM(Raw!AA107,Raw!AB107)*SUM(Raw!AA107,Raw!AD107)) / SQRT((I107*SUM(Raw!AA107,Raw!AB107) - SUM(Raw!AA107,Raw!AB107)^2) * (I107*SUM(Raw!AA107,Raw!AD107) - SUM(Raw!AA107,Raw!AD107)^2)), 0), "No Contingency Table"), "Not Included")</f>
        <v>Not Included</v>
      </c>
      <c r="L107" s="41" t="str">
        <f>IF(F107,IF(NOT(ISBLANK(Raw!AF107)), Raw!AF107, IF(NOT(ISBLANK(Raw!AG107)), Raw!AG107, IF(NOT(ISBLANK(Raw!AH107)), Raw!AH107, IF(NOT(ISBLANK(Raw!AI107)), SQRT(Raw!AI107/H107)*Raw!AJ107, "Not Reported")))),"Not Included")</f>
        <v>Not Included</v>
      </c>
      <c r="M107" s="43" t="str">
        <f t="shared" si="1"/>
        <v>Not Included</v>
      </c>
      <c r="N107" s="11" t="str">
        <f t="shared" si="2"/>
        <v>NA</v>
      </c>
      <c r="O107" s="48" t="b">
        <f>OR(NOT(ISBLANK(Raw!AK107)), COUNTIF(Raw!AA107:AD107, "&gt;=0") = 4)</f>
        <v>0</v>
      </c>
      <c r="P107" s="24" t="str">
        <f>IF(O107,IF(COUNTIF(Raw!AA107:AD107,"&gt;=0") = 4,"Contingency", "Paper k"), "Not Included")</f>
        <v>Not Included</v>
      </c>
      <c r="Q107" s="48" t="str">
        <f>IF(O107, IF(COUNTIF(Raw!AA107:AD107,"&gt;=0") = 4,SUM(Raw!AA107,Raw!AC107)/H107,"No Contingency Table"), "Not Included")</f>
        <v>Not Included</v>
      </c>
      <c r="R107" s="38" t="str">
        <f>IF(O107, IF(COUNTIF(Raw!AA107:AD107, "&gt;=0") = 4,SUM(SUM(Raw!AA107,Raw!AB107)*SUM(Raw!AA107,Raw!AD107),SUM(Raw!AC107,Raw!AD107)*SUM(Raw!AC107,Raw!AB107))/H107^2,"No Contingency Table"), "Not Included")</f>
        <v>Not Included</v>
      </c>
      <c r="S107" s="38" t="str">
        <f>IF(O107, IF(COUNTIF(Raw!AA107:AD107,"&gt;=0") = 4, IFERROR((Q107 - R107) / (1 - R107), "Could not calculate"), "No Contingency Table"), "Not Included")</f>
        <v>Not Included</v>
      </c>
      <c r="T107" s="52" t="str">
        <f>IF(O107,IF(NOT(ISBLANK(Raw!AK107)), Raw!AK107, "Not Reported"), "Not Included")</f>
        <v>Not Included</v>
      </c>
      <c r="U107" s="11" t="str">
        <f t="shared" si="3"/>
        <v>Not Included</v>
      </c>
      <c r="V107" s="11" t="str">
        <f t="shared" si="4"/>
        <v>Not Included</v>
      </c>
      <c r="W107" s="11" t="b">
        <f>OR(NOT(ISBLANK(Raw!AU107)),COUNTIF(Raw!AL107:AT107,"&gt;=0") = 9)</f>
        <v>0</v>
      </c>
      <c r="X107" s="11" t="str">
        <f>IF(W107, IF(COUNTIF(Raw!AL107:AT107,"&gt;=0") = 9, "Contingency", "Paper k"), "Not Included")</f>
        <v>Not Included</v>
      </c>
      <c r="Y107" s="11" t="str">
        <f>IF(W107,IF(COUNTIF(Raw!AL107:AT107,"&gt;=0") = 9,SUM(Raw!AL107:AT107),"No Contingency Table"),"Not Included")</f>
        <v>Not Included</v>
      </c>
      <c r="Z107" s="11" t="str">
        <f t="shared" si="5"/>
        <v>Not Included</v>
      </c>
      <c r="AA107" s="11" t="str">
        <f>IF(W107,IF(COUNTIF(Raw!AL107:AT107,"&gt;=0") = 9,SUM(Raw!AL107,Raw!AP107,Raw!AT107)/Y107,"No Contingency Table"), "Not Included")</f>
        <v>Not Included</v>
      </c>
      <c r="AB107" s="11" t="str">
        <f>IF(W107,IF(COUNTIF(Raw!AL107:AT107,"&gt;=0") = 9,SUM(SUM(Raw!AL107,Raw!AM107,Raw!AN107)*SUM(Raw!AL107,Raw!AO107,Raw!AR107),SUM(Raw!AO107,Raw!AP107,Raw!AQ107)*SUM(Raw!AM107,Raw!AP107,Raw!AS107),SUM(Raw!AR107,Raw!AS107,Raw!AT107)*SUM(Raw!AN107,Raw!AQ107,Raw!AT107))/Y107^2,"No Contingency Table"), "Not Included")</f>
        <v>Not Included</v>
      </c>
      <c r="AC107" s="11" t="str">
        <f>IF(W107,IF(COUNTIF(Raw!AL107:AT107,"&gt;=0") = 9,(AA107 - AB107) / (1 - AB107),"No Contingency Table"), "Not Included")</f>
        <v>Not Included</v>
      </c>
      <c r="AD107" s="11" t="str">
        <f>IF(W107, IF(NOT(ISBLANK(Raw!AU107)),Raw!AU107,"Not Reported"), "Not Included")</f>
        <v>Not Included</v>
      </c>
      <c r="AE107" s="11" t="str">
        <f t="shared" si="6"/>
        <v>Not Included</v>
      </c>
      <c r="AF107" s="11" t="str">
        <f t="shared" si="7"/>
        <v>Not Included</v>
      </c>
      <c r="AG107" s="11" t="b">
        <f>COUNTIF(Raw!AV107:BK107, "&gt;=0") = 16</f>
        <v>0</v>
      </c>
      <c r="AH107" s="11" t="str">
        <f>IF(AG107, IF(COUNTIF(Raw!AV107:BK107,"&gt;=0") = 16, "Contingency", "Paper k"), "Not Included")</f>
        <v>Not Included</v>
      </c>
      <c r="AI107" s="11" t="str">
        <f>IF(AG107,IF(COUNTIF(Raw!AV107:BK107,"&gt;=0") = 16,SUM(Raw!AV107:BK107),"No Contingency Table"),"Not Included")</f>
        <v>Not Included</v>
      </c>
      <c r="AJ107" s="15" t="str">
        <f t="shared" si="8"/>
        <v>Not Included</v>
      </c>
      <c r="AK107" s="11" t="str">
        <f>IF(AG107,IF(COUNTIF(Raw!AV107:BK107,"&gt;=0") = 16,SUM(Raw!AV107,Raw!BA107,Raw!BF107,Raw!BK107)/AI107,"No Contingency Table"), "Not Included")</f>
        <v>Not Included</v>
      </c>
      <c r="AL107" s="11" t="str">
        <f>IF(AG107,IF(COUNTIF(Raw!AV107:BK107,"&gt;=0") = 16,SUM(SUM(Raw!AV107,Raw!AW107,Raw!AX107,Raw!AY107)*SUM(Raw!AV107,Raw!AZ107,Raw!BD107,Raw!BH107),SUM(Raw!AZ107,Raw!BA107,Raw!BB107,Raw!BC107)*SUM(Raw!AW107,Raw!BA107,Raw!BE107,Raw!BI107),SUM(Raw!BD107,Raw!BE107,Raw!BF107,Raw!BG107)*SUM(Raw!AX107,Raw!BB107,Raw!BF107,Raw!BJ107),SUM(Raw!BH107,Raw!BI107,Raw!BJ107,Raw!BK107)*SUM(Raw!AY107,Raw!BC107,Raw!BG107,Raw!BK107))/AI107^2,"No Contingency Table"), "Not Included")</f>
        <v>Not Included</v>
      </c>
      <c r="AM107" s="11" t="str">
        <f>IF(AG107,IF(COUNTIF(Raw!AV107:BK107,"&gt;=0") = 16,(AK107 - AL107) / (1 - AL107),"No Contingency Table"), "Not Included")</f>
        <v>Not Included</v>
      </c>
      <c r="AN107" s="11" t="str">
        <f>IF(NOT(ISBLANK(Raw!BL107)),Raw!BL107,"Not Reported")</f>
        <v>Not Reported</v>
      </c>
      <c r="AO107" s="11" t="str">
        <f t="shared" si="9"/>
        <v>Not Reported</v>
      </c>
      <c r="AP107" s="11" t="str">
        <f t="shared" si="10"/>
        <v>Not Included</v>
      </c>
      <c r="AQ107" s="11" t="b">
        <f t="shared" ref="AQ107:AR107" si="439">BQ107</f>
        <v>0</v>
      </c>
      <c r="AR107" s="11" t="str">
        <f t="shared" si="439"/>
        <v>Not Included</v>
      </c>
      <c r="AS107" s="11" t="str">
        <f t="shared" si="12"/>
        <v>Not Included</v>
      </c>
      <c r="AT107" s="11" t="str">
        <f t="shared" si="13"/>
        <v>Not Included</v>
      </c>
      <c r="AU107" s="11" t="str">
        <f>IF(AQ107, IF(COUNTIF(Raw!AV107:BK107, "&gt;=0") = 16, IFERROR((AT107*Raw!BK107 - SUM(Raw!BH107, Raw!BI107, Raw!BJ107, Raw!BK107)*SUM(Raw!AY107, Raw!BC107, Raw!BG107, Raw!BK107)) / SQRT((AT107*SUM(Raw!BH107, Raw!BI107, Raw!BJ107, Raw!BK107) - SUM(Raw!BH107, Raw!BI107, Raw!BJ107, Raw!BK107)^2) * (AT107*SUM(Raw!AY107, Raw!BC107, Raw!BG107, Raw!BK107) - SUM(Raw!AY107, Raw!BC107, Raw!BG107, Raw!BK107)^2)), 0), "No Contingency Table"), "Not Included")</f>
        <v>Not Included</v>
      </c>
      <c r="AV107" s="11" t="str">
        <f>IF(AQ107,IF(NOT(ISBLANK(Raw!BQ107)), Raw!BQ107, IF(NOT(ISBLANK(Raw!BR107)), Raw!BR107, "Not Reported")), "Not Included")</f>
        <v>Not Included</v>
      </c>
      <c r="AW107" s="57" t="str">
        <f t="shared" si="14"/>
        <v>Not Included</v>
      </c>
      <c r="AX107" s="11" t="str">
        <f t="shared" si="15"/>
        <v>Not Included</v>
      </c>
      <c r="AY107" s="11" t="b">
        <f t="shared" ref="AY107:AZ107" si="440">AQ107</f>
        <v>0</v>
      </c>
      <c r="AZ107" s="11" t="str">
        <f t="shared" si="440"/>
        <v>Not Included</v>
      </c>
      <c r="BA107" s="11" t="str">
        <f>IF(AY107, IF(COUNTIF(Raw!AV107:BK107, "&gt;=0") = 16, SUM(Raw!AV107,Raw!AW107,Raw!AX107,Raw!AZ107,Raw!BA107,Raw!BB107,Raw!BD107,Raw!BE107,Raw!BF107,Raw!BK107)/SUM(Raw!AV107:BK107), "No Contingency Table"), "Not Included")</f>
        <v>Not Included</v>
      </c>
      <c r="BB107" s="11" t="str">
        <f>IF(AY107, IF(COUNTIF(Raw!AV107:BK107, "&gt;=0") = 16,SUM(SUM(Raw!BH107,Raw!BI107,Raw!BJ107,Raw!BK107)*SUM(Raw!AY107,Raw!BC107,Raw!BG107,Raw!BK107),SUM(Raw!AV107:BG107)*SUM(Raw!AV107,Raw!AW107,Raw!AX107,Raw!AZ107,Raw!BA107,Raw!BB107,Raw!BD107,Raw!BE107,Raw!BF107,Raw!BH107,Raw!BI107,Raw!BJ107))/AT107^2,"No Contingency Table"), "Not Included")</f>
        <v>Not Included</v>
      </c>
      <c r="BC107" s="11" t="str">
        <f>IF(AY107, IF(COUNTIF(Raw!AV107:BK107, "&gt;=0") = 16,(BA107-BB107) / (1 - BB107),"No Contingency Table"), "Not Included")</f>
        <v>Not Included</v>
      </c>
      <c r="BD107" s="11" t="str">
        <f>IF(AY107,IF(NOT(ISBLANK(Raw!BT128)),Raw!BT128,"Not Reported"),"Not Included")</f>
        <v>Not Included</v>
      </c>
      <c r="BE107" s="11" t="str">
        <f t="shared" si="17"/>
        <v>Not Included</v>
      </c>
      <c r="BF107" s="11" t="str">
        <f t="shared" si="18"/>
        <v>Not Included</v>
      </c>
      <c r="BG107" s="11">
        <f>Raw!K107</f>
        <v>1997</v>
      </c>
      <c r="BH107" s="11" t="str">
        <f>IF(Raw!L107 = "USA","USA","Non-USA")</f>
        <v>Non-USA</v>
      </c>
      <c r="BI107" s="11" t="str">
        <f>Raw!M107</f>
        <v>Ainsworth/Ainsworth</v>
      </c>
      <c r="BJ107" s="11">
        <f>Raw!N107</f>
        <v>0</v>
      </c>
      <c r="BK107" s="11">
        <f>Raw!P107</f>
        <v>0</v>
      </c>
      <c r="BL107" s="11">
        <f>Raw!Q107</f>
        <v>0</v>
      </c>
      <c r="BM107" s="11">
        <f>Raw!T107</f>
        <v>0</v>
      </c>
      <c r="BN107" s="11" t="str">
        <f>IFERROR(IF(AND(ISBLANK(Raw!U107), ISBLANK(Raw!V107), ISBLANK(Raw!W107), ISBLANK(Raw!X107)), "NA", IF(OR(NOT(ISBLANK(Raw!U107)), NOT(ISBLANK(Raw!W107))), AVERAGE(Raw!U107,Raw!W107), AVERAGE(Raw!V107,Raw!X107) + IF(Raw!Y107 = "2-way", R107, IF(Raw!Y107 = "3-way", AB107, IF(Raw!Y107 = "4-way", AL107, "NA")))*(1 - AVERAGE(Raw!V107,Raw!X107)))), "NA")</f>
        <v>NA</v>
      </c>
      <c r="BO107" s="11">
        <f>Raw!O107</f>
        <v>1</v>
      </c>
      <c r="BP107" s="11" t="str">
        <f>Raw!F107</f>
        <v>Female</v>
      </c>
      <c r="BQ107" s="11" t="b">
        <f>COUNTIF(Raw!AV107:BK107, "&gt;=0") = 16</f>
        <v>0</v>
      </c>
      <c r="BR107" s="11" t="str">
        <f t="shared" si="19"/>
        <v>Not Included</v>
      </c>
      <c r="BS107" s="11" t="str">
        <f t="shared" si="20"/>
        <v>Not Included</v>
      </c>
      <c r="BT107" s="11" t="str">
        <f>IF(BQ107, IF(COUNTIF(Raw!AV107:BK107, "&gt;=0") = 16, IFERROR((BS107*Raw!AV107 - SUM(Raw!AV107, Raw!AW107, Raw!AX107, Raw!AY107)*SUM(Raw!AV107, Raw!AZ107, Raw!BD107, Raw!BH107)) / SQRT((BS107*SUM(Raw!AV107, Raw!AW107, Raw!AX107, Raw!AY107) - SUM(Raw!AV107, Raw!AW107, Raw!AX107, Raw!AY107)^2) * (BS107*SUM(Raw!AV107, Raw!AZ107, Raw!BD107, Raw!BH107) - SUM(Raw!AV107, Raw!AZ107, Raw!BD107, Raw!BH107)^2)), 0), "No Contingency Table"), "Not Included")</f>
        <v>Not Included</v>
      </c>
      <c r="BU107" s="11" t="str">
        <f>IF(BQ107, IF(COUNTIF(Raw!AV107:BK107, "&gt;=0") = 16, SUM(Raw!BK107,Raw!BJ107,Raw!BI107,Raw!BG107,Raw!BF107,Raw!BE107,Raw!BC107,Raw!BB107,Raw!BA107,Raw!AV107)/SUM(Raw!AV107:BK107), "No Contingency Table"), "Not Included")</f>
        <v>Not Included</v>
      </c>
      <c r="BV107" s="11" t="str">
        <f>IF(BQ107, IF(COUNTIF(Raw!AV107:BK107, "&gt;=0") = 16,SUM(SUM(Raw!AV107,Raw!AW107,Raw!AX107,Raw!AY107)*SUM(Raw!AV107,Raw!AZ107,Raw!BD107,Raw!BH107),SUM(Raw!AZ107:BK107)*SUM(Raw!AW107,Raw!AX107,Raw!AY107,Raw!BA107,Raw!BB107,Raw!BC107,Raw!BE107,Raw!BF107,Raw!BG107,Raw!BI107,Raw!BJ107,Raw!BK107))/BS107^2,"No Contingency Table"), "Not Included")</f>
        <v>Not Included</v>
      </c>
      <c r="BW107" s="11" t="str">
        <f>IF(BQ107, IF(COUNTIF(Raw!AV107:BK107, "&gt;=0") = 16,(BU107-BV107) / (1 - BV107),"No Contingency Table"), "Not Included")</f>
        <v>Not Included</v>
      </c>
      <c r="BX107" s="11" t="b">
        <f t="shared" ref="BX107:BZ107" si="441">BQ107</f>
        <v>0</v>
      </c>
      <c r="BY107" s="11" t="str">
        <f t="shared" si="441"/>
        <v>Not Included</v>
      </c>
      <c r="BZ107" s="11" t="str">
        <f t="shared" si="441"/>
        <v>Not Included</v>
      </c>
      <c r="CA107" s="11" t="str">
        <f>IF(BX107, IF(COUNTIF(Raw!AV107:BK107, "&gt;=0") = 16, IFERROR((BZ107*Raw!BF107 - SUM(Raw!BD107, Raw!BE107, Raw!BF107, Raw!BG107)*SUM(Raw!BF107, Raw!AX107, Raw!BB107, Raw!BJ107)) / SQRT((BZ107*SUM(Raw!BD107, Raw!BE107, Raw!BF107, Raw!BG107) - SUM(Raw!BD107, Raw!BE107, Raw!BF107, Raw!BG107)^2) * (BZ107*SUM(Raw!BF107, Raw!AX107, Raw!BB107, Raw!BJ107) - SUM(Raw!BF107, Raw!AX107, Raw!BB107, Raw!BJ107)^2)), 0), "No Contingency Table"), "Not Included")</f>
        <v>Not Included</v>
      </c>
      <c r="CB107" s="11" t="str">
        <f>IF(BX107, IF(COUNTIF(Raw!AV107:BK107, "&gt;=0") = 16, SUM(Raw!AV107,Raw!AW107,Raw!AY107,Raw!AZ107,Raw!BA107,Raw!BC107,Raw!BF107,Raw!BH107,Raw!BI107,Raw!BK107) / SUM(Raw!AV107:BK107), "No Contingency Table"), "Not Included")</f>
        <v>Not Included</v>
      </c>
      <c r="CC107" s="11" t="str">
        <f>IF(BX107, IF(COUNTIF(Raw!AV107:BK107, "&gt;=0") = 16,SUM(SUM(Raw!BD107,Raw!BE107,Raw!BF107,Raw!BG107)*SUM(Raw!BF107,Raw!AX107,Raw!BB107,Raw!BJ107),SUM(Raw!AV107:BC107,Raw!BH107:BK107)*SUM(Raw!AV107,Raw!AW107,Raw!AY107,Raw!AZ107,Raw!BA107,Raw!BC107,Raw!BD107,Raw!BE107,Raw!BG107,Raw!BH107,Raw!BI107,Raw!BK107))/BZ107^2,"No Contingency Table"), "Not Included")</f>
        <v>Not Included</v>
      </c>
      <c r="CD107" s="11" t="str">
        <f>IF(BX107, IF(COUNTIF(Raw!AV107:BK107, "&gt;=0") = 16,(CB107 - CC107) / (1 - CC107+0.000001),"No Contingency Table"), "Not Included")</f>
        <v>Not Included</v>
      </c>
      <c r="CE107" s="11" t="b">
        <f t="shared" ref="CE107:CG107" si="442">BQ107</f>
        <v>0</v>
      </c>
      <c r="CF107" s="11" t="str">
        <f t="shared" si="442"/>
        <v>Not Included</v>
      </c>
      <c r="CG107" s="11" t="str">
        <f t="shared" si="442"/>
        <v>Not Included</v>
      </c>
      <c r="CH107" s="11" t="str">
        <f>IF(CE107, IF(COUNTIF(Raw!AV107:BK107, "&gt;=0") = 16, IFERROR((CG107*Raw!BA107 - SUM(Raw!BA107, Raw!AZ107, Raw!BB107, Raw!BC107)*SUM(Raw!BA107, Raw!AW107, Raw!BE107, Raw!BI107)) / SQRT((CG107*SUM(Raw!BA107, Raw!AZ107, Raw!BB107, Raw!BC107) - SUM(Raw!BA107, Raw!AZ107, Raw!BB107, Raw!BC107)^2) * (CG107*SUM(Raw!BA107, Raw!AW107, Raw!BE107, Raw!BI107) - SUM(Raw!BA107, Raw!AW107, Raw!BE107, Raw!BI107)^2)), 0), "No Contingency Table"), "Not Included")</f>
        <v>Not Included</v>
      </c>
      <c r="CI107" s="11" t="str">
        <f>IF(CE107, IF(COUNTIF(Raw!AV107:BK107, "&gt;=0") = 16, SUM(Raw!AV107,Raw!AX107,Raw!AY107,Raw!BA107,Raw!BD107,Raw!BF107,Raw!BG107,Raw!BH107,Raw!BJ107,Raw!BK107) / SUM(Raw!AV107:BK107), "No Contingency Table"), "Not Included")</f>
        <v>Not Included</v>
      </c>
      <c r="CJ107" s="61" t="str">
        <f>IF(BX107, IF(COUNTIF(Raw!AV107:BK107, "&gt;=0") = 16,SUM(SUM(Raw!AZ107,Raw!BA107,Raw!BB107,Raw!BC107)*SUM(Raw!BA107,Raw!AW107,Raw!BE107,Raw!BI107),SUM(Raw!AV107:AY107,Raw!BD107:BK107)*SUM(Raw!AV107,Raw!AX107,Raw!AY107,Raw!AZ107,Raw!BB107,Raw!BC107,Raw!BD107,Raw!BF107,Raw!BG107,Raw!BH107,Raw!BJ107,Raw!BK107))/CG107^2,"No Contingency Table"), "Not Included")</f>
        <v>Not Included</v>
      </c>
      <c r="CK107" s="11" t="str">
        <f>IF(BX107, IF(COUNTIF(Raw!AV107:BK107, "&gt;=0") = 16,(CI107 - CJ107) / (1 - CJ107),"No Contingency Table"), "Not Included")</f>
        <v>Not Included</v>
      </c>
      <c r="CL107" s="11" t="str">
        <f>IF(BQ107, IFERROR(Raw!AV107/SUM(Raw!AV107:AY107), 0), "Not Included")</f>
        <v>Not Included</v>
      </c>
      <c r="CM107" s="11" t="str">
        <f>IF(BQ107, IFERROR(Raw!BA107/SUM(Raw!AZ107:BC107), 0), "Not Included")</f>
        <v>Not Included</v>
      </c>
      <c r="CN107" s="11" t="str">
        <f>IF(BQ107, IFERROR(Raw!BF107/SUM(Raw!BD107:BG107), 0), "Not Included")</f>
        <v>Not Included</v>
      </c>
      <c r="CO107" s="11" t="str">
        <f>IF(BQ107, IFERROR(Raw!BK107/SUM(Raw!BH107:BK107), 0), "Not Included")</f>
        <v>Not Included</v>
      </c>
      <c r="CP107" s="11" t="str">
        <f>IF(BQ107, IFERROR(SUM(Raw!AV107,Raw!AX107,Raw!AY107,Raw!BD107,Raw!BF107,Raw!BG107,Raw!BH107,Raw!BJ107,Raw!BK107)/SUM(Raw!AV107,Raw!AW107,Raw!AX107,Raw!AY107,Raw!BD107,Raw!BE107,Raw!BF107,Raw!BG107,Raw!BH107,Raw!BI107,Raw!BJ107,Raw!BK107), 0), "Not Included")</f>
        <v>Not Included</v>
      </c>
      <c r="CQ107" s="11" t="str">
        <f>IF(BQ107, IFERROR(SUM(Raw!AV107:AX107,Raw!AZ107:BB107,Raw!BD107:BF107)/SUM(Raw!AV107:BF107), 0), "Not Included")</f>
        <v>Not Included</v>
      </c>
      <c r="CR107" s="11" t="str">
        <f>IF(BQ107, IFERROR(SUM(Raw!AV107:AY107), 0), "Not Included")</f>
        <v>Not Included</v>
      </c>
      <c r="CS107" s="11" t="str">
        <f>IF(BQ107, IFERROR(SUM(Raw!AZ107:BC107), 0), "Not Included")</f>
        <v>Not Included</v>
      </c>
      <c r="CT107" s="11" t="str">
        <f>IF(BQ107, IFERROR(SUM(Raw!BD107:BG107), 0), "Not Included")</f>
        <v>Not Included</v>
      </c>
      <c r="CU107" s="11" t="str">
        <f>IF(BQ107, IFERROR(SUM(Raw!BH107:BK107), 0), "Not Included")</f>
        <v>Not Included</v>
      </c>
      <c r="CV107" s="11" t="str">
        <f>IF(BQ107, IFERROR(SUM(Raw!AV107,Raw!AW107,Raw!AX107,Raw!AY107,Raw!BD107,Raw!BE107,Raw!BF107,Raw!BG107,Raw!BH107,Raw!BI107,Raw!BJ107,Raw!BK107), 0), "Not Included")</f>
        <v>Not Included</v>
      </c>
      <c r="CW107" s="11" t="str">
        <f>IF(BQ107, IFERROR(SUM(Raw!AV107:BF107), 0), "Not Included")</f>
        <v>Not Included</v>
      </c>
      <c r="CX107" s="11" t="str">
        <f>IF(BQ107, IFERROR((CR107*SUM(Raw!AV107,Raw!AZ107,Raw!BD107,Raw!BH107))/BS107/CR107, 0), "Not Included")</f>
        <v>Not Included</v>
      </c>
      <c r="CY107" s="11" t="str">
        <f>IF(BX107, IFERROR((CS107*SUM(Raw!BA107,Raw!AW107,Raw!BE107,Raw!BI107))/CG107/CS107, 0), "Not Included")</f>
        <v>Not Included</v>
      </c>
      <c r="CZ107" s="11" t="str">
        <f>IF(BX107, IFERROR((CT107*SUM(Raw!BF107,Raw!AX107,Raw!BB107,Raw!BJ107))/BZ107/CT107, 0), "Not Included")</f>
        <v>Not Included</v>
      </c>
      <c r="DA107" s="11" t="str">
        <f>IF(AY107, IFERROR((CU107*SUM(Raw!AY107,Raw!BC107,Raw!BG107,Raw!BK107))/AT107/CU107, 0), "Not Included")</f>
        <v>Not Included</v>
      </c>
      <c r="DB107" s="11" t="str">
        <f>IF(BX107, IFERROR((CV107*SUM(Raw!AV107,Raw!AX107,Raw!AY107,Raw!AZ107,Raw!BB107,Raw!BC107,Raw!BD107,Raw!BF107,Raw!BG107,Raw!BH107,Raw!BJ107,Raw!BK107))/CG107/CV107,0), "Not Included")</f>
        <v>Not Included</v>
      </c>
      <c r="DC107" s="11" t="str">
        <f>IF(AY107, IFERROR((CW107*SUM(Raw!AV107,Raw!AW107,Raw!AX107,Raw!AZ107,Raw!BA107,Raw!BB107,Raw!BD107,Raw!BE107,Raw!BF107,Raw!BH107,Raw!BI107,Raw!BJ107))/AT107/CW107,0), "Not Included")</f>
        <v>Not Included</v>
      </c>
    </row>
    <row r="108" spans="1:107" ht="12.75" customHeight="1">
      <c r="A108" s="11"/>
      <c r="B108" s="11"/>
      <c r="C108" s="11"/>
      <c r="D108" s="11"/>
      <c r="E108" s="11"/>
      <c r="F108" s="11"/>
      <c r="G108" s="11"/>
      <c r="H108" s="15"/>
      <c r="I108" s="15"/>
      <c r="J108" s="15"/>
      <c r="K108" s="38"/>
      <c r="L108" s="41"/>
      <c r="M108" s="43"/>
      <c r="N108" s="11"/>
      <c r="O108" s="48"/>
      <c r="P108" s="48"/>
      <c r="Q108" s="48"/>
      <c r="R108" s="38"/>
      <c r="S108" s="38"/>
      <c r="T108" s="52"/>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83"/>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83"/>
      <c r="CK108" s="11"/>
      <c r="CL108" s="11"/>
      <c r="CM108" s="11"/>
      <c r="CN108" s="11"/>
      <c r="CO108" s="11"/>
      <c r="CP108" s="11"/>
      <c r="CQ108" s="11"/>
      <c r="CR108" s="11"/>
      <c r="CS108" s="11"/>
      <c r="CT108" s="11"/>
      <c r="CU108" s="11"/>
      <c r="CV108" s="11"/>
      <c r="CW108" s="11"/>
      <c r="CX108" s="11"/>
      <c r="CY108" s="11"/>
      <c r="CZ108" s="11"/>
      <c r="DA108" s="11"/>
      <c r="DB108" s="11"/>
      <c r="DC108" s="11"/>
    </row>
    <row r="109" spans="1:107" ht="12.75" customHeight="1">
      <c r="A109" s="11"/>
      <c r="B109" s="11"/>
      <c r="C109" s="11"/>
      <c r="D109" s="11"/>
      <c r="E109" s="11"/>
      <c r="F109" s="11"/>
      <c r="G109" s="11"/>
      <c r="H109" s="15"/>
      <c r="I109" s="38"/>
      <c r="J109" s="38"/>
      <c r="K109" s="38"/>
      <c r="L109" s="41"/>
      <c r="M109" s="43"/>
      <c r="N109" s="11"/>
      <c r="O109" s="48"/>
      <c r="P109" s="48"/>
      <c r="Q109" s="48"/>
      <c r="R109" s="38"/>
      <c r="S109" s="38"/>
      <c r="T109" s="52"/>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83"/>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83"/>
      <c r="CK109" s="11"/>
      <c r="CL109" s="11"/>
      <c r="CM109" s="11"/>
      <c r="CN109" s="11"/>
      <c r="CO109" s="11"/>
      <c r="CP109" s="11"/>
      <c r="CQ109" s="11"/>
      <c r="CR109" s="11"/>
      <c r="CS109" s="11"/>
      <c r="CT109" s="11"/>
      <c r="CU109" s="11"/>
      <c r="CV109" s="11"/>
      <c r="CW109" s="11"/>
      <c r="CX109" s="11"/>
      <c r="CY109" s="11"/>
      <c r="CZ109" s="11"/>
      <c r="DA109" s="11"/>
      <c r="DB109" s="11"/>
      <c r="DC109" s="11"/>
    </row>
    <row r="110" spans="1:107" ht="12.75" customHeight="1">
      <c r="A110" s="11"/>
      <c r="B110" s="11"/>
      <c r="C110" s="11"/>
      <c r="D110" s="11"/>
      <c r="E110" s="11"/>
      <c r="F110" s="11"/>
      <c r="G110" s="11"/>
      <c r="H110" s="15"/>
      <c r="I110" s="38"/>
      <c r="J110" s="38"/>
      <c r="K110" s="38"/>
      <c r="L110" s="41"/>
      <c r="M110" s="43"/>
      <c r="N110" s="11"/>
      <c r="O110" s="48"/>
      <c r="P110" s="48"/>
      <c r="Q110" s="48"/>
      <c r="R110" s="38"/>
      <c r="S110" s="38"/>
      <c r="T110" s="52"/>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83"/>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83"/>
      <c r="CK110" s="11"/>
      <c r="CL110" s="11"/>
      <c r="CM110" s="11"/>
      <c r="CN110" s="11"/>
      <c r="CO110" s="11"/>
      <c r="CP110" s="11"/>
      <c r="CQ110" s="11"/>
      <c r="CR110" s="11"/>
      <c r="CS110" s="11"/>
      <c r="CT110" s="11"/>
      <c r="CU110" s="11"/>
      <c r="CV110" s="11"/>
      <c r="CW110" s="11"/>
      <c r="CX110" s="11"/>
      <c r="CY110" s="11"/>
      <c r="CZ110" s="11"/>
      <c r="DA110" s="11"/>
      <c r="DB110" s="11"/>
      <c r="DC110" s="11"/>
    </row>
    <row r="111" spans="1:107" ht="12.75" customHeight="1">
      <c r="A111" s="11"/>
      <c r="B111" s="11"/>
      <c r="C111" s="11"/>
      <c r="D111" s="11"/>
      <c r="E111" s="11"/>
      <c r="F111" s="11"/>
      <c r="G111" s="11"/>
      <c r="H111" s="15"/>
      <c r="I111" s="38"/>
      <c r="J111" s="38"/>
      <c r="K111" s="38"/>
      <c r="L111" s="41"/>
      <c r="M111" s="43"/>
      <c r="N111" s="11"/>
      <c r="O111" s="48"/>
      <c r="P111" s="48"/>
      <c r="Q111" s="48"/>
      <c r="R111" s="38"/>
      <c r="S111" s="38"/>
      <c r="T111" s="52"/>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83"/>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83"/>
      <c r="CK111" s="11"/>
      <c r="CL111" s="11"/>
      <c r="CM111" s="11"/>
      <c r="CN111" s="11"/>
      <c r="CO111" s="11"/>
      <c r="CP111" s="11"/>
      <c r="CQ111" s="11"/>
      <c r="CR111" s="11"/>
      <c r="CS111" s="11"/>
      <c r="CT111" s="11"/>
      <c r="CU111" s="11"/>
      <c r="CV111" s="11"/>
      <c r="CW111" s="11"/>
      <c r="CX111" s="11"/>
      <c r="CY111" s="11"/>
      <c r="CZ111" s="11"/>
      <c r="DA111" s="11"/>
      <c r="DB111" s="11"/>
      <c r="DC111" s="11"/>
    </row>
    <row r="112" spans="1:107" ht="12.75" customHeight="1">
      <c r="A112" s="11"/>
      <c r="B112" s="11"/>
      <c r="C112" s="11"/>
      <c r="D112" s="11"/>
      <c r="E112" s="11"/>
      <c r="F112" s="11"/>
      <c r="G112" s="11"/>
      <c r="H112" s="15"/>
      <c r="I112" s="38"/>
      <c r="J112" s="38"/>
      <c r="K112" s="38"/>
      <c r="L112" s="41"/>
      <c r="M112" s="43"/>
      <c r="N112" s="11"/>
      <c r="O112" s="48"/>
      <c r="P112" s="48"/>
      <c r="Q112" s="48"/>
      <c r="R112" s="38"/>
      <c r="S112" s="38"/>
      <c r="T112" s="52"/>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83"/>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83"/>
      <c r="CK112" s="11"/>
      <c r="CL112" s="11"/>
      <c r="CM112" s="11"/>
      <c r="CN112" s="11"/>
      <c r="CO112" s="11"/>
      <c r="CP112" s="11"/>
      <c r="CQ112" s="11"/>
      <c r="CR112" s="11"/>
      <c r="CS112" s="11"/>
      <c r="CT112" s="11"/>
      <c r="CU112" s="11"/>
      <c r="CV112" s="11"/>
      <c r="CW112" s="11"/>
      <c r="CX112" s="11"/>
      <c r="CY112" s="11"/>
      <c r="CZ112" s="11"/>
      <c r="DA112" s="11"/>
      <c r="DB112" s="11"/>
      <c r="DC112" s="11"/>
    </row>
    <row r="113" spans="1:107" ht="12.75" customHeight="1">
      <c r="A113" s="11"/>
      <c r="B113" s="11"/>
      <c r="C113" s="11"/>
      <c r="D113" s="11"/>
      <c r="E113" s="11"/>
      <c r="F113" s="11"/>
      <c r="G113" s="11"/>
      <c r="H113" s="15"/>
      <c r="I113" s="38"/>
      <c r="J113" s="38"/>
      <c r="K113" s="38"/>
      <c r="L113" s="41"/>
      <c r="M113" s="43"/>
      <c r="N113" s="11"/>
      <c r="O113" s="48"/>
      <c r="P113" s="48"/>
      <c r="Q113" s="48"/>
      <c r="R113" s="38"/>
      <c r="S113" s="38"/>
      <c r="T113" s="52"/>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83"/>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83"/>
      <c r="CK113" s="11"/>
      <c r="CL113" s="11"/>
      <c r="CM113" s="11"/>
      <c r="CN113" s="11"/>
      <c r="CO113" s="11"/>
      <c r="CP113" s="11"/>
      <c r="CQ113" s="11"/>
      <c r="CR113" s="11"/>
      <c r="CS113" s="11"/>
      <c r="CT113" s="11"/>
      <c r="CU113" s="11"/>
      <c r="CV113" s="11"/>
      <c r="CW113" s="11"/>
      <c r="CX113" s="11"/>
      <c r="CY113" s="11"/>
      <c r="CZ113" s="11"/>
      <c r="DA113" s="11"/>
      <c r="DB113" s="11"/>
      <c r="DC113" s="11"/>
    </row>
    <row r="114" spans="1:107" ht="12.75" customHeight="1">
      <c r="A114" s="11"/>
      <c r="B114" s="11"/>
      <c r="C114" s="11"/>
      <c r="D114" s="11"/>
      <c r="E114" s="11"/>
      <c r="F114" s="11"/>
      <c r="G114" s="11"/>
      <c r="H114" s="15"/>
      <c r="I114" s="38"/>
      <c r="J114" s="38"/>
      <c r="K114" s="38"/>
      <c r="L114" s="41"/>
      <c r="M114" s="43"/>
      <c r="N114" s="11"/>
      <c r="O114" s="48"/>
      <c r="P114" s="48"/>
      <c r="Q114" s="48"/>
      <c r="R114" s="38"/>
      <c r="S114" s="38"/>
      <c r="T114" s="52"/>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83"/>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83"/>
      <c r="CK114" s="11"/>
      <c r="CL114" s="11"/>
      <c r="CM114" s="11"/>
      <c r="CN114" s="11"/>
      <c r="CO114" s="11"/>
      <c r="CP114" s="11"/>
      <c r="CQ114" s="11"/>
      <c r="CR114" s="11"/>
      <c r="CS114" s="11"/>
      <c r="CT114" s="11"/>
      <c r="CU114" s="11"/>
      <c r="CV114" s="11"/>
      <c r="CW114" s="11"/>
      <c r="CX114" s="11"/>
      <c r="CY114" s="11"/>
      <c r="CZ114" s="11"/>
      <c r="DA114" s="11"/>
      <c r="DB114" s="11"/>
      <c r="DC114" s="11"/>
    </row>
    <row r="115" spans="1:107" ht="12.75" customHeight="1">
      <c r="A115" s="11"/>
      <c r="B115" s="11"/>
      <c r="C115" s="11"/>
      <c r="D115" s="11"/>
      <c r="E115" s="11"/>
      <c r="F115" s="11"/>
      <c r="G115" s="11"/>
      <c r="H115" s="15"/>
      <c r="I115" s="38"/>
      <c r="J115" s="38"/>
      <c r="K115" s="38"/>
      <c r="L115" s="41"/>
      <c r="M115" s="43"/>
      <c r="N115" s="11"/>
      <c r="O115" s="48"/>
      <c r="P115" s="48"/>
      <c r="Q115" s="48"/>
      <c r="R115" s="38"/>
      <c r="S115" s="38"/>
      <c r="T115" s="52"/>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83"/>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83"/>
      <c r="CK115" s="11"/>
      <c r="CL115" s="11"/>
      <c r="CM115" s="11"/>
      <c r="CN115" s="11"/>
      <c r="CO115" s="11"/>
      <c r="CP115" s="11"/>
      <c r="CQ115" s="11"/>
      <c r="CR115" s="11"/>
      <c r="CS115" s="11"/>
      <c r="CT115" s="11"/>
      <c r="CU115" s="11"/>
      <c r="CV115" s="11"/>
      <c r="CW115" s="11"/>
      <c r="CX115" s="11"/>
      <c r="CY115" s="11"/>
      <c r="CZ115" s="11"/>
      <c r="DA115" s="11"/>
      <c r="DB115" s="11"/>
      <c r="DC115" s="11"/>
    </row>
    <row r="116" spans="1:107" ht="12.75" customHeight="1">
      <c r="A116" s="11"/>
      <c r="B116" s="11"/>
      <c r="C116" s="11"/>
      <c r="D116" s="11"/>
      <c r="E116" s="11"/>
      <c r="F116" s="11"/>
      <c r="G116" s="11"/>
      <c r="H116" s="15"/>
      <c r="I116" s="38"/>
      <c r="J116" s="38"/>
      <c r="K116" s="38"/>
      <c r="L116" s="41"/>
      <c r="M116" s="43"/>
      <c r="N116" s="11"/>
      <c r="O116" s="48"/>
      <c r="P116" s="48"/>
      <c r="Q116" s="48"/>
      <c r="R116" s="38"/>
      <c r="S116" s="38"/>
      <c r="T116" s="52"/>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83"/>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83"/>
      <c r="CK116" s="11"/>
      <c r="CL116" s="11"/>
      <c r="CM116" s="11"/>
      <c r="CN116" s="11"/>
      <c r="CO116" s="11"/>
      <c r="CP116" s="11"/>
      <c r="CQ116" s="11"/>
      <c r="CR116" s="11"/>
      <c r="CS116" s="11"/>
      <c r="CT116" s="11"/>
      <c r="CU116" s="11"/>
      <c r="CV116" s="11"/>
      <c r="CW116" s="11"/>
      <c r="CX116" s="11"/>
      <c r="CY116" s="11"/>
      <c r="CZ116" s="11"/>
      <c r="DA116" s="11"/>
      <c r="DB116" s="11"/>
      <c r="DC116" s="11"/>
    </row>
    <row r="117" spans="1:107" ht="12.75" customHeight="1">
      <c r="A117" s="11"/>
      <c r="B117" s="11"/>
      <c r="C117" s="11"/>
      <c r="D117" s="11"/>
      <c r="E117" s="11"/>
      <c r="F117" s="11"/>
      <c r="G117" s="11"/>
      <c r="H117" s="15"/>
      <c r="I117" s="38"/>
      <c r="J117" s="38"/>
      <c r="K117" s="38"/>
      <c r="L117" s="41"/>
      <c r="M117" s="43"/>
      <c r="N117" s="11"/>
      <c r="O117" s="48"/>
      <c r="P117" s="48"/>
      <c r="Q117" s="48"/>
      <c r="R117" s="38"/>
      <c r="S117" s="38"/>
      <c r="T117" s="52"/>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83"/>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83"/>
      <c r="CK117" s="11"/>
      <c r="CL117" s="11"/>
      <c r="CM117" s="11"/>
      <c r="CN117" s="11"/>
      <c r="CO117" s="11"/>
      <c r="CP117" s="11"/>
      <c r="CQ117" s="11"/>
      <c r="CR117" s="11"/>
      <c r="CS117" s="11"/>
      <c r="CT117" s="11"/>
      <c r="CU117" s="11"/>
      <c r="CV117" s="11"/>
      <c r="CW117" s="11"/>
      <c r="CX117" s="11"/>
      <c r="CY117" s="11"/>
      <c r="CZ117" s="11"/>
      <c r="DA117" s="11"/>
      <c r="DB117" s="11"/>
      <c r="DC117" s="11"/>
    </row>
    <row r="118" spans="1:107" ht="12.75" customHeight="1">
      <c r="A118" s="11"/>
      <c r="B118" s="11"/>
      <c r="C118" s="11"/>
      <c r="D118" s="11"/>
      <c r="E118" s="11"/>
      <c r="F118" s="11"/>
      <c r="G118" s="11"/>
      <c r="H118" s="15"/>
      <c r="I118" s="38"/>
      <c r="J118" s="38"/>
      <c r="K118" s="38"/>
      <c r="L118" s="41"/>
      <c r="M118" s="43"/>
      <c r="N118" s="11"/>
      <c r="O118" s="48"/>
      <c r="P118" s="48"/>
      <c r="Q118" s="48"/>
      <c r="R118" s="38"/>
      <c r="S118" s="38"/>
      <c r="T118" s="52"/>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83"/>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83"/>
      <c r="CK118" s="11"/>
      <c r="CL118" s="11"/>
      <c r="CM118" s="11"/>
      <c r="CN118" s="11"/>
      <c r="CO118" s="11"/>
      <c r="CP118" s="11"/>
      <c r="CQ118" s="11"/>
      <c r="CR118" s="11"/>
      <c r="CS118" s="11"/>
      <c r="CT118" s="11"/>
      <c r="CU118" s="11"/>
      <c r="CV118" s="11"/>
      <c r="CW118" s="11"/>
      <c r="CX118" s="11"/>
      <c r="CY118" s="11"/>
      <c r="CZ118" s="11"/>
      <c r="DA118" s="11"/>
      <c r="DB118" s="11"/>
      <c r="DC118" s="11"/>
    </row>
    <row r="119" spans="1:107" ht="12.75" customHeight="1">
      <c r="A119" s="11"/>
      <c r="B119" s="11"/>
      <c r="C119" s="11"/>
      <c r="D119" s="11"/>
      <c r="E119" s="11"/>
      <c r="F119" s="11"/>
      <c r="G119" s="11"/>
      <c r="H119" s="15"/>
      <c r="I119" s="38"/>
      <c r="J119" s="38"/>
      <c r="K119" s="38"/>
      <c r="L119" s="41"/>
      <c r="M119" s="43"/>
      <c r="N119" s="11"/>
      <c r="O119" s="48"/>
      <c r="P119" s="48"/>
      <c r="Q119" s="48"/>
      <c r="R119" s="38"/>
      <c r="S119" s="38"/>
      <c r="T119" s="52"/>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83"/>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83"/>
      <c r="CK119" s="11"/>
      <c r="CL119" s="11"/>
      <c r="CM119" s="11"/>
      <c r="CN119" s="11"/>
      <c r="CO119" s="11"/>
      <c r="CP119" s="11"/>
      <c r="CQ119" s="11"/>
      <c r="CR119" s="11"/>
      <c r="CS119" s="11"/>
      <c r="CT119" s="11"/>
      <c r="CU119" s="11"/>
      <c r="CV119" s="11"/>
      <c r="CW119" s="11"/>
      <c r="CX119" s="11"/>
      <c r="CY119" s="11"/>
      <c r="CZ119" s="11"/>
      <c r="DA119" s="11"/>
      <c r="DB119" s="11"/>
      <c r="DC119" s="11"/>
    </row>
    <row r="120" spans="1:107" ht="12.75" customHeight="1">
      <c r="A120" s="11"/>
      <c r="B120" s="11"/>
      <c r="C120" s="11"/>
      <c r="D120" s="11"/>
      <c r="E120" s="11"/>
      <c r="F120" s="11"/>
      <c r="G120" s="11"/>
      <c r="H120" s="15"/>
      <c r="I120" s="38"/>
      <c r="J120" s="38"/>
      <c r="K120" s="38"/>
      <c r="L120" s="41"/>
      <c r="M120" s="43"/>
      <c r="N120" s="11"/>
      <c r="O120" s="48"/>
      <c r="P120" s="48"/>
      <c r="Q120" s="48"/>
      <c r="R120" s="38"/>
      <c r="S120" s="38"/>
      <c r="T120" s="52"/>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83"/>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83"/>
      <c r="CK120" s="11"/>
      <c r="CL120" s="11"/>
      <c r="CM120" s="11"/>
      <c r="CN120" s="11"/>
      <c r="CO120" s="11"/>
      <c r="CP120" s="11"/>
      <c r="CQ120" s="11"/>
      <c r="CR120" s="11"/>
      <c r="CS120" s="11"/>
      <c r="CT120" s="11"/>
      <c r="CU120" s="11"/>
      <c r="CV120" s="11"/>
      <c r="CW120" s="11"/>
      <c r="CX120" s="11"/>
      <c r="CY120" s="11"/>
      <c r="CZ120" s="11"/>
      <c r="DA120" s="11"/>
      <c r="DB120" s="11"/>
      <c r="DC120" s="11"/>
    </row>
    <row r="121" spans="1:107" ht="12.75" customHeight="1">
      <c r="A121" s="11"/>
      <c r="B121" s="11"/>
      <c r="C121" s="11"/>
      <c r="D121" s="11"/>
      <c r="E121" s="11"/>
      <c r="F121" s="11"/>
      <c r="G121" s="11"/>
      <c r="H121" s="15"/>
      <c r="I121" s="38"/>
      <c r="J121" s="38"/>
      <c r="K121" s="38"/>
      <c r="L121" s="41"/>
      <c r="M121" s="43"/>
      <c r="N121" s="11"/>
      <c r="O121" s="48"/>
      <c r="P121" s="48"/>
      <c r="Q121" s="48"/>
      <c r="R121" s="38"/>
      <c r="S121" s="38"/>
      <c r="T121" s="52"/>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83"/>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83"/>
      <c r="CK121" s="11"/>
      <c r="CL121" s="11"/>
      <c r="CM121" s="11"/>
      <c r="CN121" s="11"/>
      <c r="CO121" s="11"/>
      <c r="CP121" s="11"/>
      <c r="CQ121" s="11"/>
      <c r="CR121" s="11"/>
      <c r="CS121" s="11"/>
      <c r="CT121" s="11"/>
      <c r="CU121" s="11"/>
      <c r="CV121" s="11"/>
      <c r="CW121" s="11"/>
      <c r="CX121" s="11"/>
      <c r="CY121" s="11"/>
      <c r="CZ121" s="11"/>
      <c r="DA121" s="11"/>
      <c r="DB121" s="11"/>
      <c r="DC121" s="11"/>
    </row>
    <row r="122" spans="1:107" ht="12.75" customHeight="1">
      <c r="A122" s="11"/>
      <c r="B122" s="11"/>
      <c r="C122" s="11"/>
      <c r="D122" s="11"/>
      <c r="E122" s="11"/>
      <c r="F122" s="11"/>
      <c r="G122" s="11"/>
      <c r="H122" s="15"/>
      <c r="I122" s="38"/>
      <c r="J122" s="38"/>
      <c r="K122" s="38"/>
      <c r="L122" s="41"/>
      <c r="M122" s="43"/>
      <c r="N122" s="11"/>
      <c r="O122" s="48"/>
      <c r="P122" s="48"/>
      <c r="Q122" s="48"/>
      <c r="R122" s="38"/>
      <c r="S122" s="38"/>
      <c r="T122" s="52"/>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83"/>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83"/>
      <c r="CK122" s="11"/>
      <c r="CL122" s="11"/>
      <c r="CM122" s="11"/>
      <c r="CN122" s="11"/>
      <c r="CO122" s="11"/>
      <c r="CP122" s="11"/>
      <c r="CQ122" s="11"/>
      <c r="CR122" s="11"/>
      <c r="CS122" s="11"/>
      <c r="CT122" s="11"/>
      <c r="CU122" s="11"/>
      <c r="CV122" s="11"/>
      <c r="CW122" s="11"/>
      <c r="CX122" s="11"/>
      <c r="CY122" s="11"/>
      <c r="CZ122" s="11"/>
      <c r="DA122" s="11"/>
      <c r="DB122" s="11"/>
      <c r="DC122" s="11"/>
    </row>
    <row r="123" spans="1:107" ht="12.75" customHeight="1">
      <c r="A123" s="11"/>
      <c r="B123" s="11"/>
      <c r="C123" s="11"/>
      <c r="D123" s="11"/>
      <c r="E123" s="11"/>
      <c r="F123" s="11"/>
      <c r="G123" s="11"/>
      <c r="H123" s="15"/>
      <c r="I123" s="38"/>
      <c r="J123" s="38"/>
      <c r="K123" s="38"/>
      <c r="L123" s="41"/>
      <c r="M123" s="43"/>
      <c r="N123" s="11"/>
      <c r="O123" s="48"/>
      <c r="P123" s="48"/>
      <c r="Q123" s="48"/>
      <c r="R123" s="38"/>
      <c r="S123" s="38"/>
      <c r="T123" s="52"/>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83"/>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83"/>
      <c r="CK123" s="11"/>
      <c r="CL123" s="11"/>
      <c r="CM123" s="11"/>
      <c r="CN123" s="11"/>
      <c r="CO123" s="11"/>
      <c r="CP123" s="11"/>
      <c r="CQ123" s="11"/>
      <c r="CR123" s="11"/>
      <c r="CS123" s="11"/>
      <c r="CT123" s="11"/>
      <c r="CU123" s="11"/>
      <c r="CV123" s="11"/>
      <c r="CW123" s="11"/>
      <c r="CX123" s="11"/>
      <c r="CY123" s="11"/>
      <c r="CZ123" s="11"/>
      <c r="DA123" s="11"/>
      <c r="DB123" s="11"/>
      <c r="DC123" s="11"/>
    </row>
    <row r="124" spans="1:107" ht="12.75" customHeight="1">
      <c r="A124" s="11"/>
      <c r="B124" s="11"/>
      <c r="C124" s="11"/>
      <c r="D124" s="11"/>
      <c r="E124" s="11"/>
      <c r="F124" s="11"/>
      <c r="G124" s="11"/>
      <c r="H124" s="15"/>
      <c r="I124" s="38"/>
      <c r="J124" s="38"/>
      <c r="K124" s="38"/>
      <c r="L124" s="41"/>
      <c r="M124" s="43"/>
      <c r="N124" s="11"/>
      <c r="O124" s="48"/>
      <c r="P124" s="48"/>
      <c r="Q124" s="48"/>
      <c r="R124" s="38"/>
      <c r="S124" s="38"/>
      <c r="T124" s="52"/>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83"/>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83"/>
      <c r="CK124" s="11"/>
      <c r="CL124" s="11"/>
      <c r="CM124" s="11"/>
      <c r="CN124" s="11"/>
      <c r="CO124" s="11"/>
      <c r="CP124" s="11"/>
      <c r="CQ124" s="11"/>
      <c r="CR124" s="11"/>
      <c r="CS124" s="11"/>
      <c r="CT124" s="11"/>
      <c r="CU124" s="11"/>
      <c r="CV124" s="11"/>
      <c r="CW124" s="11"/>
      <c r="CX124" s="11"/>
      <c r="CY124" s="11"/>
      <c r="CZ124" s="11"/>
      <c r="DA124" s="11"/>
      <c r="DB124" s="11"/>
      <c r="DC124" s="11"/>
    </row>
    <row r="125" spans="1:107" ht="12.75" customHeight="1">
      <c r="A125" s="11"/>
      <c r="B125" s="11"/>
      <c r="C125" s="11"/>
      <c r="D125" s="11"/>
      <c r="E125" s="11"/>
      <c r="F125" s="11"/>
      <c r="G125" s="11"/>
      <c r="H125" s="15"/>
      <c r="I125" s="38"/>
      <c r="J125" s="38"/>
      <c r="K125" s="38"/>
      <c r="L125" s="41"/>
      <c r="M125" s="43"/>
      <c r="N125" s="11"/>
      <c r="O125" s="48"/>
      <c r="P125" s="48"/>
      <c r="Q125" s="48"/>
      <c r="R125" s="38"/>
      <c r="S125" s="38"/>
      <c r="T125" s="52"/>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83"/>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83"/>
      <c r="CK125" s="11"/>
      <c r="CL125" s="11"/>
      <c r="CM125" s="11"/>
      <c r="CN125" s="11"/>
      <c r="CO125" s="11"/>
      <c r="CP125" s="11"/>
      <c r="CQ125" s="11"/>
      <c r="CR125" s="11"/>
      <c r="CS125" s="11"/>
      <c r="CT125" s="11"/>
      <c r="CU125" s="11"/>
      <c r="CV125" s="11"/>
      <c r="CW125" s="11"/>
      <c r="CX125" s="11"/>
      <c r="CY125" s="11"/>
      <c r="CZ125" s="11"/>
      <c r="DA125" s="11"/>
      <c r="DB125" s="11"/>
      <c r="DC125" s="11"/>
    </row>
    <row r="126" spans="1:107" ht="12.75" customHeight="1">
      <c r="A126" s="11"/>
      <c r="B126" s="11"/>
      <c r="C126" s="11"/>
      <c r="D126" s="11"/>
      <c r="E126" s="11"/>
      <c r="F126" s="11"/>
      <c r="G126" s="11"/>
      <c r="H126" s="15"/>
      <c r="I126" s="38"/>
      <c r="J126" s="38"/>
      <c r="K126" s="38"/>
      <c r="L126" s="41"/>
      <c r="M126" s="43"/>
      <c r="N126" s="11"/>
      <c r="O126" s="48"/>
      <c r="P126" s="48"/>
      <c r="Q126" s="48"/>
      <c r="R126" s="38"/>
      <c r="S126" s="38"/>
      <c r="T126" s="52"/>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83"/>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83"/>
      <c r="CK126" s="11"/>
      <c r="CL126" s="11"/>
      <c r="CM126" s="11"/>
      <c r="CN126" s="11"/>
      <c r="CO126" s="11"/>
      <c r="CP126" s="11"/>
      <c r="CQ126" s="11"/>
      <c r="CR126" s="11"/>
      <c r="CS126" s="11"/>
      <c r="CT126" s="11"/>
      <c r="CU126" s="11"/>
      <c r="CV126" s="11"/>
      <c r="CW126" s="11"/>
      <c r="CX126" s="11"/>
      <c r="CY126" s="11"/>
      <c r="CZ126" s="11"/>
      <c r="DA126" s="11"/>
      <c r="DB126" s="11"/>
      <c r="DC126" s="11"/>
    </row>
    <row r="127" spans="1:107" ht="12.75" customHeight="1">
      <c r="A127" s="11"/>
      <c r="B127" s="11"/>
      <c r="C127" s="11"/>
      <c r="D127" s="11"/>
      <c r="E127" s="11"/>
      <c r="F127" s="11"/>
      <c r="G127" s="11"/>
      <c r="H127" s="15"/>
      <c r="I127" s="38"/>
      <c r="J127" s="38"/>
      <c r="K127" s="38"/>
      <c r="L127" s="41"/>
      <c r="M127" s="43"/>
      <c r="N127" s="11"/>
      <c r="O127" s="48"/>
      <c r="P127" s="48"/>
      <c r="Q127" s="48"/>
      <c r="R127" s="38"/>
      <c r="S127" s="38"/>
      <c r="T127" s="52"/>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83"/>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83"/>
      <c r="CK127" s="11"/>
      <c r="CL127" s="11"/>
      <c r="CM127" s="11"/>
      <c r="CN127" s="11"/>
      <c r="CO127" s="11"/>
      <c r="CP127" s="11"/>
      <c r="CQ127" s="11"/>
      <c r="CR127" s="11"/>
      <c r="CS127" s="11"/>
      <c r="CT127" s="11"/>
      <c r="CU127" s="11"/>
      <c r="CV127" s="11"/>
      <c r="CW127" s="11"/>
      <c r="CX127" s="11"/>
      <c r="CY127" s="11"/>
      <c r="CZ127" s="11"/>
      <c r="DA127" s="11"/>
      <c r="DB127" s="11"/>
      <c r="DC127" s="11"/>
    </row>
    <row r="128" spans="1:107" ht="12.75" customHeight="1">
      <c r="A128" s="11"/>
      <c r="B128" s="11"/>
      <c r="C128" s="11"/>
      <c r="D128" s="11"/>
      <c r="E128" s="11"/>
      <c r="F128" s="11"/>
      <c r="G128" s="11"/>
      <c r="H128" s="15"/>
      <c r="I128" s="38"/>
      <c r="J128" s="38"/>
      <c r="K128" s="38"/>
      <c r="L128" s="41"/>
      <c r="M128" s="43"/>
      <c r="N128" s="11"/>
      <c r="O128" s="48"/>
      <c r="P128" s="48"/>
      <c r="Q128" s="48"/>
      <c r="R128" s="38"/>
      <c r="S128" s="38"/>
      <c r="T128" s="52"/>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83"/>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83"/>
      <c r="CK128" s="11"/>
      <c r="CL128" s="11"/>
      <c r="CM128" s="11"/>
      <c r="CN128" s="11"/>
      <c r="CO128" s="11"/>
      <c r="CP128" s="11"/>
      <c r="CQ128" s="11"/>
      <c r="CR128" s="11"/>
      <c r="CS128" s="11"/>
      <c r="CT128" s="11"/>
      <c r="CU128" s="11"/>
      <c r="CV128" s="11"/>
      <c r="CW128" s="11"/>
      <c r="CX128" s="11"/>
      <c r="CY128" s="11"/>
      <c r="CZ128" s="11"/>
      <c r="DA128" s="11"/>
      <c r="DB128" s="11"/>
      <c r="DC128" s="11"/>
    </row>
    <row r="129" spans="1:107" ht="12.75" customHeight="1">
      <c r="A129" s="11"/>
      <c r="B129" s="11"/>
      <c r="C129" s="11"/>
      <c r="D129" s="11"/>
      <c r="E129" s="11"/>
      <c r="F129" s="11"/>
      <c r="G129" s="11"/>
      <c r="H129" s="15"/>
      <c r="I129" s="38"/>
      <c r="J129" s="38"/>
      <c r="K129" s="38"/>
      <c r="L129" s="41"/>
      <c r="M129" s="43"/>
      <c r="N129" s="11"/>
      <c r="O129" s="48"/>
      <c r="P129" s="48"/>
      <c r="Q129" s="48"/>
      <c r="R129" s="38"/>
      <c r="S129" s="38"/>
      <c r="T129" s="52"/>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83"/>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83"/>
      <c r="CK129" s="11"/>
      <c r="CL129" s="11"/>
      <c r="CM129" s="11"/>
      <c r="CN129" s="11"/>
      <c r="CO129" s="11"/>
      <c r="CP129" s="11"/>
      <c r="CQ129" s="11"/>
      <c r="CR129" s="11"/>
      <c r="CS129" s="11"/>
      <c r="CT129" s="11"/>
      <c r="CU129" s="11"/>
      <c r="CV129" s="11"/>
      <c r="CW129" s="11"/>
      <c r="CX129" s="11"/>
      <c r="CY129" s="11"/>
      <c r="CZ129" s="11"/>
      <c r="DA129" s="11"/>
      <c r="DB129" s="11"/>
      <c r="DC129" s="11"/>
    </row>
    <row r="130" spans="1:107" ht="12.75" customHeight="1">
      <c r="A130" s="11"/>
      <c r="B130" s="11"/>
      <c r="C130" s="11"/>
      <c r="D130" s="11"/>
      <c r="E130" s="11"/>
      <c r="F130" s="11"/>
      <c r="G130" s="11"/>
      <c r="H130" s="15"/>
      <c r="I130" s="38"/>
      <c r="J130" s="38"/>
      <c r="K130" s="38"/>
      <c r="L130" s="41"/>
      <c r="M130" s="43"/>
      <c r="N130" s="11"/>
      <c r="O130" s="48"/>
      <c r="P130" s="48"/>
      <c r="Q130" s="48"/>
      <c r="R130" s="38"/>
      <c r="S130" s="38"/>
      <c r="T130" s="52"/>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83"/>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83"/>
      <c r="CK130" s="11"/>
      <c r="CL130" s="11"/>
      <c r="CM130" s="11"/>
      <c r="CN130" s="11"/>
      <c r="CO130" s="11"/>
      <c r="CP130" s="11"/>
      <c r="CQ130" s="11"/>
      <c r="CR130" s="11"/>
      <c r="CS130" s="11"/>
      <c r="CT130" s="11"/>
      <c r="CU130" s="11"/>
      <c r="CV130" s="11"/>
      <c r="CW130" s="11"/>
      <c r="CX130" s="11"/>
      <c r="CY130" s="11"/>
      <c r="CZ130" s="11"/>
      <c r="DA130" s="11"/>
      <c r="DB130" s="11"/>
      <c r="DC130" s="11"/>
    </row>
    <row r="131" spans="1:107" ht="12.75" customHeight="1">
      <c r="A131" s="11"/>
      <c r="B131" s="11"/>
      <c r="C131" s="11"/>
      <c r="D131" s="11"/>
      <c r="E131" s="11"/>
      <c r="F131" s="11"/>
      <c r="G131" s="11"/>
      <c r="H131" s="15"/>
      <c r="I131" s="38"/>
      <c r="J131" s="38"/>
      <c r="K131" s="38"/>
      <c r="L131" s="41"/>
      <c r="M131" s="43"/>
      <c r="N131" s="11"/>
      <c r="O131" s="48"/>
      <c r="P131" s="48"/>
      <c r="Q131" s="48"/>
      <c r="R131" s="38"/>
      <c r="S131" s="38"/>
      <c r="T131" s="52"/>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83"/>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83"/>
      <c r="CK131" s="11"/>
      <c r="CL131" s="11"/>
      <c r="CM131" s="11"/>
      <c r="CN131" s="11"/>
      <c r="CO131" s="11"/>
      <c r="CP131" s="11"/>
      <c r="CQ131" s="11"/>
      <c r="CR131" s="11"/>
      <c r="CS131" s="11"/>
      <c r="CT131" s="11"/>
      <c r="CU131" s="11"/>
      <c r="CV131" s="11"/>
      <c r="CW131" s="11"/>
      <c r="CX131" s="11"/>
      <c r="CY131" s="11"/>
      <c r="CZ131" s="11"/>
      <c r="DA131" s="11"/>
      <c r="DB131" s="11"/>
      <c r="DC131" s="11"/>
    </row>
    <row r="132" spans="1:107" ht="12.75" customHeight="1">
      <c r="A132" s="11"/>
      <c r="B132" s="11"/>
      <c r="C132" s="11"/>
      <c r="D132" s="11"/>
      <c r="E132" s="11"/>
      <c r="F132" s="11"/>
      <c r="G132" s="11"/>
      <c r="H132" s="15"/>
      <c r="I132" s="38"/>
      <c r="J132" s="38"/>
      <c r="K132" s="38"/>
      <c r="L132" s="41"/>
      <c r="M132" s="43"/>
      <c r="N132" s="11"/>
      <c r="O132" s="48"/>
      <c r="P132" s="48"/>
      <c r="Q132" s="48"/>
      <c r="R132" s="38"/>
      <c r="S132" s="38"/>
      <c r="T132" s="52"/>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83"/>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83"/>
      <c r="CK132" s="11"/>
      <c r="CL132" s="11"/>
      <c r="CM132" s="11"/>
      <c r="CN132" s="11"/>
      <c r="CO132" s="11"/>
      <c r="CP132" s="11"/>
      <c r="CQ132" s="11"/>
      <c r="CR132" s="11"/>
      <c r="CS132" s="11"/>
      <c r="CT132" s="11"/>
      <c r="CU132" s="11"/>
      <c r="CV132" s="11"/>
      <c r="CW132" s="11"/>
      <c r="CX132" s="11"/>
      <c r="CY132" s="11"/>
      <c r="CZ132" s="11"/>
      <c r="DA132" s="11"/>
      <c r="DB132" s="11"/>
      <c r="DC132" s="11"/>
    </row>
    <row r="133" spans="1:107" ht="12.75" customHeight="1">
      <c r="A133" s="11"/>
      <c r="B133" s="11"/>
      <c r="C133" s="11"/>
      <c r="D133" s="11"/>
      <c r="E133" s="11"/>
      <c r="F133" s="11"/>
      <c r="G133" s="11"/>
      <c r="H133" s="15"/>
      <c r="I133" s="38"/>
      <c r="J133" s="38"/>
      <c r="K133" s="38"/>
      <c r="L133" s="41"/>
      <c r="M133" s="43"/>
      <c r="N133" s="11"/>
      <c r="O133" s="48"/>
      <c r="P133" s="48"/>
      <c r="Q133" s="48"/>
      <c r="R133" s="38"/>
      <c r="S133" s="38"/>
      <c r="T133" s="52"/>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83"/>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83"/>
      <c r="CK133" s="11"/>
      <c r="CL133" s="11"/>
      <c r="CM133" s="11"/>
      <c r="CN133" s="11"/>
      <c r="CO133" s="11"/>
      <c r="CP133" s="11"/>
      <c r="CQ133" s="11"/>
      <c r="CR133" s="11"/>
      <c r="CS133" s="11"/>
      <c r="CT133" s="11"/>
      <c r="CU133" s="11"/>
      <c r="CV133" s="11"/>
      <c r="CW133" s="11"/>
      <c r="CX133" s="11"/>
      <c r="CY133" s="11"/>
      <c r="CZ133" s="11"/>
      <c r="DA133" s="11"/>
      <c r="DB133" s="11"/>
      <c r="DC133" s="11"/>
    </row>
    <row r="134" spans="1:107" ht="12.75" customHeight="1">
      <c r="A134" s="11"/>
      <c r="B134" s="11"/>
      <c r="C134" s="11"/>
      <c r="D134" s="11"/>
      <c r="E134" s="11"/>
      <c r="F134" s="11"/>
      <c r="G134" s="11"/>
      <c r="H134" s="15"/>
      <c r="I134" s="38"/>
      <c r="J134" s="38"/>
      <c r="K134" s="38"/>
      <c r="L134" s="41"/>
      <c r="M134" s="43"/>
      <c r="N134" s="11"/>
      <c r="O134" s="48"/>
      <c r="P134" s="48"/>
      <c r="Q134" s="48"/>
      <c r="R134" s="38"/>
      <c r="S134" s="38"/>
      <c r="T134" s="52"/>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83"/>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83"/>
      <c r="CK134" s="11"/>
      <c r="CL134" s="11"/>
      <c r="CM134" s="11"/>
      <c r="CN134" s="11"/>
      <c r="CO134" s="11"/>
      <c r="CP134" s="11"/>
      <c r="CQ134" s="11"/>
      <c r="CR134" s="11"/>
      <c r="CS134" s="11"/>
      <c r="CT134" s="11"/>
      <c r="CU134" s="11"/>
      <c r="CV134" s="11"/>
      <c r="CW134" s="11"/>
      <c r="CX134" s="11"/>
      <c r="CY134" s="11"/>
      <c r="CZ134" s="11"/>
      <c r="DA134" s="11"/>
      <c r="DB134" s="11"/>
      <c r="DC134" s="11"/>
    </row>
    <row r="135" spans="1:107" ht="12.75" customHeight="1">
      <c r="A135" s="11"/>
      <c r="B135" s="11"/>
      <c r="C135" s="11"/>
      <c r="D135" s="11"/>
      <c r="E135" s="11"/>
      <c r="F135" s="11"/>
      <c r="G135" s="11"/>
      <c r="H135" s="15"/>
      <c r="I135" s="38"/>
      <c r="J135" s="38"/>
      <c r="K135" s="38"/>
      <c r="L135" s="41"/>
      <c r="M135" s="43"/>
      <c r="N135" s="11"/>
      <c r="O135" s="48"/>
      <c r="P135" s="48"/>
      <c r="Q135" s="48"/>
      <c r="R135" s="38"/>
      <c r="S135" s="38"/>
      <c r="T135" s="52"/>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83"/>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83"/>
      <c r="CK135" s="11"/>
      <c r="CL135" s="11"/>
      <c r="CM135" s="11"/>
      <c r="CN135" s="11"/>
      <c r="CO135" s="11"/>
      <c r="CP135" s="11"/>
      <c r="CQ135" s="11"/>
      <c r="CR135" s="11"/>
      <c r="CS135" s="11"/>
      <c r="CT135" s="11"/>
      <c r="CU135" s="11"/>
      <c r="CV135" s="11"/>
      <c r="CW135" s="11"/>
      <c r="CX135" s="11"/>
      <c r="CY135" s="11"/>
      <c r="CZ135" s="11"/>
      <c r="DA135" s="11"/>
      <c r="DB135" s="11"/>
      <c r="DC135" s="11"/>
    </row>
    <row r="136" spans="1:107" ht="12.75" customHeight="1">
      <c r="A136" s="11"/>
      <c r="B136" s="11"/>
      <c r="C136" s="11"/>
      <c r="D136" s="11"/>
      <c r="E136" s="11"/>
      <c r="F136" s="11"/>
      <c r="G136" s="11"/>
      <c r="H136" s="15"/>
      <c r="I136" s="38"/>
      <c r="J136" s="38"/>
      <c r="K136" s="38"/>
      <c r="L136" s="41"/>
      <c r="M136" s="43"/>
      <c r="N136" s="11"/>
      <c r="O136" s="48"/>
      <c r="P136" s="48"/>
      <c r="Q136" s="48"/>
      <c r="R136" s="38"/>
      <c r="S136" s="38"/>
      <c r="T136" s="52"/>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83"/>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83"/>
      <c r="CK136" s="11"/>
      <c r="CL136" s="11"/>
      <c r="CM136" s="11"/>
      <c r="CN136" s="11"/>
      <c r="CO136" s="11"/>
      <c r="CP136" s="11"/>
      <c r="CQ136" s="11"/>
      <c r="CR136" s="11"/>
      <c r="CS136" s="11"/>
      <c r="CT136" s="11"/>
      <c r="CU136" s="11"/>
      <c r="CV136" s="11"/>
      <c r="CW136" s="11"/>
      <c r="CX136" s="11"/>
      <c r="CY136" s="11"/>
      <c r="CZ136" s="11"/>
      <c r="DA136" s="11"/>
      <c r="DB136" s="11"/>
      <c r="DC136" s="11"/>
    </row>
    <row r="137" spans="1:107" ht="12.75" customHeight="1">
      <c r="A137" s="11"/>
      <c r="B137" s="11"/>
      <c r="C137" s="11"/>
      <c r="D137" s="11"/>
      <c r="E137" s="11"/>
      <c r="F137" s="11"/>
      <c r="G137" s="11"/>
      <c r="H137" s="15"/>
      <c r="I137" s="38"/>
      <c r="J137" s="38"/>
      <c r="K137" s="38"/>
      <c r="L137" s="41"/>
      <c r="M137" s="43"/>
      <c r="N137" s="11"/>
      <c r="O137" s="48"/>
      <c r="P137" s="48"/>
      <c r="Q137" s="48"/>
      <c r="R137" s="38"/>
      <c r="S137" s="38"/>
      <c r="T137" s="52"/>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83"/>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83"/>
      <c r="CK137" s="11"/>
      <c r="CL137" s="11"/>
      <c r="CM137" s="11"/>
      <c r="CN137" s="11"/>
      <c r="CO137" s="11"/>
      <c r="CP137" s="11"/>
      <c r="CQ137" s="11"/>
      <c r="CR137" s="11"/>
      <c r="CS137" s="11"/>
      <c r="CT137" s="11"/>
      <c r="CU137" s="11"/>
      <c r="CV137" s="11"/>
      <c r="CW137" s="11"/>
      <c r="CX137" s="11"/>
      <c r="CY137" s="11"/>
      <c r="CZ137" s="11"/>
      <c r="DA137" s="11"/>
      <c r="DB137" s="11"/>
      <c r="DC137" s="11"/>
    </row>
    <row r="138" spans="1:107" ht="12.75" customHeight="1">
      <c r="A138" s="11"/>
      <c r="B138" s="11"/>
      <c r="C138" s="11"/>
      <c r="D138" s="11"/>
      <c r="E138" s="11"/>
      <c r="F138" s="11"/>
      <c r="G138" s="11"/>
      <c r="H138" s="15"/>
      <c r="I138" s="38"/>
      <c r="J138" s="38"/>
      <c r="K138" s="38"/>
      <c r="L138" s="41"/>
      <c r="M138" s="43"/>
      <c r="N138" s="11"/>
      <c r="O138" s="48"/>
      <c r="P138" s="48"/>
      <c r="Q138" s="48"/>
      <c r="R138" s="38"/>
      <c r="S138" s="38"/>
      <c r="T138" s="52"/>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83"/>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83"/>
      <c r="CK138" s="11"/>
      <c r="CL138" s="11"/>
      <c r="CM138" s="11"/>
      <c r="CN138" s="11"/>
      <c r="CO138" s="11"/>
      <c r="CP138" s="11"/>
      <c r="CQ138" s="11"/>
      <c r="CR138" s="11"/>
      <c r="CS138" s="11"/>
      <c r="CT138" s="11"/>
      <c r="CU138" s="11"/>
      <c r="CV138" s="11"/>
      <c r="CW138" s="11"/>
      <c r="CX138" s="11"/>
      <c r="CY138" s="11"/>
      <c r="CZ138" s="11"/>
      <c r="DA138" s="11"/>
      <c r="DB138" s="11"/>
      <c r="DC138" s="11"/>
    </row>
    <row r="139" spans="1:107" ht="12.75" customHeight="1">
      <c r="A139" s="11"/>
      <c r="B139" s="11"/>
      <c r="C139" s="11"/>
      <c r="D139" s="11"/>
      <c r="E139" s="11"/>
      <c r="F139" s="11"/>
      <c r="G139" s="11"/>
      <c r="H139" s="15"/>
      <c r="I139" s="38"/>
      <c r="J139" s="38"/>
      <c r="K139" s="38"/>
      <c r="L139" s="41"/>
      <c r="M139" s="43"/>
      <c r="N139" s="11"/>
      <c r="O139" s="48"/>
      <c r="P139" s="48"/>
      <c r="Q139" s="48"/>
      <c r="R139" s="38"/>
      <c r="S139" s="38"/>
      <c r="T139" s="52"/>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83"/>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83"/>
      <c r="CK139" s="11"/>
      <c r="CL139" s="11"/>
      <c r="CM139" s="11"/>
      <c r="CN139" s="11"/>
      <c r="CO139" s="11"/>
      <c r="CP139" s="11"/>
      <c r="CQ139" s="11"/>
      <c r="CR139" s="11"/>
      <c r="CS139" s="11"/>
      <c r="CT139" s="11"/>
      <c r="CU139" s="11"/>
      <c r="CV139" s="11"/>
      <c r="CW139" s="11"/>
      <c r="CX139" s="11"/>
      <c r="CY139" s="11"/>
      <c r="CZ139" s="11"/>
      <c r="DA139" s="11"/>
      <c r="DB139" s="11"/>
      <c r="DC139" s="11"/>
    </row>
    <row r="140" spans="1:107" ht="12.75" customHeight="1">
      <c r="A140" s="11"/>
      <c r="B140" s="11"/>
      <c r="C140" s="11"/>
      <c r="D140" s="11"/>
      <c r="E140" s="11"/>
      <c r="F140" s="11"/>
      <c r="G140" s="11"/>
      <c r="H140" s="15"/>
      <c r="I140" s="38"/>
      <c r="J140" s="38"/>
      <c r="K140" s="38"/>
      <c r="L140" s="41"/>
      <c r="M140" s="43"/>
      <c r="N140" s="11"/>
      <c r="O140" s="48"/>
      <c r="P140" s="48"/>
      <c r="Q140" s="48"/>
      <c r="R140" s="38"/>
      <c r="S140" s="38"/>
      <c r="T140" s="52"/>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83"/>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83"/>
      <c r="CK140" s="11"/>
      <c r="CL140" s="11"/>
      <c r="CM140" s="11"/>
      <c r="CN140" s="11"/>
      <c r="CO140" s="11"/>
      <c r="CP140" s="11"/>
      <c r="CQ140" s="11"/>
      <c r="CR140" s="11"/>
      <c r="CS140" s="11"/>
      <c r="CT140" s="11"/>
      <c r="CU140" s="11"/>
      <c r="CV140" s="11"/>
      <c r="CW140" s="11"/>
      <c r="CX140" s="11"/>
      <c r="CY140" s="11"/>
      <c r="CZ140" s="11"/>
      <c r="DA140" s="11"/>
      <c r="DB140" s="11"/>
      <c r="DC140" s="11"/>
    </row>
    <row r="141" spans="1:107" ht="12.75" customHeight="1">
      <c r="A141" s="11"/>
      <c r="B141" s="11"/>
      <c r="C141" s="11"/>
      <c r="D141" s="11"/>
      <c r="E141" s="11"/>
      <c r="F141" s="11"/>
      <c r="G141" s="11"/>
      <c r="H141" s="15"/>
      <c r="I141" s="38"/>
      <c r="J141" s="38"/>
      <c r="K141" s="38"/>
      <c r="L141" s="41"/>
      <c r="M141" s="43"/>
      <c r="N141" s="11"/>
      <c r="O141" s="48"/>
      <c r="P141" s="48"/>
      <c r="Q141" s="48"/>
      <c r="R141" s="38"/>
      <c r="S141" s="38"/>
      <c r="T141" s="52"/>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83"/>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83"/>
      <c r="CK141" s="11"/>
      <c r="CL141" s="11"/>
      <c r="CM141" s="11"/>
      <c r="CN141" s="11"/>
      <c r="CO141" s="11"/>
      <c r="CP141" s="11"/>
      <c r="CQ141" s="11"/>
      <c r="CR141" s="11"/>
      <c r="CS141" s="11"/>
      <c r="CT141" s="11"/>
      <c r="CU141" s="11"/>
      <c r="CV141" s="11"/>
      <c r="CW141" s="11"/>
      <c r="CX141" s="11"/>
      <c r="CY141" s="11"/>
      <c r="CZ141" s="11"/>
      <c r="DA141" s="11"/>
      <c r="DB141" s="11"/>
      <c r="DC141" s="11"/>
    </row>
    <row r="142" spans="1:107" ht="12.75" customHeight="1">
      <c r="A142" s="11"/>
      <c r="B142" s="11"/>
      <c r="C142" s="11"/>
      <c r="D142" s="11"/>
      <c r="E142" s="11"/>
      <c r="F142" s="11"/>
      <c r="G142" s="11"/>
      <c r="H142" s="15"/>
      <c r="I142" s="38"/>
      <c r="J142" s="38"/>
      <c r="K142" s="38"/>
      <c r="L142" s="41"/>
      <c r="M142" s="43"/>
      <c r="N142" s="11"/>
      <c r="O142" s="48"/>
      <c r="P142" s="48"/>
      <c r="Q142" s="48"/>
      <c r="R142" s="38"/>
      <c r="S142" s="38"/>
      <c r="T142" s="52"/>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83"/>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83"/>
      <c r="CK142" s="11"/>
      <c r="CL142" s="11"/>
      <c r="CM142" s="11"/>
      <c r="CN142" s="11"/>
      <c r="CO142" s="11"/>
      <c r="CP142" s="11"/>
      <c r="CQ142" s="11"/>
      <c r="CR142" s="11"/>
      <c r="CS142" s="11"/>
      <c r="CT142" s="11"/>
      <c r="CU142" s="11"/>
      <c r="CV142" s="11"/>
      <c r="CW142" s="11"/>
      <c r="CX142" s="11"/>
      <c r="CY142" s="11"/>
      <c r="CZ142" s="11"/>
      <c r="DA142" s="11"/>
      <c r="DB142" s="11"/>
      <c r="DC142" s="11"/>
    </row>
    <row r="143" spans="1:107" ht="12.75" customHeight="1">
      <c r="A143" s="11"/>
      <c r="B143" s="11"/>
      <c r="C143" s="11"/>
      <c r="D143" s="11"/>
      <c r="E143" s="11"/>
      <c r="F143" s="11"/>
      <c r="G143" s="11"/>
      <c r="H143" s="15"/>
      <c r="I143" s="38"/>
      <c r="J143" s="38"/>
      <c r="K143" s="38"/>
      <c r="L143" s="41"/>
      <c r="M143" s="43"/>
      <c r="N143" s="11"/>
      <c r="O143" s="48"/>
      <c r="P143" s="48"/>
      <c r="Q143" s="48"/>
      <c r="R143" s="38"/>
      <c r="S143" s="38"/>
      <c r="T143" s="52"/>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83"/>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83"/>
      <c r="CK143" s="11"/>
      <c r="CL143" s="11"/>
      <c r="CM143" s="11"/>
      <c r="CN143" s="11"/>
      <c r="CO143" s="11"/>
      <c r="CP143" s="11"/>
      <c r="CQ143" s="11"/>
      <c r="CR143" s="11"/>
      <c r="CS143" s="11"/>
      <c r="CT143" s="11"/>
      <c r="CU143" s="11"/>
      <c r="CV143" s="11"/>
      <c r="CW143" s="11"/>
      <c r="CX143" s="11"/>
      <c r="CY143" s="11"/>
      <c r="CZ143" s="11"/>
      <c r="DA143" s="11"/>
      <c r="DB143" s="11"/>
      <c r="DC143" s="11"/>
    </row>
    <row r="144" spans="1:107" ht="12.75" customHeight="1">
      <c r="A144" s="11"/>
      <c r="B144" s="11"/>
      <c r="C144" s="11"/>
      <c r="D144" s="11"/>
      <c r="E144" s="11"/>
      <c r="F144" s="11"/>
      <c r="G144" s="11"/>
      <c r="H144" s="15"/>
      <c r="I144" s="38"/>
      <c r="J144" s="38"/>
      <c r="K144" s="38"/>
      <c r="L144" s="41"/>
      <c r="M144" s="43"/>
      <c r="N144" s="11"/>
      <c r="O144" s="48"/>
      <c r="P144" s="48"/>
      <c r="Q144" s="48"/>
      <c r="R144" s="38"/>
      <c r="S144" s="38"/>
      <c r="T144" s="52"/>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83"/>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83"/>
      <c r="CK144" s="11"/>
      <c r="CL144" s="11"/>
      <c r="CM144" s="11"/>
      <c r="CN144" s="11"/>
      <c r="CO144" s="11"/>
      <c r="CP144" s="11"/>
      <c r="CQ144" s="11"/>
      <c r="CR144" s="11"/>
      <c r="CS144" s="11"/>
      <c r="CT144" s="11"/>
      <c r="CU144" s="11"/>
      <c r="CV144" s="11"/>
      <c r="CW144" s="11"/>
      <c r="CX144" s="11"/>
      <c r="CY144" s="11"/>
      <c r="CZ144" s="11"/>
      <c r="DA144" s="11"/>
      <c r="DB144" s="11"/>
      <c r="DC144" s="11"/>
    </row>
    <row r="145" spans="1:107" ht="12.75" customHeight="1">
      <c r="A145" s="11"/>
      <c r="B145" s="11"/>
      <c r="C145" s="11"/>
      <c r="D145" s="11"/>
      <c r="E145" s="11"/>
      <c r="F145" s="11"/>
      <c r="G145" s="11"/>
      <c r="H145" s="15"/>
      <c r="I145" s="38"/>
      <c r="J145" s="38"/>
      <c r="K145" s="38"/>
      <c r="L145" s="41"/>
      <c r="M145" s="43"/>
      <c r="N145" s="11"/>
      <c r="O145" s="48"/>
      <c r="P145" s="48"/>
      <c r="Q145" s="48"/>
      <c r="R145" s="38"/>
      <c r="S145" s="38"/>
      <c r="T145" s="52"/>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83"/>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83"/>
      <c r="CK145" s="11"/>
      <c r="CL145" s="11"/>
      <c r="CM145" s="11"/>
      <c r="CN145" s="11"/>
      <c r="CO145" s="11"/>
      <c r="CP145" s="11"/>
      <c r="CQ145" s="11"/>
      <c r="CR145" s="11"/>
      <c r="CS145" s="11"/>
      <c r="CT145" s="11"/>
      <c r="CU145" s="11"/>
      <c r="CV145" s="11"/>
      <c r="CW145" s="11"/>
      <c r="CX145" s="11"/>
      <c r="CY145" s="11"/>
      <c r="CZ145" s="11"/>
      <c r="DA145" s="11"/>
      <c r="DB145" s="11"/>
      <c r="DC145" s="11"/>
    </row>
    <row r="146" spans="1:107" ht="12.75" customHeight="1">
      <c r="A146" s="11"/>
      <c r="B146" s="11"/>
      <c r="C146" s="11"/>
      <c r="D146" s="11"/>
      <c r="E146" s="11"/>
      <c r="F146" s="11"/>
      <c r="G146" s="11"/>
      <c r="H146" s="15"/>
      <c r="I146" s="38"/>
      <c r="J146" s="38"/>
      <c r="K146" s="38"/>
      <c r="L146" s="41"/>
      <c r="M146" s="43"/>
      <c r="N146" s="11"/>
      <c r="O146" s="48"/>
      <c r="P146" s="48"/>
      <c r="Q146" s="48"/>
      <c r="R146" s="38"/>
      <c r="S146" s="38"/>
      <c r="T146" s="52"/>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83"/>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83"/>
      <c r="CK146" s="11"/>
      <c r="CL146" s="11"/>
      <c r="CM146" s="11"/>
      <c r="CN146" s="11"/>
      <c r="CO146" s="11"/>
      <c r="CP146" s="11"/>
      <c r="CQ146" s="11"/>
      <c r="CR146" s="11"/>
      <c r="CS146" s="11"/>
      <c r="CT146" s="11"/>
      <c r="CU146" s="11"/>
      <c r="CV146" s="11"/>
      <c r="CW146" s="11"/>
      <c r="CX146" s="11"/>
      <c r="CY146" s="11"/>
      <c r="CZ146" s="11"/>
      <c r="DA146" s="11"/>
      <c r="DB146" s="11"/>
      <c r="DC146" s="11"/>
    </row>
    <row r="147" spans="1:107" ht="12.75" customHeight="1">
      <c r="A147" s="11"/>
      <c r="B147" s="11"/>
      <c r="C147" s="11"/>
      <c r="D147" s="11"/>
      <c r="E147" s="11"/>
      <c r="F147" s="11"/>
      <c r="G147" s="11"/>
      <c r="H147" s="15"/>
      <c r="I147" s="38"/>
      <c r="J147" s="38"/>
      <c r="K147" s="38"/>
      <c r="L147" s="41"/>
      <c r="M147" s="43"/>
      <c r="N147" s="11"/>
      <c r="O147" s="48"/>
      <c r="P147" s="48"/>
      <c r="Q147" s="48"/>
      <c r="R147" s="38"/>
      <c r="S147" s="38"/>
      <c r="T147" s="52"/>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83"/>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83"/>
      <c r="CK147" s="11"/>
      <c r="CL147" s="11"/>
      <c r="CM147" s="11"/>
      <c r="CN147" s="11"/>
      <c r="CO147" s="11"/>
      <c r="CP147" s="11"/>
      <c r="CQ147" s="11"/>
      <c r="CR147" s="11"/>
      <c r="CS147" s="11"/>
      <c r="CT147" s="11"/>
      <c r="CU147" s="11"/>
      <c r="CV147" s="11"/>
      <c r="CW147" s="11"/>
      <c r="CX147" s="11"/>
      <c r="CY147" s="11"/>
      <c r="CZ147" s="11"/>
      <c r="DA147" s="11"/>
      <c r="DB147" s="11"/>
      <c r="DC147" s="11"/>
    </row>
    <row r="148" spans="1:107" ht="12.75" customHeight="1">
      <c r="A148" s="11"/>
      <c r="B148" s="11"/>
      <c r="C148" s="11"/>
      <c r="D148" s="11"/>
      <c r="E148" s="11"/>
      <c r="F148" s="11"/>
      <c r="G148" s="11"/>
      <c r="H148" s="15"/>
      <c r="I148" s="38"/>
      <c r="J148" s="38"/>
      <c r="K148" s="38"/>
      <c r="L148" s="41"/>
      <c r="M148" s="43"/>
      <c r="N148" s="11"/>
      <c r="O148" s="48"/>
      <c r="P148" s="48"/>
      <c r="Q148" s="48"/>
      <c r="R148" s="38"/>
      <c r="S148" s="38"/>
      <c r="T148" s="52"/>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83"/>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83"/>
      <c r="CK148" s="11"/>
      <c r="CL148" s="11"/>
      <c r="CM148" s="11"/>
      <c r="CN148" s="11"/>
      <c r="CO148" s="11"/>
      <c r="CP148" s="11"/>
      <c r="CQ148" s="11"/>
      <c r="CR148" s="11"/>
      <c r="CS148" s="11"/>
      <c r="CT148" s="11"/>
      <c r="CU148" s="11"/>
      <c r="CV148" s="11"/>
      <c r="CW148" s="11"/>
      <c r="CX148" s="11"/>
      <c r="CY148" s="11"/>
      <c r="CZ148" s="11"/>
      <c r="DA148" s="11"/>
      <c r="DB148" s="11"/>
      <c r="DC148" s="11"/>
    </row>
    <row r="149" spans="1:107" ht="12.75" customHeight="1">
      <c r="A149" s="11"/>
      <c r="B149" s="11"/>
      <c r="C149" s="11"/>
      <c r="D149" s="11"/>
      <c r="E149" s="11"/>
      <c r="F149" s="11"/>
      <c r="G149" s="11"/>
      <c r="H149" s="15"/>
      <c r="I149" s="38"/>
      <c r="J149" s="38"/>
      <c r="K149" s="38"/>
      <c r="L149" s="41"/>
      <c r="M149" s="43"/>
      <c r="N149" s="11"/>
      <c r="O149" s="48"/>
      <c r="P149" s="48"/>
      <c r="Q149" s="48"/>
      <c r="R149" s="38"/>
      <c r="S149" s="38"/>
      <c r="T149" s="52"/>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83"/>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83"/>
      <c r="CK149" s="11"/>
      <c r="CL149" s="11"/>
      <c r="CM149" s="11"/>
      <c r="CN149" s="11"/>
      <c r="CO149" s="11"/>
      <c r="CP149" s="11"/>
      <c r="CQ149" s="11"/>
      <c r="CR149" s="11"/>
      <c r="CS149" s="11"/>
      <c r="CT149" s="11"/>
      <c r="CU149" s="11"/>
      <c r="CV149" s="11"/>
      <c r="CW149" s="11"/>
      <c r="CX149" s="11"/>
      <c r="CY149" s="11"/>
      <c r="CZ149" s="11"/>
      <c r="DA149" s="11"/>
      <c r="DB149" s="11"/>
      <c r="DC149" s="11"/>
    </row>
    <row r="150" spans="1:107" ht="12.75" customHeight="1">
      <c r="A150" s="11"/>
      <c r="B150" s="11"/>
      <c r="C150" s="11"/>
      <c r="D150" s="11"/>
      <c r="E150" s="11"/>
      <c r="F150" s="11"/>
      <c r="G150" s="11"/>
      <c r="H150" s="15"/>
      <c r="I150" s="38"/>
      <c r="J150" s="38"/>
      <c r="K150" s="38"/>
      <c r="L150" s="41"/>
      <c r="M150" s="43"/>
      <c r="N150" s="11"/>
      <c r="O150" s="48"/>
      <c r="P150" s="48"/>
      <c r="Q150" s="48"/>
      <c r="R150" s="38"/>
      <c r="S150" s="38"/>
      <c r="T150" s="52"/>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83"/>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83"/>
      <c r="CK150" s="11"/>
      <c r="CL150" s="11"/>
      <c r="CM150" s="11"/>
      <c r="CN150" s="11"/>
      <c r="CO150" s="11"/>
      <c r="CP150" s="11"/>
      <c r="CQ150" s="11"/>
      <c r="CR150" s="11"/>
      <c r="CS150" s="11"/>
      <c r="CT150" s="11"/>
      <c r="CU150" s="11"/>
      <c r="CV150" s="11"/>
      <c r="CW150" s="11"/>
      <c r="CX150" s="11"/>
      <c r="CY150" s="11"/>
      <c r="CZ150" s="11"/>
      <c r="DA150" s="11"/>
      <c r="DB150" s="11"/>
      <c r="DC150" s="11"/>
    </row>
    <row r="151" spans="1:107" ht="12.75" customHeight="1">
      <c r="A151" s="11"/>
      <c r="B151" s="11"/>
      <c r="C151" s="11"/>
      <c r="D151" s="11"/>
      <c r="E151" s="11"/>
      <c r="F151" s="11"/>
      <c r="G151" s="11"/>
      <c r="H151" s="15"/>
      <c r="I151" s="38"/>
      <c r="J151" s="38"/>
      <c r="K151" s="38"/>
      <c r="L151" s="41"/>
      <c r="M151" s="43"/>
      <c r="N151" s="11"/>
      <c r="O151" s="48"/>
      <c r="P151" s="48"/>
      <c r="Q151" s="48"/>
      <c r="R151" s="38"/>
      <c r="S151" s="38"/>
      <c r="T151" s="52"/>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83"/>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83"/>
      <c r="CK151" s="11"/>
      <c r="CL151" s="11"/>
      <c r="CM151" s="11"/>
      <c r="CN151" s="11"/>
      <c r="CO151" s="11"/>
      <c r="CP151" s="11"/>
      <c r="CQ151" s="11"/>
      <c r="CR151" s="11"/>
      <c r="CS151" s="11"/>
      <c r="CT151" s="11"/>
      <c r="CU151" s="11"/>
      <c r="CV151" s="11"/>
      <c r="CW151" s="11"/>
      <c r="CX151" s="11"/>
      <c r="CY151" s="11"/>
      <c r="CZ151" s="11"/>
      <c r="DA151" s="11"/>
      <c r="DB151" s="11"/>
      <c r="DC151" s="11"/>
    </row>
    <row r="152" spans="1:107" ht="12.75" customHeight="1">
      <c r="A152" s="11"/>
      <c r="B152" s="11"/>
      <c r="C152" s="11"/>
      <c r="D152" s="11"/>
      <c r="E152" s="11"/>
      <c r="F152" s="11"/>
      <c r="G152" s="11"/>
      <c r="H152" s="15"/>
      <c r="I152" s="38"/>
      <c r="J152" s="38"/>
      <c r="K152" s="38"/>
      <c r="L152" s="41"/>
      <c r="M152" s="43"/>
      <c r="N152" s="11"/>
      <c r="O152" s="48"/>
      <c r="P152" s="48"/>
      <c r="Q152" s="48"/>
      <c r="R152" s="38"/>
      <c r="S152" s="38"/>
      <c r="T152" s="52"/>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83"/>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83"/>
      <c r="CK152" s="11"/>
      <c r="CL152" s="11"/>
      <c r="CM152" s="11"/>
      <c r="CN152" s="11"/>
      <c r="CO152" s="11"/>
      <c r="CP152" s="11"/>
      <c r="CQ152" s="11"/>
      <c r="CR152" s="11"/>
      <c r="CS152" s="11"/>
      <c r="CT152" s="11"/>
      <c r="CU152" s="11"/>
      <c r="CV152" s="11"/>
      <c r="CW152" s="11"/>
      <c r="CX152" s="11"/>
      <c r="CY152" s="11"/>
      <c r="CZ152" s="11"/>
      <c r="DA152" s="11"/>
      <c r="DB152" s="11"/>
      <c r="DC152" s="11"/>
    </row>
    <row r="153" spans="1:107" ht="12.75" customHeight="1">
      <c r="A153" s="11"/>
      <c r="B153" s="11"/>
      <c r="C153" s="11"/>
      <c r="D153" s="11"/>
      <c r="E153" s="11"/>
      <c r="F153" s="11"/>
      <c r="G153" s="11"/>
      <c r="H153" s="15"/>
      <c r="I153" s="38"/>
      <c r="J153" s="38"/>
      <c r="K153" s="38"/>
      <c r="L153" s="41"/>
      <c r="M153" s="43"/>
      <c r="N153" s="11"/>
      <c r="O153" s="48"/>
      <c r="P153" s="48"/>
      <c r="Q153" s="48"/>
      <c r="R153" s="38"/>
      <c r="S153" s="38"/>
      <c r="T153" s="52"/>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83"/>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83"/>
      <c r="CK153" s="11"/>
      <c r="CL153" s="11"/>
      <c r="CM153" s="11"/>
      <c r="CN153" s="11"/>
      <c r="CO153" s="11"/>
      <c r="CP153" s="11"/>
      <c r="CQ153" s="11"/>
      <c r="CR153" s="11"/>
      <c r="CS153" s="11"/>
      <c r="CT153" s="11"/>
      <c r="CU153" s="11"/>
      <c r="CV153" s="11"/>
      <c r="CW153" s="11"/>
      <c r="CX153" s="11"/>
      <c r="CY153" s="11"/>
      <c r="CZ153" s="11"/>
      <c r="DA153" s="11"/>
      <c r="DB153" s="11"/>
      <c r="DC153" s="11"/>
    </row>
    <row r="154" spans="1:107" ht="12.75" customHeight="1">
      <c r="A154" s="11"/>
      <c r="B154" s="11"/>
      <c r="C154" s="11"/>
      <c r="D154" s="11"/>
      <c r="E154" s="11"/>
      <c r="F154" s="11"/>
      <c r="G154" s="11"/>
      <c r="H154" s="15"/>
      <c r="I154" s="38"/>
      <c r="J154" s="38"/>
      <c r="K154" s="38"/>
      <c r="L154" s="41"/>
      <c r="M154" s="43"/>
      <c r="N154" s="11"/>
      <c r="O154" s="48"/>
      <c r="P154" s="48"/>
      <c r="Q154" s="48"/>
      <c r="R154" s="38"/>
      <c r="S154" s="38"/>
      <c r="T154" s="52"/>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83"/>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83"/>
      <c r="CK154" s="11"/>
      <c r="CL154" s="11"/>
      <c r="CM154" s="11"/>
      <c r="CN154" s="11"/>
      <c r="CO154" s="11"/>
      <c r="CP154" s="11"/>
      <c r="CQ154" s="11"/>
      <c r="CR154" s="11"/>
      <c r="CS154" s="11"/>
      <c r="CT154" s="11"/>
      <c r="CU154" s="11"/>
      <c r="CV154" s="11"/>
      <c r="CW154" s="11"/>
      <c r="CX154" s="11"/>
      <c r="CY154" s="11"/>
      <c r="CZ154" s="11"/>
      <c r="DA154" s="11"/>
      <c r="DB154" s="11"/>
      <c r="DC154" s="11"/>
    </row>
    <row r="155" spans="1:107" ht="12.75" customHeight="1">
      <c r="A155" s="11"/>
      <c r="B155" s="11"/>
      <c r="C155" s="11"/>
      <c r="D155" s="11"/>
      <c r="E155" s="11"/>
      <c r="F155" s="11"/>
      <c r="G155" s="11"/>
      <c r="H155" s="15"/>
      <c r="I155" s="38"/>
      <c r="J155" s="38"/>
      <c r="K155" s="38"/>
      <c r="L155" s="41"/>
      <c r="M155" s="43"/>
      <c r="N155" s="11"/>
      <c r="O155" s="48"/>
      <c r="P155" s="48"/>
      <c r="Q155" s="48"/>
      <c r="R155" s="38"/>
      <c r="S155" s="38"/>
      <c r="T155" s="52"/>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83"/>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83"/>
      <c r="CK155" s="11"/>
      <c r="CL155" s="11"/>
      <c r="CM155" s="11"/>
      <c r="CN155" s="11"/>
      <c r="CO155" s="11"/>
      <c r="CP155" s="11"/>
      <c r="CQ155" s="11"/>
      <c r="CR155" s="11"/>
      <c r="CS155" s="11"/>
      <c r="CT155" s="11"/>
      <c r="CU155" s="11"/>
      <c r="CV155" s="11"/>
      <c r="CW155" s="11"/>
      <c r="CX155" s="11"/>
      <c r="CY155" s="11"/>
      <c r="CZ155" s="11"/>
      <c r="DA155" s="11"/>
      <c r="DB155" s="11"/>
      <c r="DC155" s="11"/>
    </row>
    <row r="156" spans="1:107" ht="12.75" customHeight="1">
      <c r="A156" s="11"/>
      <c r="B156" s="11"/>
      <c r="C156" s="11"/>
      <c r="D156" s="11"/>
      <c r="E156" s="11"/>
      <c r="F156" s="11"/>
      <c r="G156" s="11"/>
      <c r="H156" s="15"/>
      <c r="I156" s="38"/>
      <c r="J156" s="38"/>
      <c r="K156" s="38"/>
      <c r="L156" s="41"/>
      <c r="M156" s="43"/>
      <c r="N156" s="11"/>
      <c r="O156" s="48"/>
      <c r="P156" s="48"/>
      <c r="Q156" s="48"/>
      <c r="R156" s="38"/>
      <c r="S156" s="38"/>
      <c r="T156" s="52"/>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83"/>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83"/>
      <c r="CK156" s="11"/>
      <c r="CL156" s="11"/>
      <c r="CM156" s="11"/>
      <c r="CN156" s="11"/>
      <c r="CO156" s="11"/>
      <c r="CP156" s="11"/>
      <c r="CQ156" s="11"/>
      <c r="CR156" s="11"/>
      <c r="CS156" s="11"/>
      <c r="CT156" s="11"/>
      <c r="CU156" s="11"/>
      <c r="CV156" s="11"/>
      <c r="CW156" s="11"/>
      <c r="CX156" s="11"/>
      <c r="CY156" s="11"/>
      <c r="CZ156" s="11"/>
      <c r="DA156" s="11"/>
      <c r="DB156" s="11"/>
      <c r="DC156" s="11"/>
    </row>
    <row r="157" spans="1:107" ht="12.75" customHeight="1">
      <c r="A157" s="11"/>
      <c r="B157" s="11"/>
      <c r="C157" s="11"/>
      <c r="D157" s="11"/>
      <c r="E157" s="11"/>
      <c r="F157" s="11"/>
      <c r="G157" s="11"/>
      <c r="H157" s="15"/>
      <c r="I157" s="38"/>
      <c r="J157" s="38"/>
      <c r="K157" s="38"/>
      <c r="L157" s="41"/>
      <c r="M157" s="43"/>
      <c r="N157" s="11"/>
      <c r="O157" s="48"/>
      <c r="P157" s="48"/>
      <c r="Q157" s="48"/>
      <c r="R157" s="38"/>
      <c r="S157" s="38"/>
      <c r="T157" s="52"/>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83"/>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83"/>
      <c r="CK157" s="11"/>
      <c r="CL157" s="11"/>
      <c r="CM157" s="11"/>
      <c r="CN157" s="11"/>
      <c r="CO157" s="11"/>
      <c r="CP157" s="11"/>
      <c r="CQ157" s="11"/>
      <c r="CR157" s="11"/>
      <c r="CS157" s="11"/>
      <c r="CT157" s="11"/>
      <c r="CU157" s="11"/>
      <c r="CV157" s="11"/>
      <c r="CW157" s="11"/>
      <c r="CX157" s="11"/>
      <c r="CY157" s="11"/>
      <c r="CZ157" s="11"/>
      <c r="DA157" s="11"/>
      <c r="DB157" s="11"/>
      <c r="DC157" s="11"/>
    </row>
    <row r="158" spans="1:107" ht="12.75" customHeight="1">
      <c r="A158" s="11"/>
      <c r="B158" s="11"/>
      <c r="C158" s="11"/>
      <c r="D158" s="11"/>
      <c r="E158" s="11"/>
      <c r="F158" s="11"/>
      <c r="G158" s="11"/>
      <c r="H158" s="15"/>
      <c r="I158" s="38"/>
      <c r="J158" s="38"/>
      <c r="K158" s="38"/>
      <c r="L158" s="41"/>
      <c r="M158" s="43"/>
      <c r="N158" s="11"/>
      <c r="O158" s="48"/>
      <c r="P158" s="48"/>
      <c r="Q158" s="48"/>
      <c r="R158" s="38"/>
      <c r="S158" s="38"/>
      <c r="T158" s="52"/>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83"/>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83"/>
      <c r="CK158" s="11"/>
      <c r="CL158" s="11"/>
      <c r="CM158" s="11"/>
      <c r="CN158" s="11"/>
      <c r="CO158" s="11"/>
      <c r="CP158" s="11"/>
      <c r="CQ158" s="11"/>
      <c r="CR158" s="11"/>
      <c r="CS158" s="11"/>
      <c r="CT158" s="11"/>
      <c r="CU158" s="11"/>
      <c r="CV158" s="11"/>
      <c r="CW158" s="11"/>
      <c r="CX158" s="11"/>
      <c r="CY158" s="11"/>
      <c r="CZ158" s="11"/>
      <c r="DA158" s="11"/>
      <c r="DB158" s="11"/>
      <c r="DC158" s="11"/>
    </row>
    <row r="159" spans="1:107" ht="12.75" customHeight="1">
      <c r="A159" s="11"/>
      <c r="B159" s="11"/>
      <c r="C159" s="11"/>
      <c r="D159" s="11"/>
      <c r="E159" s="11"/>
      <c r="F159" s="11"/>
      <c r="G159" s="11"/>
      <c r="H159" s="15"/>
      <c r="I159" s="38"/>
      <c r="J159" s="38"/>
      <c r="K159" s="38"/>
      <c r="L159" s="41"/>
      <c r="M159" s="43"/>
      <c r="N159" s="11"/>
      <c r="O159" s="48"/>
      <c r="P159" s="48"/>
      <c r="Q159" s="48"/>
      <c r="R159" s="38"/>
      <c r="S159" s="38"/>
      <c r="T159" s="52"/>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83"/>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83"/>
      <c r="CK159" s="11"/>
      <c r="CL159" s="11"/>
      <c r="CM159" s="11"/>
      <c r="CN159" s="11"/>
      <c r="CO159" s="11"/>
      <c r="CP159" s="11"/>
      <c r="CQ159" s="11"/>
      <c r="CR159" s="11"/>
      <c r="CS159" s="11"/>
      <c r="CT159" s="11"/>
      <c r="CU159" s="11"/>
      <c r="CV159" s="11"/>
      <c r="CW159" s="11"/>
      <c r="CX159" s="11"/>
      <c r="CY159" s="11"/>
      <c r="CZ159" s="11"/>
      <c r="DA159" s="11"/>
      <c r="DB159" s="11"/>
      <c r="DC159" s="11"/>
    </row>
    <row r="160" spans="1:107" ht="12.75" customHeight="1">
      <c r="A160" s="11"/>
      <c r="B160" s="11"/>
      <c r="C160" s="11"/>
      <c r="D160" s="11"/>
      <c r="E160" s="11"/>
      <c r="F160" s="11"/>
      <c r="G160" s="11"/>
      <c r="H160" s="15"/>
      <c r="I160" s="38"/>
      <c r="J160" s="38"/>
      <c r="K160" s="38"/>
      <c r="L160" s="41"/>
      <c r="M160" s="43"/>
      <c r="N160" s="11"/>
      <c r="O160" s="48"/>
      <c r="P160" s="48"/>
      <c r="Q160" s="48"/>
      <c r="R160" s="38"/>
      <c r="S160" s="38"/>
      <c r="T160" s="52"/>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83"/>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83"/>
      <c r="CK160" s="11"/>
      <c r="CL160" s="11"/>
      <c r="CM160" s="11"/>
      <c r="CN160" s="11"/>
      <c r="CO160" s="11"/>
      <c r="CP160" s="11"/>
      <c r="CQ160" s="11"/>
      <c r="CR160" s="11"/>
      <c r="CS160" s="11"/>
      <c r="CT160" s="11"/>
      <c r="CU160" s="11"/>
      <c r="CV160" s="11"/>
      <c r="CW160" s="11"/>
      <c r="CX160" s="11"/>
      <c r="CY160" s="11"/>
      <c r="CZ160" s="11"/>
      <c r="DA160" s="11"/>
      <c r="DB160" s="11"/>
      <c r="DC160" s="11"/>
    </row>
    <row r="161" spans="1:107" ht="12.75" customHeight="1">
      <c r="A161" s="11"/>
      <c r="B161" s="11"/>
      <c r="C161" s="11"/>
      <c r="D161" s="11"/>
      <c r="E161" s="11"/>
      <c r="F161" s="11"/>
      <c r="G161" s="11"/>
      <c r="H161" s="15"/>
      <c r="I161" s="38"/>
      <c r="J161" s="38"/>
      <c r="K161" s="38"/>
      <c r="L161" s="41"/>
      <c r="M161" s="43"/>
      <c r="N161" s="11"/>
      <c r="O161" s="48"/>
      <c r="P161" s="48"/>
      <c r="Q161" s="48"/>
      <c r="R161" s="38"/>
      <c r="S161" s="38"/>
      <c r="T161" s="52"/>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83"/>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83"/>
      <c r="CK161" s="11"/>
      <c r="CL161" s="11"/>
      <c r="CM161" s="11"/>
      <c r="CN161" s="11"/>
      <c r="CO161" s="11"/>
      <c r="CP161" s="11"/>
      <c r="CQ161" s="11"/>
      <c r="CR161" s="11"/>
      <c r="CS161" s="11"/>
      <c r="CT161" s="11"/>
      <c r="CU161" s="11"/>
      <c r="CV161" s="11"/>
      <c r="CW161" s="11"/>
      <c r="CX161" s="11"/>
      <c r="CY161" s="11"/>
      <c r="CZ161" s="11"/>
      <c r="DA161" s="11"/>
      <c r="DB161" s="11"/>
      <c r="DC161" s="11"/>
    </row>
    <row r="162" spans="1:107" ht="12.75" customHeight="1">
      <c r="A162" s="11"/>
      <c r="B162" s="11"/>
      <c r="C162" s="11"/>
      <c r="D162" s="11"/>
      <c r="E162" s="11"/>
      <c r="F162" s="11"/>
      <c r="G162" s="11"/>
      <c r="H162" s="15"/>
      <c r="I162" s="38"/>
      <c r="J162" s="38"/>
      <c r="K162" s="38"/>
      <c r="L162" s="41"/>
      <c r="M162" s="43"/>
      <c r="N162" s="11"/>
      <c r="O162" s="48"/>
      <c r="P162" s="48"/>
      <c r="Q162" s="48"/>
      <c r="R162" s="38"/>
      <c r="S162" s="38"/>
      <c r="T162" s="52"/>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83"/>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83"/>
      <c r="CK162" s="11"/>
      <c r="CL162" s="11"/>
      <c r="CM162" s="11"/>
      <c r="CN162" s="11"/>
      <c r="CO162" s="11"/>
      <c r="CP162" s="11"/>
      <c r="CQ162" s="11"/>
      <c r="CR162" s="11"/>
      <c r="CS162" s="11"/>
      <c r="CT162" s="11"/>
      <c r="CU162" s="11"/>
      <c r="CV162" s="11"/>
      <c r="CW162" s="11"/>
      <c r="CX162" s="11"/>
      <c r="CY162" s="11"/>
      <c r="CZ162" s="11"/>
      <c r="DA162" s="11"/>
      <c r="DB162" s="11"/>
      <c r="DC162" s="11"/>
    </row>
    <row r="163" spans="1:107" ht="12.75" customHeight="1">
      <c r="A163" s="11"/>
      <c r="B163" s="11"/>
      <c r="C163" s="11"/>
      <c r="D163" s="11"/>
      <c r="E163" s="11"/>
      <c r="F163" s="11"/>
      <c r="G163" s="11"/>
      <c r="H163" s="15"/>
      <c r="I163" s="38"/>
      <c r="J163" s="38"/>
      <c r="K163" s="38"/>
      <c r="L163" s="41"/>
      <c r="M163" s="43"/>
      <c r="N163" s="11"/>
      <c r="O163" s="48"/>
      <c r="P163" s="48"/>
      <c r="Q163" s="48"/>
      <c r="R163" s="38"/>
      <c r="S163" s="38"/>
      <c r="T163" s="52"/>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83"/>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83"/>
      <c r="CK163" s="11"/>
      <c r="CL163" s="11"/>
      <c r="CM163" s="11"/>
      <c r="CN163" s="11"/>
      <c r="CO163" s="11"/>
      <c r="CP163" s="11"/>
      <c r="CQ163" s="11"/>
      <c r="CR163" s="11"/>
      <c r="CS163" s="11"/>
      <c r="CT163" s="11"/>
      <c r="CU163" s="11"/>
      <c r="CV163" s="11"/>
      <c r="CW163" s="11"/>
      <c r="CX163" s="11"/>
      <c r="CY163" s="11"/>
      <c r="CZ163" s="11"/>
      <c r="DA163" s="11"/>
      <c r="DB163" s="11"/>
      <c r="DC163" s="11"/>
    </row>
    <row r="164" spans="1:107" ht="12.75" customHeight="1">
      <c r="A164" s="11"/>
      <c r="B164" s="11"/>
      <c r="C164" s="11"/>
      <c r="D164" s="11"/>
      <c r="E164" s="11"/>
      <c r="F164" s="11"/>
      <c r="G164" s="11"/>
      <c r="H164" s="15"/>
      <c r="I164" s="38"/>
      <c r="J164" s="38"/>
      <c r="K164" s="38"/>
      <c r="L164" s="41"/>
      <c r="M164" s="43"/>
      <c r="N164" s="11"/>
      <c r="O164" s="48"/>
      <c r="P164" s="48"/>
      <c r="Q164" s="48"/>
      <c r="R164" s="38"/>
      <c r="S164" s="38"/>
      <c r="T164" s="52"/>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83"/>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83"/>
      <c r="CK164" s="11"/>
      <c r="CL164" s="11"/>
      <c r="CM164" s="11"/>
      <c r="CN164" s="11"/>
      <c r="CO164" s="11"/>
      <c r="CP164" s="11"/>
      <c r="CQ164" s="11"/>
      <c r="CR164" s="11"/>
      <c r="CS164" s="11"/>
      <c r="CT164" s="11"/>
      <c r="CU164" s="11"/>
      <c r="CV164" s="11"/>
      <c r="CW164" s="11"/>
      <c r="CX164" s="11"/>
      <c r="CY164" s="11"/>
      <c r="CZ164" s="11"/>
      <c r="DA164" s="11"/>
      <c r="DB164" s="11"/>
      <c r="DC164" s="11"/>
    </row>
    <row r="165" spans="1:107" ht="12.75" customHeight="1">
      <c r="A165" s="11"/>
      <c r="B165" s="11"/>
      <c r="C165" s="11"/>
      <c r="D165" s="11"/>
      <c r="E165" s="11"/>
      <c r="F165" s="11"/>
      <c r="G165" s="11"/>
      <c r="H165" s="15"/>
      <c r="I165" s="38"/>
      <c r="J165" s="38"/>
      <c r="K165" s="38"/>
      <c r="L165" s="41"/>
      <c r="M165" s="43"/>
      <c r="N165" s="11"/>
      <c r="O165" s="48"/>
      <c r="P165" s="48"/>
      <c r="Q165" s="48"/>
      <c r="R165" s="38"/>
      <c r="S165" s="38"/>
      <c r="T165" s="52"/>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83"/>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83"/>
      <c r="CK165" s="11"/>
      <c r="CL165" s="11"/>
      <c r="CM165" s="11"/>
      <c r="CN165" s="11"/>
      <c r="CO165" s="11"/>
      <c r="CP165" s="11"/>
      <c r="CQ165" s="11"/>
      <c r="CR165" s="11"/>
      <c r="CS165" s="11"/>
      <c r="CT165" s="11"/>
      <c r="CU165" s="11"/>
      <c r="CV165" s="11"/>
      <c r="CW165" s="11"/>
      <c r="CX165" s="11"/>
      <c r="CY165" s="11"/>
      <c r="CZ165" s="11"/>
      <c r="DA165" s="11"/>
      <c r="DB165" s="11"/>
      <c r="DC165" s="11"/>
    </row>
    <row r="166" spans="1:107" ht="12.75" customHeight="1">
      <c r="A166" s="11"/>
      <c r="B166" s="11"/>
      <c r="C166" s="11"/>
      <c r="D166" s="11"/>
      <c r="E166" s="11"/>
      <c r="F166" s="11"/>
      <c r="G166" s="11"/>
      <c r="H166" s="15"/>
      <c r="I166" s="38"/>
      <c r="J166" s="38"/>
      <c r="K166" s="38"/>
      <c r="L166" s="41"/>
      <c r="M166" s="43"/>
      <c r="N166" s="11"/>
      <c r="O166" s="48"/>
      <c r="P166" s="48"/>
      <c r="Q166" s="48"/>
      <c r="R166" s="38"/>
      <c r="S166" s="38"/>
      <c r="T166" s="52"/>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83"/>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83"/>
      <c r="CK166" s="11"/>
      <c r="CL166" s="11"/>
      <c r="CM166" s="11"/>
      <c r="CN166" s="11"/>
      <c r="CO166" s="11"/>
      <c r="CP166" s="11"/>
      <c r="CQ166" s="11"/>
      <c r="CR166" s="11"/>
      <c r="CS166" s="11"/>
      <c r="CT166" s="11"/>
      <c r="CU166" s="11"/>
      <c r="CV166" s="11"/>
      <c r="CW166" s="11"/>
      <c r="CX166" s="11"/>
      <c r="CY166" s="11"/>
      <c r="CZ166" s="11"/>
      <c r="DA166" s="11"/>
      <c r="DB166" s="11"/>
      <c r="DC166" s="11"/>
    </row>
    <row r="167" spans="1:107" ht="12.75" customHeight="1">
      <c r="A167" s="11"/>
      <c r="B167" s="11"/>
      <c r="C167" s="11"/>
      <c r="D167" s="11"/>
      <c r="E167" s="11"/>
      <c r="F167" s="11"/>
      <c r="G167" s="11"/>
      <c r="H167" s="15"/>
      <c r="I167" s="38"/>
      <c r="J167" s="38"/>
      <c r="K167" s="38"/>
      <c r="L167" s="41"/>
      <c r="M167" s="43"/>
      <c r="N167" s="11"/>
      <c r="O167" s="48"/>
      <c r="P167" s="48"/>
      <c r="Q167" s="48"/>
      <c r="R167" s="38"/>
      <c r="S167" s="38"/>
      <c r="T167" s="52"/>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83"/>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83"/>
      <c r="CK167" s="11"/>
      <c r="CL167" s="11"/>
      <c r="CM167" s="11"/>
      <c r="CN167" s="11"/>
      <c r="CO167" s="11"/>
      <c r="CP167" s="11"/>
      <c r="CQ167" s="11"/>
      <c r="CR167" s="11"/>
      <c r="CS167" s="11"/>
      <c r="CT167" s="11"/>
      <c r="CU167" s="11"/>
      <c r="CV167" s="11"/>
      <c r="CW167" s="11"/>
      <c r="CX167" s="11"/>
      <c r="CY167" s="11"/>
      <c r="CZ167" s="11"/>
      <c r="DA167" s="11"/>
      <c r="DB167" s="11"/>
      <c r="DC167" s="11"/>
    </row>
    <row r="168" spans="1:107" ht="12.75" customHeight="1">
      <c r="A168" s="11"/>
      <c r="B168" s="11"/>
      <c r="C168" s="11"/>
      <c r="D168" s="11"/>
      <c r="E168" s="11"/>
      <c r="F168" s="11"/>
      <c r="G168" s="11"/>
      <c r="H168" s="15"/>
      <c r="I168" s="38"/>
      <c r="J168" s="38"/>
      <c r="K168" s="38"/>
      <c r="L168" s="41"/>
      <c r="M168" s="43"/>
      <c r="N168" s="11"/>
      <c r="O168" s="48"/>
      <c r="P168" s="48"/>
      <c r="Q168" s="48"/>
      <c r="R168" s="38"/>
      <c r="S168" s="38"/>
      <c r="T168" s="52"/>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83"/>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83"/>
      <c r="CK168" s="11"/>
      <c r="CL168" s="11"/>
      <c r="CM168" s="11"/>
      <c r="CN168" s="11"/>
      <c r="CO168" s="11"/>
      <c r="CP168" s="11"/>
      <c r="CQ168" s="11"/>
      <c r="CR168" s="11"/>
      <c r="CS168" s="11"/>
      <c r="CT168" s="11"/>
      <c r="CU168" s="11"/>
      <c r="CV168" s="11"/>
      <c r="CW168" s="11"/>
      <c r="CX168" s="11"/>
      <c r="CY168" s="11"/>
      <c r="CZ168" s="11"/>
      <c r="DA168" s="11"/>
      <c r="DB168" s="11"/>
      <c r="DC168" s="11"/>
    </row>
    <row r="169" spans="1:107" ht="12.75" customHeight="1">
      <c r="A169" s="11"/>
      <c r="B169" s="11"/>
      <c r="C169" s="11"/>
      <c r="D169" s="11"/>
      <c r="E169" s="11"/>
      <c r="F169" s="11"/>
      <c r="G169" s="11"/>
      <c r="H169" s="15"/>
      <c r="I169" s="38"/>
      <c r="J169" s="38"/>
      <c r="K169" s="38"/>
      <c r="L169" s="41"/>
      <c r="M169" s="43"/>
      <c r="N169" s="11"/>
      <c r="O169" s="48"/>
      <c r="P169" s="48"/>
      <c r="Q169" s="48"/>
      <c r="R169" s="38"/>
      <c r="S169" s="38"/>
      <c r="T169" s="52"/>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83"/>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83"/>
      <c r="CK169" s="11"/>
      <c r="CL169" s="11"/>
      <c r="CM169" s="11"/>
      <c r="CN169" s="11"/>
      <c r="CO169" s="11"/>
      <c r="CP169" s="11"/>
      <c r="CQ169" s="11"/>
      <c r="CR169" s="11"/>
      <c r="CS169" s="11"/>
      <c r="CT169" s="11"/>
      <c r="CU169" s="11"/>
      <c r="CV169" s="11"/>
      <c r="CW169" s="11"/>
      <c r="CX169" s="11"/>
      <c r="CY169" s="11"/>
      <c r="CZ169" s="11"/>
      <c r="DA169" s="11"/>
      <c r="DB169" s="11"/>
      <c r="DC169" s="11"/>
    </row>
    <row r="170" spans="1:107" ht="12.75" customHeight="1">
      <c r="A170" s="11"/>
      <c r="B170" s="11"/>
      <c r="C170" s="11"/>
      <c r="D170" s="11"/>
      <c r="E170" s="11"/>
      <c r="F170" s="11"/>
      <c r="G170" s="11"/>
      <c r="H170" s="15"/>
      <c r="I170" s="38"/>
      <c r="J170" s="38"/>
      <c r="K170" s="38"/>
      <c r="L170" s="41"/>
      <c r="M170" s="43"/>
      <c r="N170" s="11"/>
      <c r="O170" s="48"/>
      <c r="P170" s="48"/>
      <c r="Q170" s="48"/>
      <c r="R170" s="38"/>
      <c r="S170" s="38"/>
      <c r="T170" s="52"/>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83"/>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83"/>
      <c r="CK170" s="11"/>
      <c r="CL170" s="11"/>
      <c r="CM170" s="11"/>
      <c r="CN170" s="11"/>
      <c r="CO170" s="11"/>
      <c r="CP170" s="11"/>
      <c r="CQ170" s="11"/>
      <c r="CR170" s="11"/>
      <c r="CS170" s="11"/>
      <c r="CT170" s="11"/>
      <c r="CU170" s="11"/>
      <c r="CV170" s="11"/>
      <c r="CW170" s="11"/>
      <c r="CX170" s="11"/>
      <c r="CY170" s="11"/>
      <c r="CZ170" s="11"/>
      <c r="DA170" s="11"/>
      <c r="DB170" s="11"/>
      <c r="DC170" s="11"/>
    </row>
    <row r="171" spans="1:107" ht="12.75" customHeight="1">
      <c r="A171" s="11"/>
      <c r="B171" s="11"/>
      <c r="C171" s="11"/>
      <c r="D171" s="11"/>
      <c r="E171" s="11"/>
      <c r="F171" s="11"/>
      <c r="G171" s="11"/>
      <c r="H171" s="15"/>
      <c r="I171" s="38"/>
      <c r="J171" s="38"/>
      <c r="K171" s="38"/>
      <c r="L171" s="41"/>
      <c r="M171" s="43"/>
      <c r="N171" s="11"/>
      <c r="O171" s="48"/>
      <c r="P171" s="48"/>
      <c r="Q171" s="48"/>
      <c r="R171" s="38"/>
      <c r="S171" s="38"/>
      <c r="T171" s="52"/>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83"/>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83"/>
      <c r="CK171" s="11"/>
      <c r="CL171" s="11"/>
      <c r="CM171" s="11"/>
      <c r="CN171" s="11"/>
      <c r="CO171" s="11"/>
      <c r="CP171" s="11"/>
      <c r="CQ171" s="11"/>
      <c r="CR171" s="11"/>
      <c r="CS171" s="11"/>
      <c r="CT171" s="11"/>
      <c r="CU171" s="11"/>
      <c r="CV171" s="11"/>
      <c r="CW171" s="11"/>
      <c r="CX171" s="11"/>
      <c r="CY171" s="11"/>
      <c r="CZ171" s="11"/>
      <c r="DA171" s="11"/>
      <c r="DB171" s="11"/>
      <c r="DC171" s="11"/>
    </row>
    <row r="172" spans="1:107" ht="12.75" customHeight="1">
      <c r="A172" s="11"/>
      <c r="B172" s="11"/>
      <c r="C172" s="11"/>
      <c r="D172" s="11"/>
      <c r="E172" s="11"/>
      <c r="F172" s="11"/>
      <c r="G172" s="11"/>
      <c r="H172" s="15"/>
      <c r="I172" s="38"/>
      <c r="J172" s="38"/>
      <c r="K172" s="38"/>
      <c r="L172" s="41"/>
      <c r="M172" s="43"/>
      <c r="N172" s="11"/>
      <c r="O172" s="48"/>
      <c r="P172" s="48"/>
      <c r="Q172" s="48"/>
      <c r="R172" s="38"/>
      <c r="S172" s="38"/>
      <c r="T172" s="52"/>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83"/>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83"/>
      <c r="CK172" s="11"/>
      <c r="CL172" s="11"/>
      <c r="CM172" s="11"/>
      <c r="CN172" s="11"/>
      <c r="CO172" s="11"/>
      <c r="CP172" s="11"/>
      <c r="CQ172" s="11"/>
      <c r="CR172" s="11"/>
      <c r="CS172" s="11"/>
      <c r="CT172" s="11"/>
      <c r="CU172" s="11"/>
      <c r="CV172" s="11"/>
      <c r="CW172" s="11"/>
      <c r="CX172" s="11"/>
      <c r="CY172" s="11"/>
      <c r="CZ172" s="11"/>
      <c r="DA172" s="11"/>
      <c r="DB172" s="11"/>
      <c r="DC172" s="11"/>
    </row>
    <row r="173" spans="1:107" ht="12.75" customHeight="1">
      <c r="A173" s="11"/>
      <c r="B173" s="11"/>
      <c r="C173" s="11"/>
      <c r="D173" s="11"/>
      <c r="E173" s="11"/>
      <c r="F173" s="11"/>
      <c r="G173" s="11"/>
      <c r="H173" s="15"/>
      <c r="I173" s="38"/>
      <c r="J173" s="38"/>
      <c r="K173" s="38"/>
      <c r="L173" s="41"/>
      <c r="M173" s="43"/>
      <c r="N173" s="11"/>
      <c r="O173" s="48"/>
      <c r="P173" s="48"/>
      <c r="Q173" s="48"/>
      <c r="R173" s="38"/>
      <c r="S173" s="38"/>
      <c r="T173" s="52"/>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83"/>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83"/>
      <c r="CK173" s="11"/>
      <c r="CL173" s="11"/>
      <c r="CM173" s="11"/>
      <c r="CN173" s="11"/>
      <c r="CO173" s="11"/>
      <c r="CP173" s="11"/>
      <c r="CQ173" s="11"/>
      <c r="CR173" s="11"/>
      <c r="CS173" s="11"/>
      <c r="CT173" s="11"/>
      <c r="CU173" s="11"/>
      <c r="CV173" s="11"/>
      <c r="CW173" s="11"/>
      <c r="CX173" s="11"/>
      <c r="CY173" s="11"/>
      <c r="CZ173" s="11"/>
      <c r="DA173" s="11"/>
      <c r="DB173" s="11"/>
      <c r="DC173" s="11"/>
    </row>
    <row r="174" spans="1:107" ht="12.75" customHeight="1">
      <c r="A174" s="11"/>
      <c r="B174" s="11"/>
      <c r="C174" s="11"/>
      <c r="D174" s="11"/>
      <c r="E174" s="11"/>
      <c r="F174" s="11"/>
      <c r="G174" s="11"/>
      <c r="H174" s="15"/>
      <c r="I174" s="38"/>
      <c r="J174" s="38"/>
      <c r="K174" s="38"/>
      <c r="L174" s="41"/>
      <c r="M174" s="43"/>
      <c r="N174" s="11"/>
      <c r="O174" s="48"/>
      <c r="P174" s="48"/>
      <c r="Q174" s="48"/>
      <c r="R174" s="38"/>
      <c r="S174" s="38"/>
      <c r="T174" s="52"/>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83"/>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83"/>
      <c r="CK174" s="11"/>
      <c r="CL174" s="11"/>
      <c r="CM174" s="11"/>
      <c r="CN174" s="11"/>
      <c r="CO174" s="11"/>
      <c r="CP174" s="11"/>
      <c r="CQ174" s="11"/>
      <c r="CR174" s="11"/>
      <c r="CS174" s="11"/>
      <c r="CT174" s="11"/>
      <c r="CU174" s="11"/>
      <c r="CV174" s="11"/>
      <c r="CW174" s="11"/>
      <c r="CX174" s="11"/>
      <c r="CY174" s="11"/>
      <c r="CZ174" s="11"/>
      <c r="DA174" s="11"/>
      <c r="DB174" s="11"/>
      <c r="DC174" s="11"/>
    </row>
    <row r="175" spans="1:107" ht="12.75" customHeight="1">
      <c r="A175" s="11"/>
      <c r="B175" s="11"/>
      <c r="C175" s="11"/>
      <c r="D175" s="11"/>
      <c r="E175" s="11"/>
      <c r="F175" s="11"/>
      <c r="G175" s="11"/>
      <c r="H175" s="15"/>
      <c r="I175" s="38"/>
      <c r="J175" s="38"/>
      <c r="K175" s="38"/>
      <c r="L175" s="41"/>
      <c r="M175" s="43"/>
      <c r="N175" s="11"/>
      <c r="O175" s="48"/>
      <c r="P175" s="48"/>
      <c r="Q175" s="48"/>
      <c r="R175" s="38"/>
      <c r="S175" s="38"/>
      <c r="T175" s="52"/>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83"/>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83"/>
      <c r="CK175" s="11"/>
      <c r="CL175" s="11"/>
      <c r="CM175" s="11"/>
      <c r="CN175" s="11"/>
      <c r="CO175" s="11"/>
      <c r="CP175" s="11"/>
      <c r="CQ175" s="11"/>
      <c r="CR175" s="11"/>
      <c r="CS175" s="11"/>
      <c r="CT175" s="11"/>
      <c r="CU175" s="11"/>
      <c r="CV175" s="11"/>
      <c r="CW175" s="11"/>
      <c r="CX175" s="11"/>
      <c r="CY175" s="11"/>
      <c r="CZ175" s="11"/>
      <c r="DA175" s="11"/>
      <c r="DB175" s="11"/>
      <c r="DC175" s="11"/>
    </row>
    <row r="176" spans="1:107" ht="12.75" customHeight="1">
      <c r="A176" s="11"/>
      <c r="B176" s="11"/>
      <c r="C176" s="11"/>
      <c r="D176" s="11"/>
      <c r="E176" s="11"/>
      <c r="F176" s="11"/>
      <c r="G176" s="11"/>
      <c r="H176" s="15"/>
      <c r="I176" s="38"/>
      <c r="J176" s="38"/>
      <c r="K176" s="38"/>
      <c r="L176" s="41"/>
      <c r="M176" s="43"/>
      <c r="N176" s="11"/>
      <c r="O176" s="48"/>
      <c r="P176" s="48"/>
      <c r="Q176" s="48"/>
      <c r="R176" s="38"/>
      <c r="S176" s="38"/>
      <c r="T176" s="52"/>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83"/>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83"/>
      <c r="CK176" s="11"/>
      <c r="CL176" s="11"/>
      <c r="CM176" s="11"/>
      <c r="CN176" s="11"/>
      <c r="CO176" s="11"/>
      <c r="CP176" s="11"/>
      <c r="CQ176" s="11"/>
      <c r="CR176" s="11"/>
      <c r="CS176" s="11"/>
      <c r="CT176" s="11"/>
      <c r="CU176" s="11"/>
      <c r="CV176" s="11"/>
      <c r="CW176" s="11"/>
      <c r="CX176" s="11"/>
      <c r="CY176" s="11"/>
      <c r="CZ176" s="11"/>
      <c r="DA176" s="11"/>
      <c r="DB176" s="11"/>
      <c r="DC176" s="11"/>
    </row>
    <row r="177" spans="1:107" ht="12.75" customHeight="1">
      <c r="A177" s="11"/>
      <c r="B177" s="11"/>
      <c r="C177" s="11"/>
      <c r="D177" s="11"/>
      <c r="E177" s="11"/>
      <c r="F177" s="11"/>
      <c r="G177" s="11"/>
      <c r="H177" s="15"/>
      <c r="I177" s="38"/>
      <c r="J177" s="38"/>
      <c r="K177" s="38"/>
      <c r="L177" s="41"/>
      <c r="M177" s="43"/>
      <c r="N177" s="11"/>
      <c r="O177" s="48"/>
      <c r="P177" s="48"/>
      <c r="Q177" s="48"/>
      <c r="R177" s="38"/>
      <c r="S177" s="38"/>
      <c r="T177" s="52"/>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83"/>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83"/>
      <c r="CK177" s="11"/>
      <c r="CL177" s="11"/>
      <c r="CM177" s="11"/>
      <c r="CN177" s="11"/>
      <c r="CO177" s="11"/>
      <c r="CP177" s="11"/>
      <c r="CQ177" s="11"/>
      <c r="CR177" s="11"/>
      <c r="CS177" s="11"/>
      <c r="CT177" s="11"/>
      <c r="CU177" s="11"/>
      <c r="CV177" s="11"/>
      <c r="CW177" s="11"/>
      <c r="CX177" s="11"/>
      <c r="CY177" s="11"/>
      <c r="CZ177" s="11"/>
      <c r="DA177" s="11"/>
      <c r="DB177" s="11"/>
      <c r="DC177" s="11"/>
    </row>
    <row r="178" spans="1:107" ht="12.75" customHeight="1">
      <c r="A178" s="11"/>
      <c r="B178" s="11"/>
      <c r="C178" s="11"/>
      <c r="D178" s="11"/>
      <c r="E178" s="11"/>
      <c r="F178" s="11"/>
      <c r="G178" s="11"/>
      <c r="H178" s="15"/>
      <c r="I178" s="38"/>
      <c r="J178" s="38"/>
      <c r="K178" s="38"/>
      <c r="L178" s="41"/>
      <c r="M178" s="43"/>
      <c r="N178" s="11"/>
      <c r="O178" s="48"/>
      <c r="P178" s="48"/>
      <c r="Q178" s="48"/>
      <c r="R178" s="38"/>
      <c r="S178" s="38"/>
      <c r="T178" s="52"/>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83"/>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83"/>
      <c r="CK178" s="11"/>
      <c r="CL178" s="11"/>
      <c r="CM178" s="11"/>
      <c r="CN178" s="11"/>
      <c r="CO178" s="11"/>
      <c r="CP178" s="11"/>
      <c r="CQ178" s="11"/>
      <c r="CR178" s="11"/>
      <c r="CS178" s="11"/>
      <c r="CT178" s="11"/>
      <c r="CU178" s="11"/>
      <c r="CV178" s="11"/>
      <c r="CW178" s="11"/>
      <c r="CX178" s="11"/>
      <c r="CY178" s="11"/>
      <c r="CZ178" s="11"/>
      <c r="DA178" s="11"/>
      <c r="DB178" s="11"/>
      <c r="DC178" s="11"/>
    </row>
    <row r="179" spans="1:107" ht="12.75" customHeight="1">
      <c r="A179" s="11"/>
      <c r="B179" s="11"/>
      <c r="C179" s="11"/>
      <c r="D179" s="11"/>
      <c r="E179" s="11"/>
      <c r="F179" s="11"/>
      <c r="G179" s="11"/>
      <c r="H179" s="15"/>
      <c r="I179" s="38"/>
      <c r="J179" s="38"/>
      <c r="K179" s="38"/>
      <c r="L179" s="41"/>
      <c r="M179" s="43"/>
      <c r="N179" s="11"/>
      <c r="O179" s="48"/>
      <c r="P179" s="48"/>
      <c r="Q179" s="48"/>
      <c r="R179" s="38"/>
      <c r="S179" s="38"/>
      <c r="T179" s="52"/>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83"/>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83"/>
      <c r="CK179" s="11"/>
      <c r="CL179" s="11"/>
      <c r="CM179" s="11"/>
      <c r="CN179" s="11"/>
      <c r="CO179" s="11"/>
      <c r="CP179" s="11"/>
      <c r="CQ179" s="11"/>
      <c r="CR179" s="11"/>
      <c r="CS179" s="11"/>
      <c r="CT179" s="11"/>
      <c r="CU179" s="11"/>
      <c r="CV179" s="11"/>
      <c r="CW179" s="11"/>
      <c r="CX179" s="11"/>
      <c r="CY179" s="11"/>
      <c r="CZ179" s="11"/>
      <c r="DA179" s="11"/>
      <c r="DB179" s="11"/>
      <c r="DC179" s="11"/>
    </row>
    <row r="180" spans="1:107" ht="12.75" customHeight="1">
      <c r="A180" s="11"/>
      <c r="B180" s="11"/>
      <c r="C180" s="11"/>
      <c r="D180" s="11"/>
      <c r="E180" s="11"/>
      <c r="F180" s="11"/>
      <c r="G180" s="11"/>
      <c r="H180" s="15"/>
      <c r="I180" s="38"/>
      <c r="J180" s="38"/>
      <c r="K180" s="38"/>
      <c r="L180" s="41"/>
      <c r="M180" s="43"/>
      <c r="N180" s="11"/>
      <c r="O180" s="48"/>
      <c r="P180" s="48"/>
      <c r="Q180" s="48"/>
      <c r="R180" s="38"/>
      <c r="S180" s="38"/>
      <c r="T180" s="52"/>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83"/>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83"/>
      <c r="CK180" s="11"/>
      <c r="CL180" s="11"/>
      <c r="CM180" s="11"/>
      <c r="CN180" s="11"/>
      <c r="CO180" s="11"/>
      <c r="CP180" s="11"/>
      <c r="CQ180" s="11"/>
      <c r="CR180" s="11"/>
      <c r="CS180" s="11"/>
      <c r="CT180" s="11"/>
      <c r="CU180" s="11"/>
      <c r="CV180" s="11"/>
      <c r="CW180" s="11"/>
      <c r="CX180" s="11"/>
      <c r="CY180" s="11"/>
      <c r="CZ180" s="11"/>
      <c r="DA180" s="11"/>
      <c r="DB180" s="11"/>
      <c r="DC180" s="11"/>
    </row>
    <row r="181" spans="1:107" ht="12.75" customHeight="1">
      <c r="A181" s="11"/>
      <c r="B181" s="11"/>
      <c r="C181" s="11"/>
      <c r="D181" s="11"/>
      <c r="E181" s="11"/>
      <c r="F181" s="11"/>
      <c r="G181" s="11"/>
      <c r="H181" s="15"/>
      <c r="I181" s="38"/>
      <c r="J181" s="38"/>
      <c r="K181" s="38"/>
      <c r="L181" s="41"/>
      <c r="M181" s="43"/>
      <c r="N181" s="11"/>
      <c r="O181" s="48"/>
      <c r="P181" s="48"/>
      <c r="Q181" s="48"/>
      <c r="R181" s="38"/>
      <c r="S181" s="38"/>
      <c r="T181" s="52"/>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83"/>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83"/>
      <c r="CK181" s="11"/>
      <c r="CL181" s="11"/>
      <c r="CM181" s="11"/>
      <c r="CN181" s="11"/>
      <c r="CO181" s="11"/>
      <c r="CP181" s="11"/>
      <c r="CQ181" s="11"/>
      <c r="CR181" s="11"/>
      <c r="CS181" s="11"/>
      <c r="CT181" s="11"/>
      <c r="CU181" s="11"/>
      <c r="CV181" s="11"/>
      <c r="CW181" s="11"/>
      <c r="CX181" s="11"/>
      <c r="CY181" s="11"/>
      <c r="CZ181" s="11"/>
      <c r="DA181" s="11"/>
      <c r="DB181" s="11"/>
      <c r="DC181" s="11"/>
    </row>
    <row r="182" spans="1:107" ht="12.75" customHeight="1">
      <c r="A182" s="11"/>
      <c r="B182" s="11"/>
      <c r="C182" s="11"/>
      <c r="D182" s="11"/>
      <c r="E182" s="11"/>
      <c r="F182" s="11"/>
      <c r="G182" s="11"/>
      <c r="H182" s="15"/>
      <c r="I182" s="38"/>
      <c r="J182" s="38"/>
      <c r="K182" s="38"/>
      <c r="L182" s="41"/>
      <c r="M182" s="43"/>
      <c r="N182" s="11"/>
      <c r="O182" s="48"/>
      <c r="P182" s="48"/>
      <c r="Q182" s="48"/>
      <c r="R182" s="38"/>
      <c r="S182" s="38"/>
      <c r="T182" s="52"/>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83"/>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83"/>
      <c r="CK182" s="11"/>
      <c r="CL182" s="11"/>
      <c r="CM182" s="11"/>
      <c r="CN182" s="11"/>
      <c r="CO182" s="11"/>
      <c r="CP182" s="11"/>
      <c r="CQ182" s="11"/>
      <c r="CR182" s="11"/>
      <c r="CS182" s="11"/>
      <c r="CT182" s="11"/>
      <c r="CU182" s="11"/>
      <c r="CV182" s="11"/>
      <c r="CW182" s="11"/>
      <c r="CX182" s="11"/>
      <c r="CY182" s="11"/>
      <c r="CZ182" s="11"/>
      <c r="DA182" s="11"/>
      <c r="DB182" s="11"/>
      <c r="DC182" s="11"/>
    </row>
    <row r="183" spans="1:107" ht="12.75" customHeight="1">
      <c r="A183" s="11"/>
      <c r="B183" s="11"/>
      <c r="C183" s="11"/>
      <c r="D183" s="11"/>
      <c r="E183" s="11"/>
      <c r="F183" s="11"/>
      <c r="G183" s="11"/>
      <c r="H183" s="15"/>
      <c r="I183" s="38"/>
      <c r="J183" s="38"/>
      <c r="K183" s="38"/>
      <c r="L183" s="41"/>
      <c r="M183" s="43"/>
      <c r="N183" s="11"/>
      <c r="O183" s="48"/>
      <c r="P183" s="48"/>
      <c r="Q183" s="48"/>
      <c r="R183" s="38"/>
      <c r="S183" s="38"/>
      <c r="T183" s="52"/>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83"/>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83"/>
      <c r="CK183" s="11"/>
      <c r="CL183" s="11"/>
      <c r="CM183" s="11"/>
      <c r="CN183" s="11"/>
      <c r="CO183" s="11"/>
      <c r="CP183" s="11"/>
      <c r="CQ183" s="11"/>
      <c r="CR183" s="11"/>
      <c r="CS183" s="11"/>
      <c r="CT183" s="11"/>
      <c r="CU183" s="11"/>
      <c r="CV183" s="11"/>
      <c r="CW183" s="11"/>
      <c r="CX183" s="11"/>
      <c r="CY183" s="11"/>
      <c r="CZ183" s="11"/>
      <c r="DA183" s="11"/>
      <c r="DB183" s="11"/>
      <c r="DC183" s="11"/>
    </row>
    <row r="184" spans="1:107" ht="12.75" customHeight="1">
      <c r="A184" s="11"/>
      <c r="B184" s="11"/>
      <c r="C184" s="11"/>
      <c r="D184" s="11"/>
      <c r="E184" s="11"/>
      <c r="F184" s="11"/>
      <c r="G184" s="11"/>
      <c r="H184" s="15"/>
      <c r="I184" s="38"/>
      <c r="J184" s="38"/>
      <c r="K184" s="38"/>
      <c r="L184" s="41"/>
      <c r="M184" s="43"/>
      <c r="N184" s="11"/>
      <c r="O184" s="48"/>
      <c r="P184" s="48"/>
      <c r="Q184" s="48"/>
      <c r="R184" s="38"/>
      <c r="S184" s="38"/>
      <c r="T184" s="52"/>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83"/>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83"/>
      <c r="CK184" s="11"/>
      <c r="CL184" s="11"/>
      <c r="CM184" s="11"/>
      <c r="CN184" s="11"/>
      <c r="CO184" s="11"/>
      <c r="CP184" s="11"/>
      <c r="CQ184" s="11"/>
      <c r="CR184" s="11"/>
      <c r="CS184" s="11"/>
      <c r="CT184" s="11"/>
      <c r="CU184" s="11"/>
      <c r="CV184" s="11"/>
      <c r="CW184" s="11"/>
      <c r="CX184" s="11"/>
      <c r="CY184" s="11"/>
      <c r="CZ184" s="11"/>
      <c r="DA184" s="11"/>
      <c r="DB184" s="11"/>
      <c r="DC184" s="11"/>
    </row>
    <row r="185" spans="1:107" ht="12.75" customHeight="1">
      <c r="A185" s="11"/>
      <c r="B185" s="11"/>
      <c r="C185" s="11"/>
      <c r="D185" s="11"/>
      <c r="E185" s="11"/>
      <c r="F185" s="11"/>
      <c r="G185" s="11"/>
      <c r="H185" s="15"/>
      <c r="I185" s="38"/>
      <c r="J185" s="38"/>
      <c r="K185" s="38"/>
      <c r="L185" s="41"/>
      <c r="M185" s="43"/>
      <c r="N185" s="11"/>
      <c r="O185" s="48"/>
      <c r="P185" s="48"/>
      <c r="Q185" s="48"/>
      <c r="R185" s="38"/>
      <c r="S185" s="38"/>
      <c r="T185" s="52"/>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83"/>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83"/>
      <c r="CK185" s="11"/>
      <c r="CL185" s="11"/>
      <c r="CM185" s="11"/>
      <c r="CN185" s="11"/>
      <c r="CO185" s="11"/>
      <c r="CP185" s="11"/>
      <c r="CQ185" s="11"/>
      <c r="CR185" s="11"/>
      <c r="CS185" s="11"/>
      <c r="CT185" s="11"/>
      <c r="CU185" s="11"/>
      <c r="CV185" s="11"/>
      <c r="CW185" s="11"/>
      <c r="CX185" s="11"/>
      <c r="CY185" s="11"/>
      <c r="CZ185" s="11"/>
      <c r="DA185" s="11"/>
      <c r="DB185" s="11"/>
      <c r="DC185" s="11"/>
    </row>
    <row r="186" spans="1:107" ht="12.75" customHeight="1">
      <c r="A186" s="11"/>
      <c r="B186" s="11"/>
      <c r="C186" s="11"/>
      <c r="D186" s="11"/>
      <c r="E186" s="11"/>
      <c r="F186" s="11"/>
      <c r="G186" s="11"/>
      <c r="H186" s="15"/>
      <c r="I186" s="38"/>
      <c r="J186" s="38"/>
      <c r="K186" s="38"/>
      <c r="L186" s="41"/>
      <c r="M186" s="43"/>
      <c r="N186" s="11"/>
      <c r="O186" s="48"/>
      <c r="P186" s="48"/>
      <c r="Q186" s="48"/>
      <c r="R186" s="38"/>
      <c r="S186" s="38"/>
      <c r="T186" s="52"/>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83"/>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83"/>
      <c r="CK186" s="11"/>
      <c r="CL186" s="11"/>
      <c r="CM186" s="11"/>
      <c r="CN186" s="11"/>
      <c r="CO186" s="11"/>
      <c r="CP186" s="11"/>
      <c r="CQ186" s="11"/>
      <c r="CR186" s="11"/>
      <c r="CS186" s="11"/>
      <c r="CT186" s="11"/>
      <c r="CU186" s="11"/>
      <c r="CV186" s="11"/>
      <c r="CW186" s="11"/>
      <c r="CX186" s="11"/>
      <c r="CY186" s="11"/>
      <c r="CZ186" s="11"/>
      <c r="DA186" s="11"/>
      <c r="DB186" s="11"/>
      <c r="DC186" s="11"/>
    </row>
    <row r="187" spans="1:107" ht="12.75" customHeight="1">
      <c r="A187" s="11"/>
      <c r="B187" s="11"/>
      <c r="C187" s="11"/>
      <c r="D187" s="11"/>
      <c r="E187" s="11"/>
      <c r="F187" s="11"/>
      <c r="G187" s="11"/>
      <c r="H187" s="15"/>
      <c r="I187" s="38"/>
      <c r="J187" s="38"/>
      <c r="K187" s="38"/>
      <c r="L187" s="41"/>
      <c r="M187" s="43"/>
      <c r="N187" s="11"/>
      <c r="O187" s="48"/>
      <c r="P187" s="48"/>
      <c r="Q187" s="48"/>
      <c r="R187" s="38"/>
      <c r="S187" s="38"/>
      <c r="T187" s="52"/>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83"/>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83"/>
      <c r="CK187" s="11"/>
      <c r="CL187" s="11"/>
      <c r="CM187" s="11"/>
      <c r="CN187" s="11"/>
      <c r="CO187" s="11"/>
      <c r="CP187" s="11"/>
      <c r="CQ187" s="11"/>
      <c r="CR187" s="11"/>
      <c r="CS187" s="11"/>
      <c r="CT187" s="11"/>
      <c r="CU187" s="11"/>
      <c r="CV187" s="11"/>
      <c r="CW187" s="11"/>
      <c r="CX187" s="11"/>
      <c r="CY187" s="11"/>
      <c r="CZ187" s="11"/>
      <c r="DA187" s="11"/>
      <c r="DB187" s="11"/>
      <c r="DC187" s="11"/>
    </row>
    <row r="188" spans="1:107" ht="12.75" customHeight="1">
      <c r="A188" s="11"/>
      <c r="B188" s="11"/>
      <c r="C188" s="11"/>
      <c r="D188" s="11"/>
      <c r="E188" s="11"/>
      <c r="F188" s="11"/>
      <c r="G188" s="11"/>
      <c r="H188" s="15"/>
      <c r="I188" s="38"/>
      <c r="J188" s="38"/>
      <c r="K188" s="38"/>
      <c r="L188" s="41"/>
      <c r="M188" s="43"/>
      <c r="N188" s="11"/>
      <c r="O188" s="48"/>
      <c r="P188" s="48"/>
      <c r="Q188" s="48"/>
      <c r="R188" s="38"/>
      <c r="S188" s="38"/>
      <c r="T188" s="52"/>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83"/>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83"/>
      <c r="CK188" s="11"/>
      <c r="CL188" s="11"/>
      <c r="CM188" s="11"/>
      <c r="CN188" s="11"/>
      <c r="CO188" s="11"/>
      <c r="CP188" s="11"/>
      <c r="CQ188" s="11"/>
      <c r="CR188" s="11"/>
      <c r="CS188" s="11"/>
      <c r="CT188" s="11"/>
      <c r="CU188" s="11"/>
      <c r="CV188" s="11"/>
      <c r="CW188" s="11"/>
      <c r="CX188" s="11"/>
      <c r="CY188" s="11"/>
      <c r="CZ188" s="11"/>
      <c r="DA188" s="11"/>
      <c r="DB188" s="11"/>
      <c r="DC188" s="11"/>
    </row>
    <row r="189" spans="1:107" ht="12.75" customHeight="1">
      <c r="A189" s="11"/>
      <c r="B189" s="11"/>
      <c r="C189" s="11"/>
      <c r="D189" s="11"/>
      <c r="E189" s="11"/>
      <c r="F189" s="11"/>
      <c r="G189" s="11"/>
      <c r="H189" s="15"/>
      <c r="I189" s="38"/>
      <c r="J189" s="38"/>
      <c r="K189" s="38"/>
      <c r="L189" s="41"/>
      <c r="M189" s="43"/>
      <c r="N189" s="11"/>
      <c r="O189" s="48"/>
      <c r="P189" s="48"/>
      <c r="Q189" s="48"/>
      <c r="R189" s="38"/>
      <c r="S189" s="38"/>
      <c r="T189" s="52"/>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83"/>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83"/>
      <c r="CK189" s="11"/>
      <c r="CL189" s="11"/>
      <c r="CM189" s="11"/>
      <c r="CN189" s="11"/>
      <c r="CO189" s="11"/>
      <c r="CP189" s="11"/>
      <c r="CQ189" s="11"/>
      <c r="CR189" s="11"/>
      <c r="CS189" s="11"/>
      <c r="CT189" s="11"/>
      <c r="CU189" s="11"/>
      <c r="CV189" s="11"/>
      <c r="CW189" s="11"/>
      <c r="CX189" s="11"/>
      <c r="CY189" s="11"/>
      <c r="CZ189" s="11"/>
      <c r="DA189" s="11"/>
      <c r="DB189" s="11"/>
      <c r="DC189" s="11"/>
    </row>
    <row r="190" spans="1:107" ht="12.75" customHeight="1">
      <c r="A190" s="11"/>
      <c r="B190" s="11"/>
      <c r="C190" s="11"/>
      <c r="D190" s="11"/>
      <c r="E190" s="11"/>
      <c r="F190" s="11"/>
      <c r="G190" s="11"/>
      <c r="H190" s="15"/>
      <c r="I190" s="38"/>
      <c r="J190" s="38"/>
      <c r="K190" s="38"/>
      <c r="L190" s="41"/>
      <c r="M190" s="43"/>
      <c r="N190" s="11"/>
      <c r="O190" s="48"/>
      <c r="P190" s="48"/>
      <c r="Q190" s="48"/>
      <c r="R190" s="38"/>
      <c r="S190" s="38"/>
      <c r="T190" s="52"/>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83"/>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83"/>
      <c r="CK190" s="11"/>
      <c r="CL190" s="11"/>
      <c r="CM190" s="11"/>
      <c r="CN190" s="11"/>
      <c r="CO190" s="11"/>
      <c r="CP190" s="11"/>
      <c r="CQ190" s="11"/>
      <c r="CR190" s="11"/>
      <c r="CS190" s="11"/>
      <c r="CT190" s="11"/>
      <c r="CU190" s="11"/>
      <c r="CV190" s="11"/>
      <c r="CW190" s="11"/>
      <c r="CX190" s="11"/>
      <c r="CY190" s="11"/>
      <c r="CZ190" s="11"/>
      <c r="DA190" s="11"/>
      <c r="DB190" s="11"/>
      <c r="DC190" s="11"/>
    </row>
    <row r="191" spans="1:107" ht="12.75" customHeight="1">
      <c r="A191" s="11"/>
      <c r="B191" s="11"/>
      <c r="C191" s="11"/>
      <c r="D191" s="11"/>
      <c r="E191" s="11"/>
      <c r="F191" s="11"/>
      <c r="G191" s="11"/>
      <c r="H191" s="15"/>
      <c r="I191" s="38"/>
      <c r="J191" s="38"/>
      <c r="K191" s="38"/>
      <c r="L191" s="41"/>
      <c r="M191" s="43"/>
      <c r="N191" s="11"/>
      <c r="O191" s="48"/>
      <c r="P191" s="48"/>
      <c r="Q191" s="48"/>
      <c r="R191" s="38"/>
      <c r="S191" s="38"/>
      <c r="T191" s="52"/>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83"/>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83"/>
      <c r="CK191" s="11"/>
      <c r="CL191" s="11"/>
      <c r="CM191" s="11"/>
      <c r="CN191" s="11"/>
      <c r="CO191" s="11"/>
      <c r="CP191" s="11"/>
      <c r="CQ191" s="11"/>
      <c r="CR191" s="11"/>
      <c r="CS191" s="11"/>
      <c r="CT191" s="11"/>
      <c r="CU191" s="11"/>
      <c r="CV191" s="11"/>
      <c r="CW191" s="11"/>
      <c r="CX191" s="11"/>
      <c r="CY191" s="11"/>
      <c r="CZ191" s="11"/>
      <c r="DA191" s="11"/>
      <c r="DB191" s="11"/>
      <c r="DC191" s="11"/>
    </row>
    <row r="192" spans="1:107" ht="12.75" customHeight="1">
      <c r="A192" s="11"/>
      <c r="B192" s="11"/>
      <c r="C192" s="11"/>
      <c r="D192" s="11"/>
      <c r="E192" s="11"/>
      <c r="F192" s="11"/>
      <c r="G192" s="11"/>
      <c r="H192" s="15"/>
      <c r="I192" s="38"/>
      <c r="J192" s="38"/>
      <c r="K192" s="38"/>
      <c r="L192" s="41"/>
      <c r="M192" s="43"/>
      <c r="N192" s="11"/>
      <c r="O192" s="48"/>
      <c r="P192" s="48"/>
      <c r="Q192" s="48"/>
      <c r="R192" s="38"/>
      <c r="S192" s="38"/>
      <c r="T192" s="52"/>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83"/>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83"/>
      <c r="CK192" s="11"/>
      <c r="CL192" s="11"/>
      <c r="CM192" s="11"/>
      <c r="CN192" s="11"/>
      <c r="CO192" s="11"/>
      <c r="CP192" s="11"/>
      <c r="CQ192" s="11"/>
      <c r="CR192" s="11"/>
      <c r="CS192" s="11"/>
      <c r="CT192" s="11"/>
      <c r="CU192" s="11"/>
      <c r="CV192" s="11"/>
      <c r="CW192" s="11"/>
      <c r="CX192" s="11"/>
      <c r="CY192" s="11"/>
      <c r="CZ192" s="11"/>
      <c r="DA192" s="11"/>
      <c r="DB192" s="11"/>
      <c r="DC192" s="11"/>
    </row>
    <row r="193" spans="1:107" ht="12.75" customHeight="1">
      <c r="A193" s="11"/>
      <c r="B193" s="11"/>
      <c r="C193" s="11"/>
      <c r="D193" s="11"/>
      <c r="E193" s="11"/>
      <c r="F193" s="11"/>
      <c r="G193" s="11"/>
      <c r="H193" s="15"/>
      <c r="I193" s="38"/>
      <c r="J193" s="38"/>
      <c r="K193" s="38"/>
      <c r="L193" s="41"/>
      <c r="M193" s="43"/>
      <c r="N193" s="11"/>
      <c r="O193" s="48"/>
      <c r="P193" s="48"/>
      <c r="Q193" s="48"/>
      <c r="R193" s="38"/>
      <c r="S193" s="38"/>
      <c r="T193" s="52"/>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83"/>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83"/>
      <c r="CK193" s="11"/>
      <c r="CL193" s="11"/>
      <c r="CM193" s="11"/>
      <c r="CN193" s="11"/>
      <c r="CO193" s="11"/>
      <c r="CP193" s="11"/>
      <c r="CQ193" s="11"/>
      <c r="CR193" s="11"/>
      <c r="CS193" s="11"/>
      <c r="CT193" s="11"/>
      <c r="CU193" s="11"/>
      <c r="CV193" s="11"/>
      <c r="CW193" s="11"/>
      <c r="CX193" s="11"/>
      <c r="CY193" s="11"/>
      <c r="CZ193" s="11"/>
      <c r="DA193" s="11"/>
      <c r="DB193" s="11"/>
      <c r="DC193" s="11"/>
    </row>
    <row r="194" spans="1:107" ht="12.75" customHeight="1">
      <c r="A194" s="11"/>
      <c r="B194" s="11"/>
      <c r="C194" s="11"/>
      <c r="D194" s="11"/>
      <c r="E194" s="11"/>
      <c r="F194" s="11"/>
      <c r="G194" s="11"/>
      <c r="H194" s="15"/>
      <c r="I194" s="38"/>
      <c r="J194" s="38"/>
      <c r="K194" s="38"/>
      <c r="L194" s="41"/>
      <c r="M194" s="43"/>
      <c r="N194" s="11"/>
      <c r="O194" s="48"/>
      <c r="P194" s="48"/>
      <c r="Q194" s="48"/>
      <c r="R194" s="38"/>
      <c r="S194" s="38"/>
      <c r="T194" s="52"/>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83"/>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83"/>
      <c r="CK194" s="11"/>
      <c r="CL194" s="11"/>
      <c r="CM194" s="11"/>
      <c r="CN194" s="11"/>
      <c r="CO194" s="11"/>
      <c r="CP194" s="11"/>
      <c r="CQ194" s="11"/>
      <c r="CR194" s="11"/>
      <c r="CS194" s="11"/>
      <c r="CT194" s="11"/>
      <c r="CU194" s="11"/>
      <c r="CV194" s="11"/>
      <c r="CW194" s="11"/>
      <c r="CX194" s="11"/>
      <c r="CY194" s="11"/>
      <c r="CZ194" s="11"/>
      <c r="DA194" s="11"/>
      <c r="DB194" s="11"/>
      <c r="DC194" s="11"/>
    </row>
    <row r="195" spans="1:107" ht="12.75" customHeight="1">
      <c r="A195" s="11"/>
      <c r="B195" s="11"/>
      <c r="C195" s="11"/>
      <c r="D195" s="11"/>
      <c r="E195" s="11"/>
      <c r="F195" s="11"/>
      <c r="G195" s="11"/>
      <c r="H195" s="15"/>
      <c r="I195" s="38"/>
      <c r="J195" s="38"/>
      <c r="K195" s="38"/>
      <c r="L195" s="41"/>
      <c r="M195" s="43"/>
      <c r="N195" s="11"/>
      <c r="O195" s="48"/>
      <c r="P195" s="48"/>
      <c r="Q195" s="48"/>
      <c r="R195" s="38"/>
      <c r="S195" s="38"/>
      <c r="T195" s="52"/>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83"/>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83"/>
      <c r="CK195" s="11"/>
      <c r="CL195" s="11"/>
      <c r="CM195" s="11"/>
      <c r="CN195" s="11"/>
      <c r="CO195" s="11"/>
      <c r="CP195" s="11"/>
      <c r="CQ195" s="11"/>
      <c r="CR195" s="11"/>
      <c r="CS195" s="11"/>
      <c r="CT195" s="11"/>
      <c r="CU195" s="11"/>
      <c r="CV195" s="11"/>
      <c r="CW195" s="11"/>
      <c r="CX195" s="11"/>
      <c r="CY195" s="11"/>
      <c r="CZ195" s="11"/>
      <c r="DA195" s="11"/>
      <c r="DB195" s="11"/>
      <c r="DC195" s="11"/>
    </row>
    <row r="196" spans="1:107" ht="12.75" customHeight="1">
      <c r="A196" s="11"/>
      <c r="B196" s="11"/>
      <c r="C196" s="11"/>
      <c r="D196" s="11"/>
      <c r="E196" s="11"/>
      <c r="F196" s="11"/>
      <c r="G196" s="11"/>
      <c r="H196" s="15"/>
      <c r="I196" s="38"/>
      <c r="J196" s="38"/>
      <c r="K196" s="38"/>
      <c r="L196" s="41"/>
      <c r="M196" s="43"/>
      <c r="N196" s="11"/>
      <c r="O196" s="48"/>
      <c r="P196" s="48"/>
      <c r="Q196" s="48"/>
      <c r="R196" s="38"/>
      <c r="S196" s="38"/>
      <c r="T196" s="52"/>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83"/>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83"/>
      <c r="CK196" s="11"/>
      <c r="CL196" s="11"/>
      <c r="CM196" s="11"/>
      <c r="CN196" s="11"/>
      <c r="CO196" s="11"/>
      <c r="CP196" s="11"/>
      <c r="CQ196" s="11"/>
      <c r="CR196" s="11"/>
      <c r="CS196" s="11"/>
      <c r="CT196" s="11"/>
      <c r="CU196" s="11"/>
      <c r="CV196" s="11"/>
      <c r="CW196" s="11"/>
      <c r="CX196" s="11"/>
      <c r="CY196" s="11"/>
      <c r="CZ196" s="11"/>
      <c r="DA196" s="11"/>
      <c r="DB196" s="11"/>
      <c r="DC196" s="11"/>
    </row>
    <row r="197" spans="1:107" ht="12.75" customHeight="1">
      <c r="A197" s="11"/>
      <c r="B197" s="11"/>
      <c r="C197" s="11"/>
      <c r="D197" s="11"/>
      <c r="E197" s="11"/>
      <c r="F197" s="11"/>
      <c r="G197" s="11"/>
      <c r="H197" s="15"/>
      <c r="I197" s="38"/>
      <c r="J197" s="38"/>
      <c r="K197" s="38"/>
      <c r="L197" s="41"/>
      <c r="M197" s="43"/>
      <c r="N197" s="11"/>
      <c r="O197" s="48"/>
      <c r="P197" s="48"/>
      <c r="Q197" s="48"/>
      <c r="R197" s="38"/>
      <c r="S197" s="38"/>
      <c r="T197" s="52"/>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83"/>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83"/>
      <c r="CK197" s="11"/>
      <c r="CL197" s="11"/>
      <c r="CM197" s="11"/>
      <c r="CN197" s="11"/>
      <c r="CO197" s="11"/>
      <c r="CP197" s="11"/>
      <c r="CQ197" s="11"/>
      <c r="CR197" s="11"/>
      <c r="CS197" s="11"/>
      <c r="CT197" s="11"/>
      <c r="CU197" s="11"/>
      <c r="CV197" s="11"/>
      <c r="CW197" s="11"/>
      <c r="CX197" s="11"/>
      <c r="CY197" s="11"/>
      <c r="CZ197" s="11"/>
      <c r="DA197" s="11"/>
      <c r="DB197" s="11"/>
      <c r="DC197" s="11"/>
    </row>
    <row r="198" spans="1:107" ht="12.75" customHeight="1">
      <c r="A198" s="11"/>
      <c r="B198" s="11"/>
      <c r="C198" s="11"/>
      <c r="D198" s="11"/>
      <c r="E198" s="11"/>
      <c r="F198" s="11"/>
      <c r="G198" s="11"/>
      <c r="H198" s="15"/>
      <c r="I198" s="38"/>
      <c r="J198" s="38"/>
      <c r="K198" s="38"/>
      <c r="L198" s="41"/>
      <c r="M198" s="43"/>
      <c r="N198" s="11"/>
      <c r="O198" s="48"/>
      <c r="P198" s="48"/>
      <c r="Q198" s="48"/>
      <c r="R198" s="38"/>
      <c r="S198" s="38"/>
      <c r="T198" s="52"/>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83"/>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83"/>
      <c r="CK198" s="11"/>
      <c r="CL198" s="11"/>
      <c r="CM198" s="11"/>
      <c r="CN198" s="11"/>
      <c r="CO198" s="11"/>
      <c r="CP198" s="11"/>
      <c r="CQ198" s="11"/>
      <c r="CR198" s="11"/>
      <c r="CS198" s="11"/>
      <c r="CT198" s="11"/>
      <c r="CU198" s="11"/>
      <c r="CV198" s="11"/>
      <c r="CW198" s="11"/>
      <c r="CX198" s="11"/>
      <c r="CY198" s="11"/>
      <c r="CZ198" s="11"/>
      <c r="DA198" s="11"/>
      <c r="DB198" s="11"/>
      <c r="DC198" s="11"/>
    </row>
    <row r="199" spans="1:107" ht="12.75" customHeight="1">
      <c r="A199" s="11"/>
      <c r="B199" s="11"/>
      <c r="C199" s="11"/>
      <c r="D199" s="11"/>
      <c r="E199" s="11"/>
      <c r="F199" s="11"/>
      <c r="G199" s="11"/>
      <c r="H199" s="15"/>
      <c r="I199" s="38"/>
      <c r="J199" s="38"/>
      <c r="K199" s="38"/>
      <c r="L199" s="41"/>
      <c r="M199" s="43"/>
      <c r="N199" s="11"/>
      <c r="O199" s="48"/>
      <c r="P199" s="48"/>
      <c r="Q199" s="48"/>
      <c r="R199" s="38"/>
      <c r="S199" s="38"/>
      <c r="T199" s="52"/>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83"/>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83"/>
      <c r="CK199" s="11"/>
      <c r="CL199" s="11"/>
      <c r="CM199" s="11"/>
      <c r="CN199" s="11"/>
      <c r="CO199" s="11"/>
      <c r="CP199" s="11"/>
      <c r="CQ199" s="11"/>
      <c r="CR199" s="11"/>
      <c r="CS199" s="11"/>
      <c r="CT199" s="11"/>
      <c r="CU199" s="11"/>
      <c r="CV199" s="11"/>
      <c r="CW199" s="11"/>
      <c r="CX199" s="11"/>
      <c r="CY199" s="11"/>
      <c r="CZ199" s="11"/>
      <c r="DA199" s="11"/>
      <c r="DB199" s="11"/>
      <c r="DC199" s="11"/>
    </row>
    <row r="200" spans="1:107" ht="12.75" customHeight="1">
      <c r="A200" s="11"/>
      <c r="B200" s="11"/>
      <c r="C200" s="11"/>
      <c r="D200" s="11"/>
      <c r="E200" s="11"/>
      <c r="F200" s="11"/>
      <c r="G200" s="11"/>
      <c r="H200" s="15"/>
      <c r="I200" s="38"/>
      <c r="J200" s="38"/>
      <c r="K200" s="38"/>
      <c r="L200" s="41"/>
      <c r="M200" s="43"/>
      <c r="N200" s="11"/>
      <c r="O200" s="48"/>
      <c r="P200" s="48"/>
      <c r="Q200" s="48"/>
      <c r="R200" s="38"/>
      <c r="S200" s="38"/>
      <c r="T200" s="52"/>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83"/>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83"/>
      <c r="CK200" s="11"/>
      <c r="CL200" s="11"/>
      <c r="CM200" s="11"/>
      <c r="CN200" s="11"/>
      <c r="CO200" s="11"/>
      <c r="CP200" s="11"/>
      <c r="CQ200" s="11"/>
      <c r="CR200" s="11"/>
      <c r="CS200" s="11"/>
      <c r="CT200" s="11"/>
      <c r="CU200" s="11"/>
      <c r="CV200" s="11"/>
      <c r="CW200" s="11"/>
      <c r="CX200" s="11"/>
      <c r="CY200" s="11"/>
      <c r="CZ200" s="11"/>
      <c r="DA200" s="11"/>
      <c r="DB200" s="11"/>
      <c r="DC200" s="11"/>
    </row>
    <row r="201" spans="1:107" ht="12.75" customHeight="1">
      <c r="A201" s="11"/>
      <c r="B201" s="11"/>
      <c r="C201" s="11"/>
      <c r="D201" s="11"/>
      <c r="E201" s="11"/>
      <c r="F201" s="11"/>
      <c r="G201" s="11"/>
      <c r="H201" s="15"/>
      <c r="I201" s="38"/>
      <c r="J201" s="38"/>
      <c r="K201" s="38"/>
      <c r="L201" s="41"/>
      <c r="M201" s="43"/>
      <c r="N201" s="11"/>
      <c r="O201" s="48"/>
      <c r="P201" s="48"/>
      <c r="Q201" s="48"/>
      <c r="R201" s="38"/>
      <c r="S201" s="38"/>
      <c r="T201" s="52"/>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83"/>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83"/>
      <c r="CK201" s="11"/>
      <c r="CL201" s="11"/>
      <c r="CM201" s="11"/>
      <c r="CN201" s="11"/>
      <c r="CO201" s="11"/>
      <c r="CP201" s="11"/>
      <c r="CQ201" s="11"/>
      <c r="CR201" s="11"/>
      <c r="CS201" s="11"/>
      <c r="CT201" s="11"/>
      <c r="CU201" s="11"/>
      <c r="CV201" s="11"/>
      <c r="CW201" s="11"/>
      <c r="CX201" s="11"/>
      <c r="CY201" s="11"/>
      <c r="CZ201" s="11"/>
      <c r="DA201" s="11"/>
      <c r="DB201" s="11"/>
      <c r="DC201" s="11"/>
    </row>
    <row r="202" spans="1:107" ht="12.75" customHeight="1">
      <c r="A202" s="11"/>
      <c r="B202" s="11"/>
      <c r="C202" s="11"/>
      <c r="D202" s="11"/>
      <c r="E202" s="11"/>
      <c r="F202" s="11"/>
      <c r="G202" s="11"/>
      <c r="H202" s="15"/>
      <c r="I202" s="38"/>
      <c r="J202" s="38"/>
      <c r="K202" s="38"/>
      <c r="L202" s="41"/>
      <c r="M202" s="43"/>
      <c r="N202" s="11"/>
      <c r="O202" s="48"/>
      <c r="P202" s="48"/>
      <c r="Q202" s="48"/>
      <c r="R202" s="38"/>
      <c r="S202" s="38"/>
      <c r="T202" s="52"/>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83"/>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83"/>
      <c r="CK202" s="11"/>
      <c r="CL202" s="11"/>
      <c r="CM202" s="11"/>
      <c r="CN202" s="11"/>
      <c r="CO202" s="11"/>
      <c r="CP202" s="11"/>
      <c r="CQ202" s="11"/>
      <c r="CR202" s="11"/>
      <c r="CS202" s="11"/>
      <c r="CT202" s="11"/>
      <c r="CU202" s="11"/>
      <c r="CV202" s="11"/>
      <c r="CW202" s="11"/>
      <c r="CX202" s="11"/>
      <c r="CY202" s="11"/>
      <c r="CZ202" s="11"/>
      <c r="DA202" s="11"/>
      <c r="DB202" s="11"/>
      <c r="DC202" s="11"/>
    </row>
    <row r="203" spans="1:107" ht="12.75" customHeight="1">
      <c r="A203" s="11"/>
      <c r="B203" s="11"/>
      <c r="C203" s="11"/>
      <c r="D203" s="11"/>
      <c r="E203" s="11"/>
      <c r="F203" s="11"/>
      <c r="G203" s="11"/>
      <c r="H203" s="15"/>
      <c r="I203" s="38"/>
      <c r="J203" s="38"/>
      <c r="K203" s="38"/>
      <c r="L203" s="41"/>
      <c r="M203" s="43"/>
      <c r="N203" s="11"/>
      <c r="O203" s="48"/>
      <c r="P203" s="48"/>
      <c r="Q203" s="48"/>
      <c r="R203" s="38"/>
      <c r="S203" s="38"/>
      <c r="T203" s="52"/>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83"/>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83"/>
      <c r="CK203" s="11"/>
      <c r="CL203" s="11"/>
      <c r="CM203" s="11"/>
      <c r="CN203" s="11"/>
      <c r="CO203" s="11"/>
      <c r="CP203" s="11"/>
      <c r="CQ203" s="11"/>
      <c r="CR203" s="11"/>
      <c r="CS203" s="11"/>
      <c r="CT203" s="11"/>
      <c r="CU203" s="11"/>
      <c r="CV203" s="11"/>
      <c r="CW203" s="11"/>
      <c r="CX203" s="11"/>
      <c r="CY203" s="11"/>
      <c r="CZ203" s="11"/>
      <c r="DA203" s="11"/>
      <c r="DB203" s="11"/>
      <c r="DC203" s="11"/>
    </row>
    <row r="204" spans="1:107" ht="12.75" customHeight="1">
      <c r="A204" s="11"/>
      <c r="B204" s="11"/>
      <c r="C204" s="11"/>
      <c r="D204" s="11"/>
      <c r="E204" s="11"/>
      <c r="F204" s="11"/>
      <c r="G204" s="11"/>
      <c r="H204" s="15"/>
      <c r="I204" s="38"/>
      <c r="J204" s="38"/>
      <c r="K204" s="38"/>
      <c r="L204" s="41"/>
      <c r="M204" s="43"/>
      <c r="N204" s="11"/>
      <c r="O204" s="48"/>
      <c r="P204" s="48"/>
      <c r="Q204" s="48"/>
      <c r="R204" s="38"/>
      <c r="S204" s="38"/>
      <c r="T204" s="52"/>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83"/>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83"/>
      <c r="CK204" s="11"/>
      <c r="CL204" s="11"/>
      <c r="CM204" s="11"/>
      <c r="CN204" s="11"/>
      <c r="CO204" s="11"/>
      <c r="CP204" s="11"/>
      <c r="CQ204" s="11"/>
      <c r="CR204" s="11"/>
      <c r="CS204" s="11"/>
      <c r="CT204" s="11"/>
      <c r="CU204" s="11"/>
      <c r="CV204" s="11"/>
      <c r="CW204" s="11"/>
      <c r="CX204" s="11"/>
      <c r="CY204" s="11"/>
      <c r="CZ204" s="11"/>
      <c r="DA204" s="11"/>
      <c r="DB204" s="11"/>
      <c r="DC204" s="11"/>
    </row>
    <row r="205" spans="1:107" ht="12.75" customHeight="1">
      <c r="A205" s="11"/>
      <c r="B205" s="11"/>
      <c r="C205" s="11"/>
      <c r="D205" s="11"/>
      <c r="E205" s="11"/>
      <c r="F205" s="11"/>
      <c r="G205" s="11"/>
      <c r="H205" s="15"/>
      <c r="I205" s="38"/>
      <c r="J205" s="38"/>
      <c r="K205" s="38"/>
      <c r="L205" s="41"/>
      <c r="M205" s="43"/>
      <c r="N205" s="11"/>
      <c r="O205" s="48"/>
      <c r="P205" s="48"/>
      <c r="Q205" s="48"/>
      <c r="R205" s="38"/>
      <c r="S205" s="38"/>
      <c r="T205" s="52"/>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83"/>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83"/>
      <c r="CK205" s="11"/>
      <c r="CL205" s="11"/>
      <c r="CM205" s="11"/>
      <c r="CN205" s="11"/>
      <c r="CO205" s="11"/>
      <c r="CP205" s="11"/>
      <c r="CQ205" s="11"/>
      <c r="CR205" s="11"/>
      <c r="CS205" s="11"/>
      <c r="CT205" s="11"/>
      <c r="CU205" s="11"/>
      <c r="CV205" s="11"/>
      <c r="CW205" s="11"/>
      <c r="CX205" s="11"/>
      <c r="CY205" s="11"/>
      <c r="CZ205" s="11"/>
      <c r="DA205" s="11"/>
      <c r="DB205" s="11"/>
      <c r="DC205" s="11"/>
    </row>
    <row r="206" spans="1:107" ht="12.75" customHeight="1">
      <c r="A206" s="11"/>
      <c r="B206" s="11"/>
      <c r="C206" s="11"/>
      <c r="D206" s="11"/>
      <c r="E206" s="11"/>
      <c r="F206" s="11"/>
      <c r="G206" s="11"/>
      <c r="H206" s="15"/>
      <c r="I206" s="38"/>
      <c r="J206" s="38"/>
      <c r="K206" s="38"/>
      <c r="L206" s="41"/>
      <c r="M206" s="43"/>
      <c r="N206" s="11"/>
      <c r="O206" s="48"/>
      <c r="P206" s="48"/>
      <c r="Q206" s="48"/>
      <c r="R206" s="38"/>
      <c r="S206" s="38"/>
      <c r="T206" s="52"/>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83"/>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83"/>
      <c r="CK206" s="11"/>
      <c r="CL206" s="11"/>
      <c r="CM206" s="11"/>
      <c r="CN206" s="11"/>
      <c r="CO206" s="11"/>
      <c r="CP206" s="11"/>
      <c r="CQ206" s="11"/>
      <c r="CR206" s="11"/>
      <c r="CS206" s="11"/>
      <c r="CT206" s="11"/>
      <c r="CU206" s="11"/>
      <c r="CV206" s="11"/>
      <c r="CW206" s="11"/>
      <c r="CX206" s="11"/>
      <c r="CY206" s="11"/>
      <c r="CZ206" s="11"/>
      <c r="DA206" s="11"/>
      <c r="DB206" s="11"/>
      <c r="DC206" s="11"/>
    </row>
    <row r="207" spans="1:107" ht="12.75" customHeight="1">
      <c r="A207" s="11"/>
      <c r="B207" s="11"/>
      <c r="C207" s="11"/>
      <c r="D207" s="11"/>
      <c r="E207" s="11"/>
      <c r="F207" s="11"/>
      <c r="G207" s="11"/>
      <c r="H207" s="15"/>
      <c r="I207" s="38"/>
      <c r="J207" s="38"/>
      <c r="K207" s="38"/>
      <c r="L207" s="41"/>
      <c r="M207" s="43"/>
      <c r="N207" s="11"/>
      <c r="O207" s="48"/>
      <c r="P207" s="48"/>
      <c r="Q207" s="48"/>
      <c r="R207" s="38"/>
      <c r="S207" s="38"/>
      <c r="T207" s="52"/>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83"/>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83"/>
      <c r="CK207" s="11"/>
      <c r="CL207" s="11"/>
      <c r="CM207" s="11"/>
      <c r="CN207" s="11"/>
      <c r="CO207" s="11"/>
      <c r="CP207" s="11"/>
      <c r="CQ207" s="11"/>
      <c r="CR207" s="11"/>
      <c r="CS207" s="11"/>
      <c r="CT207" s="11"/>
      <c r="CU207" s="11"/>
      <c r="CV207" s="11"/>
      <c r="CW207" s="11"/>
      <c r="CX207" s="11"/>
      <c r="CY207" s="11"/>
      <c r="CZ207" s="11"/>
      <c r="DA207" s="11"/>
      <c r="DB207" s="11"/>
      <c r="DC207" s="11"/>
    </row>
    <row r="208" spans="1:107" ht="12.75" customHeight="1">
      <c r="A208" s="11"/>
      <c r="B208" s="11"/>
      <c r="C208" s="11"/>
      <c r="D208" s="11"/>
      <c r="E208" s="11"/>
      <c r="F208" s="11"/>
      <c r="G208" s="11"/>
      <c r="H208" s="15"/>
      <c r="I208" s="38"/>
      <c r="J208" s="38"/>
      <c r="K208" s="38"/>
      <c r="L208" s="41"/>
      <c r="M208" s="43"/>
      <c r="N208" s="11"/>
      <c r="O208" s="48"/>
      <c r="P208" s="48"/>
      <c r="Q208" s="48"/>
      <c r="R208" s="38"/>
      <c r="S208" s="38"/>
      <c r="T208" s="52"/>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83"/>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83"/>
      <c r="CK208" s="11"/>
      <c r="CL208" s="11"/>
      <c r="CM208" s="11"/>
      <c r="CN208" s="11"/>
      <c r="CO208" s="11"/>
      <c r="CP208" s="11"/>
      <c r="CQ208" s="11"/>
      <c r="CR208" s="11"/>
      <c r="CS208" s="11"/>
      <c r="CT208" s="11"/>
      <c r="CU208" s="11"/>
      <c r="CV208" s="11"/>
      <c r="CW208" s="11"/>
      <c r="CX208" s="11"/>
      <c r="CY208" s="11"/>
      <c r="CZ208" s="11"/>
      <c r="DA208" s="11"/>
      <c r="DB208" s="11"/>
      <c r="DC208" s="11"/>
    </row>
    <row r="209" spans="1:107" ht="12.75" customHeight="1">
      <c r="A209" s="11"/>
      <c r="B209" s="11"/>
      <c r="C209" s="11"/>
      <c r="D209" s="11"/>
      <c r="E209" s="11"/>
      <c r="F209" s="11"/>
      <c r="G209" s="11"/>
      <c r="H209" s="15"/>
      <c r="I209" s="38"/>
      <c r="J209" s="38"/>
      <c r="K209" s="38"/>
      <c r="L209" s="41"/>
      <c r="M209" s="43"/>
      <c r="N209" s="11"/>
      <c r="O209" s="48"/>
      <c r="P209" s="48"/>
      <c r="Q209" s="48"/>
      <c r="R209" s="38"/>
      <c r="S209" s="38"/>
      <c r="T209" s="52"/>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83"/>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83"/>
      <c r="CK209" s="11"/>
      <c r="CL209" s="11"/>
      <c r="CM209" s="11"/>
      <c r="CN209" s="11"/>
      <c r="CO209" s="11"/>
      <c r="CP209" s="11"/>
      <c r="CQ209" s="11"/>
      <c r="CR209" s="11"/>
      <c r="CS209" s="11"/>
      <c r="CT209" s="11"/>
      <c r="CU209" s="11"/>
      <c r="CV209" s="11"/>
      <c r="CW209" s="11"/>
      <c r="CX209" s="11"/>
      <c r="CY209" s="11"/>
      <c r="CZ209" s="11"/>
      <c r="DA209" s="11"/>
      <c r="DB209" s="11"/>
      <c r="DC209" s="11"/>
    </row>
    <row r="210" spans="1:107" ht="12.75" customHeight="1">
      <c r="A210" s="11"/>
      <c r="B210" s="11"/>
      <c r="C210" s="11"/>
      <c r="D210" s="11"/>
      <c r="E210" s="11"/>
      <c r="F210" s="11"/>
      <c r="G210" s="11"/>
      <c r="H210" s="15"/>
      <c r="I210" s="38"/>
      <c r="J210" s="38"/>
      <c r="K210" s="38"/>
      <c r="L210" s="41"/>
      <c r="M210" s="43"/>
      <c r="N210" s="11"/>
      <c r="O210" s="48"/>
      <c r="P210" s="48"/>
      <c r="Q210" s="48"/>
      <c r="R210" s="38"/>
      <c r="S210" s="38"/>
      <c r="T210" s="52"/>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83"/>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83"/>
      <c r="CK210" s="11"/>
      <c r="CL210" s="11"/>
      <c r="CM210" s="11"/>
      <c r="CN210" s="11"/>
      <c r="CO210" s="11"/>
      <c r="CP210" s="11"/>
      <c r="CQ210" s="11"/>
      <c r="CR210" s="11"/>
      <c r="CS210" s="11"/>
      <c r="CT210" s="11"/>
      <c r="CU210" s="11"/>
      <c r="CV210" s="11"/>
      <c r="CW210" s="11"/>
      <c r="CX210" s="11"/>
      <c r="CY210" s="11"/>
      <c r="CZ210" s="11"/>
      <c r="DA210" s="11"/>
      <c r="DB210" s="11"/>
      <c r="DC210" s="11"/>
    </row>
    <row r="211" spans="1:107" ht="12.75" customHeight="1">
      <c r="A211" s="11"/>
      <c r="B211" s="11"/>
      <c r="C211" s="11"/>
      <c r="D211" s="11"/>
      <c r="E211" s="11"/>
      <c r="F211" s="11"/>
      <c r="G211" s="11"/>
      <c r="H211" s="15"/>
      <c r="I211" s="38"/>
      <c r="J211" s="38"/>
      <c r="K211" s="38"/>
      <c r="L211" s="41"/>
      <c r="M211" s="43"/>
      <c r="N211" s="11"/>
      <c r="O211" s="48"/>
      <c r="P211" s="48"/>
      <c r="Q211" s="48"/>
      <c r="R211" s="38"/>
      <c r="S211" s="38"/>
      <c r="T211" s="52"/>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83"/>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83"/>
      <c r="CK211" s="11"/>
      <c r="CL211" s="11"/>
      <c r="CM211" s="11"/>
      <c r="CN211" s="11"/>
      <c r="CO211" s="11"/>
      <c r="CP211" s="11"/>
      <c r="CQ211" s="11"/>
      <c r="CR211" s="11"/>
      <c r="CS211" s="11"/>
      <c r="CT211" s="11"/>
      <c r="CU211" s="11"/>
      <c r="CV211" s="11"/>
      <c r="CW211" s="11"/>
      <c r="CX211" s="11"/>
      <c r="CY211" s="11"/>
      <c r="CZ211" s="11"/>
      <c r="DA211" s="11"/>
      <c r="DB211" s="11"/>
      <c r="DC211" s="11"/>
    </row>
    <row r="212" spans="1:107" ht="12.75" customHeight="1">
      <c r="A212" s="11"/>
      <c r="B212" s="11"/>
      <c r="C212" s="11"/>
      <c r="D212" s="11"/>
      <c r="E212" s="11"/>
      <c r="F212" s="11"/>
      <c r="G212" s="11"/>
      <c r="H212" s="15"/>
      <c r="I212" s="38"/>
      <c r="J212" s="38"/>
      <c r="K212" s="38"/>
      <c r="L212" s="41"/>
      <c r="M212" s="43"/>
      <c r="N212" s="11"/>
      <c r="O212" s="48"/>
      <c r="P212" s="48"/>
      <c r="Q212" s="48"/>
      <c r="R212" s="38"/>
      <c r="S212" s="38"/>
      <c r="T212" s="52"/>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83"/>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83"/>
      <c r="CK212" s="11"/>
      <c r="CL212" s="11"/>
      <c r="CM212" s="11"/>
      <c r="CN212" s="11"/>
      <c r="CO212" s="11"/>
      <c r="CP212" s="11"/>
      <c r="CQ212" s="11"/>
      <c r="CR212" s="11"/>
      <c r="CS212" s="11"/>
      <c r="CT212" s="11"/>
      <c r="CU212" s="11"/>
      <c r="CV212" s="11"/>
      <c r="CW212" s="11"/>
      <c r="CX212" s="11"/>
      <c r="CY212" s="11"/>
      <c r="CZ212" s="11"/>
      <c r="DA212" s="11"/>
      <c r="DB212" s="11"/>
      <c r="DC212" s="11"/>
    </row>
    <row r="213" spans="1:107" ht="12.75" customHeight="1">
      <c r="A213" s="11"/>
      <c r="B213" s="11"/>
      <c r="C213" s="11"/>
      <c r="D213" s="11"/>
      <c r="E213" s="11"/>
      <c r="F213" s="11"/>
      <c r="G213" s="11"/>
      <c r="H213" s="15"/>
      <c r="I213" s="38"/>
      <c r="J213" s="38"/>
      <c r="K213" s="38"/>
      <c r="L213" s="41"/>
      <c r="M213" s="43"/>
      <c r="N213" s="11"/>
      <c r="O213" s="48"/>
      <c r="P213" s="48"/>
      <c r="Q213" s="48"/>
      <c r="R213" s="38"/>
      <c r="S213" s="38"/>
      <c r="T213" s="52"/>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83"/>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83"/>
      <c r="CK213" s="11"/>
      <c r="CL213" s="11"/>
      <c r="CM213" s="11"/>
      <c r="CN213" s="11"/>
      <c r="CO213" s="11"/>
      <c r="CP213" s="11"/>
      <c r="CQ213" s="11"/>
      <c r="CR213" s="11"/>
      <c r="CS213" s="11"/>
      <c r="CT213" s="11"/>
      <c r="CU213" s="11"/>
      <c r="CV213" s="11"/>
      <c r="CW213" s="11"/>
      <c r="CX213" s="11"/>
      <c r="CY213" s="11"/>
      <c r="CZ213" s="11"/>
      <c r="DA213" s="11"/>
      <c r="DB213" s="11"/>
      <c r="DC213" s="11"/>
    </row>
    <row r="214" spans="1:107" ht="12.75" customHeight="1">
      <c r="A214" s="11"/>
      <c r="B214" s="11"/>
      <c r="C214" s="11"/>
      <c r="D214" s="11"/>
      <c r="E214" s="11"/>
      <c r="F214" s="11"/>
      <c r="G214" s="11"/>
      <c r="H214" s="15"/>
      <c r="I214" s="38"/>
      <c r="J214" s="38"/>
      <c r="K214" s="38"/>
      <c r="L214" s="41"/>
      <c r="M214" s="43"/>
      <c r="N214" s="11"/>
      <c r="O214" s="48"/>
      <c r="P214" s="48"/>
      <c r="Q214" s="48"/>
      <c r="R214" s="38"/>
      <c r="S214" s="38"/>
      <c r="T214" s="52"/>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83"/>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83"/>
      <c r="CK214" s="11"/>
      <c r="CL214" s="11"/>
      <c r="CM214" s="11"/>
      <c r="CN214" s="11"/>
      <c r="CO214" s="11"/>
      <c r="CP214" s="11"/>
      <c r="CQ214" s="11"/>
      <c r="CR214" s="11"/>
      <c r="CS214" s="11"/>
      <c r="CT214" s="11"/>
      <c r="CU214" s="11"/>
      <c r="CV214" s="11"/>
      <c r="CW214" s="11"/>
      <c r="CX214" s="11"/>
      <c r="CY214" s="11"/>
      <c r="CZ214" s="11"/>
      <c r="DA214" s="11"/>
      <c r="DB214" s="11"/>
      <c r="DC214" s="11"/>
    </row>
    <row r="215" spans="1:107" ht="12.75" customHeight="1">
      <c r="A215" s="11"/>
      <c r="B215" s="11"/>
      <c r="C215" s="11"/>
      <c r="D215" s="11"/>
      <c r="E215" s="11"/>
      <c r="F215" s="11"/>
      <c r="G215" s="11"/>
      <c r="H215" s="15"/>
      <c r="I215" s="38"/>
      <c r="J215" s="38"/>
      <c r="K215" s="38"/>
      <c r="L215" s="41"/>
      <c r="M215" s="43"/>
      <c r="N215" s="11"/>
      <c r="O215" s="48"/>
      <c r="P215" s="48"/>
      <c r="Q215" s="48"/>
      <c r="R215" s="38"/>
      <c r="S215" s="38"/>
      <c r="T215" s="52"/>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83"/>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83"/>
      <c r="CK215" s="11"/>
      <c r="CL215" s="11"/>
      <c r="CM215" s="11"/>
      <c r="CN215" s="11"/>
      <c r="CO215" s="11"/>
      <c r="CP215" s="11"/>
      <c r="CQ215" s="11"/>
      <c r="CR215" s="11"/>
      <c r="CS215" s="11"/>
      <c r="CT215" s="11"/>
      <c r="CU215" s="11"/>
      <c r="CV215" s="11"/>
      <c r="CW215" s="11"/>
      <c r="CX215" s="11"/>
      <c r="CY215" s="11"/>
      <c r="CZ215" s="11"/>
      <c r="DA215" s="11"/>
      <c r="DB215" s="11"/>
      <c r="DC215" s="11"/>
    </row>
    <row r="216" spans="1:107" ht="12.75" customHeight="1">
      <c r="A216" s="11"/>
      <c r="B216" s="11"/>
      <c r="C216" s="11"/>
      <c r="D216" s="11"/>
      <c r="E216" s="11"/>
      <c r="F216" s="11"/>
      <c r="G216" s="11"/>
      <c r="H216" s="15"/>
      <c r="I216" s="38"/>
      <c r="J216" s="38"/>
      <c r="K216" s="38"/>
      <c r="L216" s="41"/>
      <c r="M216" s="43"/>
      <c r="N216" s="11"/>
      <c r="O216" s="48"/>
      <c r="P216" s="48"/>
      <c r="Q216" s="48"/>
      <c r="R216" s="38"/>
      <c r="S216" s="38"/>
      <c r="T216" s="52"/>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83"/>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83"/>
      <c r="CK216" s="11"/>
      <c r="CL216" s="11"/>
      <c r="CM216" s="11"/>
      <c r="CN216" s="11"/>
      <c r="CO216" s="11"/>
      <c r="CP216" s="11"/>
      <c r="CQ216" s="11"/>
      <c r="CR216" s="11"/>
      <c r="CS216" s="11"/>
      <c r="CT216" s="11"/>
      <c r="CU216" s="11"/>
      <c r="CV216" s="11"/>
      <c r="CW216" s="11"/>
      <c r="CX216" s="11"/>
      <c r="CY216" s="11"/>
      <c r="CZ216" s="11"/>
      <c r="DA216" s="11"/>
      <c r="DB216" s="11"/>
      <c r="DC216" s="11"/>
    </row>
    <row r="217" spans="1:107" ht="12.75" customHeight="1">
      <c r="A217" s="11"/>
      <c r="B217" s="11"/>
      <c r="C217" s="11"/>
      <c r="D217" s="11"/>
      <c r="E217" s="11"/>
      <c r="F217" s="11"/>
      <c r="G217" s="11"/>
      <c r="H217" s="15"/>
      <c r="I217" s="38"/>
      <c r="J217" s="38"/>
      <c r="K217" s="38"/>
      <c r="L217" s="41"/>
      <c r="M217" s="43"/>
      <c r="N217" s="11"/>
      <c r="O217" s="48"/>
      <c r="P217" s="48"/>
      <c r="Q217" s="48"/>
      <c r="R217" s="38"/>
      <c r="S217" s="38"/>
      <c r="T217" s="52"/>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83"/>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83"/>
      <c r="CK217" s="11"/>
      <c r="CL217" s="11"/>
      <c r="CM217" s="11"/>
      <c r="CN217" s="11"/>
      <c r="CO217" s="11"/>
      <c r="CP217" s="11"/>
      <c r="CQ217" s="11"/>
      <c r="CR217" s="11"/>
      <c r="CS217" s="11"/>
      <c r="CT217" s="11"/>
      <c r="CU217" s="11"/>
      <c r="CV217" s="11"/>
      <c r="CW217" s="11"/>
      <c r="CX217" s="11"/>
      <c r="CY217" s="11"/>
      <c r="CZ217" s="11"/>
      <c r="DA217" s="11"/>
      <c r="DB217" s="11"/>
      <c r="DC217" s="11"/>
    </row>
    <row r="218" spans="1:107" ht="12.75" customHeight="1">
      <c r="A218" s="11"/>
      <c r="B218" s="11"/>
      <c r="C218" s="11"/>
      <c r="D218" s="11"/>
      <c r="E218" s="11"/>
      <c r="F218" s="11"/>
      <c r="G218" s="11"/>
      <c r="H218" s="15"/>
      <c r="I218" s="38"/>
      <c r="J218" s="38"/>
      <c r="K218" s="38"/>
      <c r="L218" s="41"/>
      <c r="M218" s="43"/>
      <c r="N218" s="11"/>
      <c r="O218" s="48"/>
      <c r="P218" s="48"/>
      <c r="Q218" s="48"/>
      <c r="R218" s="38"/>
      <c r="S218" s="38"/>
      <c r="T218" s="52"/>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83"/>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83"/>
      <c r="CK218" s="11"/>
      <c r="CL218" s="11"/>
      <c r="CM218" s="11"/>
      <c r="CN218" s="11"/>
      <c r="CO218" s="11"/>
      <c r="CP218" s="11"/>
      <c r="CQ218" s="11"/>
      <c r="CR218" s="11"/>
      <c r="CS218" s="11"/>
      <c r="CT218" s="11"/>
      <c r="CU218" s="11"/>
      <c r="CV218" s="11"/>
      <c r="CW218" s="11"/>
      <c r="CX218" s="11"/>
      <c r="CY218" s="11"/>
      <c r="CZ218" s="11"/>
      <c r="DA218" s="11"/>
      <c r="DB218" s="11"/>
      <c r="DC218" s="11"/>
    </row>
    <row r="219" spans="1:107" ht="12.75" customHeight="1">
      <c r="A219" s="11"/>
      <c r="B219" s="11"/>
      <c r="C219" s="11"/>
      <c r="D219" s="11"/>
      <c r="E219" s="11"/>
      <c r="F219" s="11"/>
      <c r="G219" s="11"/>
      <c r="H219" s="15"/>
      <c r="I219" s="38"/>
      <c r="J219" s="38"/>
      <c r="K219" s="38"/>
      <c r="L219" s="41"/>
      <c r="M219" s="43"/>
      <c r="N219" s="11"/>
      <c r="O219" s="48"/>
      <c r="P219" s="48"/>
      <c r="Q219" s="48"/>
      <c r="R219" s="38"/>
      <c r="S219" s="38"/>
      <c r="T219" s="52"/>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83"/>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83"/>
      <c r="CK219" s="11"/>
      <c r="CL219" s="11"/>
      <c r="CM219" s="11"/>
      <c r="CN219" s="11"/>
      <c r="CO219" s="11"/>
      <c r="CP219" s="11"/>
      <c r="CQ219" s="11"/>
      <c r="CR219" s="11"/>
      <c r="CS219" s="11"/>
      <c r="CT219" s="11"/>
      <c r="CU219" s="11"/>
      <c r="CV219" s="11"/>
      <c r="CW219" s="11"/>
      <c r="CX219" s="11"/>
      <c r="CY219" s="11"/>
      <c r="CZ219" s="11"/>
      <c r="DA219" s="11"/>
      <c r="DB219" s="11"/>
      <c r="DC219" s="11"/>
    </row>
    <row r="220" spans="1:107" ht="12.75" customHeight="1">
      <c r="A220" s="11"/>
      <c r="B220" s="11"/>
      <c r="C220" s="11"/>
      <c r="D220" s="11"/>
      <c r="E220" s="11"/>
      <c r="F220" s="11"/>
      <c r="G220" s="11"/>
      <c r="H220" s="15"/>
      <c r="I220" s="38"/>
      <c r="J220" s="38"/>
      <c r="K220" s="38"/>
      <c r="L220" s="41"/>
      <c r="M220" s="43"/>
      <c r="N220" s="11"/>
      <c r="O220" s="48"/>
      <c r="P220" s="48"/>
      <c r="Q220" s="48"/>
      <c r="R220" s="38"/>
      <c r="S220" s="38"/>
      <c r="T220" s="52"/>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83"/>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83"/>
      <c r="CK220" s="11"/>
      <c r="CL220" s="11"/>
      <c r="CM220" s="11"/>
      <c r="CN220" s="11"/>
      <c r="CO220" s="11"/>
      <c r="CP220" s="11"/>
      <c r="CQ220" s="11"/>
      <c r="CR220" s="11"/>
      <c r="CS220" s="11"/>
      <c r="CT220" s="11"/>
      <c r="CU220" s="11"/>
      <c r="CV220" s="11"/>
      <c r="CW220" s="11"/>
      <c r="CX220" s="11"/>
      <c r="CY220" s="11"/>
      <c r="CZ220" s="11"/>
      <c r="DA220" s="11"/>
      <c r="DB220" s="11"/>
      <c r="DC220" s="11"/>
    </row>
    <row r="221" spans="1:107" ht="12.75" customHeight="1">
      <c r="A221" s="11"/>
      <c r="B221" s="11"/>
      <c r="C221" s="11"/>
      <c r="D221" s="11"/>
      <c r="E221" s="11"/>
      <c r="F221" s="11"/>
      <c r="G221" s="11"/>
      <c r="H221" s="15"/>
      <c r="I221" s="38"/>
      <c r="J221" s="38"/>
      <c r="K221" s="38"/>
      <c r="L221" s="41"/>
      <c r="M221" s="43"/>
      <c r="N221" s="11"/>
      <c r="O221" s="48"/>
      <c r="P221" s="48"/>
      <c r="Q221" s="48"/>
      <c r="R221" s="38"/>
      <c r="S221" s="38"/>
      <c r="T221" s="52"/>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83"/>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83"/>
      <c r="CK221" s="11"/>
      <c r="CL221" s="11"/>
      <c r="CM221" s="11"/>
      <c r="CN221" s="11"/>
      <c r="CO221" s="11"/>
      <c r="CP221" s="11"/>
      <c r="CQ221" s="11"/>
      <c r="CR221" s="11"/>
      <c r="CS221" s="11"/>
      <c r="CT221" s="11"/>
      <c r="CU221" s="11"/>
      <c r="CV221" s="11"/>
      <c r="CW221" s="11"/>
      <c r="CX221" s="11"/>
      <c r="CY221" s="11"/>
      <c r="CZ221" s="11"/>
      <c r="DA221" s="11"/>
      <c r="DB221" s="11"/>
      <c r="DC221" s="11"/>
    </row>
    <row r="222" spans="1:107" ht="12.75" customHeight="1">
      <c r="A222" s="11"/>
      <c r="B222" s="11"/>
      <c r="C222" s="11"/>
      <c r="D222" s="11"/>
      <c r="E222" s="11"/>
      <c r="F222" s="11"/>
      <c r="G222" s="11"/>
      <c r="H222" s="15"/>
      <c r="I222" s="38"/>
      <c r="J222" s="38"/>
      <c r="K222" s="38"/>
      <c r="L222" s="41"/>
      <c r="M222" s="43"/>
      <c r="N222" s="11"/>
      <c r="O222" s="48"/>
      <c r="P222" s="48"/>
      <c r="Q222" s="48"/>
      <c r="R222" s="38"/>
      <c r="S222" s="38"/>
      <c r="T222" s="52"/>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83"/>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83"/>
      <c r="CK222" s="11"/>
      <c r="CL222" s="11"/>
      <c r="CM222" s="11"/>
      <c r="CN222" s="11"/>
      <c r="CO222" s="11"/>
      <c r="CP222" s="11"/>
      <c r="CQ222" s="11"/>
      <c r="CR222" s="11"/>
      <c r="CS222" s="11"/>
      <c r="CT222" s="11"/>
      <c r="CU222" s="11"/>
      <c r="CV222" s="11"/>
      <c r="CW222" s="11"/>
      <c r="CX222" s="11"/>
      <c r="CY222" s="11"/>
      <c r="CZ222" s="11"/>
      <c r="DA222" s="11"/>
      <c r="DB222" s="11"/>
      <c r="DC222" s="11"/>
    </row>
    <row r="223" spans="1:107" ht="12.75" customHeight="1">
      <c r="A223" s="11"/>
      <c r="B223" s="11"/>
      <c r="C223" s="11"/>
      <c r="D223" s="11"/>
      <c r="E223" s="11"/>
      <c r="F223" s="11"/>
      <c r="G223" s="11"/>
      <c r="H223" s="15"/>
      <c r="I223" s="38"/>
      <c r="J223" s="38"/>
      <c r="K223" s="38"/>
      <c r="L223" s="41"/>
      <c r="M223" s="43"/>
      <c r="N223" s="11"/>
      <c r="O223" s="48"/>
      <c r="P223" s="48"/>
      <c r="Q223" s="48"/>
      <c r="R223" s="38"/>
      <c r="S223" s="38"/>
      <c r="T223" s="52"/>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83"/>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83"/>
      <c r="CK223" s="11"/>
      <c r="CL223" s="11"/>
      <c r="CM223" s="11"/>
      <c r="CN223" s="11"/>
      <c r="CO223" s="11"/>
      <c r="CP223" s="11"/>
      <c r="CQ223" s="11"/>
      <c r="CR223" s="11"/>
      <c r="CS223" s="11"/>
      <c r="CT223" s="11"/>
      <c r="CU223" s="11"/>
      <c r="CV223" s="11"/>
      <c r="CW223" s="11"/>
      <c r="CX223" s="11"/>
      <c r="CY223" s="11"/>
      <c r="CZ223" s="11"/>
      <c r="DA223" s="11"/>
      <c r="DB223" s="11"/>
      <c r="DC223" s="11"/>
    </row>
    <row r="224" spans="1:107" ht="12.75" customHeight="1">
      <c r="A224" s="11"/>
      <c r="B224" s="11"/>
      <c r="C224" s="11"/>
      <c r="D224" s="11"/>
      <c r="E224" s="11"/>
      <c r="F224" s="11"/>
      <c r="G224" s="11"/>
      <c r="H224" s="15"/>
      <c r="I224" s="38"/>
      <c r="J224" s="38"/>
      <c r="K224" s="38"/>
      <c r="L224" s="41"/>
      <c r="M224" s="43"/>
      <c r="N224" s="11"/>
      <c r="O224" s="48"/>
      <c r="P224" s="48"/>
      <c r="Q224" s="48"/>
      <c r="R224" s="38"/>
      <c r="S224" s="38"/>
      <c r="T224" s="52"/>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83"/>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83"/>
      <c r="CK224" s="11"/>
      <c r="CL224" s="11"/>
      <c r="CM224" s="11"/>
      <c r="CN224" s="11"/>
      <c r="CO224" s="11"/>
      <c r="CP224" s="11"/>
      <c r="CQ224" s="11"/>
      <c r="CR224" s="11"/>
      <c r="CS224" s="11"/>
      <c r="CT224" s="11"/>
      <c r="CU224" s="11"/>
      <c r="CV224" s="11"/>
      <c r="CW224" s="11"/>
      <c r="CX224" s="11"/>
      <c r="CY224" s="11"/>
      <c r="CZ224" s="11"/>
      <c r="DA224" s="11"/>
      <c r="DB224" s="11"/>
      <c r="DC224" s="11"/>
    </row>
    <row r="225" spans="1:107" ht="12.75" customHeight="1">
      <c r="A225" s="11"/>
      <c r="B225" s="11"/>
      <c r="C225" s="11"/>
      <c r="D225" s="11"/>
      <c r="E225" s="11"/>
      <c r="F225" s="11"/>
      <c r="G225" s="11"/>
      <c r="H225" s="15"/>
      <c r="I225" s="38"/>
      <c r="J225" s="38"/>
      <c r="K225" s="38"/>
      <c r="L225" s="41"/>
      <c r="M225" s="43"/>
      <c r="N225" s="11"/>
      <c r="O225" s="48"/>
      <c r="P225" s="48"/>
      <c r="Q225" s="48"/>
      <c r="R225" s="38"/>
      <c r="S225" s="38"/>
      <c r="T225" s="52"/>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83"/>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83"/>
      <c r="CK225" s="11"/>
      <c r="CL225" s="11"/>
      <c r="CM225" s="11"/>
      <c r="CN225" s="11"/>
      <c r="CO225" s="11"/>
      <c r="CP225" s="11"/>
      <c r="CQ225" s="11"/>
      <c r="CR225" s="11"/>
      <c r="CS225" s="11"/>
      <c r="CT225" s="11"/>
      <c r="CU225" s="11"/>
      <c r="CV225" s="11"/>
      <c r="CW225" s="11"/>
      <c r="CX225" s="11"/>
      <c r="CY225" s="11"/>
      <c r="CZ225" s="11"/>
      <c r="DA225" s="11"/>
      <c r="DB225" s="11"/>
      <c r="DC225" s="11"/>
    </row>
    <row r="226" spans="1:107" ht="12.75" customHeight="1">
      <c r="A226" s="11"/>
      <c r="B226" s="11"/>
      <c r="C226" s="11"/>
      <c r="D226" s="11"/>
      <c r="E226" s="11"/>
      <c r="F226" s="11"/>
      <c r="G226" s="11"/>
      <c r="H226" s="15"/>
      <c r="I226" s="38"/>
      <c r="J226" s="38"/>
      <c r="K226" s="38"/>
      <c r="L226" s="41"/>
      <c r="M226" s="43"/>
      <c r="N226" s="11"/>
      <c r="O226" s="48"/>
      <c r="P226" s="48"/>
      <c r="Q226" s="48"/>
      <c r="R226" s="38"/>
      <c r="S226" s="38"/>
      <c r="T226" s="52"/>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83"/>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83"/>
      <c r="CK226" s="11"/>
      <c r="CL226" s="11"/>
      <c r="CM226" s="11"/>
      <c r="CN226" s="11"/>
      <c r="CO226" s="11"/>
      <c r="CP226" s="11"/>
      <c r="CQ226" s="11"/>
      <c r="CR226" s="11"/>
      <c r="CS226" s="11"/>
      <c r="CT226" s="11"/>
      <c r="CU226" s="11"/>
      <c r="CV226" s="11"/>
      <c r="CW226" s="11"/>
      <c r="CX226" s="11"/>
      <c r="CY226" s="11"/>
      <c r="CZ226" s="11"/>
      <c r="DA226" s="11"/>
      <c r="DB226" s="11"/>
      <c r="DC226" s="11"/>
    </row>
    <row r="227" spans="1:107" ht="12.75" customHeight="1">
      <c r="A227" s="11"/>
      <c r="B227" s="11"/>
      <c r="C227" s="11"/>
      <c r="D227" s="11"/>
      <c r="E227" s="11"/>
      <c r="F227" s="11"/>
      <c r="G227" s="11"/>
      <c r="H227" s="15"/>
      <c r="I227" s="38"/>
      <c r="J227" s="38"/>
      <c r="K227" s="38"/>
      <c r="L227" s="41"/>
      <c r="M227" s="43"/>
      <c r="N227" s="11"/>
      <c r="O227" s="48"/>
      <c r="P227" s="48"/>
      <c r="Q227" s="48"/>
      <c r="R227" s="38"/>
      <c r="S227" s="38"/>
      <c r="T227" s="52"/>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83"/>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83"/>
      <c r="CK227" s="11"/>
      <c r="CL227" s="11"/>
      <c r="CM227" s="11"/>
      <c r="CN227" s="11"/>
      <c r="CO227" s="11"/>
      <c r="CP227" s="11"/>
      <c r="CQ227" s="11"/>
      <c r="CR227" s="11"/>
      <c r="CS227" s="11"/>
      <c r="CT227" s="11"/>
      <c r="CU227" s="11"/>
      <c r="CV227" s="11"/>
      <c r="CW227" s="11"/>
      <c r="CX227" s="11"/>
      <c r="CY227" s="11"/>
      <c r="CZ227" s="11"/>
      <c r="DA227" s="11"/>
      <c r="DB227" s="11"/>
      <c r="DC227" s="11"/>
    </row>
    <row r="228" spans="1:107" ht="12.75" customHeight="1">
      <c r="A228" s="11"/>
      <c r="B228" s="11"/>
      <c r="C228" s="11"/>
      <c r="D228" s="11"/>
      <c r="E228" s="11"/>
      <c r="F228" s="11"/>
      <c r="G228" s="11"/>
      <c r="H228" s="15"/>
      <c r="I228" s="38"/>
      <c r="J228" s="38"/>
      <c r="K228" s="38"/>
      <c r="L228" s="41"/>
      <c r="M228" s="43"/>
      <c r="N228" s="11"/>
      <c r="O228" s="48"/>
      <c r="P228" s="48"/>
      <c r="Q228" s="48"/>
      <c r="R228" s="38"/>
      <c r="S228" s="38"/>
      <c r="T228" s="52"/>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83"/>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83"/>
      <c r="CK228" s="11"/>
      <c r="CL228" s="11"/>
      <c r="CM228" s="11"/>
      <c r="CN228" s="11"/>
      <c r="CO228" s="11"/>
      <c r="CP228" s="11"/>
      <c r="CQ228" s="11"/>
      <c r="CR228" s="11"/>
      <c r="CS228" s="11"/>
      <c r="CT228" s="11"/>
      <c r="CU228" s="11"/>
      <c r="CV228" s="11"/>
      <c r="CW228" s="11"/>
      <c r="CX228" s="11"/>
      <c r="CY228" s="11"/>
      <c r="CZ228" s="11"/>
      <c r="DA228" s="11"/>
      <c r="DB228" s="11"/>
      <c r="DC228" s="11"/>
    </row>
    <row r="229" spans="1:107" ht="12.75" customHeight="1">
      <c r="A229" s="11"/>
      <c r="B229" s="11"/>
      <c r="C229" s="11"/>
      <c r="D229" s="11"/>
      <c r="E229" s="11"/>
      <c r="F229" s="11"/>
      <c r="G229" s="11"/>
      <c r="H229" s="15"/>
      <c r="I229" s="38"/>
      <c r="J229" s="38"/>
      <c r="K229" s="38"/>
      <c r="L229" s="41"/>
      <c r="M229" s="43"/>
      <c r="N229" s="11"/>
      <c r="O229" s="48"/>
      <c r="P229" s="48"/>
      <c r="Q229" s="48"/>
      <c r="R229" s="38"/>
      <c r="S229" s="38"/>
      <c r="T229" s="52"/>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83"/>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83"/>
      <c r="CK229" s="11"/>
      <c r="CL229" s="11"/>
      <c r="CM229" s="11"/>
      <c r="CN229" s="11"/>
      <c r="CO229" s="11"/>
      <c r="CP229" s="11"/>
      <c r="CQ229" s="11"/>
      <c r="CR229" s="11"/>
      <c r="CS229" s="11"/>
      <c r="CT229" s="11"/>
      <c r="CU229" s="11"/>
      <c r="CV229" s="11"/>
      <c r="CW229" s="11"/>
      <c r="CX229" s="11"/>
      <c r="CY229" s="11"/>
      <c r="CZ229" s="11"/>
      <c r="DA229" s="11"/>
      <c r="DB229" s="11"/>
      <c r="DC229" s="11"/>
    </row>
    <row r="230" spans="1:107" ht="12.75" customHeight="1">
      <c r="A230" s="11"/>
      <c r="B230" s="11"/>
      <c r="C230" s="11"/>
      <c r="D230" s="11"/>
      <c r="E230" s="11"/>
      <c r="F230" s="11"/>
      <c r="G230" s="11"/>
      <c r="H230" s="15"/>
      <c r="I230" s="38"/>
      <c r="J230" s="38"/>
      <c r="K230" s="38"/>
      <c r="L230" s="41"/>
      <c r="M230" s="43"/>
      <c r="N230" s="11"/>
      <c r="O230" s="48"/>
      <c r="P230" s="48"/>
      <c r="Q230" s="48"/>
      <c r="R230" s="38"/>
      <c r="S230" s="38"/>
      <c r="T230" s="52"/>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83"/>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83"/>
      <c r="CK230" s="11"/>
      <c r="CL230" s="11"/>
      <c r="CM230" s="11"/>
      <c r="CN230" s="11"/>
      <c r="CO230" s="11"/>
      <c r="CP230" s="11"/>
      <c r="CQ230" s="11"/>
      <c r="CR230" s="11"/>
      <c r="CS230" s="11"/>
      <c r="CT230" s="11"/>
      <c r="CU230" s="11"/>
      <c r="CV230" s="11"/>
      <c r="CW230" s="11"/>
      <c r="CX230" s="11"/>
      <c r="CY230" s="11"/>
      <c r="CZ230" s="11"/>
      <c r="DA230" s="11"/>
      <c r="DB230" s="11"/>
      <c r="DC230" s="11"/>
    </row>
    <row r="231" spans="1:107" ht="12.75" customHeight="1">
      <c r="A231" s="11"/>
      <c r="B231" s="11"/>
      <c r="C231" s="11"/>
      <c r="D231" s="11"/>
      <c r="E231" s="11"/>
      <c r="F231" s="11"/>
      <c r="G231" s="11"/>
      <c r="H231" s="15"/>
      <c r="I231" s="38"/>
      <c r="J231" s="38"/>
      <c r="K231" s="38"/>
      <c r="L231" s="41"/>
      <c r="M231" s="43"/>
      <c r="N231" s="11"/>
      <c r="O231" s="48"/>
      <c r="P231" s="48"/>
      <c r="Q231" s="48"/>
      <c r="R231" s="38"/>
      <c r="S231" s="38"/>
      <c r="T231" s="52"/>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83"/>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83"/>
      <c r="CK231" s="11"/>
      <c r="CL231" s="11"/>
      <c r="CM231" s="11"/>
      <c r="CN231" s="11"/>
      <c r="CO231" s="11"/>
      <c r="CP231" s="11"/>
      <c r="CQ231" s="11"/>
      <c r="CR231" s="11"/>
      <c r="CS231" s="11"/>
      <c r="CT231" s="11"/>
      <c r="CU231" s="11"/>
      <c r="CV231" s="11"/>
      <c r="CW231" s="11"/>
      <c r="CX231" s="11"/>
      <c r="CY231" s="11"/>
      <c r="CZ231" s="11"/>
      <c r="DA231" s="11"/>
      <c r="DB231" s="11"/>
      <c r="DC231" s="11"/>
    </row>
    <row r="232" spans="1:107" ht="12.75" customHeight="1">
      <c r="A232" s="11"/>
      <c r="B232" s="11"/>
      <c r="C232" s="11"/>
      <c r="D232" s="11"/>
      <c r="E232" s="11"/>
      <c r="F232" s="11"/>
      <c r="G232" s="11"/>
      <c r="H232" s="15"/>
      <c r="I232" s="38"/>
      <c r="J232" s="38"/>
      <c r="K232" s="38"/>
      <c r="L232" s="41"/>
      <c r="M232" s="43"/>
      <c r="N232" s="11"/>
      <c r="O232" s="48"/>
      <c r="P232" s="48"/>
      <c r="Q232" s="48"/>
      <c r="R232" s="38"/>
      <c r="S232" s="38"/>
      <c r="T232" s="52"/>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83"/>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83"/>
      <c r="CK232" s="11"/>
      <c r="CL232" s="11"/>
      <c r="CM232" s="11"/>
      <c r="CN232" s="11"/>
      <c r="CO232" s="11"/>
      <c r="CP232" s="11"/>
      <c r="CQ232" s="11"/>
      <c r="CR232" s="11"/>
      <c r="CS232" s="11"/>
      <c r="CT232" s="11"/>
      <c r="CU232" s="11"/>
      <c r="CV232" s="11"/>
      <c r="CW232" s="11"/>
      <c r="CX232" s="11"/>
      <c r="CY232" s="11"/>
      <c r="CZ232" s="11"/>
      <c r="DA232" s="11"/>
      <c r="DB232" s="11"/>
      <c r="DC232" s="11"/>
    </row>
    <row r="233" spans="1:107" ht="12.75" customHeight="1">
      <c r="A233" s="11"/>
      <c r="B233" s="11"/>
      <c r="C233" s="11"/>
      <c r="D233" s="11"/>
      <c r="E233" s="11"/>
      <c r="F233" s="11"/>
      <c r="G233" s="11"/>
      <c r="H233" s="15"/>
      <c r="I233" s="38"/>
      <c r="J233" s="38"/>
      <c r="K233" s="38"/>
      <c r="L233" s="41"/>
      <c r="M233" s="43"/>
      <c r="N233" s="11"/>
      <c r="O233" s="48"/>
      <c r="P233" s="48"/>
      <c r="Q233" s="48"/>
      <c r="R233" s="38"/>
      <c r="S233" s="38"/>
      <c r="T233" s="52"/>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83"/>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83"/>
      <c r="CK233" s="11"/>
      <c r="CL233" s="11"/>
      <c r="CM233" s="11"/>
      <c r="CN233" s="11"/>
      <c r="CO233" s="11"/>
      <c r="CP233" s="11"/>
      <c r="CQ233" s="11"/>
      <c r="CR233" s="11"/>
      <c r="CS233" s="11"/>
      <c r="CT233" s="11"/>
      <c r="CU233" s="11"/>
      <c r="CV233" s="11"/>
      <c r="CW233" s="11"/>
      <c r="CX233" s="11"/>
      <c r="CY233" s="11"/>
      <c r="CZ233" s="11"/>
      <c r="DA233" s="11"/>
      <c r="DB233" s="11"/>
      <c r="DC233" s="11"/>
    </row>
    <row r="234" spans="1:107" ht="12.75" customHeight="1">
      <c r="A234" s="11"/>
      <c r="B234" s="11"/>
      <c r="C234" s="11"/>
      <c r="D234" s="11"/>
      <c r="E234" s="11"/>
      <c r="F234" s="11"/>
      <c r="G234" s="11"/>
      <c r="H234" s="15"/>
      <c r="I234" s="38"/>
      <c r="J234" s="38"/>
      <c r="K234" s="38"/>
      <c r="L234" s="41"/>
      <c r="M234" s="43"/>
      <c r="N234" s="11"/>
      <c r="O234" s="48"/>
      <c r="P234" s="48"/>
      <c r="Q234" s="48"/>
      <c r="R234" s="38"/>
      <c r="S234" s="38"/>
      <c r="T234" s="52"/>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83"/>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83"/>
      <c r="CK234" s="11"/>
      <c r="CL234" s="11"/>
      <c r="CM234" s="11"/>
      <c r="CN234" s="11"/>
      <c r="CO234" s="11"/>
      <c r="CP234" s="11"/>
      <c r="CQ234" s="11"/>
      <c r="CR234" s="11"/>
      <c r="CS234" s="11"/>
      <c r="CT234" s="11"/>
      <c r="CU234" s="11"/>
      <c r="CV234" s="11"/>
      <c r="CW234" s="11"/>
      <c r="CX234" s="11"/>
      <c r="CY234" s="11"/>
      <c r="CZ234" s="11"/>
      <c r="DA234" s="11"/>
      <c r="DB234" s="11"/>
      <c r="DC234" s="11"/>
    </row>
    <row r="235" spans="1:107" ht="12.75" customHeight="1">
      <c r="A235" s="11"/>
      <c r="B235" s="11"/>
      <c r="C235" s="11"/>
      <c r="D235" s="11"/>
      <c r="E235" s="11"/>
      <c r="F235" s="11"/>
      <c r="G235" s="11"/>
      <c r="H235" s="15"/>
      <c r="I235" s="38"/>
      <c r="J235" s="38"/>
      <c r="K235" s="38"/>
      <c r="L235" s="41"/>
      <c r="M235" s="43"/>
      <c r="N235" s="11"/>
      <c r="O235" s="48"/>
      <c r="P235" s="48"/>
      <c r="Q235" s="48"/>
      <c r="R235" s="38"/>
      <c r="S235" s="38"/>
      <c r="T235" s="52"/>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83"/>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83"/>
      <c r="CK235" s="11"/>
      <c r="CL235" s="11"/>
      <c r="CM235" s="11"/>
      <c r="CN235" s="11"/>
      <c r="CO235" s="11"/>
      <c r="CP235" s="11"/>
      <c r="CQ235" s="11"/>
      <c r="CR235" s="11"/>
      <c r="CS235" s="11"/>
      <c r="CT235" s="11"/>
      <c r="CU235" s="11"/>
      <c r="CV235" s="11"/>
      <c r="CW235" s="11"/>
      <c r="CX235" s="11"/>
      <c r="CY235" s="11"/>
      <c r="CZ235" s="11"/>
      <c r="DA235" s="11"/>
      <c r="DB235" s="11"/>
      <c r="DC235" s="11"/>
    </row>
    <row r="236" spans="1:107" ht="12.75" customHeight="1">
      <c r="A236" s="11"/>
      <c r="B236" s="11"/>
      <c r="C236" s="11"/>
      <c r="D236" s="11"/>
      <c r="E236" s="11"/>
      <c r="F236" s="11"/>
      <c r="G236" s="11"/>
      <c r="H236" s="15"/>
      <c r="I236" s="38"/>
      <c r="J236" s="38"/>
      <c r="K236" s="38"/>
      <c r="L236" s="41"/>
      <c r="M236" s="43"/>
      <c r="N236" s="11"/>
      <c r="O236" s="48"/>
      <c r="P236" s="48"/>
      <c r="Q236" s="48"/>
      <c r="R236" s="38"/>
      <c r="S236" s="38"/>
      <c r="T236" s="52"/>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83"/>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83"/>
      <c r="CK236" s="11"/>
      <c r="CL236" s="11"/>
      <c r="CM236" s="11"/>
      <c r="CN236" s="11"/>
      <c r="CO236" s="11"/>
      <c r="CP236" s="11"/>
      <c r="CQ236" s="11"/>
      <c r="CR236" s="11"/>
      <c r="CS236" s="11"/>
      <c r="CT236" s="11"/>
      <c r="CU236" s="11"/>
      <c r="CV236" s="11"/>
      <c r="CW236" s="11"/>
      <c r="CX236" s="11"/>
      <c r="CY236" s="11"/>
      <c r="CZ236" s="11"/>
      <c r="DA236" s="11"/>
      <c r="DB236" s="11"/>
      <c r="DC236" s="11"/>
    </row>
    <row r="237" spans="1:107" ht="12.75" customHeight="1">
      <c r="A237" s="11"/>
      <c r="B237" s="11"/>
      <c r="C237" s="11"/>
      <c r="D237" s="11"/>
      <c r="E237" s="11"/>
      <c r="F237" s="11"/>
      <c r="G237" s="11"/>
      <c r="H237" s="15"/>
      <c r="I237" s="38"/>
      <c r="J237" s="38"/>
      <c r="K237" s="38"/>
      <c r="L237" s="41"/>
      <c r="M237" s="43"/>
      <c r="N237" s="11"/>
      <c r="O237" s="48"/>
      <c r="P237" s="48"/>
      <c r="Q237" s="48"/>
      <c r="R237" s="38"/>
      <c r="S237" s="38"/>
      <c r="T237" s="52"/>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83"/>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83"/>
      <c r="CK237" s="11"/>
      <c r="CL237" s="11"/>
      <c r="CM237" s="11"/>
      <c r="CN237" s="11"/>
      <c r="CO237" s="11"/>
      <c r="CP237" s="11"/>
      <c r="CQ237" s="11"/>
      <c r="CR237" s="11"/>
      <c r="CS237" s="11"/>
      <c r="CT237" s="11"/>
      <c r="CU237" s="11"/>
      <c r="CV237" s="11"/>
      <c r="CW237" s="11"/>
      <c r="CX237" s="11"/>
      <c r="CY237" s="11"/>
      <c r="CZ237" s="11"/>
      <c r="DA237" s="11"/>
      <c r="DB237" s="11"/>
      <c r="DC237" s="11"/>
    </row>
    <row r="238" spans="1:107" ht="12.75" customHeight="1">
      <c r="A238" s="11"/>
      <c r="B238" s="11"/>
      <c r="C238" s="11"/>
      <c r="D238" s="11"/>
      <c r="E238" s="11"/>
      <c r="F238" s="11"/>
      <c r="G238" s="11"/>
      <c r="H238" s="15"/>
      <c r="I238" s="38"/>
      <c r="J238" s="38"/>
      <c r="K238" s="38"/>
      <c r="L238" s="41"/>
      <c r="M238" s="43"/>
      <c r="N238" s="11"/>
      <c r="O238" s="48"/>
      <c r="P238" s="48"/>
      <c r="Q238" s="48"/>
      <c r="R238" s="38"/>
      <c r="S238" s="38"/>
      <c r="T238" s="52"/>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83"/>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83"/>
      <c r="CK238" s="11"/>
      <c r="CL238" s="11"/>
      <c r="CM238" s="11"/>
      <c r="CN238" s="11"/>
      <c r="CO238" s="11"/>
      <c r="CP238" s="11"/>
      <c r="CQ238" s="11"/>
      <c r="CR238" s="11"/>
      <c r="CS238" s="11"/>
      <c r="CT238" s="11"/>
      <c r="CU238" s="11"/>
      <c r="CV238" s="11"/>
      <c r="CW238" s="11"/>
      <c r="CX238" s="11"/>
      <c r="CY238" s="11"/>
      <c r="CZ238" s="11"/>
      <c r="DA238" s="11"/>
      <c r="DB238" s="11"/>
      <c r="DC238" s="11"/>
    </row>
    <row r="239" spans="1:107" ht="12.75" customHeight="1">
      <c r="A239" s="11"/>
      <c r="B239" s="11"/>
      <c r="C239" s="11"/>
      <c r="D239" s="11"/>
      <c r="E239" s="11"/>
      <c r="F239" s="11"/>
      <c r="G239" s="11"/>
      <c r="H239" s="15"/>
      <c r="I239" s="38"/>
      <c r="J239" s="38"/>
      <c r="K239" s="38"/>
      <c r="L239" s="41"/>
      <c r="M239" s="43"/>
      <c r="N239" s="11"/>
      <c r="O239" s="48"/>
      <c r="P239" s="48"/>
      <c r="Q239" s="48"/>
      <c r="R239" s="38"/>
      <c r="S239" s="38"/>
      <c r="T239" s="52"/>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83"/>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83"/>
      <c r="CK239" s="11"/>
      <c r="CL239" s="11"/>
      <c r="CM239" s="11"/>
      <c r="CN239" s="11"/>
      <c r="CO239" s="11"/>
      <c r="CP239" s="11"/>
      <c r="CQ239" s="11"/>
      <c r="CR239" s="11"/>
      <c r="CS239" s="11"/>
      <c r="CT239" s="11"/>
      <c r="CU239" s="11"/>
      <c r="CV239" s="11"/>
      <c r="CW239" s="11"/>
      <c r="CX239" s="11"/>
      <c r="CY239" s="11"/>
      <c r="CZ239" s="11"/>
      <c r="DA239" s="11"/>
      <c r="DB239" s="11"/>
      <c r="DC239" s="11"/>
    </row>
    <row r="240" spans="1:107" ht="12.75" customHeight="1">
      <c r="A240" s="11"/>
      <c r="B240" s="11"/>
      <c r="C240" s="11"/>
      <c r="D240" s="11"/>
      <c r="E240" s="11"/>
      <c r="F240" s="11"/>
      <c r="G240" s="11"/>
      <c r="H240" s="15"/>
      <c r="I240" s="38"/>
      <c r="J240" s="38"/>
      <c r="K240" s="38"/>
      <c r="L240" s="41"/>
      <c r="M240" s="43"/>
      <c r="N240" s="11"/>
      <c r="O240" s="48"/>
      <c r="P240" s="48"/>
      <c r="Q240" s="48"/>
      <c r="R240" s="38"/>
      <c r="S240" s="38"/>
      <c r="T240" s="52"/>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83"/>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83"/>
      <c r="CK240" s="11"/>
      <c r="CL240" s="11"/>
      <c r="CM240" s="11"/>
      <c r="CN240" s="11"/>
      <c r="CO240" s="11"/>
      <c r="CP240" s="11"/>
      <c r="CQ240" s="11"/>
      <c r="CR240" s="11"/>
      <c r="CS240" s="11"/>
      <c r="CT240" s="11"/>
      <c r="CU240" s="11"/>
      <c r="CV240" s="11"/>
      <c r="CW240" s="11"/>
      <c r="CX240" s="11"/>
      <c r="CY240" s="11"/>
      <c r="CZ240" s="11"/>
      <c r="DA240" s="11"/>
      <c r="DB240" s="11"/>
      <c r="DC240" s="11"/>
    </row>
    <row r="241" spans="1:107" ht="12.75" customHeight="1">
      <c r="A241" s="11"/>
      <c r="B241" s="11"/>
      <c r="C241" s="11"/>
      <c r="D241" s="11"/>
      <c r="E241" s="11"/>
      <c r="F241" s="11"/>
      <c r="G241" s="11"/>
      <c r="H241" s="15"/>
      <c r="I241" s="38"/>
      <c r="J241" s="38"/>
      <c r="K241" s="38"/>
      <c r="L241" s="41"/>
      <c r="M241" s="43"/>
      <c r="N241" s="11"/>
      <c r="O241" s="48"/>
      <c r="P241" s="48"/>
      <c r="Q241" s="48"/>
      <c r="R241" s="38"/>
      <c r="S241" s="38"/>
      <c r="T241" s="52"/>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83"/>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83"/>
      <c r="CK241" s="11"/>
      <c r="CL241" s="11"/>
      <c r="CM241" s="11"/>
      <c r="CN241" s="11"/>
      <c r="CO241" s="11"/>
      <c r="CP241" s="11"/>
      <c r="CQ241" s="11"/>
      <c r="CR241" s="11"/>
      <c r="CS241" s="11"/>
      <c r="CT241" s="11"/>
      <c r="CU241" s="11"/>
      <c r="CV241" s="11"/>
      <c r="CW241" s="11"/>
      <c r="CX241" s="11"/>
      <c r="CY241" s="11"/>
      <c r="CZ241" s="11"/>
      <c r="DA241" s="11"/>
      <c r="DB241" s="11"/>
      <c r="DC241" s="11"/>
    </row>
    <row r="242" spans="1:107" ht="12.75" customHeight="1">
      <c r="A242" s="11"/>
      <c r="B242" s="11"/>
      <c r="C242" s="11"/>
      <c r="D242" s="11"/>
      <c r="E242" s="11"/>
      <c r="F242" s="11"/>
      <c r="G242" s="11"/>
      <c r="H242" s="15"/>
      <c r="I242" s="38"/>
      <c r="J242" s="38"/>
      <c r="K242" s="38"/>
      <c r="L242" s="41"/>
      <c r="M242" s="43"/>
      <c r="N242" s="11"/>
      <c r="O242" s="48"/>
      <c r="P242" s="48"/>
      <c r="Q242" s="48"/>
      <c r="R242" s="38"/>
      <c r="S242" s="38"/>
      <c r="T242" s="52"/>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83"/>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83"/>
      <c r="CK242" s="11"/>
      <c r="CL242" s="11"/>
      <c r="CM242" s="11"/>
      <c r="CN242" s="11"/>
      <c r="CO242" s="11"/>
      <c r="CP242" s="11"/>
      <c r="CQ242" s="11"/>
      <c r="CR242" s="11"/>
      <c r="CS242" s="11"/>
      <c r="CT242" s="11"/>
      <c r="CU242" s="11"/>
      <c r="CV242" s="11"/>
      <c r="CW242" s="11"/>
      <c r="CX242" s="11"/>
      <c r="CY242" s="11"/>
      <c r="CZ242" s="11"/>
      <c r="DA242" s="11"/>
      <c r="DB242" s="11"/>
      <c r="DC242" s="11"/>
    </row>
    <row r="243" spans="1:107" ht="12.75" customHeight="1">
      <c r="A243" s="11"/>
      <c r="B243" s="11"/>
      <c r="C243" s="11"/>
      <c r="D243" s="11"/>
      <c r="E243" s="11"/>
      <c r="F243" s="11"/>
      <c r="G243" s="11"/>
      <c r="H243" s="15"/>
      <c r="I243" s="38"/>
      <c r="J243" s="38"/>
      <c r="K243" s="38"/>
      <c r="L243" s="41"/>
      <c r="M243" s="43"/>
      <c r="N243" s="11"/>
      <c r="O243" s="48"/>
      <c r="P243" s="48"/>
      <c r="Q243" s="48"/>
      <c r="R243" s="38"/>
      <c r="S243" s="38"/>
      <c r="T243" s="52"/>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83"/>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83"/>
      <c r="CK243" s="11"/>
      <c r="CL243" s="11"/>
      <c r="CM243" s="11"/>
      <c r="CN243" s="11"/>
      <c r="CO243" s="11"/>
      <c r="CP243" s="11"/>
      <c r="CQ243" s="11"/>
      <c r="CR243" s="11"/>
      <c r="CS243" s="11"/>
      <c r="CT243" s="11"/>
      <c r="CU243" s="11"/>
      <c r="CV243" s="11"/>
      <c r="CW243" s="11"/>
      <c r="CX243" s="11"/>
      <c r="CY243" s="11"/>
      <c r="CZ243" s="11"/>
      <c r="DA243" s="11"/>
      <c r="DB243" s="11"/>
      <c r="DC243" s="11"/>
    </row>
    <row r="244" spans="1:107" ht="12.75" customHeight="1">
      <c r="A244" s="11"/>
      <c r="B244" s="11"/>
      <c r="C244" s="11"/>
      <c r="D244" s="11"/>
      <c r="E244" s="11"/>
      <c r="F244" s="11"/>
      <c r="G244" s="11"/>
      <c r="H244" s="15"/>
      <c r="I244" s="38"/>
      <c r="J244" s="38"/>
      <c r="K244" s="38"/>
      <c r="L244" s="41"/>
      <c r="M244" s="43"/>
      <c r="N244" s="11"/>
      <c r="O244" s="48"/>
      <c r="P244" s="48"/>
      <c r="Q244" s="48"/>
      <c r="R244" s="38"/>
      <c r="S244" s="38"/>
      <c r="T244" s="52"/>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83"/>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83"/>
      <c r="CK244" s="11"/>
      <c r="CL244" s="11"/>
      <c r="CM244" s="11"/>
      <c r="CN244" s="11"/>
      <c r="CO244" s="11"/>
      <c r="CP244" s="11"/>
      <c r="CQ244" s="11"/>
      <c r="CR244" s="11"/>
      <c r="CS244" s="11"/>
      <c r="CT244" s="11"/>
      <c r="CU244" s="11"/>
      <c r="CV244" s="11"/>
      <c r="CW244" s="11"/>
      <c r="CX244" s="11"/>
      <c r="CY244" s="11"/>
      <c r="CZ244" s="11"/>
      <c r="DA244" s="11"/>
      <c r="DB244" s="11"/>
      <c r="DC244" s="11"/>
    </row>
    <row r="245" spans="1:107" ht="12.75" customHeight="1">
      <c r="A245" s="11"/>
      <c r="B245" s="11"/>
      <c r="C245" s="11"/>
      <c r="D245" s="11"/>
      <c r="E245" s="11"/>
      <c r="F245" s="11"/>
      <c r="G245" s="11"/>
      <c r="H245" s="15"/>
      <c r="I245" s="38"/>
      <c r="J245" s="38"/>
      <c r="K245" s="38"/>
      <c r="L245" s="41"/>
      <c r="M245" s="43"/>
      <c r="N245" s="11"/>
      <c r="O245" s="48"/>
      <c r="P245" s="48"/>
      <c r="Q245" s="48"/>
      <c r="R245" s="38"/>
      <c r="S245" s="38"/>
      <c r="T245" s="52"/>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83"/>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83"/>
      <c r="CK245" s="11"/>
      <c r="CL245" s="11"/>
      <c r="CM245" s="11"/>
      <c r="CN245" s="11"/>
      <c r="CO245" s="11"/>
      <c r="CP245" s="11"/>
      <c r="CQ245" s="11"/>
      <c r="CR245" s="11"/>
      <c r="CS245" s="11"/>
      <c r="CT245" s="11"/>
      <c r="CU245" s="11"/>
      <c r="CV245" s="11"/>
      <c r="CW245" s="11"/>
      <c r="CX245" s="11"/>
      <c r="CY245" s="11"/>
      <c r="CZ245" s="11"/>
      <c r="DA245" s="11"/>
      <c r="DB245" s="11"/>
      <c r="DC245" s="11"/>
    </row>
    <row r="246" spans="1:107" ht="12.75" customHeight="1">
      <c r="A246" s="11"/>
      <c r="B246" s="11"/>
      <c r="C246" s="11"/>
      <c r="D246" s="11"/>
      <c r="E246" s="11"/>
      <c r="F246" s="11"/>
      <c r="G246" s="11"/>
      <c r="H246" s="15"/>
      <c r="I246" s="38"/>
      <c r="J246" s="38"/>
      <c r="K246" s="38"/>
      <c r="L246" s="41"/>
      <c r="M246" s="43"/>
      <c r="N246" s="11"/>
      <c r="O246" s="48"/>
      <c r="P246" s="48"/>
      <c r="Q246" s="48"/>
      <c r="R246" s="38"/>
      <c r="S246" s="38"/>
      <c r="T246" s="52"/>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83"/>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83"/>
      <c r="CK246" s="11"/>
      <c r="CL246" s="11"/>
      <c r="CM246" s="11"/>
      <c r="CN246" s="11"/>
      <c r="CO246" s="11"/>
      <c r="CP246" s="11"/>
      <c r="CQ246" s="11"/>
      <c r="CR246" s="11"/>
      <c r="CS246" s="11"/>
      <c r="CT246" s="11"/>
      <c r="CU246" s="11"/>
      <c r="CV246" s="11"/>
      <c r="CW246" s="11"/>
      <c r="CX246" s="11"/>
      <c r="CY246" s="11"/>
      <c r="CZ246" s="11"/>
      <c r="DA246" s="11"/>
      <c r="DB246" s="11"/>
      <c r="DC246" s="11"/>
    </row>
    <row r="247" spans="1:107" ht="12.75" customHeight="1">
      <c r="A247" s="11"/>
      <c r="B247" s="11"/>
      <c r="C247" s="11"/>
      <c r="D247" s="11"/>
      <c r="E247" s="11"/>
      <c r="F247" s="11"/>
      <c r="G247" s="11"/>
      <c r="H247" s="15"/>
      <c r="I247" s="38"/>
      <c r="J247" s="38"/>
      <c r="K247" s="38"/>
      <c r="L247" s="41"/>
      <c r="M247" s="43"/>
      <c r="N247" s="11"/>
      <c r="O247" s="48"/>
      <c r="P247" s="48"/>
      <c r="Q247" s="48"/>
      <c r="R247" s="38"/>
      <c r="S247" s="38"/>
      <c r="T247" s="52"/>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83"/>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83"/>
      <c r="CK247" s="11"/>
      <c r="CL247" s="11"/>
      <c r="CM247" s="11"/>
      <c r="CN247" s="11"/>
      <c r="CO247" s="11"/>
      <c r="CP247" s="11"/>
      <c r="CQ247" s="11"/>
      <c r="CR247" s="11"/>
      <c r="CS247" s="11"/>
      <c r="CT247" s="11"/>
      <c r="CU247" s="11"/>
      <c r="CV247" s="11"/>
      <c r="CW247" s="11"/>
      <c r="CX247" s="11"/>
      <c r="CY247" s="11"/>
      <c r="CZ247" s="11"/>
      <c r="DA247" s="11"/>
      <c r="DB247" s="11"/>
      <c r="DC247" s="11"/>
    </row>
    <row r="248" spans="1:107" ht="12.75" customHeight="1">
      <c r="A248" s="11"/>
      <c r="B248" s="11"/>
      <c r="C248" s="11"/>
      <c r="D248" s="11"/>
      <c r="E248" s="11"/>
      <c r="F248" s="11"/>
      <c r="G248" s="11"/>
      <c r="H248" s="15"/>
      <c r="I248" s="38"/>
      <c r="J248" s="38"/>
      <c r="K248" s="38"/>
      <c r="L248" s="41"/>
      <c r="M248" s="43"/>
      <c r="N248" s="11"/>
      <c r="O248" s="48"/>
      <c r="P248" s="48"/>
      <c r="Q248" s="48"/>
      <c r="R248" s="38"/>
      <c r="S248" s="38"/>
      <c r="T248" s="52"/>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83"/>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83"/>
      <c r="CK248" s="11"/>
      <c r="CL248" s="11"/>
      <c r="CM248" s="11"/>
      <c r="CN248" s="11"/>
      <c r="CO248" s="11"/>
      <c r="CP248" s="11"/>
      <c r="CQ248" s="11"/>
      <c r="CR248" s="11"/>
      <c r="CS248" s="11"/>
      <c r="CT248" s="11"/>
      <c r="CU248" s="11"/>
      <c r="CV248" s="11"/>
      <c r="CW248" s="11"/>
      <c r="CX248" s="11"/>
      <c r="CY248" s="11"/>
      <c r="CZ248" s="11"/>
      <c r="DA248" s="11"/>
      <c r="DB248" s="11"/>
      <c r="DC248" s="11"/>
    </row>
    <row r="249" spans="1:107" ht="12.75" customHeight="1">
      <c r="A249" s="11"/>
      <c r="B249" s="11"/>
      <c r="C249" s="11"/>
      <c r="D249" s="11"/>
      <c r="E249" s="11"/>
      <c r="F249" s="11"/>
      <c r="G249" s="11"/>
      <c r="H249" s="15"/>
      <c r="I249" s="38"/>
      <c r="J249" s="38"/>
      <c r="K249" s="38"/>
      <c r="L249" s="41"/>
      <c r="M249" s="43"/>
      <c r="N249" s="11"/>
      <c r="O249" s="48"/>
      <c r="P249" s="48"/>
      <c r="Q249" s="48"/>
      <c r="R249" s="38"/>
      <c r="S249" s="38"/>
      <c r="T249" s="52"/>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83"/>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83"/>
      <c r="CK249" s="11"/>
      <c r="CL249" s="11"/>
      <c r="CM249" s="11"/>
      <c r="CN249" s="11"/>
      <c r="CO249" s="11"/>
      <c r="CP249" s="11"/>
      <c r="CQ249" s="11"/>
      <c r="CR249" s="11"/>
      <c r="CS249" s="11"/>
      <c r="CT249" s="11"/>
      <c r="CU249" s="11"/>
      <c r="CV249" s="11"/>
      <c r="CW249" s="11"/>
      <c r="CX249" s="11"/>
      <c r="CY249" s="11"/>
      <c r="CZ249" s="11"/>
      <c r="DA249" s="11"/>
      <c r="DB249" s="11"/>
      <c r="DC249" s="11"/>
    </row>
    <row r="250" spans="1:107" ht="12.75" customHeight="1">
      <c r="A250" s="11"/>
      <c r="B250" s="11"/>
      <c r="C250" s="11"/>
      <c r="D250" s="11"/>
      <c r="E250" s="11"/>
      <c r="F250" s="11"/>
      <c r="G250" s="11"/>
      <c r="H250" s="15"/>
      <c r="I250" s="38"/>
      <c r="J250" s="38"/>
      <c r="K250" s="38"/>
      <c r="L250" s="41"/>
      <c r="M250" s="43"/>
      <c r="N250" s="11"/>
      <c r="O250" s="48"/>
      <c r="P250" s="48"/>
      <c r="Q250" s="48"/>
      <c r="R250" s="38"/>
      <c r="S250" s="38"/>
      <c r="T250" s="52"/>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83"/>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83"/>
      <c r="CK250" s="11"/>
      <c r="CL250" s="11"/>
      <c r="CM250" s="11"/>
      <c r="CN250" s="11"/>
      <c r="CO250" s="11"/>
      <c r="CP250" s="11"/>
      <c r="CQ250" s="11"/>
      <c r="CR250" s="11"/>
      <c r="CS250" s="11"/>
      <c r="CT250" s="11"/>
      <c r="CU250" s="11"/>
      <c r="CV250" s="11"/>
      <c r="CW250" s="11"/>
      <c r="CX250" s="11"/>
      <c r="CY250" s="11"/>
      <c r="CZ250" s="11"/>
      <c r="DA250" s="11"/>
      <c r="DB250" s="11"/>
      <c r="DC250" s="11"/>
    </row>
    <row r="251" spans="1:107" ht="12.75" customHeight="1">
      <c r="A251" s="11"/>
      <c r="B251" s="11"/>
      <c r="C251" s="11"/>
      <c r="D251" s="11"/>
      <c r="E251" s="11"/>
      <c r="F251" s="11"/>
      <c r="G251" s="11"/>
      <c r="H251" s="15"/>
      <c r="I251" s="38"/>
      <c r="J251" s="38"/>
      <c r="K251" s="38"/>
      <c r="L251" s="41"/>
      <c r="M251" s="43"/>
      <c r="N251" s="11"/>
      <c r="O251" s="48"/>
      <c r="P251" s="48"/>
      <c r="Q251" s="48"/>
      <c r="R251" s="38"/>
      <c r="S251" s="38"/>
      <c r="T251" s="52"/>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83"/>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83"/>
      <c r="CK251" s="11"/>
      <c r="CL251" s="11"/>
      <c r="CM251" s="11"/>
      <c r="CN251" s="11"/>
      <c r="CO251" s="11"/>
      <c r="CP251" s="11"/>
      <c r="CQ251" s="11"/>
      <c r="CR251" s="11"/>
      <c r="CS251" s="11"/>
      <c r="CT251" s="11"/>
      <c r="CU251" s="11"/>
      <c r="CV251" s="11"/>
      <c r="CW251" s="11"/>
      <c r="CX251" s="11"/>
      <c r="CY251" s="11"/>
      <c r="CZ251" s="11"/>
      <c r="DA251" s="11"/>
      <c r="DB251" s="11"/>
      <c r="DC251" s="11"/>
    </row>
    <row r="252" spans="1:107" ht="12.75" customHeight="1">
      <c r="A252" s="11"/>
      <c r="B252" s="11"/>
      <c r="C252" s="11"/>
      <c r="D252" s="11"/>
      <c r="E252" s="11"/>
      <c r="F252" s="11"/>
      <c r="G252" s="11"/>
      <c r="H252" s="15"/>
      <c r="I252" s="38"/>
      <c r="J252" s="38"/>
      <c r="K252" s="38"/>
      <c r="L252" s="41"/>
      <c r="M252" s="43"/>
      <c r="N252" s="11"/>
      <c r="O252" s="48"/>
      <c r="P252" s="48"/>
      <c r="Q252" s="48"/>
      <c r="R252" s="38"/>
      <c r="S252" s="38"/>
      <c r="T252" s="52"/>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83"/>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83"/>
      <c r="CK252" s="11"/>
      <c r="CL252" s="11"/>
      <c r="CM252" s="11"/>
      <c r="CN252" s="11"/>
      <c r="CO252" s="11"/>
      <c r="CP252" s="11"/>
      <c r="CQ252" s="11"/>
      <c r="CR252" s="11"/>
      <c r="CS252" s="11"/>
      <c r="CT252" s="11"/>
      <c r="CU252" s="11"/>
      <c r="CV252" s="11"/>
      <c r="CW252" s="11"/>
      <c r="CX252" s="11"/>
      <c r="CY252" s="11"/>
      <c r="CZ252" s="11"/>
      <c r="DA252" s="11"/>
      <c r="DB252" s="11"/>
      <c r="DC252" s="11"/>
    </row>
    <row r="253" spans="1:107" ht="12.75" customHeight="1">
      <c r="A253" s="11"/>
      <c r="B253" s="11"/>
      <c r="C253" s="11"/>
      <c r="D253" s="11"/>
      <c r="E253" s="11"/>
      <c r="F253" s="11"/>
      <c r="G253" s="11"/>
      <c r="H253" s="15"/>
      <c r="I253" s="38"/>
      <c r="J253" s="38"/>
      <c r="K253" s="38"/>
      <c r="L253" s="41"/>
      <c r="M253" s="43"/>
      <c r="N253" s="11"/>
      <c r="O253" s="48"/>
      <c r="P253" s="48"/>
      <c r="Q253" s="48"/>
      <c r="R253" s="38"/>
      <c r="S253" s="38"/>
      <c r="T253" s="52"/>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83"/>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83"/>
      <c r="CK253" s="11"/>
      <c r="CL253" s="11"/>
      <c r="CM253" s="11"/>
      <c r="CN253" s="11"/>
      <c r="CO253" s="11"/>
      <c r="CP253" s="11"/>
      <c r="CQ253" s="11"/>
      <c r="CR253" s="11"/>
      <c r="CS253" s="11"/>
      <c r="CT253" s="11"/>
      <c r="CU253" s="11"/>
      <c r="CV253" s="11"/>
      <c r="CW253" s="11"/>
      <c r="CX253" s="11"/>
      <c r="CY253" s="11"/>
      <c r="CZ253" s="11"/>
      <c r="DA253" s="11"/>
      <c r="DB253" s="11"/>
      <c r="DC253" s="11"/>
    </row>
    <row r="254" spans="1:107" ht="12.75" customHeight="1">
      <c r="A254" s="11"/>
      <c r="B254" s="11"/>
      <c r="C254" s="11"/>
      <c r="D254" s="11"/>
      <c r="E254" s="11"/>
      <c r="F254" s="11"/>
      <c r="G254" s="11"/>
      <c r="H254" s="15"/>
      <c r="I254" s="38"/>
      <c r="J254" s="38"/>
      <c r="K254" s="38"/>
      <c r="L254" s="41"/>
      <c r="M254" s="43"/>
      <c r="N254" s="11"/>
      <c r="O254" s="48"/>
      <c r="P254" s="48"/>
      <c r="Q254" s="48"/>
      <c r="R254" s="38"/>
      <c r="S254" s="38"/>
      <c r="T254" s="52"/>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83"/>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83"/>
      <c r="CK254" s="11"/>
      <c r="CL254" s="11"/>
      <c r="CM254" s="11"/>
      <c r="CN254" s="11"/>
      <c r="CO254" s="11"/>
      <c r="CP254" s="11"/>
      <c r="CQ254" s="11"/>
      <c r="CR254" s="11"/>
      <c r="CS254" s="11"/>
      <c r="CT254" s="11"/>
      <c r="CU254" s="11"/>
      <c r="CV254" s="11"/>
      <c r="CW254" s="11"/>
      <c r="CX254" s="11"/>
      <c r="CY254" s="11"/>
      <c r="CZ254" s="11"/>
      <c r="DA254" s="11"/>
      <c r="DB254" s="11"/>
      <c r="DC254" s="11"/>
    </row>
    <row r="255" spans="1:107" ht="12.75" customHeight="1">
      <c r="A255" s="11"/>
      <c r="B255" s="11"/>
      <c r="C255" s="11"/>
      <c r="D255" s="11"/>
      <c r="E255" s="11"/>
      <c r="F255" s="11"/>
      <c r="G255" s="11"/>
      <c r="H255" s="15"/>
      <c r="I255" s="38"/>
      <c r="J255" s="38"/>
      <c r="K255" s="38"/>
      <c r="L255" s="41"/>
      <c r="M255" s="43"/>
      <c r="N255" s="11"/>
      <c r="O255" s="48"/>
      <c r="P255" s="48"/>
      <c r="Q255" s="48"/>
      <c r="R255" s="38"/>
      <c r="S255" s="38"/>
      <c r="T255" s="52"/>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83"/>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83"/>
      <c r="CK255" s="11"/>
      <c r="CL255" s="11"/>
      <c r="CM255" s="11"/>
      <c r="CN255" s="11"/>
      <c r="CO255" s="11"/>
      <c r="CP255" s="11"/>
      <c r="CQ255" s="11"/>
      <c r="CR255" s="11"/>
      <c r="CS255" s="11"/>
      <c r="CT255" s="11"/>
      <c r="CU255" s="11"/>
      <c r="CV255" s="11"/>
      <c r="CW255" s="11"/>
      <c r="CX255" s="11"/>
      <c r="CY255" s="11"/>
      <c r="CZ255" s="11"/>
      <c r="DA255" s="11"/>
      <c r="DB255" s="11"/>
      <c r="DC255" s="11"/>
    </row>
    <row r="256" spans="1:107" ht="12.75" customHeight="1">
      <c r="A256" s="11"/>
      <c r="B256" s="11"/>
      <c r="C256" s="11"/>
      <c r="D256" s="11"/>
      <c r="E256" s="11"/>
      <c r="F256" s="11"/>
      <c r="G256" s="11"/>
      <c r="H256" s="15"/>
      <c r="I256" s="38"/>
      <c r="J256" s="38"/>
      <c r="K256" s="38"/>
      <c r="L256" s="41"/>
      <c r="M256" s="43"/>
      <c r="N256" s="11"/>
      <c r="O256" s="48"/>
      <c r="P256" s="48"/>
      <c r="Q256" s="48"/>
      <c r="R256" s="38"/>
      <c r="S256" s="38"/>
      <c r="T256" s="52"/>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83"/>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83"/>
      <c r="CK256" s="11"/>
      <c r="CL256" s="11"/>
      <c r="CM256" s="11"/>
      <c r="CN256" s="11"/>
      <c r="CO256" s="11"/>
      <c r="CP256" s="11"/>
      <c r="CQ256" s="11"/>
      <c r="CR256" s="11"/>
      <c r="CS256" s="11"/>
      <c r="CT256" s="11"/>
      <c r="CU256" s="11"/>
      <c r="CV256" s="11"/>
      <c r="CW256" s="11"/>
      <c r="CX256" s="11"/>
      <c r="CY256" s="11"/>
      <c r="CZ256" s="11"/>
      <c r="DA256" s="11"/>
      <c r="DB256" s="11"/>
      <c r="DC256" s="11"/>
    </row>
    <row r="257" spans="1:107" ht="12.75" customHeight="1">
      <c r="A257" s="11"/>
      <c r="B257" s="11"/>
      <c r="C257" s="11"/>
      <c r="D257" s="11"/>
      <c r="E257" s="11"/>
      <c r="F257" s="11"/>
      <c r="G257" s="11"/>
      <c r="H257" s="15"/>
      <c r="I257" s="38"/>
      <c r="J257" s="38"/>
      <c r="K257" s="38"/>
      <c r="L257" s="41"/>
      <c r="M257" s="43"/>
      <c r="N257" s="11"/>
      <c r="O257" s="48"/>
      <c r="P257" s="48"/>
      <c r="Q257" s="48"/>
      <c r="R257" s="38"/>
      <c r="S257" s="38"/>
      <c r="T257" s="52"/>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83"/>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83"/>
      <c r="CK257" s="11"/>
      <c r="CL257" s="11"/>
      <c r="CM257" s="11"/>
      <c r="CN257" s="11"/>
      <c r="CO257" s="11"/>
      <c r="CP257" s="11"/>
      <c r="CQ257" s="11"/>
      <c r="CR257" s="11"/>
      <c r="CS257" s="11"/>
      <c r="CT257" s="11"/>
      <c r="CU257" s="11"/>
      <c r="CV257" s="11"/>
      <c r="CW257" s="11"/>
      <c r="CX257" s="11"/>
      <c r="CY257" s="11"/>
      <c r="CZ257" s="11"/>
      <c r="DA257" s="11"/>
      <c r="DB257" s="11"/>
      <c r="DC257" s="11"/>
    </row>
    <row r="258" spans="1:107" ht="12.75" customHeight="1">
      <c r="A258" s="11"/>
      <c r="B258" s="11"/>
      <c r="C258" s="11"/>
      <c r="D258" s="11"/>
      <c r="E258" s="11"/>
      <c r="F258" s="11"/>
      <c r="G258" s="11"/>
      <c r="H258" s="15"/>
      <c r="I258" s="38"/>
      <c r="J258" s="38"/>
      <c r="K258" s="38"/>
      <c r="L258" s="41"/>
      <c r="M258" s="43"/>
      <c r="N258" s="11"/>
      <c r="O258" s="48"/>
      <c r="P258" s="48"/>
      <c r="Q258" s="48"/>
      <c r="R258" s="38"/>
      <c r="S258" s="38"/>
      <c r="T258" s="52"/>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83"/>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83"/>
      <c r="CK258" s="11"/>
      <c r="CL258" s="11"/>
      <c r="CM258" s="11"/>
      <c r="CN258" s="11"/>
      <c r="CO258" s="11"/>
      <c r="CP258" s="11"/>
      <c r="CQ258" s="11"/>
      <c r="CR258" s="11"/>
      <c r="CS258" s="11"/>
      <c r="CT258" s="11"/>
      <c r="CU258" s="11"/>
      <c r="CV258" s="11"/>
      <c r="CW258" s="11"/>
      <c r="CX258" s="11"/>
      <c r="CY258" s="11"/>
      <c r="CZ258" s="11"/>
      <c r="DA258" s="11"/>
      <c r="DB258" s="11"/>
      <c r="DC258" s="11"/>
    </row>
    <row r="259" spans="1:107" ht="12.75" customHeight="1">
      <c r="A259" s="11"/>
      <c r="B259" s="11"/>
      <c r="C259" s="11"/>
      <c r="D259" s="11"/>
      <c r="E259" s="11"/>
      <c r="F259" s="11"/>
      <c r="G259" s="11"/>
      <c r="H259" s="15"/>
      <c r="I259" s="38"/>
      <c r="J259" s="38"/>
      <c r="K259" s="38"/>
      <c r="L259" s="41"/>
      <c r="M259" s="43"/>
      <c r="N259" s="11"/>
      <c r="O259" s="48"/>
      <c r="P259" s="48"/>
      <c r="Q259" s="48"/>
      <c r="R259" s="38"/>
      <c r="S259" s="38"/>
      <c r="T259" s="52"/>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83"/>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83"/>
      <c r="CK259" s="11"/>
      <c r="CL259" s="11"/>
      <c r="CM259" s="11"/>
      <c r="CN259" s="11"/>
      <c r="CO259" s="11"/>
      <c r="CP259" s="11"/>
      <c r="CQ259" s="11"/>
      <c r="CR259" s="11"/>
      <c r="CS259" s="11"/>
      <c r="CT259" s="11"/>
      <c r="CU259" s="11"/>
      <c r="CV259" s="11"/>
      <c r="CW259" s="11"/>
      <c r="CX259" s="11"/>
      <c r="CY259" s="11"/>
      <c r="CZ259" s="11"/>
      <c r="DA259" s="11"/>
      <c r="DB259" s="11"/>
      <c r="DC259" s="11"/>
    </row>
    <row r="260" spans="1:107" ht="12.75" customHeight="1">
      <c r="A260" s="11"/>
      <c r="B260" s="11"/>
      <c r="C260" s="11"/>
      <c r="D260" s="11"/>
      <c r="E260" s="11"/>
      <c r="F260" s="11"/>
      <c r="G260" s="11"/>
      <c r="H260" s="15"/>
      <c r="I260" s="38"/>
      <c r="J260" s="38"/>
      <c r="K260" s="38"/>
      <c r="L260" s="41"/>
      <c r="M260" s="43"/>
      <c r="N260" s="11"/>
      <c r="O260" s="48"/>
      <c r="P260" s="48"/>
      <c r="Q260" s="48"/>
      <c r="R260" s="38"/>
      <c r="S260" s="38"/>
      <c r="T260" s="52"/>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83"/>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83"/>
      <c r="CK260" s="11"/>
      <c r="CL260" s="11"/>
      <c r="CM260" s="11"/>
      <c r="CN260" s="11"/>
      <c r="CO260" s="11"/>
      <c r="CP260" s="11"/>
      <c r="CQ260" s="11"/>
      <c r="CR260" s="11"/>
      <c r="CS260" s="11"/>
      <c r="CT260" s="11"/>
      <c r="CU260" s="11"/>
      <c r="CV260" s="11"/>
      <c r="CW260" s="11"/>
      <c r="CX260" s="11"/>
      <c r="CY260" s="11"/>
      <c r="CZ260" s="11"/>
      <c r="DA260" s="11"/>
      <c r="DB260" s="11"/>
      <c r="DC260" s="11"/>
    </row>
    <row r="261" spans="1:107" ht="12.75" customHeight="1">
      <c r="A261" s="11"/>
      <c r="B261" s="11"/>
      <c r="C261" s="11"/>
      <c r="D261" s="11"/>
      <c r="E261" s="11"/>
      <c r="F261" s="11"/>
      <c r="G261" s="11"/>
      <c r="H261" s="15"/>
      <c r="I261" s="38"/>
      <c r="J261" s="38"/>
      <c r="K261" s="38"/>
      <c r="L261" s="41"/>
      <c r="M261" s="43"/>
      <c r="N261" s="11"/>
      <c r="O261" s="48"/>
      <c r="P261" s="48"/>
      <c r="Q261" s="48"/>
      <c r="R261" s="38"/>
      <c r="S261" s="38"/>
      <c r="T261" s="52"/>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83"/>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83"/>
      <c r="CK261" s="11"/>
      <c r="CL261" s="11"/>
      <c r="CM261" s="11"/>
      <c r="CN261" s="11"/>
      <c r="CO261" s="11"/>
      <c r="CP261" s="11"/>
      <c r="CQ261" s="11"/>
      <c r="CR261" s="11"/>
      <c r="CS261" s="11"/>
      <c r="CT261" s="11"/>
      <c r="CU261" s="11"/>
      <c r="CV261" s="11"/>
      <c r="CW261" s="11"/>
      <c r="CX261" s="11"/>
      <c r="CY261" s="11"/>
      <c r="CZ261" s="11"/>
      <c r="DA261" s="11"/>
      <c r="DB261" s="11"/>
      <c r="DC261" s="11"/>
    </row>
    <row r="262" spans="1:107" ht="12.75" customHeight="1">
      <c r="A262" s="11"/>
      <c r="B262" s="11"/>
      <c r="C262" s="11"/>
      <c r="D262" s="11"/>
      <c r="E262" s="11"/>
      <c r="F262" s="11"/>
      <c r="G262" s="11"/>
      <c r="H262" s="15"/>
      <c r="I262" s="38"/>
      <c r="J262" s="38"/>
      <c r="K262" s="38"/>
      <c r="L262" s="41"/>
      <c r="M262" s="43"/>
      <c r="N262" s="11"/>
      <c r="O262" s="48"/>
      <c r="P262" s="48"/>
      <c r="Q262" s="48"/>
      <c r="R262" s="38"/>
      <c r="S262" s="38"/>
      <c r="T262" s="52"/>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83"/>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83"/>
      <c r="CK262" s="11"/>
      <c r="CL262" s="11"/>
      <c r="CM262" s="11"/>
      <c r="CN262" s="11"/>
      <c r="CO262" s="11"/>
      <c r="CP262" s="11"/>
      <c r="CQ262" s="11"/>
      <c r="CR262" s="11"/>
      <c r="CS262" s="11"/>
      <c r="CT262" s="11"/>
      <c r="CU262" s="11"/>
      <c r="CV262" s="11"/>
      <c r="CW262" s="11"/>
      <c r="CX262" s="11"/>
      <c r="CY262" s="11"/>
      <c r="CZ262" s="11"/>
      <c r="DA262" s="11"/>
      <c r="DB262" s="11"/>
      <c r="DC262" s="11"/>
    </row>
    <row r="263" spans="1:107" ht="12.75" customHeight="1">
      <c r="A263" s="11"/>
      <c r="B263" s="11"/>
      <c r="C263" s="11"/>
      <c r="D263" s="11"/>
      <c r="E263" s="11"/>
      <c r="F263" s="11"/>
      <c r="G263" s="11"/>
      <c r="H263" s="15"/>
      <c r="I263" s="38"/>
      <c r="J263" s="38"/>
      <c r="K263" s="38"/>
      <c r="L263" s="41"/>
      <c r="M263" s="43"/>
      <c r="N263" s="11"/>
      <c r="O263" s="48"/>
      <c r="P263" s="48"/>
      <c r="Q263" s="48"/>
      <c r="R263" s="38"/>
      <c r="S263" s="38"/>
      <c r="T263" s="52"/>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83"/>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83"/>
      <c r="CK263" s="11"/>
      <c r="CL263" s="11"/>
      <c r="CM263" s="11"/>
      <c r="CN263" s="11"/>
      <c r="CO263" s="11"/>
      <c r="CP263" s="11"/>
      <c r="CQ263" s="11"/>
      <c r="CR263" s="11"/>
      <c r="CS263" s="11"/>
      <c r="CT263" s="11"/>
      <c r="CU263" s="11"/>
      <c r="CV263" s="11"/>
      <c r="CW263" s="11"/>
      <c r="CX263" s="11"/>
      <c r="CY263" s="11"/>
      <c r="CZ263" s="11"/>
      <c r="DA263" s="11"/>
      <c r="DB263" s="11"/>
      <c r="DC263" s="11"/>
    </row>
    <row r="264" spans="1:107" ht="12.75" customHeight="1">
      <c r="A264" s="11"/>
      <c r="B264" s="11"/>
      <c r="C264" s="11"/>
      <c r="D264" s="11"/>
      <c r="E264" s="11"/>
      <c r="F264" s="11"/>
      <c r="G264" s="11"/>
      <c r="H264" s="15"/>
      <c r="I264" s="38"/>
      <c r="J264" s="38"/>
      <c r="K264" s="38"/>
      <c r="L264" s="41"/>
      <c r="M264" s="43"/>
      <c r="N264" s="11"/>
      <c r="O264" s="48"/>
      <c r="P264" s="48"/>
      <c r="Q264" s="48"/>
      <c r="R264" s="38"/>
      <c r="S264" s="38"/>
      <c r="T264" s="52"/>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83"/>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83"/>
      <c r="CK264" s="11"/>
      <c r="CL264" s="11"/>
      <c r="CM264" s="11"/>
      <c r="CN264" s="11"/>
      <c r="CO264" s="11"/>
      <c r="CP264" s="11"/>
      <c r="CQ264" s="11"/>
      <c r="CR264" s="11"/>
      <c r="CS264" s="11"/>
      <c r="CT264" s="11"/>
      <c r="CU264" s="11"/>
      <c r="CV264" s="11"/>
      <c r="CW264" s="11"/>
      <c r="CX264" s="11"/>
      <c r="CY264" s="11"/>
      <c r="CZ264" s="11"/>
      <c r="DA264" s="11"/>
      <c r="DB264" s="11"/>
      <c r="DC264" s="11"/>
    </row>
    <row r="265" spans="1:107" ht="12.75" customHeight="1">
      <c r="A265" s="11"/>
      <c r="B265" s="11"/>
      <c r="C265" s="11"/>
      <c r="D265" s="11"/>
      <c r="E265" s="11"/>
      <c r="F265" s="11"/>
      <c r="G265" s="11"/>
      <c r="H265" s="15"/>
      <c r="I265" s="38"/>
      <c r="J265" s="38"/>
      <c r="K265" s="38"/>
      <c r="L265" s="41"/>
      <c r="M265" s="43"/>
      <c r="N265" s="11"/>
      <c r="O265" s="48"/>
      <c r="P265" s="48"/>
      <c r="Q265" s="48"/>
      <c r="R265" s="38"/>
      <c r="S265" s="38"/>
      <c r="T265" s="52"/>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83"/>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83"/>
      <c r="CK265" s="11"/>
      <c r="CL265" s="11"/>
      <c r="CM265" s="11"/>
      <c r="CN265" s="11"/>
      <c r="CO265" s="11"/>
      <c r="CP265" s="11"/>
      <c r="CQ265" s="11"/>
      <c r="CR265" s="11"/>
      <c r="CS265" s="11"/>
      <c r="CT265" s="11"/>
      <c r="CU265" s="11"/>
      <c r="CV265" s="11"/>
      <c r="CW265" s="11"/>
      <c r="CX265" s="11"/>
      <c r="CY265" s="11"/>
      <c r="CZ265" s="11"/>
      <c r="DA265" s="11"/>
      <c r="DB265" s="11"/>
      <c r="DC265" s="11"/>
    </row>
    <row r="266" spans="1:107" ht="12.75" customHeight="1">
      <c r="A266" s="11"/>
      <c r="B266" s="11"/>
      <c r="C266" s="11"/>
      <c r="D266" s="11"/>
      <c r="E266" s="11"/>
      <c r="F266" s="11"/>
      <c r="G266" s="11"/>
      <c r="H266" s="15"/>
      <c r="I266" s="38"/>
      <c r="J266" s="38"/>
      <c r="K266" s="38"/>
      <c r="L266" s="41"/>
      <c r="M266" s="43"/>
      <c r="N266" s="11"/>
      <c r="O266" s="48"/>
      <c r="P266" s="48"/>
      <c r="Q266" s="48"/>
      <c r="R266" s="38"/>
      <c r="S266" s="38"/>
      <c r="T266" s="52"/>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83"/>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83"/>
      <c r="CK266" s="11"/>
      <c r="CL266" s="11"/>
      <c r="CM266" s="11"/>
      <c r="CN266" s="11"/>
      <c r="CO266" s="11"/>
      <c r="CP266" s="11"/>
      <c r="CQ266" s="11"/>
      <c r="CR266" s="11"/>
      <c r="CS266" s="11"/>
      <c r="CT266" s="11"/>
      <c r="CU266" s="11"/>
      <c r="CV266" s="11"/>
      <c r="CW266" s="11"/>
      <c r="CX266" s="11"/>
      <c r="CY266" s="11"/>
      <c r="CZ266" s="11"/>
      <c r="DA266" s="11"/>
      <c r="DB266" s="11"/>
      <c r="DC266" s="11"/>
    </row>
    <row r="267" spans="1:107" ht="12.75" customHeight="1">
      <c r="A267" s="11"/>
      <c r="B267" s="11"/>
      <c r="C267" s="11"/>
      <c r="D267" s="11"/>
      <c r="E267" s="11"/>
      <c r="F267" s="11"/>
      <c r="G267" s="11"/>
      <c r="H267" s="15"/>
      <c r="I267" s="38"/>
      <c r="J267" s="38"/>
      <c r="K267" s="38"/>
      <c r="L267" s="41"/>
      <c r="M267" s="43"/>
      <c r="N267" s="11"/>
      <c r="O267" s="48"/>
      <c r="P267" s="48"/>
      <c r="Q267" s="48"/>
      <c r="R267" s="38"/>
      <c r="S267" s="38"/>
      <c r="T267" s="52"/>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83"/>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83"/>
      <c r="CK267" s="11"/>
      <c r="CL267" s="11"/>
      <c r="CM267" s="11"/>
      <c r="CN267" s="11"/>
      <c r="CO267" s="11"/>
      <c r="CP267" s="11"/>
      <c r="CQ267" s="11"/>
      <c r="CR267" s="11"/>
      <c r="CS267" s="11"/>
      <c r="CT267" s="11"/>
      <c r="CU267" s="11"/>
      <c r="CV267" s="11"/>
      <c r="CW267" s="11"/>
      <c r="CX267" s="11"/>
      <c r="CY267" s="11"/>
      <c r="CZ267" s="11"/>
      <c r="DA267" s="11"/>
      <c r="DB267" s="11"/>
      <c r="DC267" s="11"/>
    </row>
    <row r="268" spans="1:107" ht="12.75" customHeight="1">
      <c r="A268" s="11"/>
      <c r="B268" s="11"/>
      <c r="C268" s="11"/>
      <c r="D268" s="11"/>
      <c r="E268" s="11"/>
      <c r="F268" s="11"/>
      <c r="G268" s="11"/>
      <c r="H268" s="15"/>
      <c r="I268" s="38"/>
      <c r="J268" s="38"/>
      <c r="K268" s="38"/>
      <c r="L268" s="41"/>
      <c r="M268" s="43"/>
      <c r="N268" s="11"/>
      <c r="O268" s="48"/>
      <c r="P268" s="48"/>
      <c r="Q268" s="48"/>
      <c r="R268" s="38"/>
      <c r="S268" s="38"/>
      <c r="T268" s="52"/>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83"/>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83"/>
      <c r="CK268" s="11"/>
      <c r="CL268" s="11"/>
      <c r="CM268" s="11"/>
      <c r="CN268" s="11"/>
      <c r="CO268" s="11"/>
      <c r="CP268" s="11"/>
      <c r="CQ268" s="11"/>
      <c r="CR268" s="11"/>
      <c r="CS268" s="11"/>
      <c r="CT268" s="11"/>
      <c r="CU268" s="11"/>
      <c r="CV268" s="11"/>
      <c r="CW268" s="11"/>
      <c r="CX268" s="11"/>
      <c r="CY268" s="11"/>
      <c r="CZ268" s="11"/>
      <c r="DA268" s="11"/>
      <c r="DB268" s="11"/>
      <c r="DC268" s="11"/>
    </row>
    <row r="269" spans="1:107" ht="12.75" customHeight="1">
      <c r="A269" s="11"/>
      <c r="B269" s="11"/>
      <c r="C269" s="11"/>
      <c r="D269" s="11"/>
      <c r="E269" s="11"/>
      <c r="F269" s="11"/>
      <c r="G269" s="11"/>
      <c r="H269" s="15"/>
      <c r="I269" s="38"/>
      <c r="J269" s="38"/>
      <c r="K269" s="38"/>
      <c r="L269" s="41"/>
      <c r="M269" s="43"/>
      <c r="N269" s="11"/>
      <c r="O269" s="48"/>
      <c r="P269" s="48"/>
      <c r="Q269" s="48"/>
      <c r="R269" s="38"/>
      <c r="S269" s="38"/>
      <c r="T269" s="52"/>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83"/>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83"/>
      <c r="CK269" s="11"/>
      <c r="CL269" s="11"/>
      <c r="CM269" s="11"/>
      <c r="CN269" s="11"/>
      <c r="CO269" s="11"/>
      <c r="CP269" s="11"/>
      <c r="CQ269" s="11"/>
      <c r="CR269" s="11"/>
      <c r="CS269" s="11"/>
      <c r="CT269" s="11"/>
      <c r="CU269" s="11"/>
      <c r="CV269" s="11"/>
      <c r="CW269" s="11"/>
      <c r="CX269" s="11"/>
      <c r="CY269" s="11"/>
      <c r="CZ269" s="11"/>
      <c r="DA269" s="11"/>
      <c r="DB269" s="11"/>
      <c r="DC269" s="11"/>
    </row>
    <row r="270" spans="1:107" ht="12.75" customHeight="1">
      <c r="A270" s="11"/>
      <c r="B270" s="11"/>
      <c r="C270" s="11"/>
      <c r="D270" s="11"/>
      <c r="E270" s="11"/>
      <c r="F270" s="11"/>
      <c r="G270" s="11"/>
      <c r="H270" s="15"/>
      <c r="I270" s="38"/>
      <c r="J270" s="38"/>
      <c r="K270" s="38"/>
      <c r="L270" s="41"/>
      <c r="M270" s="43"/>
      <c r="N270" s="11"/>
      <c r="O270" s="48"/>
      <c r="P270" s="48"/>
      <c r="Q270" s="48"/>
      <c r="R270" s="38"/>
      <c r="S270" s="38"/>
      <c r="T270" s="52"/>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83"/>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83"/>
      <c r="CK270" s="11"/>
      <c r="CL270" s="11"/>
      <c r="CM270" s="11"/>
      <c r="CN270" s="11"/>
      <c r="CO270" s="11"/>
      <c r="CP270" s="11"/>
      <c r="CQ270" s="11"/>
      <c r="CR270" s="11"/>
      <c r="CS270" s="11"/>
      <c r="CT270" s="11"/>
      <c r="CU270" s="11"/>
      <c r="CV270" s="11"/>
      <c r="CW270" s="11"/>
      <c r="CX270" s="11"/>
      <c r="CY270" s="11"/>
      <c r="CZ270" s="11"/>
      <c r="DA270" s="11"/>
      <c r="DB270" s="11"/>
      <c r="DC270" s="11"/>
    </row>
    <row r="271" spans="1:107" ht="12.75" customHeight="1">
      <c r="A271" s="11"/>
      <c r="B271" s="11"/>
      <c r="C271" s="11"/>
      <c r="D271" s="11"/>
      <c r="E271" s="11"/>
      <c r="F271" s="11"/>
      <c r="G271" s="11"/>
      <c r="H271" s="15"/>
      <c r="I271" s="38"/>
      <c r="J271" s="38"/>
      <c r="K271" s="38"/>
      <c r="L271" s="41"/>
      <c r="M271" s="43"/>
      <c r="N271" s="11"/>
      <c r="O271" s="48"/>
      <c r="P271" s="48"/>
      <c r="Q271" s="48"/>
      <c r="R271" s="38"/>
      <c r="S271" s="38"/>
      <c r="T271" s="52"/>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83"/>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83"/>
      <c r="CK271" s="11"/>
      <c r="CL271" s="11"/>
      <c r="CM271" s="11"/>
      <c r="CN271" s="11"/>
      <c r="CO271" s="11"/>
      <c r="CP271" s="11"/>
      <c r="CQ271" s="11"/>
      <c r="CR271" s="11"/>
      <c r="CS271" s="11"/>
      <c r="CT271" s="11"/>
      <c r="CU271" s="11"/>
      <c r="CV271" s="11"/>
      <c r="CW271" s="11"/>
      <c r="CX271" s="11"/>
      <c r="CY271" s="11"/>
      <c r="CZ271" s="11"/>
      <c r="DA271" s="11"/>
      <c r="DB271" s="11"/>
      <c r="DC271" s="11"/>
    </row>
    <row r="272" spans="1:107" ht="12.75" customHeight="1">
      <c r="A272" s="11"/>
      <c r="B272" s="11"/>
      <c r="C272" s="11"/>
      <c r="D272" s="11"/>
      <c r="E272" s="11"/>
      <c r="F272" s="11"/>
      <c r="G272" s="11"/>
      <c r="H272" s="15"/>
      <c r="I272" s="38"/>
      <c r="J272" s="38"/>
      <c r="K272" s="38"/>
      <c r="L272" s="41"/>
      <c r="M272" s="43"/>
      <c r="N272" s="11"/>
      <c r="O272" s="48"/>
      <c r="P272" s="48"/>
      <c r="Q272" s="48"/>
      <c r="R272" s="38"/>
      <c r="S272" s="38"/>
      <c r="T272" s="52"/>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83"/>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83"/>
      <c r="CK272" s="11"/>
      <c r="CL272" s="11"/>
      <c r="CM272" s="11"/>
      <c r="CN272" s="11"/>
      <c r="CO272" s="11"/>
      <c r="CP272" s="11"/>
      <c r="CQ272" s="11"/>
      <c r="CR272" s="11"/>
      <c r="CS272" s="11"/>
      <c r="CT272" s="11"/>
      <c r="CU272" s="11"/>
      <c r="CV272" s="11"/>
      <c r="CW272" s="11"/>
      <c r="CX272" s="11"/>
      <c r="CY272" s="11"/>
      <c r="CZ272" s="11"/>
      <c r="DA272" s="11"/>
      <c r="DB272" s="11"/>
      <c r="DC272" s="11"/>
    </row>
    <row r="273" spans="1:107" ht="12.75" customHeight="1">
      <c r="A273" s="11"/>
      <c r="B273" s="11"/>
      <c r="C273" s="11"/>
      <c r="D273" s="11"/>
      <c r="E273" s="11"/>
      <c r="F273" s="11"/>
      <c r="G273" s="11"/>
      <c r="H273" s="15"/>
      <c r="I273" s="38"/>
      <c r="J273" s="38"/>
      <c r="K273" s="38"/>
      <c r="L273" s="41"/>
      <c r="M273" s="43"/>
      <c r="N273" s="11"/>
      <c r="O273" s="48"/>
      <c r="P273" s="48"/>
      <c r="Q273" s="48"/>
      <c r="R273" s="38"/>
      <c r="S273" s="38"/>
      <c r="T273" s="52"/>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83"/>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83"/>
      <c r="CK273" s="11"/>
      <c r="CL273" s="11"/>
      <c r="CM273" s="11"/>
      <c r="CN273" s="11"/>
      <c r="CO273" s="11"/>
      <c r="CP273" s="11"/>
      <c r="CQ273" s="11"/>
      <c r="CR273" s="11"/>
      <c r="CS273" s="11"/>
      <c r="CT273" s="11"/>
      <c r="CU273" s="11"/>
      <c r="CV273" s="11"/>
      <c r="CW273" s="11"/>
      <c r="CX273" s="11"/>
      <c r="CY273" s="11"/>
      <c r="CZ273" s="11"/>
      <c r="DA273" s="11"/>
      <c r="DB273" s="11"/>
      <c r="DC273" s="11"/>
    </row>
    <row r="274" spans="1:107" ht="12.75" customHeight="1">
      <c r="A274" s="11"/>
      <c r="B274" s="11"/>
      <c r="C274" s="11"/>
      <c r="D274" s="11"/>
      <c r="E274" s="11"/>
      <c r="F274" s="11"/>
      <c r="G274" s="11"/>
      <c r="H274" s="15"/>
      <c r="I274" s="38"/>
      <c r="J274" s="38"/>
      <c r="K274" s="38"/>
      <c r="L274" s="41"/>
      <c r="M274" s="43"/>
      <c r="N274" s="11"/>
      <c r="O274" s="48"/>
      <c r="P274" s="48"/>
      <c r="Q274" s="48"/>
      <c r="R274" s="38"/>
      <c r="S274" s="38"/>
      <c r="T274" s="52"/>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83"/>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83"/>
      <c r="CK274" s="11"/>
      <c r="CL274" s="11"/>
      <c r="CM274" s="11"/>
      <c r="CN274" s="11"/>
      <c r="CO274" s="11"/>
      <c r="CP274" s="11"/>
      <c r="CQ274" s="11"/>
      <c r="CR274" s="11"/>
      <c r="CS274" s="11"/>
      <c r="CT274" s="11"/>
      <c r="CU274" s="11"/>
      <c r="CV274" s="11"/>
      <c r="CW274" s="11"/>
      <c r="CX274" s="11"/>
      <c r="CY274" s="11"/>
      <c r="CZ274" s="11"/>
      <c r="DA274" s="11"/>
      <c r="DB274" s="11"/>
      <c r="DC274" s="11"/>
    </row>
    <row r="275" spans="1:107" ht="12.75" customHeight="1">
      <c r="A275" s="11"/>
      <c r="B275" s="11"/>
      <c r="C275" s="11"/>
      <c r="D275" s="11"/>
      <c r="E275" s="11"/>
      <c r="F275" s="11"/>
      <c r="G275" s="11"/>
      <c r="H275" s="15"/>
      <c r="I275" s="38"/>
      <c r="J275" s="38"/>
      <c r="K275" s="38"/>
      <c r="L275" s="41"/>
      <c r="M275" s="43"/>
      <c r="N275" s="11"/>
      <c r="O275" s="48"/>
      <c r="P275" s="48"/>
      <c r="Q275" s="48"/>
      <c r="R275" s="38"/>
      <c r="S275" s="38"/>
      <c r="T275" s="52"/>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83"/>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83"/>
      <c r="CK275" s="11"/>
      <c r="CL275" s="11"/>
      <c r="CM275" s="11"/>
      <c r="CN275" s="11"/>
      <c r="CO275" s="11"/>
      <c r="CP275" s="11"/>
      <c r="CQ275" s="11"/>
      <c r="CR275" s="11"/>
      <c r="CS275" s="11"/>
      <c r="CT275" s="11"/>
      <c r="CU275" s="11"/>
      <c r="CV275" s="11"/>
      <c r="CW275" s="11"/>
      <c r="CX275" s="11"/>
      <c r="CY275" s="11"/>
      <c r="CZ275" s="11"/>
      <c r="DA275" s="11"/>
      <c r="DB275" s="11"/>
      <c r="DC275" s="11"/>
    </row>
    <row r="276" spans="1:107" ht="12.75" customHeight="1">
      <c r="A276" s="11"/>
      <c r="B276" s="11"/>
      <c r="C276" s="11"/>
      <c r="D276" s="11"/>
      <c r="E276" s="11"/>
      <c r="F276" s="11"/>
      <c r="G276" s="11"/>
      <c r="H276" s="15"/>
      <c r="I276" s="38"/>
      <c r="J276" s="38"/>
      <c r="K276" s="38"/>
      <c r="L276" s="41"/>
      <c r="M276" s="43"/>
      <c r="N276" s="11"/>
      <c r="O276" s="48"/>
      <c r="P276" s="48"/>
      <c r="Q276" s="48"/>
      <c r="R276" s="38"/>
      <c r="S276" s="38"/>
      <c r="T276" s="52"/>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83"/>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83"/>
      <c r="CK276" s="11"/>
      <c r="CL276" s="11"/>
      <c r="CM276" s="11"/>
      <c r="CN276" s="11"/>
      <c r="CO276" s="11"/>
      <c r="CP276" s="11"/>
      <c r="CQ276" s="11"/>
      <c r="CR276" s="11"/>
      <c r="CS276" s="11"/>
      <c r="CT276" s="11"/>
      <c r="CU276" s="11"/>
      <c r="CV276" s="11"/>
      <c r="CW276" s="11"/>
      <c r="CX276" s="11"/>
      <c r="CY276" s="11"/>
      <c r="CZ276" s="11"/>
      <c r="DA276" s="11"/>
      <c r="DB276" s="11"/>
      <c r="DC276" s="11"/>
    </row>
    <row r="277" spans="1:107" ht="12.75" customHeight="1">
      <c r="A277" s="11"/>
      <c r="B277" s="11"/>
      <c r="C277" s="11"/>
      <c r="D277" s="11"/>
      <c r="E277" s="11"/>
      <c r="F277" s="11"/>
      <c r="G277" s="11"/>
      <c r="H277" s="15"/>
      <c r="I277" s="38"/>
      <c r="J277" s="38"/>
      <c r="K277" s="38"/>
      <c r="L277" s="41"/>
      <c r="M277" s="43"/>
      <c r="N277" s="11"/>
      <c r="O277" s="48"/>
      <c r="P277" s="48"/>
      <c r="Q277" s="48"/>
      <c r="R277" s="38"/>
      <c r="S277" s="38"/>
      <c r="T277" s="52"/>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83"/>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83"/>
      <c r="CK277" s="11"/>
      <c r="CL277" s="11"/>
      <c r="CM277" s="11"/>
      <c r="CN277" s="11"/>
      <c r="CO277" s="11"/>
      <c r="CP277" s="11"/>
      <c r="CQ277" s="11"/>
      <c r="CR277" s="11"/>
      <c r="CS277" s="11"/>
      <c r="CT277" s="11"/>
      <c r="CU277" s="11"/>
      <c r="CV277" s="11"/>
      <c r="CW277" s="11"/>
      <c r="CX277" s="11"/>
      <c r="CY277" s="11"/>
      <c r="CZ277" s="11"/>
      <c r="DA277" s="11"/>
      <c r="DB277" s="11"/>
      <c r="DC277" s="11"/>
    </row>
    <row r="278" spans="1:107" ht="12.75" customHeight="1">
      <c r="A278" s="11"/>
      <c r="B278" s="11"/>
      <c r="C278" s="11"/>
      <c r="D278" s="11"/>
      <c r="E278" s="11"/>
      <c r="F278" s="11"/>
      <c r="G278" s="11"/>
      <c r="H278" s="15"/>
      <c r="I278" s="38"/>
      <c r="J278" s="38"/>
      <c r="K278" s="38"/>
      <c r="L278" s="41"/>
      <c r="M278" s="43"/>
      <c r="N278" s="11"/>
      <c r="O278" s="48"/>
      <c r="P278" s="48"/>
      <c r="Q278" s="48"/>
      <c r="R278" s="38"/>
      <c r="S278" s="38"/>
      <c r="T278" s="52"/>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83"/>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83"/>
      <c r="CK278" s="11"/>
      <c r="CL278" s="11"/>
      <c r="CM278" s="11"/>
      <c r="CN278" s="11"/>
      <c r="CO278" s="11"/>
      <c r="CP278" s="11"/>
      <c r="CQ278" s="11"/>
      <c r="CR278" s="11"/>
      <c r="CS278" s="11"/>
      <c r="CT278" s="11"/>
      <c r="CU278" s="11"/>
      <c r="CV278" s="11"/>
      <c r="CW278" s="11"/>
      <c r="CX278" s="11"/>
      <c r="CY278" s="11"/>
      <c r="CZ278" s="11"/>
      <c r="DA278" s="11"/>
      <c r="DB278" s="11"/>
      <c r="DC278" s="11"/>
    </row>
    <row r="279" spans="1:107" ht="12.75" customHeight="1">
      <c r="A279" s="11"/>
      <c r="B279" s="11"/>
      <c r="C279" s="11"/>
      <c r="D279" s="11"/>
      <c r="E279" s="11"/>
      <c r="F279" s="11"/>
      <c r="G279" s="11"/>
      <c r="H279" s="15"/>
      <c r="I279" s="38"/>
      <c r="J279" s="38"/>
      <c r="K279" s="38"/>
      <c r="L279" s="41"/>
      <c r="M279" s="43"/>
      <c r="N279" s="11"/>
      <c r="O279" s="48"/>
      <c r="P279" s="48"/>
      <c r="Q279" s="48"/>
      <c r="R279" s="38"/>
      <c r="S279" s="38"/>
      <c r="T279" s="52"/>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83"/>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83"/>
      <c r="CK279" s="11"/>
      <c r="CL279" s="11"/>
      <c r="CM279" s="11"/>
      <c r="CN279" s="11"/>
      <c r="CO279" s="11"/>
      <c r="CP279" s="11"/>
      <c r="CQ279" s="11"/>
      <c r="CR279" s="11"/>
      <c r="CS279" s="11"/>
      <c r="CT279" s="11"/>
      <c r="CU279" s="11"/>
      <c r="CV279" s="11"/>
      <c r="CW279" s="11"/>
      <c r="CX279" s="11"/>
      <c r="CY279" s="11"/>
      <c r="CZ279" s="11"/>
      <c r="DA279" s="11"/>
      <c r="DB279" s="11"/>
      <c r="DC279" s="11"/>
    </row>
    <row r="280" spans="1:107" ht="12.75" customHeight="1">
      <c r="A280" s="11"/>
      <c r="B280" s="11"/>
      <c r="C280" s="11"/>
      <c r="D280" s="11"/>
      <c r="E280" s="11"/>
      <c r="F280" s="11"/>
      <c r="G280" s="11"/>
      <c r="H280" s="15"/>
      <c r="I280" s="38"/>
      <c r="J280" s="38"/>
      <c r="K280" s="38"/>
      <c r="L280" s="41"/>
      <c r="M280" s="43"/>
      <c r="N280" s="11"/>
      <c r="O280" s="48"/>
      <c r="P280" s="48"/>
      <c r="Q280" s="48"/>
      <c r="R280" s="38"/>
      <c r="S280" s="38"/>
      <c r="T280" s="52"/>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83"/>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83"/>
      <c r="CK280" s="11"/>
      <c r="CL280" s="11"/>
      <c r="CM280" s="11"/>
      <c r="CN280" s="11"/>
      <c r="CO280" s="11"/>
      <c r="CP280" s="11"/>
      <c r="CQ280" s="11"/>
      <c r="CR280" s="11"/>
      <c r="CS280" s="11"/>
      <c r="CT280" s="11"/>
      <c r="CU280" s="11"/>
      <c r="CV280" s="11"/>
      <c r="CW280" s="11"/>
      <c r="CX280" s="11"/>
      <c r="CY280" s="11"/>
      <c r="CZ280" s="11"/>
      <c r="DA280" s="11"/>
      <c r="DB280" s="11"/>
      <c r="DC280" s="11"/>
    </row>
    <row r="281" spans="1:107" ht="12.75" customHeight="1">
      <c r="A281" s="11"/>
      <c r="B281" s="11"/>
      <c r="C281" s="11"/>
      <c r="D281" s="11"/>
      <c r="E281" s="11"/>
      <c r="F281" s="11"/>
      <c r="G281" s="11"/>
      <c r="H281" s="15"/>
      <c r="I281" s="38"/>
      <c r="J281" s="38"/>
      <c r="K281" s="38"/>
      <c r="L281" s="41"/>
      <c r="M281" s="43"/>
      <c r="N281" s="11"/>
      <c r="O281" s="48"/>
      <c r="P281" s="48"/>
      <c r="Q281" s="48"/>
      <c r="R281" s="38"/>
      <c r="S281" s="38"/>
      <c r="T281" s="52"/>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83"/>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83"/>
      <c r="CK281" s="11"/>
      <c r="CL281" s="11"/>
      <c r="CM281" s="11"/>
      <c r="CN281" s="11"/>
      <c r="CO281" s="11"/>
      <c r="CP281" s="11"/>
      <c r="CQ281" s="11"/>
      <c r="CR281" s="11"/>
      <c r="CS281" s="11"/>
      <c r="CT281" s="11"/>
      <c r="CU281" s="11"/>
      <c r="CV281" s="11"/>
      <c r="CW281" s="11"/>
      <c r="CX281" s="11"/>
      <c r="CY281" s="11"/>
      <c r="CZ281" s="11"/>
      <c r="DA281" s="11"/>
      <c r="DB281" s="11"/>
      <c r="DC281" s="11"/>
    </row>
    <row r="282" spans="1:107" ht="12.75" customHeight="1">
      <c r="A282" s="11"/>
      <c r="B282" s="11"/>
      <c r="C282" s="11"/>
      <c r="D282" s="11"/>
      <c r="E282" s="11"/>
      <c r="F282" s="11"/>
      <c r="G282" s="11"/>
      <c r="H282" s="15"/>
      <c r="I282" s="38"/>
      <c r="J282" s="38"/>
      <c r="K282" s="38"/>
      <c r="L282" s="41"/>
      <c r="M282" s="43"/>
      <c r="N282" s="11"/>
      <c r="O282" s="48"/>
      <c r="P282" s="48"/>
      <c r="Q282" s="48"/>
      <c r="R282" s="38"/>
      <c r="S282" s="38"/>
      <c r="T282" s="52"/>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83"/>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83"/>
      <c r="CK282" s="11"/>
      <c r="CL282" s="11"/>
      <c r="CM282" s="11"/>
      <c r="CN282" s="11"/>
      <c r="CO282" s="11"/>
      <c r="CP282" s="11"/>
      <c r="CQ282" s="11"/>
      <c r="CR282" s="11"/>
      <c r="CS282" s="11"/>
      <c r="CT282" s="11"/>
      <c r="CU282" s="11"/>
      <c r="CV282" s="11"/>
      <c r="CW282" s="11"/>
      <c r="CX282" s="11"/>
      <c r="CY282" s="11"/>
      <c r="CZ282" s="11"/>
      <c r="DA282" s="11"/>
      <c r="DB282" s="11"/>
      <c r="DC282" s="11"/>
    </row>
    <row r="283" spans="1:107" ht="12.75" customHeight="1">
      <c r="A283" s="11"/>
      <c r="B283" s="11"/>
      <c r="C283" s="11"/>
      <c r="D283" s="11"/>
      <c r="E283" s="11"/>
      <c r="F283" s="11"/>
      <c r="G283" s="11"/>
      <c r="H283" s="15"/>
      <c r="I283" s="38"/>
      <c r="J283" s="38"/>
      <c r="K283" s="38"/>
      <c r="L283" s="41"/>
      <c r="M283" s="43"/>
      <c r="N283" s="11"/>
      <c r="O283" s="48"/>
      <c r="P283" s="48"/>
      <c r="Q283" s="48"/>
      <c r="R283" s="38"/>
      <c r="S283" s="38"/>
      <c r="T283" s="52"/>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83"/>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83"/>
      <c r="CK283" s="11"/>
      <c r="CL283" s="11"/>
      <c r="CM283" s="11"/>
      <c r="CN283" s="11"/>
      <c r="CO283" s="11"/>
      <c r="CP283" s="11"/>
      <c r="CQ283" s="11"/>
      <c r="CR283" s="11"/>
      <c r="CS283" s="11"/>
      <c r="CT283" s="11"/>
      <c r="CU283" s="11"/>
      <c r="CV283" s="11"/>
      <c r="CW283" s="11"/>
      <c r="CX283" s="11"/>
      <c r="CY283" s="11"/>
      <c r="CZ283" s="11"/>
      <c r="DA283" s="11"/>
      <c r="DB283" s="11"/>
      <c r="DC283" s="11"/>
    </row>
    <row r="284" spans="1:107" ht="12.75" customHeight="1">
      <c r="A284" s="11"/>
      <c r="B284" s="11"/>
      <c r="C284" s="11"/>
      <c r="D284" s="11"/>
      <c r="E284" s="11"/>
      <c r="F284" s="11"/>
      <c r="G284" s="11"/>
      <c r="H284" s="15"/>
      <c r="I284" s="38"/>
      <c r="J284" s="38"/>
      <c r="K284" s="38"/>
      <c r="L284" s="41"/>
      <c r="M284" s="43"/>
      <c r="N284" s="11"/>
      <c r="O284" s="48"/>
      <c r="P284" s="48"/>
      <c r="Q284" s="48"/>
      <c r="R284" s="38"/>
      <c r="S284" s="38"/>
      <c r="T284" s="52"/>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83"/>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83"/>
      <c r="CK284" s="11"/>
      <c r="CL284" s="11"/>
      <c r="CM284" s="11"/>
      <c r="CN284" s="11"/>
      <c r="CO284" s="11"/>
      <c r="CP284" s="11"/>
      <c r="CQ284" s="11"/>
      <c r="CR284" s="11"/>
      <c r="CS284" s="11"/>
      <c r="CT284" s="11"/>
      <c r="CU284" s="11"/>
      <c r="CV284" s="11"/>
      <c r="CW284" s="11"/>
      <c r="CX284" s="11"/>
      <c r="CY284" s="11"/>
      <c r="CZ284" s="11"/>
      <c r="DA284" s="11"/>
      <c r="DB284" s="11"/>
      <c r="DC284" s="11"/>
    </row>
    <row r="285" spans="1:107" ht="12.75" customHeight="1">
      <c r="A285" s="11"/>
      <c r="B285" s="11"/>
      <c r="C285" s="11"/>
      <c r="D285" s="11"/>
      <c r="E285" s="11"/>
      <c r="F285" s="11"/>
      <c r="G285" s="11"/>
      <c r="H285" s="15"/>
      <c r="I285" s="38"/>
      <c r="J285" s="38"/>
      <c r="K285" s="38"/>
      <c r="L285" s="41"/>
      <c r="M285" s="43"/>
      <c r="N285" s="11"/>
      <c r="O285" s="48"/>
      <c r="P285" s="48"/>
      <c r="Q285" s="48"/>
      <c r="R285" s="38"/>
      <c r="S285" s="38"/>
      <c r="T285" s="52"/>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83"/>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83"/>
      <c r="CK285" s="11"/>
      <c r="CL285" s="11"/>
      <c r="CM285" s="11"/>
      <c r="CN285" s="11"/>
      <c r="CO285" s="11"/>
      <c r="CP285" s="11"/>
      <c r="CQ285" s="11"/>
      <c r="CR285" s="11"/>
      <c r="CS285" s="11"/>
      <c r="CT285" s="11"/>
      <c r="CU285" s="11"/>
      <c r="CV285" s="11"/>
      <c r="CW285" s="11"/>
      <c r="CX285" s="11"/>
      <c r="CY285" s="11"/>
      <c r="CZ285" s="11"/>
      <c r="DA285" s="11"/>
      <c r="DB285" s="11"/>
      <c r="DC285" s="11"/>
    </row>
    <row r="286" spans="1:107" ht="12.75" customHeight="1">
      <c r="A286" s="11"/>
      <c r="B286" s="11"/>
      <c r="C286" s="11"/>
      <c r="D286" s="11"/>
      <c r="E286" s="11"/>
      <c r="F286" s="11"/>
      <c r="G286" s="11"/>
      <c r="H286" s="15"/>
      <c r="I286" s="38"/>
      <c r="J286" s="38"/>
      <c r="K286" s="38"/>
      <c r="L286" s="41"/>
      <c r="M286" s="43"/>
      <c r="N286" s="11"/>
      <c r="O286" s="48"/>
      <c r="P286" s="48"/>
      <c r="Q286" s="48"/>
      <c r="R286" s="38"/>
      <c r="S286" s="38"/>
      <c r="T286" s="52"/>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83"/>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83"/>
      <c r="CK286" s="11"/>
      <c r="CL286" s="11"/>
      <c r="CM286" s="11"/>
      <c r="CN286" s="11"/>
      <c r="CO286" s="11"/>
      <c r="CP286" s="11"/>
      <c r="CQ286" s="11"/>
      <c r="CR286" s="11"/>
      <c r="CS286" s="11"/>
      <c r="CT286" s="11"/>
      <c r="CU286" s="11"/>
      <c r="CV286" s="11"/>
      <c r="CW286" s="11"/>
      <c r="CX286" s="11"/>
      <c r="CY286" s="11"/>
      <c r="CZ286" s="11"/>
      <c r="DA286" s="11"/>
      <c r="DB286" s="11"/>
      <c r="DC286" s="11"/>
    </row>
    <row r="287" spans="1:107" ht="12.75" customHeight="1">
      <c r="A287" s="11"/>
      <c r="B287" s="11"/>
      <c r="C287" s="11"/>
      <c r="D287" s="11"/>
      <c r="E287" s="11"/>
      <c r="F287" s="11"/>
      <c r="G287" s="11"/>
      <c r="H287" s="15"/>
      <c r="I287" s="38"/>
      <c r="J287" s="38"/>
      <c r="K287" s="38"/>
      <c r="L287" s="41"/>
      <c r="M287" s="43"/>
      <c r="N287" s="11"/>
      <c r="O287" s="48"/>
      <c r="P287" s="48"/>
      <c r="Q287" s="48"/>
      <c r="R287" s="38"/>
      <c r="S287" s="38"/>
      <c r="T287" s="52"/>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83"/>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83"/>
      <c r="CK287" s="11"/>
      <c r="CL287" s="11"/>
      <c r="CM287" s="11"/>
      <c r="CN287" s="11"/>
      <c r="CO287" s="11"/>
      <c r="CP287" s="11"/>
      <c r="CQ287" s="11"/>
      <c r="CR287" s="11"/>
      <c r="CS287" s="11"/>
      <c r="CT287" s="11"/>
      <c r="CU287" s="11"/>
      <c r="CV287" s="11"/>
      <c r="CW287" s="11"/>
      <c r="CX287" s="11"/>
      <c r="CY287" s="11"/>
      <c r="CZ287" s="11"/>
      <c r="DA287" s="11"/>
      <c r="DB287" s="11"/>
      <c r="DC287" s="11"/>
    </row>
    <row r="288" spans="1:107" ht="12.75" customHeight="1">
      <c r="A288" s="11"/>
      <c r="B288" s="11"/>
      <c r="C288" s="11"/>
      <c r="D288" s="11"/>
      <c r="E288" s="11"/>
      <c r="F288" s="11"/>
      <c r="G288" s="11"/>
      <c r="H288" s="15"/>
      <c r="I288" s="38"/>
      <c r="J288" s="38"/>
      <c r="K288" s="38"/>
      <c r="L288" s="41"/>
      <c r="M288" s="43"/>
      <c r="N288" s="11"/>
      <c r="O288" s="48"/>
      <c r="P288" s="48"/>
      <c r="Q288" s="48"/>
      <c r="R288" s="38"/>
      <c r="S288" s="38"/>
      <c r="T288" s="52"/>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83"/>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83"/>
      <c r="CK288" s="11"/>
      <c r="CL288" s="11"/>
      <c r="CM288" s="11"/>
      <c r="CN288" s="11"/>
      <c r="CO288" s="11"/>
      <c r="CP288" s="11"/>
      <c r="CQ288" s="11"/>
      <c r="CR288" s="11"/>
      <c r="CS288" s="11"/>
      <c r="CT288" s="11"/>
      <c r="CU288" s="11"/>
      <c r="CV288" s="11"/>
      <c r="CW288" s="11"/>
      <c r="CX288" s="11"/>
      <c r="CY288" s="11"/>
      <c r="CZ288" s="11"/>
      <c r="DA288" s="11"/>
      <c r="DB288" s="11"/>
      <c r="DC288" s="11"/>
    </row>
    <row r="289" spans="1:107" ht="12.75" customHeight="1">
      <c r="A289" s="11"/>
      <c r="B289" s="11"/>
      <c r="C289" s="11"/>
      <c r="D289" s="11"/>
      <c r="E289" s="11"/>
      <c r="F289" s="11"/>
      <c r="G289" s="11"/>
      <c r="H289" s="15"/>
      <c r="I289" s="38"/>
      <c r="J289" s="38"/>
      <c r="K289" s="38"/>
      <c r="L289" s="41"/>
      <c r="M289" s="43"/>
      <c r="N289" s="11"/>
      <c r="O289" s="48"/>
      <c r="P289" s="48"/>
      <c r="Q289" s="48"/>
      <c r="R289" s="38"/>
      <c r="S289" s="38"/>
      <c r="T289" s="52"/>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83"/>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83"/>
      <c r="CK289" s="11"/>
      <c r="CL289" s="11"/>
      <c r="CM289" s="11"/>
      <c r="CN289" s="11"/>
      <c r="CO289" s="11"/>
      <c r="CP289" s="11"/>
      <c r="CQ289" s="11"/>
      <c r="CR289" s="11"/>
      <c r="CS289" s="11"/>
      <c r="CT289" s="11"/>
      <c r="CU289" s="11"/>
      <c r="CV289" s="11"/>
      <c r="CW289" s="11"/>
      <c r="CX289" s="11"/>
      <c r="CY289" s="11"/>
      <c r="CZ289" s="11"/>
      <c r="DA289" s="11"/>
      <c r="DB289" s="11"/>
      <c r="DC289" s="11"/>
    </row>
    <row r="290" spans="1:107" ht="12.75" customHeight="1">
      <c r="A290" s="11"/>
      <c r="B290" s="11"/>
      <c r="C290" s="11"/>
      <c r="D290" s="11"/>
      <c r="E290" s="11"/>
      <c r="F290" s="11"/>
      <c r="G290" s="11"/>
      <c r="H290" s="15"/>
      <c r="I290" s="38"/>
      <c r="J290" s="38"/>
      <c r="K290" s="38"/>
      <c r="L290" s="41"/>
      <c r="M290" s="43"/>
      <c r="N290" s="11"/>
      <c r="O290" s="48"/>
      <c r="P290" s="48"/>
      <c r="Q290" s="48"/>
      <c r="R290" s="38"/>
      <c r="S290" s="38"/>
      <c r="T290" s="52"/>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83"/>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83"/>
      <c r="CK290" s="11"/>
      <c r="CL290" s="11"/>
      <c r="CM290" s="11"/>
      <c r="CN290" s="11"/>
      <c r="CO290" s="11"/>
      <c r="CP290" s="11"/>
      <c r="CQ290" s="11"/>
      <c r="CR290" s="11"/>
      <c r="CS290" s="11"/>
      <c r="CT290" s="11"/>
      <c r="CU290" s="11"/>
      <c r="CV290" s="11"/>
      <c r="CW290" s="11"/>
      <c r="CX290" s="11"/>
      <c r="CY290" s="11"/>
      <c r="CZ290" s="11"/>
      <c r="DA290" s="11"/>
      <c r="DB290" s="11"/>
      <c r="DC290" s="11"/>
    </row>
    <row r="291" spans="1:107" ht="12.75" customHeight="1">
      <c r="A291" s="11"/>
      <c r="B291" s="11"/>
      <c r="C291" s="11"/>
      <c r="D291" s="11"/>
      <c r="E291" s="11"/>
      <c r="F291" s="11"/>
      <c r="G291" s="11"/>
      <c r="H291" s="15"/>
      <c r="I291" s="38"/>
      <c r="J291" s="38"/>
      <c r="K291" s="38"/>
      <c r="L291" s="41"/>
      <c r="M291" s="43"/>
      <c r="N291" s="11"/>
      <c r="O291" s="48"/>
      <c r="P291" s="48"/>
      <c r="Q291" s="48"/>
      <c r="R291" s="38"/>
      <c r="S291" s="38"/>
      <c r="T291" s="52"/>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83"/>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83"/>
      <c r="CK291" s="11"/>
      <c r="CL291" s="11"/>
      <c r="CM291" s="11"/>
      <c r="CN291" s="11"/>
      <c r="CO291" s="11"/>
      <c r="CP291" s="11"/>
      <c r="CQ291" s="11"/>
      <c r="CR291" s="11"/>
      <c r="CS291" s="11"/>
      <c r="CT291" s="11"/>
      <c r="CU291" s="11"/>
      <c r="CV291" s="11"/>
      <c r="CW291" s="11"/>
      <c r="CX291" s="11"/>
      <c r="CY291" s="11"/>
      <c r="CZ291" s="11"/>
      <c r="DA291" s="11"/>
      <c r="DB291" s="11"/>
      <c r="DC291" s="11"/>
    </row>
    <row r="292" spans="1:107" ht="12.75" customHeight="1">
      <c r="A292" s="11"/>
      <c r="B292" s="11"/>
      <c r="C292" s="11"/>
      <c r="D292" s="11"/>
      <c r="E292" s="11"/>
      <c r="F292" s="11"/>
      <c r="G292" s="11"/>
      <c r="H292" s="15"/>
      <c r="I292" s="38"/>
      <c r="J292" s="38"/>
      <c r="K292" s="38"/>
      <c r="L292" s="41"/>
      <c r="M292" s="43"/>
      <c r="N292" s="11"/>
      <c r="O292" s="48"/>
      <c r="P292" s="48"/>
      <c r="Q292" s="48"/>
      <c r="R292" s="38"/>
      <c r="S292" s="38"/>
      <c r="T292" s="52"/>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83"/>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83"/>
      <c r="CK292" s="11"/>
      <c r="CL292" s="11"/>
      <c r="CM292" s="11"/>
      <c r="CN292" s="11"/>
      <c r="CO292" s="11"/>
      <c r="CP292" s="11"/>
      <c r="CQ292" s="11"/>
      <c r="CR292" s="11"/>
      <c r="CS292" s="11"/>
      <c r="CT292" s="11"/>
      <c r="CU292" s="11"/>
      <c r="CV292" s="11"/>
      <c r="CW292" s="11"/>
      <c r="CX292" s="11"/>
      <c r="CY292" s="11"/>
      <c r="CZ292" s="11"/>
      <c r="DA292" s="11"/>
      <c r="DB292" s="11"/>
      <c r="DC292" s="11"/>
    </row>
    <row r="293" spans="1:107" ht="12.75" customHeight="1">
      <c r="A293" s="11"/>
      <c r="B293" s="11"/>
      <c r="C293" s="11"/>
      <c r="D293" s="11"/>
      <c r="E293" s="11"/>
      <c r="F293" s="11"/>
      <c r="G293" s="11"/>
      <c r="H293" s="15"/>
      <c r="I293" s="38"/>
      <c r="J293" s="38"/>
      <c r="K293" s="38"/>
      <c r="L293" s="41"/>
      <c r="M293" s="43"/>
      <c r="N293" s="11"/>
      <c r="O293" s="48"/>
      <c r="P293" s="48"/>
      <c r="Q293" s="48"/>
      <c r="R293" s="38"/>
      <c r="S293" s="38"/>
      <c r="T293" s="52"/>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83"/>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83"/>
      <c r="CK293" s="11"/>
      <c r="CL293" s="11"/>
      <c r="CM293" s="11"/>
      <c r="CN293" s="11"/>
      <c r="CO293" s="11"/>
      <c r="CP293" s="11"/>
      <c r="CQ293" s="11"/>
      <c r="CR293" s="11"/>
      <c r="CS293" s="11"/>
      <c r="CT293" s="11"/>
      <c r="CU293" s="11"/>
      <c r="CV293" s="11"/>
      <c r="CW293" s="11"/>
      <c r="CX293" s="11"/>
      <c r="CY293" s="11"/>
      <c r="CZ293" s="11"/>
      <c r="DA293" s="11"/>
      <c r="DB293" s="11"/>
      <c r="DC293" s="11"/>
    </row>
    <row r="294" spans="1:107" ht="12.75" customHeight="1">
      <c r="A294" s="11"/>
      <c r="B294" s="11"/>
      <c r="C294" s="11"/>
      <c r="D294" s="11"/>
      <c r="E294" s="11"/>
      <c r="F294" s="11"/>
      <c r="G294" s="11"/>
      <c r="H294" s="15"/>
      <c r="I294" s="38"/>
      <c r="J294" s="38"/>
      <c r="K294" s="38"/>
      <c r="L294" s="41"/>
      <c r="M294" s="43"/>
      <c r="N294" s="11"/>
      <c r="O294" s="48"/>
      <c r="P294" s="48"/>
      <c r="Q294" s="48"/>
      <c r="R294" s="38"/>
      <c r="S294" s="38"/>
      <c r="T294" s="52"/>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83"/>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83"/>
      <c r="CK294" s="11"/>
      <c r="CL294" s="11"/>
      <c r="CM294" s="11"/>
      <c r="CN294" s="11"/>
      <c r="CO294" s="11"/>
      <c r="CP294" s="11"/>
      <c r="CQ294" s="11"/>
      <c r="CR294" s="11"/>
      <c r="CS294" s="11"/>
      <c r="CT294" s="11"/>
      <c r="CU294" s="11"/>
      <c r="CV294" s="11"/>
      <c r="CW294" s="11"/>
      <c r="CX294" s="11"/>
      <c r="CY294" s="11"/>
      <c r="CZ294" s="11"/>
      <c r="DA294" s="11"/>
      <c r="DB294" s="11"/>
      <c r="DC294" s="11"/>
    </row>
    <row r="295" spans="1:107" ht="12.75" customHeight="1">
      <c r="A295" s="11"/>
      <c r="B295" s="11"/>
      <c r="C295" s="11"/>
      <c r="D295" s="11"/>
      <c r="E295" s="11"/>
      <c r="F295" s="11"/>
      <c r="G295" s="11"/>
      <c r="H295" s="15"/>
      <c r="I295" s="38"/>
      <c r="J295" s="38"/>
      <c r="K295" s="38"/>
      <c r="L295" s="41"/>
      <c r="M295" s="43"/>
      <c r="N295" s="11"/>
      <c r="O295" s="48"/>
      <c r="P295" s="48"/>
      <c r="Q295" s="48"/>
      <c r="R295" s="38"/>
      <c r="S295" s="38"/>
      <c r="T295" s="52"/>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83"/>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83"/>
      <c r="CK295" s="11"/>
      <c r="CL295" s="11"/>
      <c r="CM295" s="11"/>
      <c r="CN295" s="11"/>
      <c r="CO295" s="11"/>
      <c r="CP295" s="11"/>
      <c r="CQ295" s="11"/>
      <c r="CR295" s="11"/>
      <c r="CS295" s="11"/>
      <c r="CT295" s="11"/>
      <c r="CU295" s="11"/>
      <c r="CV295" s="11"/>
      <c r="CW295" s="11"/>
      <c r="CX295" s="11"/>
      <c r="CY295" s="11"/>
      <c r="CZ295" s="11"/>
      <c r="DA295" s="11"/>
      <c r="DB295" s="11"/>
      <c r="DC295" s="11"/>
    </row>
    <row r="296" spans="1:107" ht="12.75" customHeight="1">
      <c r="A296" s="11"/>
      <c r="B296" s="11"/>
      <c r="C296" s="11"/>
      <c r="D296" s="11"/>
      <c r="E296" s="11"/>
      <c r="F296" s="11"/>
      <c r="G296" s="11"/>
      <c r="H296" s="15"/>
      <c r="I296" s="38"/>
      <c r="J296" s="38"/>
      <c r="K296" s="38"/>
      <c r="L296" s="41"/>
      <c r="M296" s="43"/>
      <c r="N296" s="11"/>
      <c r="O296" s="48"/>
      <c r="P296" s="48"/>
      <c r="Q296" s="48"/>
      <c r="R296" s="38"/>
      <c r="S296" s="38"/>
      <c r="T296" s="52"/>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83"/>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83"/>
      <c r="CK296" s="11"/>
      <c r="CL296" s="11"/>
      <c r="CM296" s="11"/>
      <c r="CN296" s="11"/>
      <c r="CO296" s="11"/>
      <c r="CP296" s="11"/>
      <c r="CQ296" s="11"/>
      <c r="CR296" s="11"/>
      <c r="CS296" s="11"/>
      <c r="CT296" s="11"/>
      <c r="CU296" s="11"/>
      <c r="CV296" s="11"/>
      <c r="CW296" s="11"/>
      <c r="CX296" s="11"/>
      <c r="CY296" s="11"/>
      <c r="CZ296" s="11"/>
      <c r="DA296" s="11"/>
      <c r="DB296" s="11"/>
      <c r="DC296" s="11"/>
    </row>
    <row r="297" spans="1:107" ht="12.75" customHeight="1">
      <c r="A297" s="11"/>
      <c r="B297" s="11"/>
      <c r="C297" s="11"/>
      <c r="D297" s="11"/>
      <c r="E297" s="11"/>
      <c r="F297" s="11"/>
      <c r="G297" s="11"/>
      <c r="H297" s="15"/>
      <c r="I297" s="38"/>
      <c r="J297" s="38"/>
      <c r="K297" s="38"/>
      <c r="L297" s="41"/>
      <c r="M297" s="43"/>
      <c r="N297" s="11"/>
      <c r="O297" s="48"/>
      <c r="P297" s="48"/>
      <c r="Q297" s="48"/>
      <c r="R297" s="38"/>
      <c r="S297" s="38"/>
      <c r="T297" s="52"/>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83"/>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83"/>
      <c r="CK297" s="11"/>
      <c r="CL297" s="11"/>
      <c r="CM297" s="11"/>
      <c r="CN297" s="11"/>
      <c r="CO297" s="11"/>
      <c r="CP297" s="11"/>
      <c r="CQ297" s="11"/>
      <c r="CR297" s="11"/>
      <c r="CS297" s="11"/>
      <c r="CT297" s="11"/>
      <c r="CU297" s="11"/>
      <c r="CV297" s="11"/>
      <c r="CW297" s="11"/>
      <c r="CX297" s="11"/>
      <c r="CY297" s="11"/>
      <c r="CZ297" s="11"/>
      <c r="DA297" s="11"/>
      <c r="DB297" s="11"/>
      <c r="DC297" s="11"/>
    </row>
    <row r="298" spans="1:107" ht="12.75" customHeight="1">
      <c r="A298" s="11"/>
      <c r="B298" s="11"/>
      <c r="C298" s="11"/>
      <c r="D298" s="11"/>
      <c r="E298" s="11"/>
      <c r="F298" s="11"/>
      <c r="G298" s="11"/>
      <c r="H298" s="15"/>
      <c r="I298" s="38"/>
      <c r="J298" s="38"/>
      <c r="K298" s="38"/>
      <c r="L298" s="41"/>
      <c r="M298" s="43"/>
      <c r="N298" s="11"/>
      <c r="O298" s="48"/>
      <c r="P298" s="48"/>
      <c r="Q298" s="48"/>
      <c r="R298" s="38"/>
      <c r="S298" s="38"/>
      <c r="T298" s="52"/>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83"/>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83"/>
      <c r="CK298" s="11"/>
      <c r="CL298" s="11"/>
      <c r="CM298" s="11"/>
      <c r="CN298" s="11"/>
      <c r="CO298" s="11"/>
      <c r="CP298" s="11"/>
      <c r="CQ298" s="11"/>
      <c r="CR298" s="11"/>
      <c r="CS298" s="11"/>
      <c r="CT298" s="11"/>
      <c r="CU298" s="11"/>
      <c r="CV298" s="11"/>
      <c r="CW298" s="11"/>
      <c r="CX298" s="11"/>
      <c r="CY298" s="11"/>
      <c r="CZ298" s="11"/>
      <c r="DA298" s="11"/>
      <c r="DB298" s="11"/>
      <c r="DC298" s="11"/>
    </row>
    <row r="299" spans="1:107" ht="12.75" customHeight="1">
      <c r="A299" s="11"/>
      <c r="B299" s="11"/>
      <c r="C299" s="11"/>
      <c r="D299" s="11"/>
      <c r="E299" s="11"/>
      <c r="F299" s="11"/>
      <c r="G299" s="11"/>
      <c r="H299" s="15"/>
      <c r="I299" s="38"/>
      <c r="J299" s="38"/>
      <c r="K299" s="38"/>
      <c r="L299" s="41"/>
      <c r="M299" s="43"/>
      <c r="N299" s="11"/>
      <c r="O299" s="48"/>
      <c r="P299" s="48"/>
      <c r="Q299" s="48"/>
      <c r="R299" s="38"/>
      <c r="S299" s="38"/>
      <c r="T299" s="52"/>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83"/>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83"/>
      <c r="CK299" s="11"/>
      <c r="CL299" s="11"/>
      <c r="CM299" s="11"/>
      <c r="CN299" s="11"/>
      <c r="CO299" s="11"/>
      <c r="CP299" s="11"/>
      <c r="CQ299" s="11"/>
      <c r="CR299" s="11"/>
      <c r="CS299" s="11"/>
      <c r="CT299" s="11"/>
      <c r="CU299" s="11"/>
      <c r="CV299" s="11"/>
      <c r="CW299" s="11"/>
      <c r="CX299" s="11"/>
      <c r="CY299" s="11"/>
      <c r="CZ299" s="11"/>
      <c r="DA299" s="11"/>
      <c r="DB299" s="11"/>
      <c r="DC299" s="11"/>
    </row>
    <row r="300" spans="1:107" ht="12.75" customHeight="1">
      <c r="A300" s="11"/>
      <c r="B300" s="11"/>
      <c r="C300" s="11"/>
      <c r="D300" s="11"/>
      <c r="E300" s="11"/>
      <c r="F300" s="11"/>
      <c r="G300" s="11"/>
      <c r="H300" s="15"/>
      <c r="I300" s="38"/>
      <c r="J300" s="38"/>
      <c r="K300" s="38"/>
      <c r="L300" s="41"/>
      <c r="M300" s="43"/>
      <c r="N300" s="11"/>
      <c r="O300" s="48"/>
      <c r="P300" s="48"/>
      <c r="Q300" s="48"/>
      <c r="R300" s="38"/>
      <c r="S300" s="38"/>
      <c r="T300" s="52"/>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83"/>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83"/>
      <c r="CK300" s="11"/>
      <c r="CL300" s="11"/>
      <c r="CM300" s="11"/>
      <c r="CN300" s="11"/>
      <c r="CO300" s="11"/>
      <c r="CP300" s="11"/>
      <c r="CQ300" s="11"/>
      <c r="CR300" s="11"/>
      <c r="CS300" s="11"/>
      <c r="CT300" s="11"/>
      <c r="CU300" s="11"/>
      <c r="CV300" s="11"/>
      <c r="CW300" s="11"/>
      <c r="CX300" s="11"/>
      <c r="CY300" s="11"/>
      <c r="CZ300" s="11"/>
      <c r="DA300" s="11"/>
      <c r="DB300" s="11"/>
      <c r="DC300" s="11"/>
    </row>
    <row r="301" spans="1:107" ht="12.75" customHeight="1">
      <c r="A301" s="11"/>
      <c r="B301" s="11"/>
      <c r="C301" s="11"/>
      <c r="D301" s="11"/>
      <c r="E301" s="11"/>
      <c r="F301" s="11"/>
      <c r="G301" s="11"/>
      <c r="H301" s="15"/>
      <c r="I301" s="38"/>
      <c r="J301" s="38"/>
      <c r="K301" s="38"/>
      <c r="L301" s="41"/>
      <c r="M301" s="43"/>
      <c r="N301" s="11"/>
      <c r="O301" s="48"/>
      <c r="P301" s="48"/>
      <c r="Q301" s="48"/>
      <c r="R301" s="38"/>
      <c r="S301" s="38"/>
      <c r="T301" s="52"/>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83"/>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83"/>
      <c r="CK301" s="11"/>
      <c r="CL301" s="11"/>
      <c r="CM301" s="11"/>
      <c r="CN301" s="11"/>
      <c r="CO301" s="11"/>
      <c r="CP301" s="11"/>
      <c r="CQ301" s="11"/>
      <c r="CR301" s="11"/>
      <c r="CS301" s="11"/>
      <c r="CT301" s="11"/>
      <c r="CU301" s="11"/>
      <c r="CV301" s="11"/>
      <c r="CW301" s="11"/>
      <c r="CX301" s="11"/>
      <c r="CY301" s="11"/>
      <c r="CZ301" s="11"/>
      <c r="DA301" s="11"/>
      <c r="DB301" s="11"/>
      <c r="DC301" s="11"/>
    </row>
    <row r="302" spans="1:107" ht="12.75" customHeight="1">
      <c r="A302" s="11"/>
      <c r="B302" s="11"/>
      <c r="C302" s="11"/>
      <c r="D302" s="11"/>
      <c r="E302" s="11"/>
      <c r="F302" s="11"/>
      <c r="G302" s="11"/>
      <c r="H302" s="15"/>
      <c r="I302" s="38"/>
      <c r="J302" s="38"/>
      <c r="K302" s="38"/>
      <c r="L302" s="41"/>
      <c r="M302" s="43"/>
      <c r="N302" s="11"/>
      <c r="O302" s="48"/>
      <c r="P302" s="48"/>
      <c r="Q302" s="48"/>
      <c r="R302" s="38"/>
      <c r="S302" s="38"/>
      <c r="T302" s="52"/>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83"/>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83"/>
      <c r="CK302" s="11"/>
      <c r="CL302" s="11"/>
      <c r="CM302" s="11"/>
      <c r="CN302" s="11"/>
      <c r="CO302" s="11"/>
      <c r="CP302" s="11"/>
      <c r="CQ302" s="11"/>
      <c r="CR302" s="11"/>
      <c r="CS302" s="11"/>
      <c r="CT302" s="11"/>
      <c r="CU302" s="11"/>
      <c r="CV302" s="11"/>
      <c r="CW302" s="11"/>
      <c r="CX302" s="11"/>
      <c r="CY302" s="11"/>
      <c r="CZ302" s="11"/>
      <c r="DA302" s="11"/>
      <c r="DB302" s="11"/>
      <c r="DC302" s="11"/>
    </row>
    <row r="303" spans="1:107" ht="12.75" customHeight="1">
      <c r="A303" s="11"/>
      <c r="B303" s="11"/>
      <c r="C303" s="11"/>
      <c r="D303" s="11"/>
      <c r="E303" s="11"/>
      <c r="F303" s="11"/>
      <c r="G303" s="11"/>
      <c r="H303" s="15"/>
      <c r="I303" s="38"/>
      <c r="J303" s="38"/>
      <c r="K303" s="38"/>
      <c r="L303" s="41"/>
      <c r="M303" s="43"/>
      <c r="N303" s="11"/>
      <c r="O303" s="48"/>
      <c r="P303" s="48"/>
      <c r="Q303" s="48"/>
      <c r="R303" s="38"/>
      <c r="S303" s="38"/>
      <c r="T303" s="52"/>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83"/>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83"/>
      <c r="CK303" s="11"/>
      <c r="CL303" s="11"/>
      <c r="CM303" s="11"/>
      <c r="CN303" s="11"/>
      <c r="CO303" s="11"/>
      <c r="CP303" s="11"/>
      <c r="CQ303" s="11"/>
      <c r="CR303" s="11"/>
      <c r="CS303" s="11"/>
      <c r="CT303" s="11"/>
      <c r="CU303" s="11"/>
      <c r="CV303" s="11"/>
      <c r="CW303" s="11"/>
      <c r="CX303" s="11"/>
      <c r="CY303" s="11"/>
      <c r="CZ303" s="11"/>
      <c r="DA303" s="11"/>
      <c r="DB303" s="11"/>
      <c r="DC303" s="11"/>
    </row>
    <row r="304" spans="1:107" ht="12.75" customHeight="1">
      <c r="A304" s="11"/>
      <c r="B304" s="11"/>
      <c r="C304" s="11"/>
      <c r="D304" s="11"/>
      <c r="E304" s="11"/>
      <c r="F304" s="11"/>
      <c r="G304" s="11"/>
      <c r="H304" s="15"/>
      <c r="I304" s="38"/>
      <c r="J304" s="38"/>
      <c r="K304" s="38"/>
      <c r="L304" s="41"/>
      <c r="M304" s="43"/>
      <c r="N304" s="11"/>
      <c r="O304" s="48"/>
      <c r="P304" s="48"/>
      <c r="Q304" s="48"/>
      <c r="R304" s="38"/>
      <c r="S304" s="38"/>
      <c r="T304" s="52"/>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83"/>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83"/>
      <c r="CK304" s="11"/>
      <c r="CL304" s="11"/>
      <c r="CM304" s="11"/>
      <c r="CN304" s="11"/>
      <c r="CO304" s="11"/>
      <c r="CP304" s="11"/>
      <c r="CQ304" s="11"/>
      <c r="CR304" s="11"/>
      <c r="CS304" s="11"/>
      <c r="CT304" s="11"/>
      <c r="CU304" s="11"/>
      <c r="CV304" s="11"/>
      <c r="CW304" s="11"/>
      <c r="CX304" s="11"/>
      <c r="CY304" s="11"/>
      <c r="CZ304" s="11"/>
      <c r="DA304" s="11"/>
      <c r="DB304" s="11"/>
      <c r="DC304" s="11"/>
    </row>
    <row r="305" spans="1:107" ht="12.75" customHeight="1">
      <c r="A305" s="11"/>
      <c r="B305" s="11"/>
      <c r="C305" s="11"/>
      <c r="D305" s="11"/>
      <c r="E305" s="11"/>
      <c r="F305" s="11"/>
      <c r="G305" s="11"/>
      <c r="H305" s="15"/>
      <c r="I305" s="38"/>
      <c r="J305" s="38"/>
      <c r="K305" s="38"/>
      <c r="L305" s="41"/>
      <c r="M305" s="43"/>
      <c r="N305" s="11"/>
      <c r="O305" s="48"/>
      <c r="P305" s="48"/>
      <c r="Q305" s="48"/>
      <c r="R305" s="38"/>
      <c r="S305" s="38"/>
      <c r="T305" s="52"/>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83"/>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83"/>
      <c r="CK305" s="11"/>
      <c r="CL305" s="11"/>
      <c r="CM305" s="11"/>
      <c r="CN305" s="11"/>
      <c r="CO305" s="11"/>
      <c r="CP305" s="11"/>
      <c r="CQ305" s="11"/>
      <c r="CR305" s="11"/>
      <c r="CS305" s="11"/>
      <c r="CT305" s="11"/>
      <c r="CU305" s="11"/>
      <c r="CV305" s="11"/>
      <c r="CW305" s="11"/>
      <c r="CX305" s="11"/>
      <c r="CY305" s="11"/>
      <c r="CZ305" s="11"/>
      <c r="DA305" s="11"/>
      <c r="DB305" s="11"/>
      <c r="DC305" s="11"/>
    </row>
    <row r="306" spans="1:107" ht="12.75" customHeight="1">
      <c r="A306" s="11"/>
      <c r="B306" s="11"/>
      <c r="C306" s="11"/>
      <c r="D306" s="11"/>
      <c r="E306" s="11"/>
      <c r="F306" s="11"/>
      <c r="G306" s="11"/>
      <c r="H306" s="15"/>
      <c r="I306" s="38"/>
      <c r="J306" s="38"/>
      <c r="K306" s="38"/>
      <c r="L306" s="41"/>
      <c r="M306" s="43"/>
      <c r="N306" s="11"/>
      <c r="O306" s="48"/>
      <c r="P306" s="48"/>
      <c r="Q306" s="48"/>
      <c r="R306" s="38"/>
      <c r="S306" s="38"/>
      <c r="T306" s="52"/>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83"/>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83"/>
      <c r="CK306" s="11"/>
      <c r="CL306" s="11"/>
      <c r="CM306" s="11"/>
      <c r="CN306" s="11"/>
      <c r="CO306" s="11"/>
      <c r="CP306" s="11"/>
      <c r="CQ306" s="11"/>
      <c r="CR306" s="11"/>
      <c r="CS306" s="11"/>
      <c r="CT306" s="11"/>
      <c r="CU306" s="11"/>
      <c r="CV306" s="11"/>
      <c r="CW306" s="11"/>
      <c r="CX306" s="11"/>
      <c r="CY306" s="11"/>
      <c r="CZ306" s="11"/>
      <c r="DA306" s="11"/>
      <c r="DB306" s="11"/>
      <c r="DC306" s="11"/>
    </row>
    <row r="307" spans="1:107" ht="12.75" customHeight="1">
      <c r="A307" s="11"/>
      <c r="B307" s="11"/>
      <c r="C307" s="11"/>
      <c r="D307" s="11"/>
      <c r="E307" s="11"/>
      <c r="F307" s="11"/>
      <c r="G307" s="11"/>
      <c r="H307" s="15"/>
      <c r="I307" s="38"/>
      <c r="J307" s="38"/>
      <c r="K307" s="38"/>
      <c r="L307" s="41"/>
      <c r="M307" s="43"/>
      <c r="N307" s="11"/>
      <c r="O307" s="48"/>
      <c r="P307" s="48"/>
      <c r="Q307" s="48"/>
      <c r="R307" s="38"/>
      <c r="S307" s="38"/>
      <c r="T307" s="52"/>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83"/>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83"/>
      <c r="CK307" s="11"/>
      <c r="CL307" s="11"/>
      <c r="CM307" s="11"/>
      <c r="CN307" s="11"/>
      <c r="CO307" s="11"/>
      <c r="CP307" s="11"/>
      <c r="CQ307" s="11"/>
      <c r="CR307" s="11"/>
      <c r="CS307" s="11"/>
      <c r="CT307" s="11"/>
      <c r="CU307" s="11"/>
      <c r="CV307" s="11"/>
      <c r="CW307" s="11"/>
      <c r="CX307" s="11"/>
      <c r="CY307" s="11"/>
      <c r="CZ307" s="11"/>
      <c r="DA307" s="11"/>
      <c r="DB307" s="11"/>
      <c r="DC307" s="11"/>
    </row>
    <row r="308" spans="1:107" ht="12.75" customHeight="1">
      <c r="A308" s="11"/>
      <c r="B308" s="11"/>
      <c r="C308" s="11"/>
      <c r="D308" s="11"/>
      <c r="E308" s="11"/>
      <c r="F308" s="11"/>
      <c r="G308" s="11"/>
      <c r="H308" s="15"/>
      <c r="I308" s="38"/>
      <c r="J308" s="38"/>
      <c r="K308" s="38"/>
      <c r="L308" s="41"/>
      <c r="M308" s="43"/>
      <c r="N308" s="11"/>
      <c r="O308" s="48"/>
      <c r="P308" s="48"/>
      <c r="Q308" s="48"/>
      <c r="R308" s="38"/>
      <c r="S308" s="38"/>
      <c r="T308" s="52"/>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83"/>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83"/>
      <c r="CK308" s="11"/>
      <c r="CL308" s="11"/>
      <c r="CM308" s="11"/>
      <c r="CN308" s="11"/>
      <c r="CO308" s="11"/>
      <c r="CP308" s="11"/>
      <c r="CQ308" s="11"/>
      <c r="CR308" s="11"/>
      <c r="CS308" s="11"/>
      <c r="CT308" s="11"/>
      <c r="CU308" s="11"/>
      <c r="CV308" s="11"/>
      <c r="CW308" s="11"/>
      <c r="CX308" s="11"/>
      <c r="CY308" s="11"/>
      <c r="CZ308" s="11"/>
      <c r="DA308" s="11"/>
      <c r="DB308" s="11"/>
      <c r="DC308" s="11"/>
    </row>
    <row r="309" spans="1:107" ht="12.75" customHeight="1">
      <c r="A309" s="11"/>
      <c r="B309" s="11"/>
      <c r="C309" s="11"/>
      <c r="D309" s="11"/>
      <c r="E309" s="11"/>
      <c r="F309" s="11"/>
      <c r="G309" s="11"/>
      <c r="H309" s="15"/>
      <c r="I309" s="38"/>
      <c r="J309" s="38"/>
      <c r="K309" s="38"/>
      <c r="L309" s="41"/>
      <c r="M309" s="43"/>
      <c r="N309" s="11"/>
      <c r="O309" s="48"/>
      <c r="P309" s="48"/>
      <c r="Q309" s="48"/>
      <c r="R309" s="38"/>
      <c r="S309" s="38"/>
      <c r="T309" s="52"/>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83"/>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83"/>
      <c r="CK309" s="11"/>
      <c r="CL309" s="11"/>
      <c r="CM309" s="11"/>
      <c r="CN309" s="11"/>
      <c r="CO309" s="11"/>
      <c r="CP309" s="11"/>
      <c r="CQ309" s="11"/>
      <c r="CR309" s="11"/>
      <c r="CS309" s="11"/>
      <c r="CT309" s="11"/>
      <c r="CU309" s="11"/>
      <c r="CV309" s="11"/>
      <c r="CW309" s="11"/>
      <c r="CX309" s="11"/>
      <c r="CY309" s="11"/>
      <c r="CZ309" s="11"/>
      <c r="DA309" s="11"/>
      <c r="DB309" s="11"/>
      <c r="DC309" s="11"/>
    </row>
    <row r="310" spans="1:107" ht="12.75" customHeight="1">
      <c r="A310" s="11"/>
      <c r="B310" s="11"/>
      <c r="C310" s="11"/>
      <c r="D310" s="11"/>
      <c r="E310" s="11"/>
      <c r="F310" s="11"/>
      <c r="G310" s="11"/>
      <c r="H310" s="15"/>
      <c r="I310" s="38"/>
      <c r="J310" s="38"/>
      <c r="K310" s="38"/>
      <c r="L310" s="41"/>
      <c r="M310" s="43"/>
      <c r="N310" s="11"/>
      <c r="O310" s="48"/>
      <c r="P310" s="48"/>
      <c r="Q310" s="48"/>
      <c r="R310" s="38"/>
      <c r="S310" s="38"/>
      <c r="T310" s="52"/>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83"/>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83"/>
      <c r="CK310" s="11"/>
      <c r="CL310" s="11"/>
      <c r="CM310" s="11"/>
      <c r="CN310" s="11"/>
      <c r="CO310" s="11"/>
      <c r="CP310" s="11"/>
      <c r="CQ310" s="11"/>
      <c r="CR310" s="11"/>
      <c r="CS310" s="11"/>
      <c r="CT310" s="11"/>
      <c r="CU310" s="11"/>
      <c r="CV310" s="11"/>
      <c r="CW310" s="11"/>
      <c r="CX310" s="11"/>
      <c r="CY310" s="11"/>
      <c r="CZ310" s="11"/>
      <c r="DA310" s="11"/>
      <c r="DB310" s="11"/>
      <c r="DC310" s="11"/>
    </row>
    <row r="311" spans="1:107" ht="12.75" customHeight="1">
      <c r="A311" s="11"/>
      <c r="B311" s="11"/>
      <c r="C311" s="11"/>
      <c r="D311" s="11"/>
      <c r="E311" s="11"/>
      <c r="F311" s="11"/>
      <c r="G311" s="11"/>
      <c r="H311" s="15"/>
      <c r="I311" s="38"/>
      <c r="J311" s="38"/>
      <c r="K311" s="38"/>
      <c r="L311" s="41"/>
      <c r="M311" s="43"/>
      <c r="N311" s="11"/>
      <c r="O311" s="48"/>
      <c r="P311" s="48"/>
      <c r="Q311" s="48"/>
      <c r="R311" s="38"/>
      <c r="S311" s="38"/>
      <c r="T311" s="52"/>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83"/>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83"/>
      <c r="CK311" s="11"/>
      <c r="CL311" s="11"/>
      <c r="CM311" s="11"/>
      <c r="CN311" s="11"/>
      <c r="CO311" s="11"/>
      <c r="CP311" s="11"/>
      <c r="CQ311" s="11"/>
      <c r="CR311" s="11"/>
      <c r="CS311" s="11"/>
      <c r="CT311" s="11"/>
      <c r="CU311" s="11"/>
      <c r="CV311" s="11"/>
      <c r="CW311" s="11"/>
      <c r="CX311" s="11"/>
      <c r="CY311" s="11"/>
      <c r="CZ311" s="11"/>
      <c r="DA311" s="11"/>
      <c r="DB311" s="11"/>
      <c r="DC311" s="11"/>
    </row>
    <row r="312" spans="1:107" ht="12.75" customHeight="1">
      <c r="A312" s="11"/>
      <c r="B312" s="11"/>
      <c r="C312" s="11"/>
      <c r="D312" s="11"/>
      <c r="E312" s="11"/>
      <c r="F312" s="11"/>
      <c r="G312" s="11"/>
      <c r="H312" s="15"/>
      <c r="I312" s="38"/>
      <c r="J312" s="38"/>
      <c r="K312" s="38"/>
      <c r="L312" s="41"/>
      <c r="M312" s="43"/>
      <c r="N312" s="11"/>
      <c r="O312" s="48"/>
      <c r="P312" s="48"/>
      <c r="Q312" s="48"/>
      <c r="R312" s="38"/>
      <c r="S312" s="38"/>
      <c r="T312" s="52"/>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83"/>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83"/>
      <c r="CK312" s="11"/>
      <c r="CL312" s="11"/>
      <c r="CM312" s="11"/>
      <c r="CN312" s="11"/>
      <c r="CO312" s="11"/>
      <c r="CP312" s="11"/>
      <c r="CQ312" s="11"/>
      <c r="CR312" s="11"/>
      <c r="CS312" s="11"/>
      <c r="CT312" s="11"/>
      <c r="CU312" s="11"/>
      <c r="CV312" s="11"/>
      <c r="CW312" s="11"/>
      <c r="CX312" s="11"/>
      <c r="CY312" s="11"/>
      <c r="CZ312" s="11"/>
      <c r="DA312" s="11"/>
      <c r="DB312" s="11"/>
      <c r="DC312" s="11"/>
    </row>
    <row r="313" spans="1:107" ht="12.75" customHeight="1">
      <c r="A313" s="11"/>
      <c r="B313" s="11"/>
      <c r="C313" s="11"/>
      <c r="D313" s="11"/>
      <c r="E313" s="11"/>
      <c r="F313" s="11"/>
      <c r="G313" s="11"/>
      <c r="H313" s="15"/>
      <c r="I313" s="38"/>
      <c r="J313" s="38"/>
      <c r="K313" s="38"/>
      <c r="L313" s="41"/>
      <c r="M313" s="43"/>
      <c r="N313" s="11"/>
      <c r="O313" s="48"/>
      <c r="P313" s="48"/>
      <c r="Q313" s="48"/>
      <c r="R313" s="38"/>
      <c r="S313" s="38"/>
      <c r="T313" s="52"/>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83"/>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83"/>
      <c r="CK313" s="11"/>
      <c r="CL313" s="11"/>
      <c r="CM313" s="11"/>
      <c r="CN313" s="11"/>
      <c r="CO313" s="11"/>
      <c r="CP313" s="11"/>
      <c r="CQ313" s="11"/>
      <c r="CR313" s="11"/>
      <c r="CS313" s="11"/>
      <c r="CT313" s="11"/>
      <c r="CU313" s="11"/>
      <c r="CV313" s="11"/>
      <c r="CW313" s="11"/>
      <c r="CX313" s="11"/>
      <c r="CY313" s="11"/>
      <c r="CZ313" s="11"/>
      <c r="DA313" s="11"/>
      <c r="DB313" s="11"/>
      <c r="DC313" s="11"/>
    </row>
    <row r="314" spans="1:107" ht="12.75" customHeight="1">
      <c r="A314" s="11"/>
      <c r="B314" s="11"/>
      <c r="C314" s="11"/>
      <c r="D314" s="11"/>
      <c r="E314" s="11"/>
      <c r="F314" s="11"/>
      <c r="G314" s="11"/>
      <c r="H314" s="15"/>
      <c r="I314" s="38"/>
      <c r="J314" s="38"/>
      <c r="K314" s="38"/>
      <c r="L314" s="41"/>
      <c r="M314" s="43"/>
      <c r="N314" s="11"/>
      <c r="O314" s="48"/>
      <c r="P314" s="48"/>
      <c r="Q314" s="48"/>
      <c r="R314" s="38"/>
      <c r="S314" s="38"/>
      <c r="T314" s="52"/>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83"/>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83"/>
      <c r="CK314" s="11"/>
      <c r="CL314" s="11"/>
      <c r="CM314" s="11"/>
      <c r="CN314" s="11"/>
      <c r="CO314" s="11"/>
      <c r="CP314" s="11"/>
      <c r="CQ314" s="11"/>
      <c r="CR314" s="11"/>
      <c r="CS314" s="11"/>
      <c r="CT314" s="11"/>
      <c r="CU314" s="11"/>
      <c r="CV314" s="11"/>
      <c r="CW314" s="11"/>
      <c r="CX314" s="11"/>
      <c r="CY314" s="11"/>
      <c r="CZ314" s="11"/>
      <c r="DA314" s="11"/>
      <c r="DB314" s="11"/>
      <c r="DC314" s="11"/>
    </row>
    <row r="315" spans="1:107" ht="12.75" customHeight="1">
      <c r="A315" s="11"/>
      <c r="B315" s="11"/>
      <c r="C315" s="11"/>
      <c r="D315" s="11"/>
      <c r="E315" s="11"/>
      <c r="F315" s="11"/>
      <c r="G315" s="11"/>
      <c r="H315" s="15"/>
      <c r="I315" s="38"/>
      <c r="J315" s="38"/>
      <c r="K315" s="38"/>
      <c r="L315" s="41"/>
      <c r="M315" s="43"/>
      <c r="N315" s="11"/>
      <c r="O315" s="48"/>
      <c r="P315" s="48"/>
      <c r="Q315" s="48"/>
      <c r="R315" s="38"/>
      <c r="S315" s="38"/>
      <c r="T315" s="52"/>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83"/>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83"/>
      <c r="CK315" s="11"/>
      <c r="CL315" s="11"/>
      <c r="CM315" s="11"/>
      <c r="CN315" s="11"/>
      <c r="CO315" s="11"/>
      <c r="CP315" s="11"/>
      <c r="CQ315" s="11"/>
      <c r="CR315" s="11"/>
      <c r="CS315" s="11"/>
      <c r="CT315" s="11"/>
      <c r="CU315" s="11"/>
      <c r="CV315" s="11"/>
      <c r="CW315" s="11"/>
      <c r="CX315" s="11"/>
      <c r="CY315" s="11"/>
      <c r="CZ315" s="11"/>
      <c r="DA315" s="11"/>
      <c r="DB315" s="11"/>
      <c r="DC315" s="11"/>
    </row>
    <row r="316" spans="1:107" ht="12.75" customHeight="1">
      <c r="A316" s="11"/>
      <c r="B316" s="11"/>
      <c r="C316" s="11"/>
      <c r="D316" s="11"/>
      <c r="E316" s="11"/>
      <c r="F316" s="11"/>
      <c r="G316" s="11"/>
      <c r="H316" s="15"/>
      <c r="I316" s="38"/>
      <c r="J316" s="38"/>
      <c r="K316" s="38"/>
      <c r="L316" s="41"/>
      <c r="M316" s="43"/>
      <c r="N316" s="11"/>
      <c r="O316" s="48"/>
      <c r="P316" s="48"/>
      <c r="Q316" s="48"/>
      <c r="R316" s="38"/>
      <c r="S316" s="38"/>
      <c r="T316" s="52"/>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83"/>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83"/>
      <c r="CK316" s="11"/>
      <c r="CL316" s="11"/>
      <c r="CM316" s="11"/>
      <c r="CN316" s="11"/>
      <c r="CO316" s="11"/>
      <c r="CP316" s="11"/>
      <c r="CQ316" s="11"/>
      <c r="CR316" s="11"/>
      <c r="CS316" s="11"/>
      <c r="CT316" s="11"/>
      <c r="CU316" s="11"/>
      <c r="CV316" s="11"/>
      <c r="CW316" s="11"/>
      <c r="CX316" s="11"/>
      <c r="CY316" s="11"/>
      <c r="CZ316" s="11"/>
      <c r="DA316" s="11"/>
      <c r="DB316" s="11"/>
      <c r="DC316" s="11"/>
    </row>
    <row r="317" spans="1:107" ht="12.75" customHeight="1">
      <c r="A317" s="11"/>
      <c r="B317" s="11"/>
      <c r="C317" s="11"/>
      <c r="D317" s="11"/>
      <c r="E317" s="11"/>
      <c r="F317" s="11"/>
      <c r="G317" s="11"/>
      <c r="H317" s="15"/>
      <c r="I317" s="38"/>
      <c r="J317" s="38"/>
      <c r="K317" s="38"/>
      <c r="L317" s="41"/>
      <c r="M317" s="43"/>
      <c r="N317" s="11"/>
      <c r="O317" s="48"/>
      <c r="P317" s="48"/>
      <c r="Q317" s="48"/>
      <c r="R317" s="38"/>
      <c r="S317" s="38"/>
      <c r="T317" s="52"/>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83"/>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83"/>
      <c r="CK317" s="11"/>
      <c r="CL317" s="11"/>
      <c r="CM317" s="11"/>
      <c r="CN317" s="11"/>
      <c r="CO317" s="11"/>
      <c r="CP317" s="11"/>
      <c r="CQ317" s="11"/>
      <c r="CR317" s="11"/>
      <c r="CS317" s="11"/>
      <c r="CT317" s="11"/>
      <c r="CU317" s="11"/>
      <c r="CV317" s="11"/>
      <c r="CW317" s="11"/>
      <c r="CX317" s="11"/>
      <c r="CY317" s="11"/>
      <c r="CZ317" s="11"/>
      <c r="DA317" s="11"/>
      <c r="DB317" s="11"/>
      <c r="DC317" s="11"/>
    </row>
    <row r="318" spans="1:107" ht="12.75" customHeight="1">
      <c r="A318" s="11"/>
      <c r="B318" s="11"/>
      <c r="C318" s="11"/>
      <c r="D318" s="11"/>
      <c r="E318" s="11"/>
      <c r="F318" s="11"/>
      <c r="G318" s="11"/>
      <c r="H318" s="15"/>
      <c r="I318" s="38"/>
      <c r="J318" s="38"/>
      <c r="K318" s="38"/>
      <c r="L318" s="41"/>
      <c r="M318" s="43"/>
      <c r="N318" s="11"/>
      <c r="O318" s="48"/>
      <c r="P318" s="48"/>
      <c r="Q318" s="48"/>
      <c r="R318" s="38"/>
      <c r="S318" s="38"/>
      <c r="T318" s="52"/>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83"/>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83"/>
      <c r="CK318" s="11"/>
      <c r="CL318" s="11"/>
      <c r="CM318" s="11"/>
      <c r="CN318" s="11"/>
      <c r="CO318" s="11"/>
      <c r="CP318" s="11"/>
      <c r="CQ318" s="11"/>
      <c r="CR318" s="11"/>
      <c r="CS318" s="11"/>
      <c r="CT318" s="11"/>
      <c r="CU318" s="11"/>
      <c r="CV318" s="11"/>
      <c r="CW318" s="11"/>
      <c r="CX318" s="11"/>
      <c r="CY318" s="11"/>
      <c r="CZ318" s="11"/>
      <c r="DA318" s="11"/>
      <c r="DB318" s="11"/>
      <c r="DC318" s="11"/>
    </row>
    <row r="319" spans="1:107" ht="12.75" customHeight="1">
      <c r="A319" s="11"/>
      <c r="B319" s="11"/>
      <c r="C319" s="11"/>
      <c r="D319" s="11"/>
      <c r="E319" s="11"/>
      <c r="F319" s="11"/>
      <c r="G319" s="11"/>
      <c r="H319" s="15"/>
      <c r="I319" s="38"/>
      <c r="J319" s="38"/>
      <c r="K319" s="38"/>
      <c r="L319" s="41"/>
      <c r="M319" s="43"/>
      <c r="N319" s="11"/>
      <c r="O319" s="48"/>
      <c r="P319" s="48"/>
      <c r="Q319" s="48"/>
      <c r="R319" s="38"/>
      <c r="S319" s="38"/>
      <c r="T319" s="52"/>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83"/>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83"/>
      <c r="CK319" s="11"/>
      <c r="CL319" s="11"/>
      <c r="CM319" s="11"/>
      <c r="CN319" s="11"/>
      <c r="CO319" s="11"/>
      <c r="CP319" s="11"/>
      <c r="CQ319" s="11"/>
      <c r="CR319" s="11"/>
      <c r="CS319" s="11"/>
      <c r="CT319" s="11"/>
      <c r="CU319" s="11"/>
      <c r="CV319" s="11"/>
      <c r="CW319" s="11"/>
      <c r="CX319" s="11"/>
      <c r="CY319" s="11"/>
      <c r="CZ319" s="11"/>
      <c r="DA319" s="11"/>
      <c r="DB319" s="11"/>
      <c r="DC319" s="11"/>
    </row>
    <row r="320" spans="1:107" ht="12.75" customHeight="1">
      <c r="A320" s="11"/>
      <c r="B320" s="11"/>
      <c r="C320" s="11"/>
      <c r="D320" s="11"/>
      <c r="E320" s="11"/>
      <c r="F320" s="11"/>
      <c r="G320" s="11"/>
      <c r="H320" s="15"/>
      <c r="I320" s="38"/>
      <c r="J320" s="38"/>
      <c r="K320" s="38"/>
      <c r="L320" s="41"/>
      <c r="M320" s="43"/>
      <c r="N320" s="11"/>
      <c r="O320" s="48"/>
      <c r="P320" s="48"/>
      <c r="Q320" s="48"/>
      <c r="R320" s="38"/>
      <c r="S320" s="38"/>
      <c r="T320" s="52"/>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83"/>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83"/>
      <c r="CK320" s="11"/>
      <c r="CL320" s="11"/>
      <c r="CM320" s="11"/>
      <c r="CN320" s="11"/>
      <c r="CO320" s="11"/>
      <c r="CP320" s="11"/>
      <c r="CQ320" s="11"/>
      <c r="CR320" s="11"/>
      <c r="CS320" s="11"/>
      <c r="CT320" s="11"/>
      <c r="CU320" s="11"/>
      <c r="CV320" s="11"/>
      <c r="CW320" s="11"/>
      <c r="CX320" s="11"/>
      <c r="CY320" s="11"/>
      <c r="CZ320" s="11"/>
      <c r="DA320" s="11"/>
      <c r="DB320" s="11"/>
      <c r="DC320" s="11"/>
    </row>
    <row r="321" spans="1:107" ht="12.75" customHeight="1">
      <c r="A321" s="11"/>
      <c r="B321" s="11"/>
      <c r="C321" s="11"/>
      <c r="D321" s="11"/>
      <c r="E321" s="11"/>
      <c r="F321" s="11"/>
      <c r="G321" s="11"/>
      <c r="H321" s="15"/>
      <c r="I321" s="38"/>
      <c r="J321" s="38"/>
      <c r="K321" s="38"/>
      <c r="L321" s="41"/>
      <c r="M321" s="43"/>
      <c r="N321" s="11"/>
      <c r="O321" s="48"/>
      <c r="P321" s="48"/>
      <c r="Q321" s="48"/>
      <c r="R321" s="38"/>
      <c r="S321" s="38"/>
      <c r="T321" s="52"/>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83"/>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83"/>
      <c r="CK321" s="11"/>
      <c r="CL321" s="11"/>
      <c r="CM321" s="11"/>
      <c r="CN321" s="11"/>
      <c r="CO321" s="11"/>
      <c r="CP321" s="11"/>
      <c r="CQ321" s="11"/>
      <c r="CR321" s="11"/>
      <c r="CS321" s="11"/>
      <c r="CT321" s="11"/>
      <c r="CU321" s="11"/>
      <c r="CV321" s="11"/>
      <c r="CW321" s="11"/>
      <c r="CX321" s="11"/>
      <c r="CY321" s="11"/>
      <c r="CZ321" s="11"/>
      <c r="DA321" s="11"/>
      <c r="DB321" s="11"/>
      <c r="DC321" s="11"/>
    </row>
    <row r="322" spans="1:107" ht="12.75" customHeight="1">
      <c r="A322" s="11"/>
      <c r="B322" s="11"/>
      <c r="C322" s="11"/>
      <c r="D322" s="11"/>
      <c r="E322" s="11"/>
      <c r="F322" s="11"/>
      <c r="G322" s="11"/>
      <c r="H322" s="15"/>
      <c r="I322" s="38"/>
      <c r="J322" s="38"/>
      <c r="K322" s="38"/>
      <c r="L322" s="41"/>
      <c r="M322" s="43"/>
      <c r="N322" s="11"/>
      <c r="O322" s="48"/>
      <c r="P322" s="48"/>
      <c r="Q322" s="48"/>
      <c r="R322" s="38"/>
      <c r="S322" s="38"/>
      <c r="T322" s="52"/>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83"/>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83"/>
      <c r="CK322" s="11"/>
      <c r="CL322" s="11"/>
      <c r="CM322" s="11"/>
      <c r="CN322" s="11"/>
      <c r="CO322" s="11"/>
      <c r="CP322" s="11"/>
      <c r="CQ322" s="11"/>
      <c r="CR322" s="11"/>
      <c r="CS322" s="11"/>
      <c r="CT322" s="11"/>
      <c r="CU322" s="11"/>
      <c r="CV322" s="11"/>
      <c r="CW322" s="11"/>
      <c r="CX322" s="11"/>
      <c r="CY322" s="11"/>
      <c r="CZ322" s="11"/>
      <c r="DA322" s="11"/>
      <c r="DB322" s="11"/>
      <c r="DC322" s="11"/>
    </row>
    <row r="323" spans="1:107" ht="12.75" customHeight="1">
      <c r="A323" s="11"/>
      <c r="B323" s="11"/>
      <c r="C323" s="11"/>
      <c r="D323" s="11"/>
      <c r="E323" s="11"/>
      <c r="F323" s="11"/>
      <c r="G323" s="11"/>
      <c r="H323" s="15"/>
      <c r="I323" s="38"/>
      <c r="J323" s="38"/>
      <c r="K323" s="38"/>
      <c r="L323" s="41"/>
      <c r="M323" s="43"/>
      <c r="N323" s="11"/>
      <c r="O323" s="48"/>
      <c r="P323" s="48"/>
      <c r="Q323" s="48"/>
      <c r="R323" s="38"/>
      <c r="S323" s="38"/>
      <c r="T323" s="52"/>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83"/>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83"/>
      <c r="CK323" s="11"/>
      <c r="CL323" s="11"/>
      <c r="CM323" s="11"/>
      <c r="CN323" s="11"/>
      <c r="CO323" s="11"/>
      <c r="CP323" s="11"/>
      <c r="CQ323" s="11"/>
      <c r="CR323" s="11"/>
      <c r="CS323" s="11"/>
      <c r="CT323" s="11"/>
      <c r="CU323" s="11"/>
      <c r="CV323" s="11"/>
      <c r="CW323" s="11"/>
      <c r="CX323" s="11"/>
      <c r="CY323" s="11"/>
      <c r="CZ323" s="11"/>
      <c r="DA323" s="11"/>
      <c r="DB323" s="11"/>
      <c r="DC323" s="11"/>
    </row>
    <row r="324" spans="1:107" ht="12.75" customHeight="1">
      <c r="A324" s="11"/>
      <c r="B324" s="11"/>
      <c r="C324" s="11"/>
      <c r="D324" s="11"/>
      <c r="E324" s="11"/>
      <c r="F324" s="11"/>
      <c r="G324" s="11"/>
      <c r="H324" s="15"/>
      <c r="I324" s="38"/>
      <c r="J324" s="38"/>
      <c r="K324" s="38"/>
      <c r="L324" s="41"/>
      <c r="M324" s="43"/>
      <c r="N324" s="11"/>
      <c r="O324" s="48"/>
      <c r="P324" s="48"/>
      <c r="Q324" s="48"/>
      <c r="R324" s="38"/>
      <c r="S324" s="38"/>
      <c r="T324" s="52"/>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83"/>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83"/>
      <c r="CK324" s="11"/>
      <c r="CL324" s="11"/>
      <c r="CM324" s="11"/>
      <c r="CN324" s="11"/>
      <c r="CO324" s="11"/>
      <c r="CP324" s="11"/>
      <c r="CQ324" s="11"/>
      <c r="CR324" s="11"/>
      <c r="CS324" s="11"/>
      <c r="CT324" s="11"/>
      <c r="CU324" s="11"/>
      <c r="CV324" s="11"/>
      <c r="CW324" s="11"/>
      <c r="CX324" s="11"/>
      <c r="CY324" s="11"/>
      <c r="CZ324" s="11"/>
      <c r="DA324" s="11"/>
      <c r="DB324" s="11"/>
      <c r="DC324" s="11"/>
    </row>
    <row r="325" spans="1:107" ht="12.75" customHeight="1">
      <c r="A325" s="11"/>
      <c r="B325" s="11"/>
      <c r="C325" s="11"/>
      <c r="D325" s="11"/>
      <c r="E325" s="11"/>
      <c r="F325" s="11"/>
      <c r="G325" s="11"/>
      <c r="H325" s="15"/>
      <c r="I325" s="38"/>
      <c r="J325" s="38"/>
      <c r="K325" s="38"/>
      <c r="L325" s="41"/>
      <c r="M325" s="43"/>
      <c r="N325" s="11"/>
      <c r="O325" s="48"/>
      <c r="P325" s="48"/>
      <c r="Q325" s="48"/>
      <c r="R325" s="38"/>
      <c r="S325" s="38"/>
      <c r="T325" s="52"/>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83"/>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83"/>
      <c r="CK325" s="11"/>
      <c r="CL325" s="11"/>
      <c r="CM325" s="11"/>
      <c r="CN325" s="11"/>
      <c r="CO325" s="11"/>
      <c r="CP325" s="11"/>
      <c r="CQ325" s="11"/>
      <c r="CR325" s="11"/>
      <c r="CS325" s="11"/>
      <c r="CT325" s="11"/>
      <c r="CU325" s="11"/>
      <c r="CV325" s="11"/>
      <c r="CW325" s="11"/>
      <c r="CX325" s="11"/>
      <c r="CY325" s="11"/>
      <c r="CZ325" s="11"/>
      <c r="DA325" s="11"/>
      <c r="DB325" s="11"/>
      <c r="DC325" s="11"/>
    </row>
    <row r="326" spans="1:107" ht="12.75" customHeight="1">
      <c r="A326" s="11"/>
      <c r="B326" s="11"/>
      <c r="C326" s="11"/>
      <c r="D326" s="11"/>
      <c r="E326" s="11"/>
      <c r="F326" s="11"/>
      <c r="G326" s="11"/>
      <c r="H326" s="15"/>
      <c r="I326" s="38"/>
      <c r="J326" s="38"/>
      <c r="K326" s="38"/>
      <c r="L326" s="41"/>
      <c r="M326" s="43"/>
      <c r="N326" s="11"/>
      <c r="O326" s="48"/>
      <c r="P326" s="48"/>
      <c r="Q326" s="48"/>
      <c r="R326" s="38"/>
      <c r="S326" s="38"/>
      <c r="T326" s="52"/>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83"/>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83"/>
      <c r="CK326" s="11"/>
      <c r="CL326" s="11"/>
      <c r="CM326" s="11"/>
      <c r="CN326" s="11"/>
      <c r="CO326" s="11"/>
      <c r="CP326" s="11"/>
      <c r="CQ326" s="11"/>
      <c r="CR326" s="11"/>
      <c r="CS326" s="11"/>
      <c r="CT326" s="11"/>
      <c r="CU326" s="11"/>
      <c r="CV326" s="11"/>
      <c r="CW326" s="11"/>
      <c r="CX326" s="11"/>
      <c r="CY326" s="11"/>
      <c r="CZ326" s="11"/>
      <c r="DA326" s="11"/>
      <c r="DB326" s="11"/>
      <c r="DC326" s="11"/>
    </row>
    <row r="327" spans="1:107" ht="12.75" customHeight="1">
      <c r="A327" s="11"/>
      <c r="B327" s="11"/>
      <c r="C327" s="11"/>
      <c r="D327" s="11"/>
      <c r="E327" s="11"/>
      <c r="F327" s="11"/>
      <c r="G327" s="11"/>
      <c r="H327" s="15"/>
      <c r="I327" s="38"/>
      <c r="J327" s="38"/>
      <c r="K327" s="38"/>
      <c r="L327" s="41"/>
      <c r="M327" s="43"/>
      <c r="N327" s="11"/>
      <c r="O327" s="48"/>
      <c r="P327" s="48"/>
      <c r="Q327" s="48"/>
      <c r="R327" s="38"/>
      <c r="S327" s="38"/>
      <c r="T327" s="52"/>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83"/>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83"/>
      <c r="CK327" s="11"/>
      <c r="CL327" s="11"/>
      <c r="CM327" s="11"/>
      <c r="CN327" s="11"/>
      <c r="CO327" s="11"/>
      <c r="CP327" s="11"/>
      <c r="CQ327" s="11"/>
      <c r="CR327" s="11"/>
      <c r="CS327" s="11"/>
      <c r="CT327" s="11"/>
      <c r="CU327" s="11"/>
      <c r="CV327" s="11"/>
      <c r="CW327" s="11"/>
      <c r="CX327" s="11"/>
      <c r="CY327" s="11"/>
      <c r="CZ327" s="11"/>
      <c r="DA327" s="11"/>
      <c r="DB327" s="11"/>
      <c r="DC327" s="11"/>
    </row>
    <row r="328" spans="1:107" ht="12.75" customHeight="1">
      <c r="A328" s="11"/>
      <c r="B328" s="11"/>
      <c r="C328" s="11"/>
      <c r="D328" s="11"/>
      <c r="E328" s="11"/>
      <c r="F328" s="11"/>
      <c r="G328" s="11"/>
      <c r="H328" s="15"/>
      <c r="I328" s="38"/>
      <c r="J328" s="38"/>
      <c r="K328" s="38"/>
      <c r="L328" s="41"/>
      <c r="M328" s="43"/>
      <c r="N328" s="11"/>
      <c r="O328" s="48"/>
      <c r="P328" s="48"/>
      <c r="Q328" s="48"/>
      <c r="R328" s="38"/>
      <c r="S328" s="38"/>
      <c r="T328" s="52"/>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83"/>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83"/>
      <c r="CK328" s="11"/>
      <c r="CL328" s="11"/>
      <c r="CM328" s="11"/>
      <c r="CN328" s="11"/>
      <c r="CO328" s="11"/>
      <c r="CP328" s="11"/>
      <c r="CQ328" s="11"/>
      <c r="CR328" s="11"/>
      <c r="CS328" s="11"/>
      <c r="CT328" s="11"/>
      <c r="CU328" s="11"/>
      <c r="CV328" s="11"/>
      <c r="CW328" s="11"/>
      <c r="CX328" s="11"/>
      <c r="CY328" s="11"/>
      <c r="CZ328" s="11"/>
      <c r="DA328" s="11"/>
      <c r="DB328" s="11"/>
      <c r="DC328" s="11"/>
    </row>
    <row r="329" spans="1:107" ht="12.75" customHeight="1">
      <c r="A329" s="11"/>
      <c r="B329" s="11"/>
      <c r="C329" s="11"/>
      <c r="D329" s="11"/>
      <c r="E329" s="11"/>
      <c r="F329" s="11"/>
      <c r="G329" s="11"/>
      <c r="H329" s="15"/>
      <c r="I329" s="38"/>
      <c r="J329" s="38"/>
      <c r="K329" s="38"/>
      <c r="L329" s="41"/>
      <c r="M329" s="43"/>
      <c r="N329" s="11"/>
      <c r="O329" s="48"/>
      <c r="P329" s="48"/>
      <c r="Q329" s="48"/>
      <c r="R329" s="38"/>
      <c r="S329" s="38"/>
      <c r="T329" s="52"/>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83"/>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83"/>
      <c r="CK329" s="11"/>
      <c r="CL329" s="11"/>
      <c r="CM329" s="11"/>
      <c r="CN329" s="11"/>
      <c r="CO329" s="11"/>
      <c r="CP329" s="11"/>
      <c r="CQ329" s="11"/>
      <c r="CR329" s="11"/>
      <c r="CS329" s="11"/>
      <c r="CT329" s="11"/>
      <c r="CU329" s="11"/>
      <c r="CV329" s="11"/>
      <c r="CW329" s="11"/>
      <c r="CX329" s="11"/>
      <c r="CY329" s="11"/>
      <c r="CZ329" s="11"/>
      <c r="DA329" s="11"/>
      <c r="DB329" s="11"/>
      <c r="DC329" s="11"/>
    </row>
    <row r="330" spans="1:107" ht="12.75" customHeight="1">
      <c r="A330" s="11"/>
      <c r="B330" s="11"/>
      <c r="C330" s="11"/>
      <c r="D330" s="11"/>
      <c r="E330" s="11"/>
      <c r="F330" s="11"/>
      <c r="G330" s="11"/>
      <c r="H330" s="15"/>
      <c r="I330" s="38"/>
      <c r="J330" s="38"/>
      <c r="K330" s="38"/>
      <c r="L330" s="41"/>
      <c r="M330" s="43"/>
      <c r="N330" s="11"/>
      <c r="O330" s="48"/>
      <c r="P330" s="48"/>
      <c r="Q330" s="48"/>
      <c r="R330" s="38"/>
      <c r="S330" s="38"/>
      <c r="T330" s="52"/>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83"/>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83"/>
      <c r="CK330" s="11"/>
      <c r="CL330" s="11"/>
      <c r="CM330" s="11"/>
      <c r="CN330" s="11"/>
      <c r="CO330" s="11"/>
      <c r="CP330" s="11"/>
      <c r="CQ330" s="11"/>
      <c r="CR330" s="11"/>
      <c r="CS330" s="11"/>
      <c r="CT330" s="11"/>
      <c r="CU330" s="11"/>
      <c r="CV330" s="11"/>
      <c r="CW330" s="11"/>
      <c r="CX330" s="11"/>
      <c r="CY330" s="11"/>
      <c r="CZ330" s="11"/>
      <c r="DA330" s="11"/>
      <c r="DB330" s="11"/>
      <c r="DC330" s="11"/>
    </row>
    <row r="331" spans="1:107" ht="12.75" customHeight="1">
      <c r="A331" s="11"/>
      <c r="B331" s="11"/>
      <c r="C331" s="11"/>
      <c r="D331" s="11"/>
      <c r="E331" s="11"/>
      <c r="F331" s="11"/>
      <c r="G331" s="11"/>
      <c r="H331" s="15"/>
      <c r="I331" s="38"/>
      <c r="J331" s="38"/>
      <c r="K331" s="38"/>
      <c r="L331" s="41"/>
      <c r="M331" s="43"/>
      <c r="N331" s="11"/>
      <c r="O331" s="48"/>
      <c r="P331" s="48"/>
      <c r="Q331" s="48"/>
      <c r="R331" s="38"/>
      <c r="S331" s="38"/>
      <c r="T331" s="52"/>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83"/>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83"/>
      <c r="CK331" s="11"/>
      <c r="CL331" s="11"/>
      <c r="CM331" s="11"/>
      <c r="CN331" s="11"/>
      <c r="CO331" s="11"/>
      <c r="CP331" s="11"/>
      <c r="CQ331" s="11"/>
      <c r="CR331" s="11"/>
      <c r="CS331" s="11"/>
      <c r="CT331" s="11"/>
      <c r="CU331" s="11"/>
      <c r="CV331" s="11"/>
      <c r="CW331" s="11"/>
      <c r="CX331" s="11"/>
      <c r="CY331" s="11"/>
      <c r="CZ331" s="11"/>
      <c r="DA331" s="11"/>
      <c r="DB331" s="11"/>
      <c r="DC331" s="11"/>
    </row>
    <row r="332" spans="1:107" ht="12.75" customHeight="1">
      <c r="A332" s="11"/>
      <c r="B332" s="11"/>
      <c r="C332" s="11"/>
      <c r="D332" s="11"/>
      <c r="E332" s="11"/>
      <c r="F332" s="11"/>
      <c r="G332" s="11"/>
      <c r="H332" s="15"/>
      <c r="I332" s="38"/>
      <c r="J332" s="38"/>
      <c r="K332" s="38"/>
      <c r="L332" s="41"/>
      <c r="M332" s="43"/>
      <c r="N332" s="11"/>
      <c r="O332" s="48"/>
      <c r="P332" s="48"/>
      <c r="Q332" s="48"/>
      <c r="R332" s="38"/>
      <c r="S332" s="38"/>
      <c r="T332" s="52"/>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83"/>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83"/>
      <c r="CK332" s="11"/>
      <c r="CL332" s="11"/>
      <c r="CM332" s="11"/>
      <c r="CN332" s="11"/>
      <c r="CO332" s="11"/>
      <c r="CP332" s="11"/>
      <c r="CQ332" s="11"/>
      <c r="CR332" s="11"/>
      <c r="CS332" s="11"/>
      <c r="CT332" s="11"/>
      <c r="CU332" s="11"/>
      <c r="CV332" s="11"/>
      <c r="CW332" s="11"/>
      <c r="CX332" s="11"/>
      <c r="CY332" s="11"/>
      <c r="CZ332" s="11"/>
      <c r="DA332" s="11"/>
      <c r="DB332" s="11"/>
      <c r="DC332" s="11"/>
    </row>
    <row r="333" spans="1:107" ht="12.75" customHeight="1">
      <c r="A333" s="11"/>
      <c r="B333" s="11"/>
      <c r="C333" s="11"/>
      <c r="D333" s="11"/>
      <c r="E333" s="11"/>
      <c r="F333" s="11"/>
      <c r="G333" s="11"/>
      <c r="H333" s="15"/>
      <c r="I333" s="38"/>
      <c r="J333" s="38"/>
      <c r="K333" s="38"/>
      <c r="L333" s="41"/>
      <c r="M333" s="43"/>
      <c r="N333" s="11"/>
      <c r="O333" s="48"/>
      <c r="P333" s="48"/>
      <c r="Q333" s="48"/>
      <c r="R333" s="38"/>
      <c r="S333" s="38"/>
      <c r="T333" s="52"/>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83"/>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83"/>
      <c r="CK333" s="11"/>
      <c r="CL333" s="11"/>
      <c r="CM333" s="11"/>
      <c r="CN333" s="11"/>
      <c r="CO333" s="11"/>
      <c r="CP333" s="11"/>
      <c r="CQ333" s="11"/>
      <c r="CR333" s="11"/>
      <c r="CS333" s="11"/>
      <c r="CT333" s="11"/>
      <c r="CU333" s="11"/>
      <c r="CV333" s="11"/>
      <c r="CW333" s="11"/>
      <c r="CX333" s="11"/>
      <c r="CY333" s="11"/>
      <c r="CZ333" s="11"/>
      <c r="DA333" s="11"/>
      <c r="DB333" s="11"/>
      <c r="DC333" s="11"/>
    </row>
    <row r="334" spans="1:107" ht="12.75" customHeight="1">
      <c r="A334" s="11"/>
      <c r="B334" s="11"/>
      <c r="C334" s="11"/>
      <c r="D334" s="11"/>
      <c r="E334" s="11"/>
      <c r="F334" s="11"/>
      <c r="G334" s="11"/>
      <c r="H334" s="15"/>
      <c r="I334" s="38"/>
      <c r="J334" s="38"/>
      <c r="K334" s="38"/>
      <c r="L334" s="41"/>
      <c r="M334" s="43"/>
      <c r="N334" s="11"/>
      <c r="O334" s="48"/>
      <c r="P334" s="48"/>
      <c r="Q334" s="48"/>
      <c r="R334" s="38"/>
      <c r="S334" s="38"/>
      <c r="T334" s="52"/>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83"/>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83"/>
      <c r="CK334" s="11"/>
      <c r="CL334" s="11"/>
      <c r="CM334" s="11"/>
      <c r="CN334" s="11"/>
      <c r="CO334" s="11"/>
      <c r="CP334" s="11"/>
      <c r="CQ334" s="11"/>
      <c r="CR334" s="11"/>
      <c r="CS334" s="11"/>
      <c r="CT334" s="11"/>
      <c r="CU334" s="11"/>
      <c r="CV334" s="11"/>
      <c r="CW334" s="11"/>
      <c r="CX334" s="11"/>
      <c r="CY334" s="11"/>
      <c r="CZ334" s="11"/>
      <c r="DA334" s="11"/>
      <c r="DB334" s="11"/>
      <c r="DC334" s="11"/>
    </row>
    <row r="335" spans="1:107" ht="12.75" customHeight="1">
      <c r="A335" s="11"/>
      <c r="B335" s="11"/>
      <c r="C335" s="11"/>
      <c r="D335" s="11"/>
      <c r="E335" s="11"/>
      <c r="F335" s="11"/>
      <c r="G335" s="11"/>
      <c r="H335" s="15"/>
      <c r="I335" s="38"/>
      <c r="J335" s="38"/>
      <c r="K335" s="38"/>
      <c r="L335" s="41"/>
      <c r="M335" s="43"/>
      <c r="N335" s="11"/>
      <c r="O335" s="48"/>
      <c r="P335" s="48"/>
      <c r="Q335" s="48"/>
      <c r="R335" s="38"/>
      <c r="S335" s="38"/>
      <c r="T335" s="52"/>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83"/>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83"/>
      <c r="CK335" s="11"/>
      <c r="CL335" s="11"/>
      <c r="CM335" s="11"/>
      <c r="CN335" s="11"/>
      <c r="CO335" s="11"/>
      <c r="CP335" s="11"/>
      <c r="CQ335" s="11"/>
      <c r="CR335" s="11"/>
      <c r="CS335" s="11"/>
      <c r="CT335" s="11"/>
      <c r="CU335" s="11"/>
      <c r="CV335" s="11"/>
      <c r="CW335" s="11"/>
      <c r="CX335" s="11"/>
      <c r="CY335" s="11"/>
      <c r="CZ335" s="11"/>
      <c r="DA335" s="11"/>
      <c r="DB335" s="11"/>
      <c r="DC335" s="11"/>
    </row>
    <row r="336" spans="1:107" ht="12.75" customHeight="1">
      <c r="A336" s="11"/>
      <c r="B336" s="11"/>
      <c r="C336" s="11"/>
      <c r="D336" s="11"/>
      <c r="E336" s="11"/>
      <c r="F336" s="11"/>
      <c r="G336" s="11"/>
      <c r="H336" s="15"/>
      <c r="I336" s="38"/>
      <c r="J336" s="38"/>
      <c r="K336" s="38"/>
      <c r="L336" s="41"/>
      <c r="M336" s="43"/>
      <c r="N336" s="11"/>
      <c r="O336" s="48"/>
      <c r="P336" s="48"/>
      <c r="Q336" s="48"/>
      <c r="R336" s="38"/>
      <c r="S336" s="38"/>
      <c r="T336" s="52"/>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83"/>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83"/>
      <c r="CK336" s="11"/>
      <c r="CL336" s="11"/>
      <c r="CM336" s="11"/>
      <c r="CN336" s="11"/>
      <c r="CO336" s="11"/>
      <c r="CP336" s="11"/>
      <c r="CQ336" s="11"/>
      <c r="CR336" s="11"/>
      <c r="CS336" s="11"/>
      <c r="CT336" s="11"/>
      <c r="CU336" s="11"/>
      <c r="CV336" s="11"/>
      <c r="CW336" s="11"/>
      <c r="CX336" s="11"/>
      <c r="CY336" s="11"/>
      <c r="CZ336" s="11"/>
      <c r="DA336" s="11"/>
      <c r="DB336" s="11"/>
      <c r="DC336" s="11"/>
    </row>
    <row r="337" spans="1:107" ht="12.75" customHeight="1">
      <c r="A337" s="11"/>
      <c r="B337" s="11"/>
      <c r="C337" s="11"/>
      <c r="D337" s="11"/>
      <c r="E337" s="11"/>
      <c r="F337" s="11"/>
      <c r="G337" s="11"/>
      <c r="H337" s="15"/>
      <c r="I337" s="38"/>
      <c r="J337" s="38"/>
      <c r="K337" s="38"/>
      <c r="L337" s="41"/>
      <c r="M337" s="43"/>
      <c r="N337" s="11"/>
      <c r="O337" s="48"/>
      <c r="P337" s="48"/>
      <c r="Q337" s="48"/>
      <c r="R337" s="38"/>
      <c r="S337" s="38"/>
      <c r="T337" s="52"/>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83"/>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83"/>
      <c r="CK337" s="11"/>
      <c r="CL337" s="11"/>
      <c r="CM337" s="11"/>
      <c r="CN337" s="11"/>
      <c r="CO337" s="11"/>
      <c r="CP337" s="11"/>
      <c r="CQ337" s="11"/>
      <c r="CR337" s="11"/>
      <c r="CS337" s="11"/>
      <c r="CT337" s="11"/>
      <c r="CU337" s="11"/>
      <c r="CV337" s="11"/>
      <c r="CW337" s="11"/>
      <c r="CX337" s="11"/>
      <c r="CY337" s="11"/>
      <c r="CZ337" s="11"/>
      <c r="DA337" s="11"/>
      <c r="DB337" s="11"/>
      <c r="DC337" s="11"/>
    </row>
    <row r="338" spans="1:107" ht="12.75" customHeight="1">
      <c r="A338" s="11"/>
      <c r="B338" s="11"/>
      <c r="C338" s="11"/>
      <c r="D338" s="11"/>
      <c r="E338" s="11"/>
      <c r="F338" s="11"/>
      <c r="G338" s="11"/>
      <c r="H338" s="15"/>
      <c r="I338" s="38"/>
      <c r="J338" s="38"/>
      <c r="K338" s="38"/>
      <c r="L338" s="41"/>
      <c r="M338" s="43"/>
      <c r="N338" s="11"/>
      <c r="O338" s="48"/>
      <c r="P338" s="48"/>
      <c r="Q338" s="48"/>
      <c r="R338" s="38"/>
      <c r="S338" s="38"/>
      <c r="T338" s="52"/>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83"/>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83"/>
      <c r="CK338" s="11"/>
      <c r="CL338" s="11"/>
      <c r="CM338" s="11"/>
      <c r="CN338" s="11"/>
      <c r="CO338" s="11"/>
      <c r="CP338" s="11"/>
      <c r="CQ338" s="11"/>
      <c r="CR338" s="11"/>
      <c r="CS338" s="11"/>
      <c r="CT338" s="11"/>
      <c r="CU338" s="11"/>
      <c r="CV338" s="11"/>
      <c r="CW338" s="11"/>
      <c r="CX338" s="11"/>
      <c r="CY338" s="11"/>
      <c r="CZ338" s="11"/>
      <c r="DA338" s="11"/>
      <c r="DB338" s="11"/>
      <c r="DC338" s="11"/>
    </row>
    <row r="339" spans="1:107" ht="12.75" customHeight="1">
      <c r="A339" s="11"/>
      <c r="B339" s="11"/>
      <c r="C339" s="11"/>
      <c r="D339" s="11"/>
      <c r="E339" s="11"/>
      <c r="F339" s="11"/>
      <c r="G339" s="11"/>
      <c r="H339" s="15"/>
      <c r="I339" s="38"/>
      <c r="J339" s="38"/>
      <c r="K339" s="38"/>
      <c r="L339" s="41"/>
      <c r="M339" s="43"/>
      <c r="N339" s="11"/>
      <c r="O339" s="48"/>
      <c r="P339" s="48"/>
      <c r="Q339" s="48"/>
      <c r="R339" s="38"/>
      <c r="S339" s="38"/>
      <c r="T339" s="52"/>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83"/>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83"/>
      <c r="CK339" s="11"/>
      <c r="CL339" s="11"/>
      <c r="CM339" s="11"/>
      <c r="CN339" s="11"/>
      <c r="CO339" s="11"/>
      <c r="CP339" s="11"/>
      <c r="CQ339" s="11"/>
      <c r="CR339" s="11"/>
      <c r="CS339" s="11"/>
      <c r="CT339" s="11"/>
      <c r="CU339" s="11"/>
      <c r="CV339" s="11"/>
      <c r="CW339" s="11"/>
      <c r="CX339" s="11"/>
      <c r="CY339" s="11"/>
      <c r="CZ339" s="11"/>
      <c r="DA339" s="11"/>
      <c r="DB339" s="11"/>
      <c r="DC339" s="11"/>
    </row>
    <row r="340" spans="1:107" ht="12.75" customHeight="1">
      <c r="A340" s="11"/>
      <c r="B340" s="11"/>
      <c r="C340" s="11"/>
      <c r="D340" s="11"/>
      <c r="E340" s="11"/>
      <c r="F340" s="11"/>
      <c r="G340" s="11"/>
      <c r="H340" s="15"/>
      <c r="I340" s="38"/>
      <c r="J340" s="38"/>
      <c r="K340" s="38"/>
      <c r="L340" s="41"/>
      <c r="M340" s="43"/>
      <c r="N340" s="11"/>
      <c r="O340" s="48"/>
      <c r="P340" s="48"/>
      <c r="Q340" s="48"/>
      <c r="R340" s="38"/>
      <c r="S340" s="38"/>
      <c r="T340" s="52"/>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83"/>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83"/>
      <c r="CK340" s="11"/>
      <c r="CL340" s="11"/>
      <c r="CM340" s="11"/>
      <c r="CN340" s="11"/>
      <c r="CO340" s="11"/>
      <c r="CP340" s="11"/>
      <c r="CQ340" s="11"/>
      <c r="CR340" s="11"/>
      <c r="CS340" s="11"/>
      <c r="CT340" s="11"/>
      <c r="CU340" s="11"/>
      <c r="CV340" s="11"/>
      <c r="CW340" s="11"/>
      <c r="CX340" s="11"/>
      <c r="CY340" s="11"/>
      <c r="CZ340" s="11"/>
      <c r="DA340" s="11"/>
      <c r="DB340" s="11"/>
      <c r="DC340" s="11"/>
    </row>
    <row r="341" spans="1:107" ht="12.75" customHeight="1">
      <c r="A341" s="11"/>
      <c r="B341" s="11"/>
      <c r="C341" s="11"/>
      <c r="D341" s="11"/>
      <c r="E341" s="11"/>
      <c r="F341" s="11"/>
      <c r="G341" s="11"/>
      <c r="H341" s="15"/>
      <c r="I341" s="38"/>
      <c r="J341" s="38"/>
      <c r="K341" s="38"/>
      <c r="L341" s="41"/>
      <c r="M341" s="43"/>
      <c r="N341" s="11"/>
      <c r="O341" s="48"/>
      <c r="P341" s="48"/>
      <c r="Q341" s="48"/>
      <c r="R341" s="38"/>
      <c r="S341" s="38"/>
      <c r="T341" s="52"/>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83"/>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83"/>
      <c r="CK341" s="11"/>
      <c r="CL341" s="11"/>
      <c r="CM341" s="11"/>
      <c r="CN341" s="11"/>
      <c r="CO341" s="11"/>
      <c r="CP341" s="11"/>
      <c r="CQ341" s="11"/>
      <c r="CR341" s="11"/>
      <c r="CS341" s="11"/>
      <c r="CT341" s="11"/>
      <c r="CU341" s="11"/>
      <c r="CV341" s="11"/>
      <c r="CW341" s="11"/>
      <c r="CX341" s="11"/>
      <c r="CY341" s="11"/>
      <c r="CZ341" s="11"/>
      <c r="DA341" s="11"/>
      <c r="DB341" s="11"/>
      <c r="DC341" s="11"/>
    </row>
    <row r="342" spans="1:107" ht="12.75" customHeight="1">
      <c r="A342" s="11"/>
      <c r="B342" s="11"/>
      <c r="C342" s="11"/>
      <c r="D342" s="11"/>
      <c r="E342" s="11"/>
      <c r="F342" s="11"/>
      <c r="G342" s="11"/>
      <c r="H342" s="15"/>
      <c r="I342" s="38"/>
      <c r="J342" s="38"/>
      <c r="K342" s="38"/>
      <c r="L342" s="41"/>
      <c r="M342" s="43"/>
      <c r="N342" s="11"/>
      <c r="O342" s="48"/>
      <c r="P342" s="48"/>
      <c r="Q342" s="48"/>
      <c r="R342" s="38"/>
      <c r="S342" s="38"/>
      <c r="T342" s="52"/>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83"/>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83"/>
      <c r="CK342" s="11"/>
      <c r="CL342" s="11"/>
      <c r="CM342" s="11"/>
      <c r="CN342" s="11"/>
      <c r="CO342" s="11"/>
      <c r="CP342" s="11"/>
      <c r="CQ342" s="11"/>
      <c r="CR342" s="11"/>
      <c r="CS342" s="11"/>
      <c r="CT342" s="11"/>
      <c r="CU342" s="11"/>
      <c r="CV342" s="11"/>
      <c r="CW342" s="11"/>
      <c r="CX342" s="11"/>
      <c r="CY342" s="11"/>
      <c r="CZ342" s="11"/>
      <c r="DA342" s="11"/>
      <c r="DB342" s="11"/>
      <c r="DC342" s="11"/>
    </row>
    <row r="343" spans="1:107" ht="12.75" customHeight="1">
      <c r="A343" s="11"/>
      <c r="B343" s="11"/>
      <c r="C343" s="11"/>
      <c r="D343" s="11"/>
      <c r="E343" s="11"/>
      <c r="F343" s="11"/>
      <c r="G343" s="11"/>
      <c r="H343" s="15"/>
      <c r="I343" s="38"/>
      <c r="J343" s="38"/>
      <c r="K343" s="38"/>
      <c r="L343" s="41"/>
      <c r="M343" s="43"/>
      <c r="N343" s="11"/>
      <c r="O343" s="48"/>
      <c r="P343" s="48"/>
      <c r="Q343" s="48"/>
      <c r="R343" s="38"/>
      <c r="S343" s="38"/>
      <c r="T343" s="52"/>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83"/>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83"/>
      <c r="CK343" s="11"/>
      <c r="CL343" s="11"/>
      <c r="CM343" s="11"/>
      <c r="CN343" s="11"/>
      <c r="CO343" s="11"/>
      <c r="CP343" s="11"/>
      <c r="CQ343" s="11"/>
      <c r="CR343" s="11"/>
      <c r="CS343" s="11"/>
      <c r="CT343" s="11"/>
      <c r="CU343" s="11"/>
      <c r="CV343" s="11"/>
      <c r="CW343" s="11"/>
      <c r="CX343" s="11"/>
      <c r="CY343" s="11"/>
      <c r="CZ343" s="11"/>
      <c r="DA343" s="11"/>
      <c r="DB343" s="11"/>
      <c r="DC343" s="11"/>
    </row>
    <row r="344" spans="1:107" ht="12.75" customHeight="1">
      <c r="A344" s="11"/>
      <c r="B344" s="11"/>
      <c r="C344" s="11"/>
      <c r="D344" s="11"/>
      <c r="E344" s="11"/>
      <c r="F344" s="11"/>
      <c r="G344" s="11"/>
      <c r="H344" s="15"/>
      <c r="I344" s="38"/>
      <c r="J344" s="38"/>
      <c r="K344" s="38"/>
      <c r="L344" s="41"/>
      <c r="M344" s="43"/>
      <c r="N344" s="11"/>
      <c r="O344" s="48"/>
      <c r="P344" s="48"/>
      <c r="Q344" s="48"/>
      <c r="R344" s="38"/>
      <c r="S344" s="38"/>
      <c r="T344" s="52"/>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83"/>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83"/>
      <c r="CK344" s="11"/>
      <c r="CL344" s="11"/>
      <c r="CM344" s="11"/>
      <c r="CN344" s="11"/>
      <c r="CO344" s="11"/>
      <c r="CP344" s="11"/>
      <c r="CQ344" s="11"/>
      <c r="CR344" s="11"/>
      <c r="CS344" s="11"/>
      <c r="CT344" s="11"/>
      <c r="CU344" s="11"/>
      <c r="CV344" s="11"/>
      <c r="CW344" s="11"/>
      <c r="CX344" s="11"/>
      <c r="CY344" s="11"/>
      <c r="CZ344" s="11"/>
      <c r="DA344" s="11"/>
      <c r="DB344" s="11"/>
      <c r="DC344" s="11"/>
    </row>
    <row r="345" spans="1:107" ht="12.75" customHeight="1">
      <c r="A345" s="11"/>
      <c r="B345" s="11"/>
      <c r="C345" s="11"/>
      <c r="D345" s="11"/>
      <c r="E345" s="11"/>
      <c r="F345" s="11"/>
      <c r="G345" s="11"/>
      <c r="H345" s="15"/>
      <c r="I345" s="38"/>
      <c r="J345" s="38"/>
      <c r="K345" s="38"/>
      <c r="L345" s="41"/>
      <c r="M345" s="43"/>
      <c r="N345" s="11"/>
      <c r="O345" s="48"/>
      <c r="P345" s="48"/>
      <c r="Q345" s="48"/>
      <c r="R345" s="38"/>
      <c r="S345" s="38"/>
      <c r="T345" s="52"/>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83"/>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83"/>
      <c r="CK345" s="11"/>
      <c r="CL345" s="11"/>
      <c r="CM345" s="11"/>
      <c r="CN345" s="11"/>
      <c r="CO345" s="11"/>
      <c r="CP345" s="11"/>
      <c r="CQ345" s="11"/>
      <c r="CR345" s="11"/>
      <c r="CS345" s="11"/>
      <c r="CT345" s="11"/>
      <c r="CU345" s="11"/>
      <c r="CV345" s="11"/>
      <c r="CW345" s="11"/>
      <c r="CX345" s="11"/>
      <c r="CY345" s="11"/>
      <c r="CZ345" s="11"/>
      <c r="DA345" s="11"/>
      <c r="DB345" s="11"/>
      <c r="DC345" s="11"/>
    </row>
    <row r="346" spans="1:107" ht="12.75" customHeight="1">
      <c r="A346" s="11"/>
      <c r="B346" s="11"/>
      <c r="C346" s="11"/>
      <c r="D346" s="11"/>
      <c r="E346" s="11"/>
      <c r="F346" s="11"/>
      <c r="G346" s="11"/>
      <c r="H346" s="15"/>
      <c r="I346" s="38"/>
      <c r="J346" s="38"/>
      <c r="K346" s="38"/>
      <c r="L346" s="41"/>
      <c r="M346" s="43"/>
      <c r="N346" s="11"/>
      <c r="O346" s="48"/>
      <c r="P346" s="48"/>
      <c r="Q346" s="48"/>
      <c r="R346" s="38"/>
      <c r="S346" s="38"/>
      <c r="T346" s="52"/>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83"/>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83"/>
      <c r="CK346" s="11"/>
      <c r="CL346" s="11"/>
      <c r="CM346" s="11"/>
      <c r="CN346" s="11"/>
      <c r="CO346" s="11"/>
      <c r="CP346" s="11"/>
      <c r="CQ346" s="11"/>
      <c r="CR346" s="11"/>
      <c r="CS346" s="11"/>
      <c r="CT346" s="11"/>
      <c r="CU346" s="11"/>
      <c r="CV346" s="11"/>
      <c r="CW346" s="11"/>
      <c r="CX346" s="11"/>
      <c r="CY346" s="11"/>
      <c r="CZ346" s="11"/>
      <c r="DA346" s="11"/>
      <c r="DB346" s="11"/>
      <c r="DC346" s="11"/>
    </row>
    <row r="347" spans="1:107" ht="12.75" customHeight="1">
      <c r="A347" s="11"/>
      <c r="B347" s="11"/>
      <c r="C347" s="11"/>
      <c r="D347" s="11"/>
      <c r="E347" s="11"/>
      <c r="F347" s="11"/>
      <c r="G347" s="11"/>
      <c r="H347" s="15"/>
      <c r="I347" s="38"/>
      <c r="J347" s="38"/>
      <c r="K347" s="38"/>
      <c r="L347" s="41"/>
      <c r="M347" s="43"/>
      <c r="N347" s="11"/>
      <c r="O347" s="48"/>
      <c r="P347" s="48"/>
      <c r="Q347" s="48"/>
      <c r="R347" s="38"/>
      <c r="S347" s="38"/>
      <c r="T347" s="52"/>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83"/>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83"/>
      <c r="CK347" s="11"/>
      <c r="CL347" s="11"/>
      <c r="CM347" s="11"/>
      <c r="CN347" s="11"/>
      <c r="CO347" s="11"/>
      <c r="CP347" s="11"/>
      <c r="CQ347" s="11"/>
      <c r="CR347" s="11"/>
      <c r="CS347" s="11"/>
      <c r="CT347" s="11"/>
      <c r="CU347" s="11"/>
      <c r="CV347" s="11"/>
      <c r="CW347" s="11"/>
      <c r="CX347" s="11"/>
      <c r="CY347" s="11"/>
      <c r="CZ347" s="11"/>
      <c r="DA347" s="11"/>
      <c r="DB347" s="11"/>
      <c r="DC347" s="11"/>
    </row>
    <row r="348" spans="1:107" ht="12.75" customHeight="1">
      <c r="A348" s="11"/>
      <c r="B348" s="11"/>
      <c r="C348" s="11"/>
      <c r="D348" s="11"/>
      <c r="E348" s="11"/>
      <c r="F348" s="11"/>
      <c r="G348" s="11"/>
      <c r="H348" s="15"/>
      <c r="I348" s="38"/>
      <c r="J348" s="38"/>
      <c r="K348" s="38"/>
      <c r="L348" s="41"/>
      <c r="M348" s="43"/>
      <c r="N348" s="11"/>
      <c r="O348" s="48"/>
      <c r="P348" s="48"/>
      <c r="Q348" s="48"/>
      <c r="R348" s="38"/>
      <c r="S348" s="38"/>
      <c r="T348" s="52"/>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83"/>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83"/>
      <c r="CK348" s="11"/>
      <c r="CL348" s="11"/>
      <c r="CM348" s="11"/>
      <c r="CN348" s="11"/>
      <c r="CO348" s="11"/>
      <c r="CP348" s="11"/>
      <c r="CQ348" s="11"/>
      <c r="CR348" s="11"/>
      <c r="CS348" s="11"/>
      <c r="CT348" s="11"/>
      <c r="CU348" s="11"/>
      <c r="CV348" s="11"/>
      <c r="CW348" s="11"/>
      <c r="CX348" s="11"/>
      <c r="CY348" s="11"/>
      <c r="CZ348" s="11"/>
      <c r="DA348" s="11"/>
      <c r="DB348" s="11"/>
      <c r="DC348" s="11"/>
    </row>
    <row r="349" spans="1:107" ht="12.75" customHeight="1">
      <c r="A349" s="11"/>
      <c r="B349" s="11"/>
      <c r="C349" s="11"/>
      <c r="D349" s="11"/>
      <c r="E349" s="11"/>
      <c r="F349" s="11"/>
      <c r="G349" s="11"/>
      <c r="H349" s="15"/>
      <c r="I349" s="38"/>
      <c r="J349" s="38"/>
      <c r="K349" s="38"/>
      <c r="L349" s="41"/>
      <c r="M349" s="43"/>
      <c r="N349" s="11"/>
      <c r="O349" s="48"/>
      <c r="P349" s="48"/>
      <c r="Q349" s="48"/>
      <c r="R349" s="38"/>
      <c r="S349" s="38"/>
      <c r="T349" s="52"/>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83"/>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83"/>
      <c r="CK349" s="11"/>
      <c r="CL349" s="11"/>
      <c r="CM349" s="11"/>
      <c r="CN349" s="11"/>
      <c r="CO349" s="11"/>
      <c r="CP349" s="11"/>
      <c r="CQ349" s="11"/>
      <c r="CR349" s="11"/>
      <c r="CS349" s="11"/>
      <c r="CT349" s="11"/>
      <c r="CU349" s="11"/>
      <c r="CV349" s="11"/>
      <c r="CW349" s="11"/>
      <c r="CX349" s="11"/>
      <c r="CY349" s="11"/>
      <c r="CZ349" s="11"/>
      <c r="DA349" s="11"/>
      <c r="DB349" s="11"/>
      <c r="DC349" s="11"/>
    </row>
    <row r="350" spans="1:107" ht="12.75" customHeight="1">
      <c r="A350" s="11"/>
      <c r="B350" s="11"/>
      <c r="C350" s="11"/>
      <c r="D350" s="11"/>
      <c r="E350" s="11"/>
      <c r="F350" s="11"/>
      <c r="G350" s="11"/>
      <c r="H350" s="15"/>
      <c r="I350" s="38"/>
      <c r="J350" s="38"/>
      <c r="K350" s="38"/>
      <c r="L350" s="41"/>
      <c r="M350" s="43"/>
      <c r="N350" s="11"/>
      <c r="O350" s="48"/>
      <c r="P350" s="48"/>
      <c r="Q350" s="48"/>
      <c r="R350" s="38"/>
      <c r="S350" s="38"/>
      <c r="T350" s="52"/>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83"/>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83"/>
      <c r="CK350" s="11"/>
      <c r="CL350" s="11"/>
      <c r="CM350" s="11"/>
      <c r="CN350" s="11"/>
      <c r="CO350" s="11"/>
      <c r="CP350" s="11"/>
      <c r="CQ350" s="11"/>
      <c r="CR350" s="11"/>
      <c r="CS350" s="11"/>
      <c r="CT350" s="11"/>
      <c r="CU350" s="11"/>
      <c r="CV350" s="11"/>
      <c r="CW350" s="11"/>
      <c r="CX350" s="11"/>
      <c r="CY350" s="11"/>
      <c r="CZ350" s="11"/>
      <c r="DA350" s="11"/>
      <c r="DB350" s="11"/>
      <c r="DC350" s="11"/>
    </row>
    <row r="351" spans="1:107" ht="12.75" customHeight="1">
      <c r="A351" s="11"/>
      <c r="B351" s="11"/>
      <c r="C351" s="11"/>
      <c r="D351" s="11"/>
      <c r="E351" s="11"/>
      <c r="F351" s="11"/>
      <c r="G351" s="11"/>
      <c r="H351" s="15"/>
      <c r="I351" s="38"/>
      <c r="J351" s="38"/>
      <c r="K351" s="38"/>
      <c r="L351" s="41"/>
      <c r="M351" s="43"/>
      <c r="N351" s="11"/>
      <c r="O351" s="48"/>
      <c r="P351" s="48"/>
      <c r="Q351" s="48"/>
      <c r="R351" s="38"/>
      <c r="S351" s="38"/>
      <c r="T351" s="52"/>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83"/>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83"/>
      <c r="CK351" s="11"/>
      <c r="CL351" s="11"/>
      <c r="CM351" s="11"/>
      <c r="CN351" s="11"/>
      <c r="CO351" s="11"/>
      <c r="CP351" s="11"/>
      <c r="CQ351" s="11"/>
      <c r="CR351" s="11"/>
      <c r="CS351" s="11"/>
      <c r="CT351" s="11"/>
      <c r="CU351" s="11"/>
      <c r="CV351" s="11"/>
      <c r="CW351" s="11"/>
      <c r="CX351" s="11"/>
      <c r="CY351" s="11"/>
      <c r="CZ351" s="11"/>
      <c r="DA351" s="11"/>
      <c r="DB351" s="11"/>
      <c r="DC351" s="11"/>
    </row>
    <row r="352" spans="1:107" ht="12.75" customHeight="1">
      <c r="A352" s="11"/>
      <c r="B352" s="11"/>
      <c r="C352" s="11"/>
      <c r="D352" s="11"/>
      <c r="E352" s="11"/>
      <c r="F352" s="11"/>
      <c r="G352" s="11"/>
      <c r="H352" s="15"/>
      <c r="I352" s="38"/>
      <c r="J352" s="38"/>
      <c r="K352" s="38"/>
      <c r="L352" s="41"/>
      <c r="M352" s="43"/>
      <c r="N352" s="11"/>
      <c r="O352" s="48"/>
      <c r="P352" s="48"/>
      <c r="Q352" s="48"/>
      <c r="R352" s="38"/>
      <c r="S352" s="38"/>
      <c r="T352" s="52"/>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83"/>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83"/>
      <c r="CK352" s="11"/>
      <c r="CL352" s="11"/>
      <c r="CM352" s="11"/>
      <c r="CN352" s="11"/>
      <c r="CO352" s="11"/>
      <c r="CP352" s="11"/>
      <c r="CQ352" s="11"/>
      <c r="CR352" s="11"/>
      <c r="CS352" s="11"/>
      <c r="CT352" s="11"/>
      <c r="CU352" s="11"/>
      <c r="CV352" s="11"/>
      <c r="CW352" s="11"/>
      <c r="CX352" s="11"/>
      <c r="CY352" s="11"/>
      <c r="CZ352" s="11"/>
      <c r="DA352" s="11"/>
      <c r="DB352" s="11"/>
      <c r="DC352" s="11"/>
    </row>
    <row r="353" spans="1:107" ht="12.75" customHeight="1">
      <c r="A353" s="11"/>
      <c r="B353" s="11"/>
      <c r="C353" s="11"/>
      <c r="D353" s="11"/>
      <c r="E353" s="11"/>
      <c r="F353" s="11"/>
      <c r="G353" s="11"/>
      <c r="H353" s="15"/>
      <c r="I353" s="38"/>
      <c r="J353" s="38"/>
      <c r="K353" s="38"/>
      <c r="L353" s="41"/>
      <c r="M353" s="43"/>
      <c r="N353" s="11"/>
      <c r="O353" s="48"/>
      <c r="P353" s="48"/>
      <c r="Q353" s="48"/>
      <c r="R353" s="38"/>
      <c r="S353" s="38"/>
      <c r="T353" s="52"/>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83"/>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83"/>
      <c r="CK353" s="11"/>
      <c r="CL353" s="11"/>
      <c r="CM353" s="11"/>
      <c r="CN353" s="11"/>
      <c r="CO353" s="11"/>
      <c r="CP353" s="11"/>
      <c r="CQ353" s="11"/>
      <c r="CR353" s="11"/>
      <c r="CS353" s="11"/>
      <c r="CT353" s="11"/>
      <c r="CU353" s="11"/>
      <c r="CV353" s="11"/>
      <c r="CW353" s="11"/>
      <c r="CX353" s="11"/>
      <c r="CY353" s="11"/>
      <c r="CZ353" s="11"/>
      <c r="DA353" s="11"/>
      <c r="DB353" s="11"/>
      <c r="DC353" s="11"/>
    </row>
    <row r="354" spans="1:107" ht="12.75" customHeight="1">
      <c r="A354" s="11"/>
      <c r="B354" s="11"/>
      <c r="C354" s="11"/>
      <c r="D354" s="11"/>
      <c r="E354" s="11"/>
      <c r="F354" s="11"/>
      <c r="G354" s="11"/>
      <c r="H354" s="15"/>
      <c r="I354" s="38"/>
      <c r="J354" s="38"/>
      <c r="K354" s="38"/>
      <c r="L354" s="41"/>
      <c r="M354" s="43"/>
      <c r="N354" s="11"/>
      <c r="O354" s="48"/>
      <c r="P354" s="48"/>
      <c r="Q354" s="48"/>
      <c r="R354" s="38"/>
      <c r="S354" s="38"/>
      <c r="T354" s="52"/>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83"/>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83"/>
      <c r="CK354" s="11"/>
      <c r="CL354" s="11"/>
      <c r="CM354" s="11"/>
      <c r="CN354" s="11"/>
      <c r="CO354" s="11"/>
      <c r="CP354" s="11"/>
      <c r="CQ354" s="11"/>
      <c r="CR354" s="11"/>
      <c r="CS354" s="11"/>
      <c r="CT354" s="11"/>
      <c r="CU354" s="11"/>
      <c r="CV354" s="11"/>
      <c r="CW354" s="11"/>
      <c r="CX354" s="11"/>
      <c r="CY354" s="11"/>
      <c r="CZ354" s="11"/>
      <c r="DA354" s="11"/>
      <c r="DB354" s="11"/>
      <c r="DC354" s="11"/>
    </row>
    <row r="355" spans="1:107" ht="12.75" customHeight="1">
      <c r="A355" s="11"/>
      <c r="B355" s="11"/>
      <c r="C355" s="11"/>
      <c r="D355" s="11"/>
      <c r="E355" s="11"/>
      <c r="F355" s="11"/>
      <c r="G355" s="11"/>
      <c r="H355" s="15"/>
      <c r="I355" s="38"/>
      <c r="J355" s="38"/>
      <c r="K355" s="38"/>
      <c r="L355" s="41"/>
      <c r="M355" s="43"/>
      <c r="N355" s="11"/>
      <c r="O355" s="48"/>
      <c r="P355" s="48"/>
      <c r="Q355" s="48"/>
      <c r="R355" s="38"/>
      <c r="S355" s="38"/>
      <c r="T355" s="52"/>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83"/>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83"/>
      <c r="CK355" s="11"/>
      <c r="CL355" s="11"/>
      <c r="CM355" s="11"/>
      <c r="CN355" s="11"/>
      <c r="CO355" s="11"/>
      <c r="CP355" s="11"/>
      <c r="CQ355" s="11"/>
      <c r="CR355" s="11"/>
      <c r="CS355" s="11"/>
      <c r="CT355" s="11"/>
      <c r="CU355" s="11"/>
      <c r="CV355" s="11"/>
      <c r="CW355" s="11"/>
      <c r="CX355" s="11"/>
      <c r="CY355" s="11"/>
      <c r="CZ355" s="11"/>
      <c r="DA355" s="11"/>
      <c r="DB355" s="11"/>
      <c r="DC355" s="11"/>
    </row>
    <row r="356" spans="1:107" ht="12.75" customHeight="1">
      <c r="A356" s="11"/>
      <c r="B356" s="11"/>
      <c r="C356" s="11"/>
      <c r="D356" s="11"/>
      <c r="E356" s="11"/>
      <c r="F356" s="11"/>
      <c r="G356" s="11"/>
      <c r="H356" s="15"/>
      <c r="I356" s="38"/>
      <c r="J356" s="38"/>
      <c r="K356" s="38"/>
      <c r="L356" s="41"/>
      <c r="M356" s="43"/>
      <c r="N356" s="11"/>
      <c r="O356" s="48"/>
      <c r="P356" s="48"/>
      <c r="Q356" s="48"/>
      <c r="R356" s="38"/>
      <c r="S356" s="38"/>
      <c r="T356" s="52"/>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83"/>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83"/>
      <c r="CK356" s="11"/>
      <c r="CL356" s="11"/>
      <c r="CM356" s="11"/>
      <c r="CN356" s="11"/>
      <c r="CO356" s="11"/>
      <c r="CP356" s="11"/>
      <c r="CQ356" s="11"/>
      <c r="CR356" s="11"/>
      <c r="CS356" s="11"/>
      <c r="CT356" s="11"/>
      <c r="CU356" s="11"/>
      <c r="CV356" s="11"/>
      <c r="CW356" s="11"/>
      <c r="CX356" s="11"/>
      <c r="CY356" s="11"/>
      <c r="CZ356" s="11"/>
      <c r="DA356" s="11"/>
      <c r="DB356" s="11"/>
      <c r="DC356" s="11"/>
    </row>
    <row r="357" spans="1:107" ht="12.75" customHeight="1">
      <c r="A357" s="11"/>
      <c r="B357" s="11"/>
      <c r="C357" s="11"/>
      <c r="D357" s="11"/>
      <c r="E357" s="11"/>
      <c r="F357" s="11"/>
      <c r="G357" s="11"/>
      <c r="H357" s="15"/>
      <c r="I357" s="38"/>
      <c r="J357" s="38"/>
      <c r="K357" s="38"/>
      <c r="L357" s="41"/>
      <c r="M357" s="43"/>
      <c r="N357" s="11"/>
      <c r="O357" s="48"/>
      <c r="P357" s="48"/>
      <c r="Q357" s="48"/>
      <c r="R357" s="38"/>
      <c r="S357" s="38"/>
      <c r="T357" s="52"/>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83"/>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83"/>
      <c r="CK357" s="11"/>
      <c r="CL357" s="11"/>
      <c r="CM357" s="11"/>
      <c r="CN357" s="11"/>
      <c r="CO357" s="11"/>
      <c r="CP357" s="11"/>
      <c r="CQ357" s="11"/>
      <c r="CR357" s="11"/>
      <c r="CS357" s="11"/>
      <c r="CT357" s="11"/>
      <c r="CU357" s="11"/>
      <c r="CV357" s="11"/>
      <c r="CW357" s="11"/>
      <c r="CX357" s="11"/>
      <c r="CY357" s="11"/>
      <c r="CZ357" s="11"/>
      <c r="DA357" s="11"/>
      <c r="DB357" s="11"/>
      <c r="DC357" s="11"/>
    </row>
    <row r="358" spans="1:107" ht="12.75" customHeight="1">
      <c r="A358" s="11"/>
      <c r="B358" s="11"/>
      <c r="C358" s="11"/>
      <c r="D358" s="11"/>
      <c r="E358" s="11"/>
      <c r="F358" s="11"/>
      <c r="G358" s="11"/>
      <c r="H358" s="15"/>
      <c r="I358" s="38"/>
      <c r="J358" s="38"/>
      <c r="K358" s="38"/>
      <c r="L358" s="41"/>
      <c r="M358" s="43"/>
      <c r="N358" s="11"/>
      <c r="O358" s="48"/>
      <c r="P358" s="48"/>
      <c r="Q358" s="48"/>
      <c r="R358" s="38"/>
      <c r="S358" s="38"/>
      <c r="T358" s="52"/>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83"/>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83"/>
      <c r="CK358" s="11"/>
      <c r="CL358" s="11"/>
      <c r="CM358" s="11"/>
      <c r="CN358" s="11"/>
      <c r="CO358" s="11"/>
      <c r="CP358" s="11"/>
      <c r="CQ358" s="11"/>
      <c r="CR358" s="11"/>
      <c r="CS358" s="11"/>
      <c r="CT358" s="11"/>
      <c r="CU358" s="11"/>
      <c r="CV358" s="11"/>
      <c r="CW358" s="11"/>
      <c r="CX358" s="11"/>
      <c r="CY358" s="11"/>
      <c r="CZ358" s="11"/>
      <c r="DA358" s="11"/>
      <c r="DB358" s="11"/>
      <c r="DC358" s="11"/>
    </row>
    <row r="359" spans="1:107" ht="12.75" customHeight="1">
      <c r="A359" s="11"/>
      <c r="B359" s="11"/>
      <c r="C359" s="11"/>
      <c r="D359" s="11"/>
      <c r="E359" s="11"/>
      <c r="F359" s="11"/>
      <c r="G359" s="11"/>
      <c r="H359" s="15"/>
      <c r="I359" s="38"/>
      <c r="J359" s="38"/>
      <c r="K359" s="38"/>
      <c r="L359" s="41"/>
      <c r="M359" s="43"/>
      <c r="N359" s="11"/>
      <c r="O359" s="48"/>
      <c r="P359" s="48"/>
      <c r="Q359" s="48"/>
      <c r="R359" s="38"/>
      <c r="S359" s="38"/>
      <c r="T359" s="52"/>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83"/>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83"/>
      <c r="CK359" s="11"/>
      <c r="CL359" s="11"/>
      <c r="CM359" s="11"/>
      <c r="CN359" s="11"/>
      <c r="CO359" s="11"/>
      <c r="CP359" s="11"/>
      <c r="CQ359" s="11"/>
      <c r="CR359" s="11"/>
      <c r="CS359" s="11"/>
      <c r="CT359" s="11"/>
      <c r="CU359" s="11"/>
      <c r="CV359" s="11"/>
      <c r="CW359" s="11"/>
      <c r="CX359" s="11"/>
      <c r="CY359" s="11"/>
      <c r="CZ359" s="11"/>
      <c r="DA359" s="11"/>
      <c r="DB359" s="11"/>
      <c r="DC359" s="11"/>
    </row>
    <row r="360" spans="1:107" ht="12.75" customHeight="1">
      <c r="A360" s="11"/>
      <c r="B360" s="11"/>
      <c r="C360" s="11"/>
      <c r="D360" s="11"/>
      <c r="E360" s="11"/>
      <c r="F360" s="11"/>
      <c r="G360" s="11"/>
      <c r="H360" s="15"/>
      <c r="I360" s="38"/>
      <c r="J360" s="38"/>
      <c r="K360" s="38"/>
      <c r="L360" s="41"/>
      <c r="M360" s="43"/>
      <c r="N360" s="11"/>
      <c r="O360" s="48"/>
      <c r="P360" s="48"/>
      <c r="Q360" s="48"/>
      <c r="R360" s="38"/>
      <c r="S360" s="38"/>
      <c r="T360" s="52"/>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83"/>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83"/>
      <c r="CK360" s="11"/>
      <c r="CL360" s="11"/>
      <c r="CM360" s="11"/>
      <c r="CN360" s="11"/>
      <c r="CO360" s="11"/>
      <c r="CP360" s="11"/>
      <c r="CQ360" s="11"/>
      <c r="CR360" s="11"/>
      <c r="CS360" s="11"/>
      <c r="CT360" s="11"/>
      <c r="CU360" s="11"/>
      <c r="CV360" s="11"/>
      <c r="CW360" s="11"/>
      <c r="CX360" s="11"/>
      <c r="CY360" s="11"/>
      <c r="CZ360" s="11"/>
      <c r="DA360" s="11"/>
      <c r="DB360" s="11"/>
      <c r="DC360" s="11"/>
    </row>
    <row r="361" spans="1:107" ht="12.75" customHeight="1">
      <c r="A361" s="11"/>
      <c r="B361" s="11"/>
      <c r="C361" s="11"/>
      <c r="D361" s="11"/>
      <c r="E361" s="11"/>
      <c r="F361" s="11"/>
      <c r="G361" s="11"/>
      <c r="H361" s="15"/>
      <c r="I361" s="38"/>
      <c r="J361" s="38"/>
      <c r="K361" s="38"/>
      <c r="L361" s="41"/>
      <c r="M361" s="43"/>
      <c r="N361" s="11"/>
      <c r="O361" s="48"/>
      <c r="P361" s="48"/>
      <c r="Q361" s="48"/>
      <c r="R361" s="38"/>
      <c r="S361" s="38"/>
      <c r="T361" s="52"/>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83"/>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83"/>
      <c r="CK361" s="11"/>
      <c r="CL361" s="11"/>
      <c r="CM361" s="11"/>
      <c r="CN361" s="11"/>
      <c r="CO361" s="11"/>
      <c r="CP361" s="11"/>
      <c r="CQ361" s="11"/>
      <c r="CR361" s="11"/>
      <c r="CS361" s="11"/>
      <c r="CT361" s="11"/>
      <c r="CU361" s="11"/>
      <c r="CV361" s="11"/>
      <c r="CW361" s="11"/>
      <c r="CX361" s="11"/>
      <c r="CY361" s="11"/>
      <c r="CZ361" s="11"/>
      <c r="DA361" s="11"/>
      <c r="DB361" s="11"/>
      <c r="DC361" s="11"/>
    </row>
    <row r="362" spans="1:107" ht="12.75" customHeight="1">
      <c r="A362" s="11"/>
      <c r="B362" s="11"/>
      <c r="C362" s="11"/>
      <c r="D362" s="11"/>
      <c r="E362" s="11"/>
      <c r="F362" s="11"/>
      <c r="G362" s="11"/>
      <c r="H362" s="15"/>
      <c r="I362" s="38"/>
      <c r="J362" s="38"/>
      <c r="K362" s="38"/>
      <c r="L362" s="41"/>
      <c r="M362" s="43"/>
      <c r="N362" s="11"/>
      <c r="O362" s="48"/>
      <c r="P362" s="48"/>
      <c r="Q362" s="48"/>
      <c r="R362" s="38"/>
      <c r="S362" s="38"/>
      <c r="T362" s="52"/>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83"/>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83"/>
      <c r="CK362" s="11"/>
      <c r="CL362" s="11"/>
      <c r="CM362" s="11"/>
      <c r="CN362" s="11"/>
      <c r="CO362" s="11"/>
      <c r="CP362" s="11"/>
      <c r="CQ362" s="11"/>
      <c r="CR362" s="11"/>
      <c r="CS362" s="11"/>
      <c r="CT362" s="11"/>
      <c r="CU362" s="11"/>
      <c r="CV362" s="11"/>
      <c r="CW362" s="11"/>
      <c r="CX362" s="11"/>
      <c r="CY362" s="11"/>
      <c r="CZ362" s="11"/>
      <c r="DA362" s="11"/>
      <c r="DB362" s="11"/>
      <c r="DC362" s="11"/>
    </row>
    <row r="363" spans="1:107" ht="12.75" customHeight="1">
      <c r="A363" s="11"/>
      <c r="B363" s="11"/>
      <c r="C363" s="11"/>
      <c r="D363" s="11"/>
      <c r="E363" s="11"/>
      <c r="F363" s="11"/>
      <c r="G363" s="11"/>
      <c r="H363" s="15"/>
      <c r="I363" s="38"/>
      <c r="J363" s="38"/>
      <c r="K363" s="38"/>
      <c r="L363" s="41"/>
      <c r="M363" s="43"/>
      <c r="N363" s="11"/>
      <c r="O363" s="48"/>
      <c r="P363" s="48"/>
      <c r="Q363" s="48"/>
      <c r="R363" s="38"/>
      <c r="S363" s="38"/>
      <c r="T363" s="52"/>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83"/>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83"/>
      <c r="CK363" s="11"/>
      <c r="CL363" s="11"/>
      <c r="CM363" s="11"/>
      <c r="CN363" s="11"/>
      <c r="CO363" s="11"/>
      <c r="CP363" s="11"/>
      <c r="CQ363" s="11"/>
      <c r="CR363" s="11"/>
      <c r="CS363" s="11"/>
      <c r="CT363" s="11"/>
      <c r="CU363" s="11"/>
      <c r="CV363" s="11"/>
      <c r="CW363" s="11"/>
      <c r="CX363" s="11"/>
      <c r="CY363" s="11"/>
      <c r="CZ363" s="11"/>
      <c r="DA363" s="11"/>
      <c r="DB363" s="11"/>
      <c r="DC363" s="11"/>
    </row>
    <row r="364" spans="1:107" ht="12.75" customHeight="1">
      <c r="A364" s="11"/>
      <c r="B364" s="11"/>
      <c r="C364" s="11"/>
      <c r="D364" s="11"/>
      <c r="E364" s="11"/>
      <c r="F364" s="11"/>
      <c r="G364" s="11"/>
      <c r="H364" s="15"/>
      <c r="I364" s="38"/>
      <c r="J364" s="38"/>
      <c r="K364" s="38"/>
      <c r="L364" s="41"/>
      <c r="M364" s="43"/>
      <c r="N364" s="11"/>
      <c r="O364" s="48"/>
      <c r="P364" s="48"/>
      <c r="Q364" s="48"/>
      <c r="R364" s="38"/>
      <c r="S364" s="38"/>
      <c r="T364" s="52"/>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83"/>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83"/>
      <c r="CK364" s="11"/>
      <c r="CL364" s="11"/>
      <c r="CM364" s="11"/>
      <c r="CN364" s="11"/>
      <c r="CO364" s="11"/>
      <c r="CP364" s="11"/>
      <c r="CQ364" s="11"/>
      <c r="CR364" s="11"/>
      <c r="CS364" s="11"/>
      <c r="CT364" s="11"/>
      <c r="CU364" s="11"/>
      <c r="CV364" s="11"/>
      <c r="CW364" s="11"/>
      <c r="CX364" s="11"/>
      <c r="CY364" s="11"/>
      <c r="CZ364" s="11"/>
      <c r="DA364" s="11"/>
      <c r="DB364" s="11"/>
      <c r="DC364" s="11"/>
    </row>
    <row r="365" spans="1:107" ht="12.75" customHeight="1">
      <c r="A365" s="11"/>
      <c r="B365" s="11"/>
      <c r="C365" s="11"/>
      <c r="D365" s="11"/>
      <c r="E365" s="11"/>
      <c r="F365" s="11"/>
      <c r="G365" s="11"/>
      <c r="H365" s="15"/>
      <c r="I365" s="38"/>
      <c r="J365" s="38"/>
      <c r="K365" s="38"/>
      <c r="L365" s="41"/>
      <c r="M365" s="43"/>
      <c r="N365" s="11"/>
      <c r="O365" s="48"/>
      <c r="P365" s="48"/>
      <c r="Q365" s="48"/>
      <c r="R365" s="38"/>
      <c r="S365" s="38"/>
      <c r="T365" s="52"/>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83"/>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83"/>
      <c r="CK365" s="11"/>
      <c r="CL365" s="11"/>
      <c r="CM365" s="11"/>
      <c r="CN365" s="11"/>
      <c r="CO365" s="11"/>
      <c r="CP365" s="11"/>
      <c r="CQ365" s="11"/>
      <c r="CR365" s="11"/>
      <c r="CS365" s="11"/>
      <c r="CT365" s="11"/>
      <c r="CU365" s="11"/>
      <c r="CV365" s="11"/>
      <c r="CW365" s="11"/>
      <c r="CX365" s="11"/>
      <c r="CY365" s="11"/>
      <c r="CZ365" s="11"/>
      <c r="DA365" s="11"/>
      <c r="DB365" s="11"/>
      <c r="DC365" s="11"/>
    </row>
    <row r="366" spans="1:107" ht="12.75" customHeight="1">
      <c r="A366" s="11"/>
      <c r="B366" s="11"/>
      <c r="C366" s="11"/>
      <c r="D366" s="11"/>
      <c r="E366" s="11"/>
      <c r="F366" s="11"/>
      <c r="G366" s="11"/>
      <c r="H366" s="15"/>
      <c r="I366" s="38"/>
      <c r="J366" s="38"/>
      <c r="K366" s="38"/>
      <c r="L366" s="41"/>
      <c r="M366" s="43"/>
      <c r="N366" s="11"/>
      <c r="O366" s="48"/>
      <c r="P366" s="48"/>
      <c r="Q366" s="48"/>
      <c r="R366" s="38"/>
      <c r="S366" s="38"/>
      <c r="T366" s="52"/>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83"/>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83"/>
      <c r="CK366" s="11"/>
      <c r="CL366" s="11"/>
      <c r="CM366" s="11"/>
      <c r="CN366" s="11"/>
      <c r="CO366" s="11"/>
      <c r="CP366" s="11"/>
      <c r="CQ366" s="11"/>
      <c r="CR366" s="11"/>
      <c r="CS366" s="11"/>
      <c r="CT366" s="11"/>
      <c r="CU366" s="11"/>
      <c r="CV366" s="11"/>
      <c r="CW366" s="11"/>
      <c r="CX366" s="11"/>
      <c r="CY366" s="11"/>
      <c r="CZ366" s="11"/>
      <c r="DA366" s="11"/>
      <c r="DB366" s="11"/>
      <c r="DC366" s="11"/>
    </row>
    <row r="367" spans="1:107" ht="12.75" customHeight="1">
      <c r="A367" s="11"/>
      <c r="B367" s="11"/>
      <c r="C367" s="11"/>
      <c r="D367" s="11"/>
      <c r="E367" s="11"/>
      <c r="F367" s="11"/>
      <c r="G367" s="11"/>
      <c r="H367" s="15"/>
      <c r="I367" s="38"/>
      <c r="J367" s="38"/>
      <c r="K367" s="38"/>
      <c r="L367" s="41"/>
      <c r="M367" s="43"/>
      <c r="N367" s="11"/>
      <c r="O367" s="48"/>
      <c r="P367" s="48"/>
      <c r="Q367" s="48"/>
      <c r="R367" s="38"/>
      <c r="S367" s="38"/>
      <c r="T367" s="52"/>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83"/>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83"/>
      <c r="CK367" s="11"/>
      <c r="CL367" s="11"/>
      <c r="CM367" s="11"/>
      <c r="CN367" s="11"/>
      <c r="CO367" s="11"/>
      <c r="CP367" s="11"/>
      <c r="CQ367" s="11"/>
      <c r="CR367" s="11"/>
      <c r="CS367" s="11"/>
      <c r="CT367" s="11"/>
      <c r="CU367" s="11"/>
      <c r="CV367" s="11"/>
      <c r="CW367" s="11"/>
      <c r="CX367" s="11"/>
      <c r="CY367" s="11"/>
      <c r="CZ367" s="11"/>
      <c r="DA367" s="11"/>
      <c r="DB367" s="11"/>
      <c r="DC367" s="11"/>
    </row>
    <row r="368" spans="1:107" ht="12.75" customHeight="1">
      <c r="A368" s="11"/>
      <c r="B368" s="11"/>
      <c r="C368" s="11"/>
      <c r="D368" s="11"/>
      <c r="E368" s="11"/>
      <c r="F368" s="11"/>
      <c r="G368" s="11"/>
      <c r="H368" s="15"/>
      <c r="I368" s="38"/>
      <c r="J368" s="38"/>
      <c r="K368" s="38"/>
      <c r="L368" s="41"/>
      <c r="M368" s="43"/>
      <c r="N368" s="11"/>
      <c r="O368" s="48"/>
      <c r="P368" s="48"/>
      <c r="Q368" s="48"/>
      <c r="R368" s="38"/>
      <c r="S368" s="38"/>
      <c r="T368" s="52"/>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83"/>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83"/>
      <c r="CK368" s="11"/>
      <c r="CL368" s="11"/>
      <c r="CM368" s="11"/>
      <c r="CN368" s="11"/>
      <c r="CO368" s="11"/>
      <c r="CP368" s="11"/>
      <c r="CQ368" s="11"/>
      <c r="CR368" s="11"/>
      <c r="CS368" s="11"/>
      <c r="CT368" s="11"/>
      <c r="CU368" s="11"/>
      <c r="CV368" s="11"/>
      <c r="CW368" s="11"/>
      <c r="CX368" s="11"/>
      <c r="CY368" s="11"/>
      <c r="CZ368" s="11"/>
      <c r="DA368" s="11"/>
      <c r="DB368" s="11"/>
      <c r="DC368" s="11"/>
    </row>
    <row r="369" spans="1:107" ht="12.75" customHeight="1">
      <c r="A369" s="11"/>
      <c r="B369" s="11"/>
      <c r="C369" s="11"/>
      <c r="D369" s="11"/>
      <c r="E369" s="11"/>
      <c r="F369" s="11"/>
      <c r="G369" s="11"/>
      <c r="H369" s="15"/>
      <c r="I369" s="38"/>
      <c r="J369" s="38"/>
      <c r="K369" s="38"/>
      <c r="L369" s="41"/>
      <c r="M369" s="43"/>
      <c r="N369" s="11"/>
      <c r="O369" s="48"/>
      <c r="P369" s="48"/>
      <c r="Q369" s="48"/>
      <c r="R369" s="38"/>
      <c r="S369" s="38"/>
      <c r="T369" s="52"/>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83"/>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83"/>
      <c r="CK369" s="11"/>
      <c r="CL369" s="11"/>
      <c r="CM369" s="11"/>
      <c r="CN369" s="11"/>
      <c r="CO369" s="11"/>
      <c r="CP369" s="11"/>
      <c r="CQ369" s="11"/>
      <c r="CR369" s="11"/>
      <c r="CS369" s="11"/>
      <c r="CT369" s="11"/>
      <c r="CU369" s="11"/>
      <c r="CV369" s="11"/>
      <c r="CW369" s="11"/>
      <c r="CX369" s="11"/>
      <c r="CY369" s="11"/>
      <c r="CZ369" s="11"/>
      <c r="DA369" s="11"/>
      <c r="DB369" s="11"/>
      <c r="DC369" s="11"/>
    </row>
    <row r="370" spans="1:107" ht="12.75" customHeight="1">
      <c r="A370" s="11"/>
      <c r="B370" s="11"/>
      <c r="C370" s="11"/>
      <c r="D370" s="11"/>
      <c r="E370" s="11"/>
      <c r="F370" s="11"/>
      <c r="G370" s="11"/>
      <c r="H370" s="15"/>
      <c r="I370" s="38"/>
      <c r="J370" s="38"/>
      <c r="K370" s="38"/>
      <c r="L370" s="41"/>
      <c r="M370" s="43"/>
      <c r="N370" s="11"/>
      <c r="O370" s="48"/>
      <c r="P370" s="48"/>
      <c r="Q370" s="48"/>
      <c r="R370" s="38"/>
      <c r="S370" s="38"/>
      <c r="T370" s="52"/>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83"/>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83"/>
      <c r="CK370" s="11"/>
      <c r="CL370" s="11"/>
      <c r="CM370" s="11"/>
      <c r="CN370" s="11"/>
      <c r="CO370" s="11"/>
      <c r="CP370" s="11"/>
      <c r="CQ370" s="11"/>
      <c r="CR370" s="11"/>
      <c r="CS370" s="11"/>
      <c r="CT370" s="11"/>
      <c r="CU370" s="11"/>
      <c r="CV370" s="11"/>
      <c r="CW370" s="11"/>
      <c r="CX370" s="11"/>
      <c r="CY370" s="11"/>
      <c r="CZ370" s="11"/>
      <c r="DA370" s="11"/>
      <c r="DB370" s="11"/>
      <c r="DC370" s="11"/>
    </row>
    <row r="371" spans="1:107" ht="12.75" customHeight="1">
      <c r="A371" s="11"/>
      <c r="B371" s="11"/>
      <c r="C371" s="11"/>
      <c r="D371" s="11"/>
      <c r="E371" s="11"/>
      <c r="F371" s="11"/>
      <c r="G371" s="11"/>
      <c r="H371" s="15"/>
      <c r="I371" s="38"/>
      <c r="J371" s="38"/>
      <c r="K371" s="38"/>
      <c r="L371" s="41"/>
      <c r="M371" s="43"/>
      <c r="N371" s="11"/>
      <c r="O371" s="48"/>
      <c r="P371" s="48"/>
      <c r="Q371" s="48"/>
      <c r="R371" s="38"/>
      <c r="S371" s="38"/>
      <c r="T371" s="52"/>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83"/>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83"/>
      <c r="CK371" s="11"/>
      <c r="CL371" s="11"/>
      <c r="CM371" s="11"/>
      <c r="CN371" s="11"/>
      <c r="CO371" s="11"/>
      <c r="CP371" s="11"/>
      <c r="CQ371" s="11"/>
      <c r="CR371" s="11"/>
      <c r="CS371" s="11"/>
      <c r="CT371" s="11"/>
      <c r="CU371" s="11"/>
      <c r="CV371" s="11"/>
      <c r="CW371" s="11"/>
      <c r="CX371" s="11"/>
      <c r="CY371" s="11"/>
      <c r="CZ371" s="11"/>
      <c r="DA371" s="11"/>
      <c r="DB371" s="11"/>
      <c r="DC371" s="11"/>
    </row>
    <row r="372" spans="1:107" ht="12.75" customHeight="1">
      <c r="A372" s="11"/>
      <c r="B372" s="11"/>
      <c r="C372" s="11"/>
      <c r="D372" s="11"/>
      <c r="E372" s="11"/>
      <c r="F372" s="11"/>
      <c r="G372" s="11"/>
      <c r="H372" s="15"/>
      <c r="I372" s="38"/>
      <c r="J372" s="38"/>
      <c r="K372" s="38"/>
      <c r="L372" s="41"/>
      <c r="M372" s="43"/>
      <c r="N372" s="11"/>
      <c r="O372" s="48"/>
      <c r="P372" s="48"/>
      <c r="Q372" s="48"/>
      <c r="R372" s="38"/>
      <c r="S372" s="38"/>
      <c r="T372" s="52"/>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83"/>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83"/>
      <c r="CK372" s="11"/>
      <c r="CL372" s="11"/>
      <c r="CM372" s="11"/>
      <c r="CN372" s="11"/>
      <c r="CO372" s="11"/>
      <c r="CP372" s="11"/>
      <c r="CQ372" s="11"/>
      <c r="CR372" s="11"/>
      <c r="CS372" s="11"/>
      <c r="CT372" s="11"/>
      <c r="CU372" s="11"/>
      <c r="CV372" s="11"/>
      <c r="CW372" s="11"/>
      <c r="CX372" s="11"/>
      <c r="CY372" s="11"/>
      <c r="CZ372" s="11"/>
      <c r="DA372" s="11"/>
      <c r="DB372" s="11"/>
      <c r="DC372" s="11"/>
    </row>
    <row r="373" spans="1:107" ht="12.75" customHeight="1">
      <c r="A373" s="11"/>
      <c r="B373" s="11"/>
      <c r="C373" s="11"/>
      <c r="D373" s="11"/>
      <c r="E373" s="11"/>
      <c r="F373" s="11"/>
      <c r="G373" s="11"/>
      <c r="H373" s="15"/>
      <c r="I373" s="38"/>
      <c r="J373" s="38"/>
      <c r="K373" s="38"/>
      <c r="L373" s="41"/>
      <c r="M373" s="43"/>
      <c r="N373" s="11"/>
      <c r="O373" s="48"/>
      <c r="P373" s="48"/>
      <c r="Q373" s="48"/>
      <c r="R373" s="38"/>
      <c r="S373" s="38"/>
      <c r="T373" s="52"/>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83"/>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83"/>
      <c r="CK373" s="11"/>
      <c r="CL373" s="11"/>
      <c r="CM373" s="11"/>
      <c r="CN373" s="11"/>
      <c r="CO373" s="11"/>
      <c r="CP373" s="11"/>
      <c r="CQ373" s="11"/>
      <c r="CR373" s="11"/>
      <c r="CS373" s="11"/>
      <c r="CT373" s="11"/>
      <c r="CU373" s="11"/>
      <c r="CV373" s="11"/>
      <c r="CW373" s="11"/>
      <c r="CX373" s="11"/>
      <c r="CY373" s="11"/>
      <c r="CZ373" s="11"/>
      <c r="DA373" s="11"/>
      <c r="DB373" s="11"/>
      <c r="DC373" s="11"/>
    </row>
    <row r="374" spans="1:107" ht="12.75" customHeight="1">
      <c r="A374" s="11"/>
      <c r="B374" s="11"/>
      <c r="C374" s="11"/>
      <c r="D374" s="11"/>
      <c r="E374" s="11"/>
      <c r="F374" s="11"/>
      <c r="G374" s="11"/>
      <c r="H374" s="15"/>
      <c r="I374" s="38"/>
      <c r="J374" s="38"/>
      <c r="K374" s="38"/>
      <c r="L374" s="41"/>
      <c r="M374" s="43"/>
      <c r="N374" s="11"/>
      <c r="O374" s="48"/>
      <c r="P374" s="48"/>
      <c r="Q374" s="48"/>
      <c r="R374" s="38"/>
      <c r="S374" s="38"/>
      <c r="T374" s="52"/>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83"/>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83"/>
      <c r="CK374" s="11"/>
      <c r="CL374" s="11"/>
      <c r="CM374" s="11"/>
      <c r="CN374" s="11"/>
      <c r="CO374" s="11"/>
      <c r="CP374" s="11"/>
      <c r="CQ374" s="11"/>
      <c r="CR374" s="11"/>
      <c r="CS374" s="11"/>
      <c r="CT374" s="11"/>
      <c r="CU374" s="11"/>
      <c r="CV374" s="11"/>
      <c r="CW374" s="11"/>
      <c r="CX374" s="11"/>
      <c r="CY374" s="11"/>
      <c r="CZ374" s="11"/>
      <c r="DA374" s="11"/>
      <c r="DB374" s="11"/>
      <c r="DC374" s="11"/>
    </row>
    <row r="375" spans="1:107" ht="12.75" customHeight="1">
      <c r="A375" s="11"/>
      <c r="B375" s="11"/>
      <c r="C375" s="11"/>
      <c r="D375" s="11"/>
      <c r="E375" s="11"/>
      <c r="F375" s="11"/>
      <c r="G375" s="11"/>
      <c r="H375" s="15"/>
      <c r="I375" s="38"/>
      <c r="J375" s="38"/>
      <c r="K375" s="38"/>
      <c r="L375" s="41"/>
      <c r="M375" s="43"/>
      <c r="N375" s="11"/>
      <c r="O375" s="48"/>
      <c r="P375" s="48"/>
      <c r="Q375" s="48"/>
      <c r="R375" s="38"/>
      <c r="S375" s="38"/>
      <c r="T375" s="52"/>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83"/>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83"/>
      <c r="CK375" s="11"/>
      <c r="CL375" s="11"/>
      <c r="CM375" s="11"/>
      <c r="CN375" s="11"/>
      <c r="CO375" s="11"/>
      <c r="CP375" s="11"/>
      <c r="CQ375" s="11"/>
      <c r="CR375" s="11"/>
      <c r="CS375" s="11"/>
      <c r="CT375" s="11"/>
      <c r="CU375" s="11"/>
      <c r="CV375" s="11"/>
      <c r="CW375" s="11"/>
      <c r="CX375" s="11"/>
      <c r="CY375" s="11"/>
      <c r="CZ375" s="11"/>
      <c r="DA375" s="11"/>
      <c r="DB375" s="11"/>
      <c r="DC375" s="11"/>
    </row>
    <row r="376" spans="1:107" ht="12.75" customHeight="1">
      <c r="A376" s="11"/>
      <c r="B376" s="11"/>
      <c r="C376" s="11"/>
      <c r="D376" s="11"/>
      <c r="E376" s="11"/>
      <c r="F376" s="11"/>
      <c r="G376" s="11"/>
      <c r="H376" s="15"/>
      <c r="I376" s="38"/>
      <c r="J376" s="38"/>
      <c r="K376" s="38"/>
      <c r="L376" s="41"/>
      <c r="M376" s="43"/>
      <c r="N376" s="11"/>
      <c r="O376" s="48"/>
      <c r="P376" s="48"/>
      <c r="Q376" s="48"/>
      <c r="R376" s="38"/>
      <c r="S376" s="38"/>
      <c r="T376" s="52"/>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83"/>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83"/>
      <c r="CK376" s="11"/>
      <c r="CL376" s="11"/>
      <c r="CM376" s="11"/>
      <c r="CN376" s="11"/>
      <c r="CO376" s="11"/>
      <c r="CP376" s="11"/>
      <c r="CQ376" s="11"/>
      <c r="CR376" s="11"/>
      <c r="CS376" s="11"/>
      <c r="CT376" s="11"/>
      <c r="CU376" s="11"/>
      <c r="CV376" s="11"/>
      <c r="CW376" s="11"/>
      <c r="CX376" s="11"/>
      <c r="CY376" s="11"/>
      <c r="CZ376" s="11"/>
      <c r="DA376" s="11"/>
      <c r="DB376" s="11"/>
      <c r="DC376" s="11"/>
    </row>
    <row r="377" spans="1:107" ht="12.75" customHeight="1">
      <c r="A377" s="11"/>
      <c r="B377" s="11"/>
      <c r="C377" s="11"/>
      <c r="D377" s="11"/>
      <c r="E377" s="11"/>
      <c r="F377" s="11"/>
      <c r="G377" s="11"/>
      <c r="H377" s="15"/>
      <c r="I377" s="38"/>
      <c r="J377" s="38"/>
      <c r="K377" s="38"/>
      <c r="L377" s="41"/>
      <c r="M377" s="43"/>
      <c r="N377" s="11"/>
      <c r="O377" s="48"/>
      <c r="P377" s="48"/>
      <c r="Q377" s="48"/>
      <c r="R377" s="38"/>
      <c r="S377" s="38"/>
      <c r="T377" s="52"/>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83"/>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83"/>
      <c r="CK377" s="11"/>
      <c r="CL377" s="11"/>
      <c r="CM377" s="11"/>
      <c r="CN377" s="11"/>
      <c r="CO377" s="11"/>
      <c r="CP377" s="11"/>
      <c r="CQ377" s="11"/>
      <c r="CR377" s="11"/>
      <c r="CS377" s="11"/>
      <c r="CT377" s="11"/>
      <c r="CU377" s="11"/>
      <c r="CV377" s="11"/>
      <c r="CW377" s="11"/>
      <c r="CX377" s="11"/>
      <c r="CY377" s="11"/>
      <c r="CZ377" s="11"/>
      <c r="DA377" s="11"/>
      <c r="DB377" s="11"/>
      <c r="DC377" s="11"/>
    </row>
    <row r="378" spans="1:107" ht="12.75" customHeight="1">
      <c r="A378" s="11"/>
      <c r="B378" s="11"/>
      <c r="C378" s="11"/>
      <c r="D378" s="11"/>
      <c r="E378" s="11"/>
      <c r="F378" s="11"/>
      <c r="G378" s="11"/>
      <c r="H378" s="15"/>
      <c r="I378" s="38"/>
      <c r="J378" s="38"/>
      <c r="K378" s="38"/>
      <c r="L378" s="41"/>
      <c r="M378" s="43"/>
      <c r="N378" s="11"/>
      <c r="O378" s="48"/>
      <c r="P378" s="48"/>
      <c r="Q378" s="48"/>
      <c r="R378" s="38"/>
      <c r="S378" s="38"/>
      <c r="T378" s="52"/>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83"/>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83"/>
      <c r="CK378" s="11"/>
      <c r="CL378" s="11"/>
      <c r="CM378" s="11"/>
      <c r="CN378" s="11"/>
      <c r="CO378" s="11"/>
      <c r="CP378" s="11"/>
      <c r="CQ378" s="11"/>
      <c r="CR378" s="11"/>
      <c r="CS378" s="11"/>
      <c r="CT378" s="11"/>
      <c r="CU378" s="11"/>
      <c r="CV378" s="11"/>
      <c r="CW378" s="11"/>
      <c r="CX378" s="11"/>
      <c r="CY378" s="11"/>
      <c r="CZ378" s="11"/>
      <c r="DA378" s="11"/>
      <c r="DB378" s="11"/>
      <c r="DC378" s="11"/>
    </row>
    <row r="379" spans="1:107" ht="12.75" customHeight="1">
      <c r="A379" s="11"/>
      <c r="B379" s="11"/>
      <c r="C379" s="11"/>
      <c r="D379" s="11"/>
      <c r="E379" s="11"/>
      <c r="F379" s="11"/>
      <c r="G379" s="11"/>
      <c r="H379" s="15"/>
      <c r="I379" s="38"/>
      <c r="J379" s="38"/>
      <c r="K379" s="38"/>
      <c r="L379" s="41"/>
      <c r="M379" s="43"/>
      <c r="N379" s="11"/>
      <c r="O379" s="48"/>
      <c r="P379" s="48"/>
      <c r="Q379" s="48"/>
      <c r="R379" s="38"/>
      <c r="S379" s="38"/>
      <c r="T379" s="52"/>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83"/>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83"/>
      <c r="CK379" s="11"/>
      <c r="CL379" s="11"/>
      <c r="CM379" s="11"/>
      <c r="CN379" s="11"/>
      <c r="CO379" s="11"/>
      <c r="CP379" s="11"/>
      <c r="CQ379" s="11"/>
      <c r="CR379" s="11"/>
      <c r="CS379" s="11"/>
      <c r="CT379" s="11"/>
      <c r="CU379" s="11"/>
      <c r="CV379" s="11"/>
      <c r="CW379" s="11"/>
      <c r="CX379" s="11"/>
      <c r="CY379" s="11"/>
      <c r="CZ379" s="11"/>
      <c r="DA379" s="11"/>
      <c r="DB379" s="11"/>
      <c r="DC379" s="11"/>
    </row>
    <row r="380" spans="1:107" ht="12.75" customHeight="1">
      <c r="A380" s="11"/>
      <c r="B380" s="11"/>
      <c r="C380" s="11"/>
      <c r="D380" s="11"/>
      <c r="E380" s="11"/>
      <c r="F380" s="11"/>
      <c r="G380" s="11"/>
      <c r="H380" s="15"/>
      <c r="I380" s="38"/>
      <c r="J380" s="38"/>
      <c r="K380" s="38"/>
      <c r="L380" s="41"/>
      <c r="M380" s="43"/>
      <c r="N380" s="11"/>
      <c r="O380" s="48"/>
      <c r="P380" s="48"/>
      <c r="Q380" s="48"/>
      <c r="R380" s="38"/>
      <c r="S380" s="38"/>
      <c r="T380" s="52"/>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83"/>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83"/>
      <c r="CK380" s="11"/>
      <c r="CL380" s="11"/>
      <c r="CM380" s="11"/>
      <c r="CN380" s="11"/>
      <c r="CO380" s="11"/>
      <c r="CP380" s="11"/>
      <c r="CQ380" s="11"/>
      <c r="CR380" s="11"/>
      <c r="CS380" s="11"/>
      <c r="CT380" s="11"/>
      <c r="CU380" s="11"/>
      <c r="CV380" s="11"/>
      <c r="CW380" s="11"/>
      <c r="CX380" s="11"/>
      <c r="CY380" s="11"/>
      <c r="CZ380" s="11"/>
      <c r="DA380" s="11"/>
      <c r="DB380" s="11"/>
      <c r="DC380" s="11"/>
    </row>
    <row r="381" spans="1:107" ht="12.75" customHeight="1">
      <c r="A381" s="11"/>
      <c r="B381" s="11"/>
      <c r="C381" s="11"/>
      <c r="D381" s="11"/>
      <c r="E381" s="11"/>
      <c r="F381" s="11"/>
      <c r="G381" s="11"/>
      <c r="H381" s="15"/>
      <c r="I381" s="38"/>
      <c r="J381" s="38"/>
      <c r="K381" s="38"/>
      <c r="L381" s="41"/>
      <c r="M381" s="43"/>
      <c r="N381" s="11"/>
      <c r="O381" s="48"/>
      <c r="P381" s="48"/>
      <c r="Q381" s="48"/>
      <c r="R381" s="38"/>
      <c r="S381" s="38"/>
      <c r="T381" s="52"/>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83"/>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83"/>
      <c r="CK381" s="11"/>
      <c r="CL381" s="11"/>
      <c r="CM381" s="11"/>
      <c r="CN381" s="11"/>
      <c r="CO381" s="11"/>
      <c r="CP381" s="11"/>
      <c r="CQ381" s="11"/>
      <c r="CR381" s="11"/>
      <c r="CS381" s="11"/>
      <c r="CT381" s="11"/>
      <c r="CU381" s="11"/>
      <c r="CV381" s="11"/>
      <c r="CW381" s="11"/>
      <c r="CX381" s="11"/>
      <c r="CY381" s="11"/>
      <c r="CZ381" s="11"/>
      <c r="DA381" s="11"/>
      <c r="DB381" s="11"/>
      <c r="DC381" s="11"/>
    </row>
    <row r="382" spans="1:107" ht="12.75" customHeight="1">
      <c r="A382" s="11"/>
      <c r="B382" s="11"/>
      <c r="C382" s="11"/>
      <c r="D382" s="11"/>
      <c r="E382" s="11"/>
      <c r="F382" s="11"/>
      <c r="G382" s="11"/>
      <c r="H382" s="15"/>
      <c r="I382" s="38"/>
      <c r="J382" s="38"/>
      <c r="K382" s="38"/>
      <c r="L382" s="41"/>
      <c r="M382" s="43"/>
      <c r="N382" s="11"/>
      <c r="O382" s="48"/>
      <c r="P382" s="48"/>
      <c r="Q382" s="48"/>
      <c r="R382" s="38"/>
      <c r="S382" s="38"/>
      <c r="T382" s="52"/>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83"/>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83"/>
      <c r="CK382" s="11"/>
      <c r="CL382" s="11"/>
      <c r="CM382" s="11"/>
      <c r="CN382" s="11"/>
      <c r="CO382" s="11"/>
      <c r="CP382" s="11"/>
      <c r="CQ382" s="11"/>
      <c r="CR382" s="11"/>
      <c r="CS382" s="11"/>
      <c r="CT382" s="11"/>
      <c r="CU382" s="11"/>
      <c r="CV382" s="11"/>
      <c r="CW382" s="11"/>
      <c r="CX382" s="11"/>
      <c r="CY382" s="11"/>
      <c r="CZ382" s="11"/>
      <c r="DA382" s="11"/>
      <c r="DB382" s="11"/>
      <c r="DC382" s="11"/>
    </row>
    <row r="383" spans="1:107" ht="12.75" customHeight="1">
      <c r="A383" s="11"/>
      <c r="B383" s="11"/>
      <c r="C383" s="11"/>
      <c r="D383" s="11"/>
      <c r="E383" s="11"/>
      <c r="F383" s="11"/>
      <c r="G383" s="11"/>
      <c r="H383" s="15"/>
      <c r="I383" s="38"/>
      <c r="J383" s="38"/>
      <c r="K383" s="38"/>
      <c r="L383" s="41"/>
      <c r="M383" s="43"/>
      <c r="N383" s="11"/>
      <c r="O383" s="48"/>
      <c r="P383" s="48"/>
      <c r="Q383" s="48"/>
      <c r="R383" s="38"/>
      <c r="S383" s="38"/>
      <c r="T383" s="52"/>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83"/>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83"/>
      <c r="CK383" s="11"/>
      <c r="CL383" s="11"/>
      <c r="CM383" s="11"/>
      <c r="CN383" s="11"/>
      <c r="CO383" s="11"/>
      <c r="CP383" s="11"/>
      <c r="CQ383" s="11"/>
      <c r="CR383" s="11"/>
      <c r="CS383" s="11"/>
      <c r="CT383" s="11"/>
      <c r="CU383" s="11"/>
      <c r="CV383" s="11"/>
      <c r="CW383" s="11"/>
      <c r="CX383" s="11"/>
      <c r="CY383" s="11"/>
      <c r="CZ383" s="11"/>
      <c r="DA383" s="11"/>
      <c r="DB383" s="11"/>
      <c r="DC383" s="11"/>
    </row>
    <row r="384" spans="1:107" ht="12.75" customHeight="1">
      <c r="A384" s="11"/>
      <c r="B384" s="11"/>
      <c r="C384" s="11"/>
      <c r="D384" s="11"/>
      <c r="E384" s="11"/>
      <c r="F384" s="11"/>
      <c r="G384" s="11"/>
      <c r="H384" s="15"/>
      <c r="I384" s="38"/>
      <c r="J384" s="38"/>
      <c r="K384" s="38"/>
      <c r="L384" s="41"/>
      <c r="M384" s="43"/>
      <c r="N384" s="11"/>
      <c r="O384" s="48"/>
      <c r="P384" s="48"/>
      <c r="Q384" s="48"/>
      <c r="R384" s="38"/>
      <c r="S384" s="38"/>
      <c r="T384" s="52"/>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83"/>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83"/>
      <c r="CK384" s="11"/>
      <c r="CL384" s="11"/>
      <c r="CM384" s="11"/>
      <c r="CN384" s="11"/>
      <c r="CO384" s="11"/>
      <c r="CP384" s="11"/>
      <c r="CQ384" s="11"/>
      <c r="CR384" s="11"/>
      <c r="CS384" s="11"/>
      <c r="CT384" s="11"/>
      <c r="CU384" s="11"/>
      <c r="CV384" s="11"/>
      <c r="CW384" s="11"/>
      <c r="CX384" s="11"/>
      <c r="CY384" s="11"/>
      <c r="CZ384" s="11"/>
      <c r="DA384" s="11"/>
      <c r="DB384" s="11"/>
      <c r="DC384" s="11"/>
    </row>
    <row r="385" spans="1:107" ht="12.75" customHeight="1">
      <c r="A385" s="11"/>
      <c r="B385" s="11"/>
      <c r="C385" s="11"/>
      <c r="D385" s="11"/>
      <c r="E385" s="11"/>
      <c r="F385" s="11"/>
      <c r="G385" s="11"/>
      <c r="H385" s="15"/>
      <c r="I385" s="38"/>
      <c r="J385" s="38"/>
      <c r="K385" s="38"/>
      <c r="L385" s="41"/>
      <c r="M385" s="43"/>
      <c r="N385" s="11"/>
      <c r="O385" s="48"/>
      <c r="P385" s="48"/>
      <c r="Q385" s="48"/>
      <c r="R385" s="38"/>
      <c r="S385" s="38"/>
      <c r="T385" s="52"/>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83"/>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83"/>
      <c r="CK385" s="11"/>
      <c r="CL385" s="11"/>
      <c r="CM385" s="11"/>
      <c r="CN385" s="11"/>
      <c r="CO385" s="11"/>
      <c r="CP385" s="11"/>
      <c r="CQ385" s="11"/>
      <c r="CR385" s="11"/>
      <c r="CS385" s="11"/>
      <c r="CT385" s="11"/>
      <c r="CU385" s="11"/>
      <c r="CV385" s="11"/>
      <c r="CW385" s="11"/>
      <c r="CX385" s="11"/>
      <c r="CY385" s="11"/>
      <c r="CZ385" s="11"/>
      <c r="DA385" s="11"/>
      <c r="DB385" s="11"/>
      <c r="DC385" s="11"/>
    </row>
    <row r="386" spans="1:107" ht="12.75" customHeight="1">
      <c r="A386" s="11"/>
      <c r="B386" s="11"/>
      <c r="C386" s="11"/>
      <c r="D386" s="11"/>
      <c r="E386" s="11"/>
      <c r="F386" s="11"/>
      <c r="G386" s="11"/>
      <c r="H386" s="15"/>
      <c r="I386" s="38"/>
      <c r="J386" s="38"/>
      <c r="K386" s="38"/>
      <c r="L386" s="41"/>
      <c r="M386" s="43"/>
      <c r="N386" s="11"/>
      <c r="O386" s="48"/>
      <c r="P386" s="48"/>
      <c r="Q386" s="48"/>
      <c r="R386" s="38"/>
      <c r="S386" s="38"/>
      <c r="T386" s="52"/>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83"/>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83"/>
      <c r="CK386" s="11"/>
      <c r="CL386" s="11"/>
      <c r="CM386" s="11"/>
      <c r="CN386" s="11"/>
      <c r="CO386" s="11"/>
      <c r="CP386" s="11"/>
      <c r="CQ386" s="11"/>
      <c r="CR386" s="11"/>
      <c r="CS386" s="11"/>
      <c r="CT386" s="11"/>
      <c r="CU386" s="11"/>
      <c r="CV386" s="11"/>
      <c r="CW386" s="11"/>
      <c r="CX386" s="11"/>
      <c r="CY386" s="11"/>
      <c r="CZ386" s="11"/>
      <c r="DA386" s="11"/>
      <c r="DB386" s="11"/>
      <c r="DC386" s="11"/>
    </row>
    <row r="387" spans="1:107" ht="12.75" customHeight="1">
      <c r="A387" s="11"/>
      <c r="B387" s="11"/>
      <c r="C387" s="11"/>
      <c r="D387" s="11"/>
      <c r="E387" s="11"/>
      <c r="F387" s="11"/>
      <c r="G387" s="11"/>
      <c r="H387" s="15"/>
      <c r="I387" s="38"/>
      <c r="J387" s="38"/>
      <c r="K387" s="38"/>
      <c r="L387" s="41"/>
      <c r="M387" s="43"/>
      <c r="N387" s="11"/>
      <c r="O387" s="48"/>
      <c r="P387" s="48"/>
      <c r="Q387" s="48"/>
      <c r="R387" s="38"/>
      <c r="S387" s="38"/>
      <c r="T387" s="52"/>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83"/>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83"/>
      <c r="CK387" s="11"/>
      <c r="CL387" s="11"/>
      <c r="CM387" s="11"/>
      <c r="CN387" s="11"/>
      <c r="CO387" s="11"/>
      <c r="CP387" s="11"/>
      <c r="CQ387" s="11"/>
      <c r="CR387" s="11"/>
      <c r="CS387" s="11"/>
      <c r="CT387" s="11"/>
      <c r="CU387" s="11"/>
      <c r="CV387" s="11"/>
      <c r="CW387" s="11"/>
      <c r="CX387" s="11"/>
      <c r="CY387" s="11"/>
      <c r="CZ387" s="11"/>
      <c r="DA387" s="11"/>
      <c r="DB387" s="11"/>
      <c r="DC387" s="11"/>
    </row>
    <row r="388" spans="1:107" ht="12.75" customHeight="1">
      <c r="A388" s="11"/>
      <c r="B388" s="11"/>
      <c r="C388" s="11"/>
      <c r="D388" s="11"/>
      <c r="E388" s="11"/>
      <c r="F388" s="11"/>
      <c r="G388" s="11"/>
      <c r="H388" s="15"/>
      <c r="I388" s="38"/>
      <c r="J388" s="38"/>
      <c r="K388" s="38"/>
      <c r="L388" s="41"/>
      <c r="M388" s="43"/>
      <c r="N388" s="11"/>
      <c r="O388" s="48"/>
      <c r="P388" s="48"/>
      <c r="Q388" s="48"/>
      <c r="R388" s="38"/>
      <c r="S388" s="38"/>
      <c r="T388" s="52"/>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83"/>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83"/>
      <c r="CK388" s="11"/>
      <c r="CL388" s="11"/>
      <c r="CM388" s="11"/>
      <c r="CN388" s="11"/>
      <c r="CO388" s="11"/>
      <c r="CP388" s="11"/>
      <c r="CQ388" s="11"/>
      <c r="CR388" s="11"/>
      <c r="CS388" s="11"/>
      <c r="CT388" s="11"/>
      <c r="CU388" s="11"/>
      <c r="CV388" s="11"/>
      <c r="CW388" s="11"/>
      <c r="CX388" s="11"/>
      <c r="CY388" s="11"/>
      <c r="CZ388" s="11"/>
      <c r="DA388" s="11"/>
      <c r="DB388" s="11"/>
      <c r="DC388" s="11"/>
    </row>
    <row r="389" spans="1:107" ht="12.75" customHeight="1">
      <c r="A389" s="11"/>
      <c r="B389" s="11"/>
      <c r="C389" s="11"/>
      <c r="D389" s="11"/>
      <c r="E389" s="11"/>
      <c r="F389" s="11"/>
      <c r="G389" s="11"/>
      <c r="H389" s="15"/>
      <c r="I389" s="38"/>
      <c r="J389" s="38"/>
      <c r="K389" s="38"/>
      <c r="L389" s="41"/>
      <c r="M389" s="43"/>
      <c r="N389" s="11"/>
      <c r="O389" s="48"/>
      <c r="P389" s="48"/>
      <c r="Q389" s="48"/>
      <c r="R389" s="38"/>
      <c r="S389" s="38"/>
      <c r="T389" s="52"/>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83"/>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83"/>
      <c r="CK389" s="11"/>
      <c r="CL389" s="11"/>
      <c r="CM389" s="11"/>
      <c r="CN389" s="11"/>
      <c r="CO389" s="11"/>
      <c r="CP389" s="11"/>
      <c r="CQ389" s="11"/>
      <c r="CR389" s="11"/>
      <c r="CS389" s="11"/>
      <c r="CT389" s="11"/>
      <c r="CU389" s="11"/>
      <c r="CV389" s="11"/>
      <c r="CW389" s="11"/>
      <c r="CX389" s="11"/>
      <c r="CY389" s="11"/>
      <c r="CZ389" s="11"/>
      <c r="DA389" s="11"/>
      <c r="DB389" s="11"/>
      <c r="DC389" s="11"/>
    </row>
    <row r="390" spans="1:107" ht="12.75" customHeight="1">
      <c r="A390" s="11"/>
      <c r="B390" s="11"/>
      <c r="C390" s="11"/>
      <c r="D390" s="11"/>
      <c r="E390" s="11"/>
      <c r="F390" s="11"/>
      <c r="G390" s="11"/>
      <c r="H390" s="15"/>
      <c r="I390" s="38"/>
      <c r="J390" s="38"/>
      <c r="K390" s="38"/>
      <c r="L390" s="41"/>
      <c r="M390" s="43"/>
      <c r="N390" s="11"/>
      <c r="O390" s="48"/>
      <c r="P390" s="48"/>
      <c r="Q390" s="48"/>
      <c r="R390" s="38"/>
      <c r="S390" s="38"/>
      <c r="T390" s="52"/>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83"/>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83"/>
      <c r="CK390" s="11"/>
      <c r="CL390" s="11"/>
      <c r="CM390" s="11"/>
      <c r="CN390" s="11"/>
      <c r="CO390" s="11"/>
      <c r="CP390" s="11"/>
      <c r="CQ390" s="11"/>
      <c r="CR390" s="11"/>
      <c r="CS390" s="11"/>
      <c r="CT390" s="11"/>
      <c r="CU390" s="11"/>
      <c r="CV390" s="11"/>
      <c r="CW390" s="11"/>
      <c r="CX390" s="11"/>
      <c r="CY390" s="11"/>
      <c r="CZ390" s="11"/>
      <c r="DA390" s="11"/>
      <c r="DB390" s="11"/>
      <c r="DC390" s="11"/>
    </row>
    <row r="391" spans="1:107" ht="12.75" customHeight="1">
      <c r="A391" s="11"/>
      <c r="B391" s="11"/>
      <c r="C391" s="11"/>
      <c r="D391" s="11"/>
      <c r="E391" s="11"/>
      <c r="F391" s="11"/>
      <c r="G391" s="11"/>
      <c r="H391" s="15"/>
      <c r="I391" s="38"/>
      <c r="J391" s="38"/>
      <c r="K391" s="38"/>
      <c r="L391" s="41"/>
      <c r="M391" s="43"/>
      <c r="N391" s="11"/>
      <c r="O391" s="48"/>
      <c r="P391" s="48"/>
      <c r="Q391" s="48"/>
      <c r="R391" s="38"/>
      <c r="S391" s="38"/>
      <c r="T391" s="52"/>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83"/>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83"/>
      <c r="CK391" s="11"/>
      <c r="CL391" s="11"/>
      <c r="CM391" s="11"/>
      <c r="CN391" s="11"/>
      <c r="CO391" s="11"/>
      <c r="CP391" s="11"/>
      <c r="CQ391" s="11"/>
      <c r="CR391" s="11"/>
      <c r="CS391" s="11"/>
      <c r="CT391" s="11"/>
      <c r="CU391" s="11"/>
      <c r="CV391" s="11"/>
      <c r="CW391" s="11"/>
      <c r="CX391" s="11"/>
      <c r="CY391" s="11"/>
      <c r="CZ391" s="11"/>
      <c r="DA391" s="11"/>
      <c r="DB391" s="11"/>
      <c r="DC391" s="11"/>
    </row>
    <row r="392" spans="1:107" ht="12.75" customHeight="1">
      <c r="A392" s="11"/>
      <c r="B392" s="11"/>
      <c r="C392" s="11"/>
      <c r="D392" s="11"/>
      <c r="E392" s="11"/>
      <c r="F392" s="11"/>
      <c r="G392" s="11"/>
      <c r="H392" s="15"/>
      <c r="I392" s="38"/>
      <c r="J392" s="38"/>
      <c r="K392" s="38"/>
      <c r="L392" s="41"/>
      <c r="M392" s="43"/>
      <c r="N392" s="11"/>
      <c r="O392" s="48"/>
      <c r="P392" s="48"/>
      <c r="Q392" s="48"/>
      <c r="R392" s="38"/>
      <c r="S392" s="38"/>
      <c r="T392" s="52"/>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83"/>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83"/>
      <c r="CK392" s="11"/>
      <c r="CL392" s="11"/>
      <c r="CM392" s="11"/>
      <c r="CN392" s="11"/>
      <c r="CO392" s="11"/>
      <c r="CP392" s="11"/>
      <c r="CQ392" s="11"/>
      <c r="CR392" s="11"/>
      <c r="CS392" s="11"/>
      <c r="CT392" s="11"/>
      <c r="CU392" s="11"/>
      <c r="CV392" s="11"/>
      <c r="CW392" s="11"/>
      <c r="CX392" s="11"/>
      <c r="CY392" s="11"/>
      <c r="CZ392" s="11"/>
      <c r="DA392" s="11"/>
      <c r="DB392" s="11"/>
      <c r="DC392" s="11"/>
    </row>
    <row r="393" spans="1:107" ht="12.75" customHeight="1">
      <c r="A393" s="11"/>
      <c r="B393" s="11"/>
      <c r="C393" s="11"/>
      <c r="D393" s="11"/>
      <c r="E393" s="11"/>
      <c r="F393" s="11"/>
      <c r="G393" s="11"/>
      <c r="H393" s="15"/>
      <c r="I393" s="38"/>
      <c r="J393" s="38"/>
      <c r="K393" s="38"/>
      <c r="L393" s="41"/>
      <c r="M393" s="43"/>
      <c r="N393" s="11"/>
      <c r="O393" s="48"/>
      <c r="P393" s="48"/>
      <c r="Q393" s="48"/>
      <c r="R393" s="38"/>
      <c r="S393" s="38"/>
      <c r="T393" s="52"/>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83"/>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83"/>
      <c r="CK393" s="11"/>
      <c r="CL393" s="11"/>
      <c r="CM393" s="11"/>
      <c r="CN393" s="11"/>
      <c r="CO393" s="11"/>
      <c r="CP393" s="11"/>
      <c r="CQ393" s="11"/>
      <c r="CR393" s="11"/>
      <c r="CS393" s="11"/>
      <c r="CT393" s="11"/>
      <c r="CU393" s="11"/>
      <c r="CV393" s="11"/>
      <c r="CW393" s="11"/>
      <c r="CX393" s="11"/>
      <c r="CY393" s="11"/>
      <c r="CZ393" s="11"/>
      <c r="DA393" s="11"/>
      <c r="DB393" s="11"/>
      <c r="DC393" s="11"/>
    </row>
    <row r="394" spans="1:107" ht="12.75" customHeight="1">
      <c r="A394" s="11"/>
      <c r="B394" s="11"/>
      <c r="C394" s="11"/>
      <c r="D394" s="11"/>
      <c r="E394" s="11"/>
      <c r="F394" s="11"/>
      <c r="G394" s="11"/>
      <c r="H394" s="15"/>
      <c r="I394" s="38"/>
      <c r="J394" s="38"/>
      <c r="K394" s="38"/>
      <c r="L394" s="41"/>
      <c r="M394" s="43"/>
      <c r="N394" s="11"/>
      <c r="O394" s="48"/>
      <c r="P394" s="48"/>
      <c r="Q394" s="48"/>
      <c r="R394" s="38"/>
      <c r="S394" s="38"/>
      <c r="T394" s="52"/>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83"/>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83"/>
      <c r="CK394" s="11"/>
      <c r="CL394" s="11"/>
      <c r="CM394" s="11"/>
      <c r="CN394" s="11"/>
      <c r="CO394" s="11"/>
      <c r="CP394" s="11"/>
      <c r="CQ394" s="11"/>
      <c r="CR394" s="11"/>
      <c r="CS394" s="11"/>
      <c r="CT394" s="11"/>
      <c r="CU394" s="11"/>
      <c r="CV394" s="11"/>
      <c r="CW394" s="11"/>
      <c r="CX394" s="11"/>
      <c r="CY394" s="11"/>
      <c r="CZ394" s="11"/>
      <c r="DA394" s="11"/>
      <c r="DB394" s="11"/>
      <c r="DC394" s="11"/>
    </row>
    <row r="395" spans="1:107" ht="12.75" customHeight="1">
      <c r="A395" s="11"/>
      <c r="B395" s="11"/>
      <c r="C395" s="11"/>
      <c r="D395" s="11"/>
      <c r="E395" s="11"/>
      <c r="F395" s="11"/>
      <c r="G395" s="11"/>
      <c r="H395" s="15"/>
      <c r="I395" s="38"/>
      <c r="J395" s="38"/>
      <c r="K395" s="38"/>
      <c r="L395" s="41"/>
      <c r="M395" s="43"/>
      <c r="N395" s="11"/>
      <c r="O395" s="48"/>
      <c r="P395" s="48"/>
      <c r="Q395" s="48"/>
      <c r="R395" s="38"/>
      <c r="S395" s="38"/>
      <c r="T395" s="52"/>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83"/>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83"/>
      <c r="CK395" s="11"/>
      <c r="CL395" s="11"/>
      <c r="CM395" s="11"/>
      <c r="CN395" s="11"/>
      <c r="CO395" s="11"/>
      <c r="CP395" s="11"/>
      <c r="CQ395" s="11"/>
      <c r="CR395" s="11"/>
      <c r="CS395" s="11"/>
      <c r="CT395" s="11"/>
      <c r="CU395" s="11"/>
      <c r="CV395" s="11"/>
      <c r="CW395" s="11"/>
      <c r="CX395" s="11"/>
      <c r="CY395" s="11"/>
      <c r="CZ395" s="11"/>
      <c r="DA395" s="11"/>
      <c r="DB395" s="11"/>
      <c r="DC395" s="11"/>
    </row>
    <row r="396" spans="1:107" ht="12.75" customHeight="1">
      <c r="A396" s="11"/>
      <c r="B396" s="11"/>
      <c r="C396" s="11"/>
      <c r="D396" s="11"/>
      <c r="E396" s="11"/>
      <c r="F396" s="11"/>
      <c r="G396" s="11"/>
      <c r="H396" s="15"/>
      <c r="I396" s="38"/>
      <c r="J396" s="38"/>
      <c r="K396" s="38"/>
      <c r="L396" s="41"/>
      <c r="M396" s="43"/>
      <c r="N396" s="11"/>
      <c r="O396" s="48"/>
      <c r="P396" s="48"/>
      <c r="Q396" s="48"/>
      <c r="R396" s="38"/>
      <c r="S396" s="38"/>
      <c r="T396" s="52"/>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83"/>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83"/>
      <c r="CK396" s="11"/>
      <c r="CL396" s="11"/>
      <c r="CM396" s="11"/>
      <c r="CN396" s="11"/>
      <c r="CO396" s="11"/>
      <c r="CP396" s="11"/>
      <c r="CQ396" s="11"/>
      <c r="CR396" s="11"/>
      <c r="CS396" s="11"/>
      <c r="CT396" s="11"/>
      <c r="CU396" s="11"/>
      <c r="CV396" s="11"/>
      <c r="CW396" s="11"/>
      <c r="CX396" s="11"/>
      <c r="CY396" s="11"/>
      <c r="CZ396" s="11"/>
      <c r="DA396" s="11"/>
      <c r="DB396" s="11"/>
      <c r="DC396" s="11"/>
    </row>
    <row r="397" spans="1:107" ht="12.75" customHeight="1">
      <c r="A397" s="11"/>
      <c r="B397" s="11"/>
      <c r="C397" s="11"/>
      <c r="D397" s="11"/>
      <c r="E397" s="11"/>
      <c r="F397" s="11"/>
      <c r="G397" s="11"/>
      <c r="H397" s="15"/>
      <c r="I397" s="38"/>
      <c r="J397" s="38"/>
      <c r="K397" s="38"/>
      <c r="L397" s="41"/>
      <c r="M397" s="43"/>
      <c r="N397" s="11"/>
      <c r="O397" s="48"/>
      <c r="P397" s="48"/>
      <c r="Q397" s="48"/>
      <c r="R397" s="38"/>
      <c r="S397" s="38"/>
      <c r="T397" s="52"/>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83"/>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83"/>
      <c r="CK397" s="11"/>
      <c r="CL397" s="11"/>
      <c r="CM397" s="11"/>
      <c r="CN397" s="11"/>
      <c r="CO397" s="11"/>
      <c r="CP397" s="11"/>
      <c r="CQ397" s="11"/>
      <c r="CR397" s="11"/>
      <c r="CS397" s="11"/>
      <c r="CT397" s="11"/>
      <c r="CU397" s="11"/>
      <c r="CV397" s="11"/>
      <c r="CW397" s="11"/>
      <c r="CX397" s="11"/>
      <c r="CY397" s="11"/>
      <c r="CZ397" s="11"/>
      <c r="DA397" s="11"/>
      <c r="DB397" s="11"/>
      <c r="DC397" s="11"/>
    </row>
    <row r="398" spans="1:107" ht="12.75" customHeight="1">
      <c r="A398" s="11"/>
      <c r="B398" s="11"/>
      <c r="C398" s="11"/>
      <c r="D398" s="11"/>
      <c r="E398" s="11"/>
      <c r="F398" s="11"/>
      <c r="G398" s="11"/>
      <c r="H398" s="15"/>
      <c r="I398" s="38"/>
      <c r="J398" s="38"/>
      <c r="K398" s="38"/>
      <c r="L398" s="41"/>
      <c r="M398" s="43"/>
      <c r="N398" s="11"/>
      <c r="O398" s="48"/>
      <c r="P398" s="48"/>
      <c r="Q398" s="48"/>
      <c r="R398" s="38"/>
      <c r="S398" s="38"/>
      <c r="T398" s="52"/>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83"/>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83"/>
      <c r="CK398" s="11"/>
      <c r="CL398" s="11"/>
      <c r="CM398" s="11"/>
      <c r="CN398" s="11"/>
      <c r="CO398" s="11"/>
      <c r="CP398" s="11"/>
      <c r="CQ398" s="11"/>
      <c r="CR398" s="11"/>
      <c r="CS398" s="11"/>
      <c r="CT398" s="11"/>
      <c r="CU398" s="11"/>
      <c r="CV398" s="11"/>
      <c r="CW398" s="11"/>
      <c r="CX398" s="11"/>
      <c r="CY398" s="11"/>
      <c r="CZ398" s="11"/>
      <c r="DA398" s="11"/>
      <c r="DB398" s="11"/>
      <c r="DC398" s="11"/>
    </row>
    <row r="399" spans="1:107" ht="12.75" customHeight="1">
      <c r="A399" s="11"/>
      <c r="B399" s="11"/>
      <c r="C399" s="11"/>
      <c r="D399" s="11"/>
      <c r="E399" s="11"/>
      <c r="F399" s="11"/>
      <c r="G399" s="11"/>
      <c r="H399" s="15"/>
      <c r="I399" s="38"/>
      <c r="J399" s="38"/>
      <c r="K399" s="38"/>
      <c r="L399" s="41"/>
      <c r="M399" s="43"/>
      <c r="N399" s="11"/>
      <c r="O399" s="48"/>
      <c r="P399" s="48"/>
      <c r="Q399" s="48"/>
      <c r="R399" s="38"/>
      <c r="S399" s="38"/>
      <c r="T399" s="52"/>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83"/>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83"/>
      <c r="CK399" s="11"/>
      <c r="CL399" s="11"/>
      <c r="CM399" s="11"/>
      <c r="CN399" s="11"/>
      <c r="CO399" s="11"/>
      <c r="CP399" s="11"/>
      <c r="CQ399" s="11"/>
      <c r="CR399" s="11"/>
      <c r="CS399" s="11"/>
      <c r="CT399" s="11"/>
      <c r="CU399" s="11"/>
      <c r="CV399" s="11"/>
      <c r="CW399" s="11"/>
      <c r="CX399" s="11"/>
      <c r="CY399" s="11"/>
      <c r="CZ399" s="11"/>
      <c r="DA399" s="11"/>
      <c r="DB399" s="11"/>
      <c r="DC399" s="11"/>
    </row>
    <row r="400" spans="1:107" ht="12.75" customHeight="1">
      <c r="A400" s="11"/>
      <c r="B400" s="11"/>
      <c r="C400" s="11"/>
      <c r="D400" s="11"/>
      <c r="E400" s="11"/>
      <c r="F400" s="11"/>
      <c r="G400" s="11"/>
      <c r="H400" s="15"/>
      <c r="I400" s="38"/>
      <c r="J400" s="38"/>
      <c r="K400" s="38"/>
      <c r="L400" s="41"/>
      <c r="M400" s="43"/>
      <c r="N400" s="11"/>
      <c r="O400" s="48"/>
      <c r="P400" s="48"/>
      <c r="Q400" s="48"/>
      <c r="R400" s="38"/>
      <c r="S400" s="38"/>
      <c r="T400" s="52"/>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83"/>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83"/>
      <c r="CK400" s="11"/>
      <c r="CL400" s="11"/>
      <c r="CM400" s="11"/>
      <c r="CN400" s="11"/>
      <c r="CO400" s="11"/>
      <c r="CP400" s="11"/>
      <c r="CQ400" s="11"/>
      <c r="CR400" s="11"/>
      <c r="CS400" s="11"/>
      <c r="CT400" s="11"/>
      <c r="CU400" s="11"/>
      <c r="CV400" s="11"/>
      <c r="CW400" s="11"/>
      <c r="CX400" s="11"/>
      <c r="CY400" s="11"/>
      <c r="CZ400" s="11"/>
      <c r="DA400" s="11"/>
      <c r="DB400" s="11"/>
      <c r="DC400" s="11"/>
    </row>
    <row r="401" spans="1:107" ht="12.75" customHeight="1">
      <c r="A401" s="11"/>
      <c r="B401" s="11"/>
      <c r="C401" s="11"/>
      <c r="D401" s="11"/>
      <c r="E401" s="11"/>
      <c r="F401" s="11"/>
      <c r="G401" s="11"/>
      <c r="H401" s="15"/>
      <c r="I401" s="38"/>
      <c r="J401" s="38"/>
      <c r="K401" s="38"/>
      <c r="L401" s="41"/>
      <c r="M401" s="43"/>
      <c r="N401" s="11"/>
      <c r="O401" s="48"/>
      <c r="P401" s="48"/>
      <c r="Q401" s="48"/>
      <c r="R401" s="38"/>
      <c r="S401" s="38"/>
      <c r="T401" s="52"/>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83"/>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83"/>
      <c r="CK401" s="11"/>
      <c r="CL401" s="11"/>
      <c r="CM401" s="11"/>
      <c r="CN401" s="11"/>
      <c r="CO401" s="11"/>
      <c r="CP401" s="11"/>
      <c r="CQ401" s="11"/>
      <c r="CR401" s="11"/>
      <c r="CS401" s="11"/>
      <c r="CT401" s="11"/>
      <c r="CU401" s="11"/>
      <c r="CV401" s="11"/>
      <c r="CW401" s="11"/>
      <c r="CX401" s="11"/>
      <c r="CY401" s="11"/>
      <c r="CZ401" s="11"/>
      <c r="DA401" s="11"/>
      <c r="DB401" s="11"/>
      <c r="DC401" s="11"/>
    </row>
    <row r="402" spans="1:107" ht="12.75" customHeight="1">
      <c r="A402" s="11"/>
      <c r="B402" s="11"/>
      <c r="C402" s="11"/>
      <c r="D402" s="11"/>
      <c r="E402" s="11"/>
      <c r="F402" s="11"/>
      <c r="G402" s="11"/>
      <c r="H402" s="15"/>
      <c r="I402" s="38"/>
      <c r="J402" s="38"/>
      <c r="K402" s="38"/>
      <c r="L402" s="41"/>
      <c r="M402" s="43"/>
      <c r="N402" s="11"/>
      <c r="O402" s="48"/>
      <c r="P402" s="48"/>
      <c r="Q402" s="48"/>
      <c r="R402" s="38"/>
      <c r="S402" s="38"/>
      <c r="T402" s="52"/>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83"/>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83"/>
      <c r="CK402" s="11"/>
      <c r="CL402" s="11"/>
      <c r="CM402" s="11"/>
      <c r="CN402" s="11"/>
      <c r="CO402" s="11"/>
      <c r="CP402" s="11"/>
      <c r="CQ402" s="11"/>
      <c r="CR402" s="11"/>
      <c r="CS402" s="11"/>
      <c r="CT402" s="11"/>
      <c r="CU402" s="11"/>
      <c r="CV402" s="11"/>
      <c r="CW402" s="11"/>
      <c r="CX402" s="11"/>
      <c r="CY402" s="11"/>
      <c r="CZ402" s="11"/>
      <c r="DA402" s="11"/>
      <c r="DB402" s="11"/>
      <c r="DC402" s="11"/>
    </row>
    <row r="403" spans="1:107" ht="12.75" customHeight="1">
      <c r="A403" s="11"/>
      <c r="B403" s="11"/>
      <c r="C403" s="11"/>
      <c r="D403" s="11"/>
      <c r="E403" s="11"/>
      <c r="F403" s="11"/>
      <c r="G403" s="11"/>
      <c r="H403" s="15"/>
      <c r="I403" s="38"/>
      <c r="J403" s="38"/>
      <c r="K403" s="38"/>
      <c r="L403" s="41"/>
      <c r="M403" s="43"/>
      <c r="N403" s="11"/>
      <c r="O403" s="48"/>
      <c r="P403" s="48"/>
      <c r="Q403" s="48"/>
      <c r="R403" s="38"/>
      <c r="S403" s="38"/>
      <c r="T403" s="52"/>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83"/>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83"/>
      <c r="CK403" s="11"/>
      <c r="CL403" s="11"/>
      <c r="CM403" s="11"/>
      <c r="CN403" s="11"/>
      <c r="CO403" s="11"/>
      <c r="CP403" s="11"/>
      <c r="CQ403" s="11"/>
      <c r="CR403" s="11"/>
      <c r="CS403" s="11"/>
      <c r="CT403" s="11"/>
      <c r="CU403" s="11"/>
      <c r="CV403" s="11"/>
      <c r="CW403" s="11"/>
      <c r="CX403" s="11"/>
      <c r="CY403" s="11"/>
      <c r="CZ403" s="11"/>
      <c r="DA403" s="11"/>
      <c r="DB403" s="11"/>
      <c r="DC403" s="11"/>
    </row>
    <row r="404" spans="1:107" ht="12.75" customHeight="1">
      <c r="A404" s="11"/>
      <c r="B404" s="11"/>
      <c r="C404" s="11"/>
      <c r="D404" s="11"/>
      <c r="E404" s="11"/>
      <c r="F404" s="11"/>
      <c r="G404" s="11"/>
      <c r="H404" s="15"/>
      <c r="I404" s="38"/>
      <c r="J404" s="38"/>
      <c r="K404" s="38"/>
      <c r="L404" s="41"/>
      <c r="M404" s="43"/>
      <c r="N404" s="11"/>
      <c r="O404" s="48"/>
      <c r="P404" s="48"/>
      <c r="Q404" s="48"/>
      <c r="R404" s="38"/>
      <c r="S404" s="38"/>
      <c r="T404" s="52"/>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83"/>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83"/>
      <c r="CK404" s="11"/>
      <c r="CL404" s="11"/>
      <c r="CM404" s="11"/>
      <c r="CN404" s="11"/>
      <c r="CO404" s="11"/>
      <c r="CP404" s="11"/>
      <c r="CQ404" s="11"/>
      <c r="CR404" s="11"/>
      <c r="CS404" s="11"/>
      <c r="CT404" s="11"/>
      <c r="CU404" s="11"/>
      <c r="CV404" s="11"/>
      <c r="CW404" s="11"/>
      <c r="CX404" s="11"/>
      <c r="CY404" s="11"/>
      <c r="CZ404" s="11"/>
      <c r="DA404" s="11"/>
      <c r="DB404" s="11"/>
      <c r="DC404" s="11"/>
    </row>
    <row r="405" spans="1:107" ht="12.75" customHeight="1">
      <c r="A405" s="11"/>
      <c r="B405" s="11"/>
      <c r="C405" s="11"/>
      <c r="D405" s="11"/>
      <c r="E405" s="11"/>
      <c r="F405" s="11"/>
      <c r="G405" s="11"/>
      <c r="H405" s="15"/>
      <c r="I405" s="38"/>
      <c r="J405" s="38"/>
      <c r="K405" s="38"/>
      <c r="L405" s="41"/>
      <c r="M405" s="43"/>
      <c r="N405" s="11"/>
      <c r="O405" s="48"/>
      <c r="P405" s="48"/>
      <c r="Q405" s="48"/>
      <c r="R405" s="38"/>
      <c r="S405" s="38"/>
      <c r="T405" s="52"/>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83"/>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83"/>
      <c r="CK405" s="11"/>
      <c r="CL405" s="11"/>
      <c r="CM405" s="11"/>
      <c r="CN405" s="11"/>
      <c r="CO405" s="11"/>
      <c r="CP405" s="11"/>
      <c r="CQ405" s="11"/>
      <c r="CR405" s="11"/>
      <c r="CS405" s="11"/>
      <c r="CT405" s="11"/>
      <c r="CU405" s="11"/>
      <c r="CV405" s="11"/>
      <c r="CW405" s="11"/>
      <c r="CX405" s="11"/>
      <c r="CY405" s="11"/>
      <c r="CZ405" s="11"/>
      <c r="DA405" s="11"/>
      <c r="DB405" s="11"/>
      <c r="DC405" s="11"/>
    </row>
    <row r="406" spans="1:107" ht="12.75" customHeight="1">
      <c r="A406" s="11"/>
      <c r="B406" s="11"/>
      <c r="C406" s="11"/>
      <c r="D406" s="11"/>
      <c r="E406" s="11"/>
      <c r="F406" s="11"/>
      <c r="G406" s="11"/>
      <c r="H406" s="15"/>
      <c r="I406" s="38"/>
      <c r="J406" s="38"/>
      <c r="K406" s="38"/>
      <c r="L406" s="41"/>
      <c r="M406" s="43"/>
      <c r="N406" s="11"/>
      <c r="O406" s="48"/>
      <c r="P406" s="48"/>
      <c r="Q406" s="48"/>
      <c r="R406" s="38"/>
      <c r="S406" s="38"/>
      <c r="T406" s="52"/>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83"/>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83"/>
      <c r="CK406" s="11"/>
      <c r="CL406" s="11"/>
      <c r="CM406" s="11"/>
      <c r="CN406" s="11"/>
      <c r="CO406" s="11"/>
      <c r="CP406" s="11"/>
      <c r="CQ406" s="11"/>
      <c r="CR406" s="11"/>
      <c r="CS406" s="11"/>
      <c r="CT406" s="11"/>
      <c r="CU406" s="11"/>
      <c r="CV406" s="11"/>
      <c r="CW406" s="11"/>
      <c r="CX406" s="11"/>
      <c r="CY406" s="11"/>
      <c r="CZ406" s="11"/>
      <c r="DA406" s="11"/>
      <c r="DB406" s="11"/>
      <c r="DC406" s="11"/>
    </row>
    <row r="407" spans="1:107" ht="12.75" customHeight="1">
      <c r="A407" s="11"/>
      <c r="B407" s="11"/>
      <c r="C407" s="11"/>
      <c r="D407" s="11"/>
      <c r="E407" s="11"/>
      <c r="F407" s="11"/>
      <c r="G407" s="11"/>
      <c r="H407" s="15"/>
      <c r="I407" s="38"/>
      <c r="J407" s="38"/>
      <c r="K407" s="38"/>
      <c r="L407" s="41"/>
      <c r="M407" s="43"/>
      <c r="N407" s="11"/>
      <c r="O407" s="48"/>
      <c r="P407" s="48"/>
      <c r="Q407" s="48"/>
      <c r="R407" s="38"/>
      <c r="S407" s="38"/>
      <c r="T407" s="52"/>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83"/>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83"/>
      <c r="CK407" s="11"/>
      <c r="CL407" s="11"/>
      <c r="CM407" s="11"/>
      <c r="CN407" s="11"/>
      <c r="CO407" s="11"/>
      <c r="CP407" s="11"/>
      <c r="CQ407" s="11"/>
      <c r="CR407" s="11"/>
      <c r="CS407" s="11"/>
      <c r="CT407" s="11"/>
      <c r="CU407" s="11"/>
      <c r="CV407" s="11"/>
      <c r="CW407" s="11"/>
      <c r="CX407" s="11"/>
      <c r="CY407" s="11"/>
      <c r="CZ407" s="11"/>
      <c r="DA407" s="11"/>
      <c r="DB407" s="11"/>
      <c r="DC407" s="11"/>
    </row>
    <row r="408" spans="1:107" ht="12.75" customHeight="1">
      <c r="A408" s="11"/>
      <c r="B408" s="11"/>
      <c r="C408" s="11"/>
      <c r="D408" s="11"/>
      <c r="E408" s="11"/>
      <c r="F408" s="11"/>
      <c r="G408" s="11"/>
      <c r="H408" s="15"/>
      <c r="I408" s="38"/>
      <c r="J408" s="38"/>
      <c r="K408" s="38"/>
      <c r="L408" s="41"/>
      <c r="M408" s="43"/>
      <c r="N408" s="11"/>
      <c r="O408" s="48"/>
      <c r="P408" s="48"/>
      <c r="Q408" s="48"/>
      <c r="R408" s="38"/>
      <c r="S408" s="38"/>
      <c r="T408" s="52"/>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83"/>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83"/>
      <c r="CK408" s="11"/>
      <c r="CL408" s="11"/>
      <c r="CM408" s="11"/>
      <c r="CN408" s="11"/>
      <c r="CO408" s="11"/>
      <c r="CP408" s="11"/>
      <c r="CQ408" s="11"/>
      <c r="CR408" s="11"/>
      <c r="CS408" s="11"/>
      <c r="CT408" s="11"/>
      <c r="CU408" s="11"/>
      <c r="CV408" s="11"/>
      <c r="CW408" s="11"/>
      <c r="CX408" s="11"/>
      <c r="CY408" s="11"/>
      <c r="CZ408" s="11"/>
      <c r="DA408" s="11"/>
      <c r="DB408" s="11"/>
      <c r="DC408" s="11"/>
    </row>
    <row r="409" spans="1:107" ht="12.75" customHeight="1">
      <c r="A409" s="11"/>
      <c r="B409" s="11"/>
      <c r="C409" s="11"/>
      <c r="D409" s="11"/>
      <c r="E409" s="11"/>
      <c r="F409" s="11"/>
      <c r="G409" s="11"/>
      <c r="H409" s="15"/>
      <c r="I409" s="38"/>
      <c r="J409" s="38"/>
      <c r="K409" s="38"/>
      <c r="L409" s="41"/>
      <c r="M409" s="43"/>
      <c r="N409" s="11"/>
      <c r="O409" s="48"/>
      <c r="P409" s="48"/>
      <c r="Q409" s="48"/>
      <c r="R409" s="38"/>
      <c r="S409" s="38"/>
      <c r="T409" s="52"/>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83"/>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83"/>
      <c r="CK409" s="11"/>
      <c r="CL409" s="11"/>
      <c r="CM409" s="11"/>
      <c r="CN409" s="11"/>
      <c r="CO409" s="11"/>
      <c r="CP409" s="11"/>
      <c r="CQ409" s="11"/>
      <c r="CR409" s="11"/>
      <c r="CS409" s="11"/>
      <c r="CT409" s="11"/>
      <c r="CU409" s="11"/>
      <c r="CV409" s="11"/>
      <c r="CW409" s="11"/>
      <c r="CX409" s="11"/>
      <c r="CY409" s="11"/>
      <c r="CZ409" s="11"/>
      <c r="DA409" s="11"/>
      <c r="DB409" s="11"/>
      <c r="DC409" s="11"/>
    </row>
    <row r="410" spans="1:107" ht="12.75" customHeight="1">
      <c r="A410" s="11"/>
      <c r="B410" s="11"/>
      <c r="C410" s="11"/>
      <c r="D410" s="11"/>
      <c r="E410" s="11"/>
      <c r="F410" s="11"/>
      <c r="G410" s="11"/>
      <c r="H410" s="15"/>
      <c r="I410" s="38"/>
      <c r="J410" s="38"/>
      <c r="K410" s="38"/>
      <c r="L410" s="41"/>
      <c r="M410" s="43"/>
      <c r="N410" s="11"/>
      <c r="O410" s="48"/>
      <c r="P410" s="48"/>
      <c r="Q410" s="48"/>
      <c r="R410" s="38"/>
      <c r="S410" s="38"/>
      <c r="T410" s="52"/>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83"/>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83"/>
      <c r="CK410" s="11"/>
      <c r="CL410" s="11"/>
      <c r="CM410" s="11"/>
      <c r="CN410" s="11"/>
      <c r="CO410" s="11"/>
      <c r="CP410" s="11"/>
      <c r="CQ410" s="11"/>
      <c r="CR410" s="11"/>
      <c r="CS410" s="11"/>
      <c r="CT410" s="11"/>
      <c r="CU410" s="11"/>
      <c r="CV410" s="11"/>
      <c r="CW410" s="11"/>
      <c r="CX410" s="11"/>
      <c r="CY410" s="11"/>
      <c r="CZ410" s="11"/>
      <c r="DA410" s="11"/>
      <c r="DB410" s="11"/>
      <c r="DC410" s="11"/>
    </row>
    <row r="411" spans="1:107" ht="12.75" customHeight="1">
      <c r="A411" s="11"/>
      <c r="B411" s="11"/>
      <c r="C411" s="11"/>
      <c r="D411" s="11"/>
      <c r="E411" s="11"/>
      <c r="F411" s="11"/>
      <c r="G411" s="11"/>
      <c r="H411" s="15"/>
      <c r="I411" s="38"/>
      <c r="J411" s="38"/>
      <c r="K411" s="38"/>
      <c r="L411" s="41"/>
      <c r="M411" s="43"/>
      <c r="N411" s="11"/>
      <c r="O411" s="48"/>
      <c r="P411" s="48"/>
      <c r="Q411" s="48"/>
      <c r="R411" s="38"/>
      <c r="S411" s="38"/>
      <c r="T411" s="52"/>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83"/>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83"/>
      <c r="CK411" s="11"/>
      <c r="CL411" s="11"/>
      <c r="CM411" s="11"/>
      <c r="CN411" s="11"/>
      <c r="CO411" s="11"/>
      <c r="CP411" s="11"/>
      <c r="CQ411" s="11"/>
      <c r="CR411" s="11"/>
      <c r="CS411" s="11"/>
      <c r="CT411" s="11"/>
      <c r="CU411" s="11"/>
      <c r="CV411" s="11"/>
      <c r="CW411" s="11"/>
      <c r="CX411" s="11"/>
      <c r="CY411" s="11"/>
      <c r="CZ411" s="11"/>
      <c r="DA411" s="11"/>
      <c r="DB411" s="11"/>
      <c r="DC411" s="11"/>
    </row>
    <row r="412" spans="1:107" ht="12.75" customHeight="1">
      <c r="A412" s="11"/>
      <c r="B412" s="11"/>
      <c r="C412" s="11"/>
      <c r="D412" s="11"/>
      <c r="E412" s="11"/>
      <c r="F412" s="11"/>
      <c r="G412" s="11"/>
      <c r="H412" s="15"/>
      <c r="I412" s="38"/>
      <c r="J412" s="38"/>
      <c r="K412" s="38"/>
      <c r="L412" s="41"/>
      <c r="M412" s="43"/>
      <c r="N412" s="11"/>
      <c r="O412" s="48"/>
      <c r="P412" s="48"/>
      <c r="Q412" s="48"/>
      <c r="R412" s="38"/>
      <c r="S412" s="38"/>
      <c r="T412" s="52"/>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83"/>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83"/>
      <c r="CK412" s="11"/>
      <c r="CL412" s="11"/>
      <c r="CM412" s="11"/>
      <c r="CN412" s="11"/>
      <c r="CO412" s="11"/>
      <c r="CP412" s="11"/>
      <c r="CQ412" s="11"/>
      <c r="CR412" s="11"/>
      <c r="CS412" s="11"/>
      <c r="CT412" s="11"/>
      <c r="CU412" s="11"/>
      <c r="CV412" s="11"/>
      <c r="CW412" s="11"/>
      <c r="CX412" s="11"/>
      <c r="CY412" s="11"/>
      <c r="CZ412" s="11"/>
      <c r="DA412" s="11"/>
      <c r="DB412" s="11"/>
      <c r="DC412" s="11"/>
    </row>
    <row r="413" spans="1:107" ht="12.75" customHeight="1">
      <c r="A413" s="11"/>
      <c r="B413" s="11"/>
      <c r="C413" s="11"/>
      <c r="D413" s="11"/>
      <c r="E413" s="11"/>
      <c r="F413" s="11"/>
      <c r="G413" s="11"/>
      <c r="H413" s="15"/>
      <c r="I413" s="38"/>
      <c r="J413" s="38"/>
      <c r="K413" s="38"/>
      <c r="L413" s="41"/>
      <c r="M413" s="43"/>
      <c r="N413" s="11"/>
      <c r="O413" s="48"/>
      <c r="P413" s="48"/>
      <c r="Q413" s="48"/>
      <c r="R413" s="38"/>
      <c r="S413" s="38"/>
      <c r="T413" s="52"/>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83"/>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83"/>
      <c r="CK413" s="11"/>
      <c r="CL413" s="11"/>
      <c r="CM413" s="11"/>
      <c r="CN413" s="11"/>
      <c r="CO413" s="11"/>
      <c r="CP413" s="11"/>
      <c r="CQ413" s="11"/>
      <c r="CR413" s="11"/>
      <c r="CS413" s="11"/>
      <c r="CT413" s="11"/>
      <c r="CU413" s="11"/>
      <c r="CV413" s="11"/>
      <c r="CW413" s="11"/>
      <c r="CX413" s="11"/>
      <c r="CY413" s="11"/>
      <c r="CZ413" s="11"/>
      <c r="DA413" s="11"/>
      <c r="DB413" s="11"/>
      <c r="DC413" s="11"/>
    </row>
    <row r="414" spans="1:107" ht="12.75" customHeight="1">
      <c r="A414" s="11"/>
      <c r="B414" s="11"/>
      <c r="C414" s="11"/>
      <c r="D414" s="11"/>
      <c r="E414" s="11"/>
      <c r="F414" s="11"/>
      <c r="G414" s="11"/>
      <c r="H414" s="15"/>
      <c r="I414" s="38"/>
      <c r="J414" s="38"/>
      <c r="K414" s="38"/>
      <c r="L414" s="41"/>
      <c r="M414" s="43"/>
      <c r="N414" s="11"/>
      <c r="O414" s="48"/>
      <c r="P414" s="48"/>
      <c r="Q414" s="48"/>
      <c r="R414" s="38"/>
      <c r="S414" s="38"/>
      <c r="T414" s="52"/>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83"/>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83"/>
      <c r="CK414" s="11"/>
      <c r="CL414" s="11"/>
      <c r="CM414" s="11"/>
      <c r="CN414" s="11"/>
      <c r="CO414" s="11"/>
      <c r="CP414" s="11"/>
      <c r="CQ414" s="11"/>
      <c r="CR414" s="11"/>
      <c r="CS414" s="11"/>
      <c r="CT414" s="11"/>
      <c r="CU414" s="11"/>
      <c r="CV414" s="11"/>
      <c r="CW414" s="11"/>
      <c r="CX414" s="11"/>
      <c r="CY414" s="11"/>
      <c r="CZ414" s="11"/>
      <c r="DA414" s="11"/>
      <c r="DB414" s="11"/>
      <c r="DC414" s="11"/>
    </row>
    <row r="415" spans="1:107" ht="12.75" customHeight="1">
      <c r="A415" s="11"/>
      <c r="B415" s="11"/>
      <c r="C415" s="11"/>
      <c r="D415" s="11"/>
      <c r="E415" s="11"/>
      <c r="F415" s="11"/>
      <c r="G415" s="11"/>
      <c r="H415" s="15"/>
      <c r="I415" s="38"/>
      <c r="J415" s="38"/>
      <c r="K415" s="38"/>
      <c r="L415" s="41"/>
      <c r="M415" s="43"/>
      <c r="N415" s="11"/>
      <c r="O415" s="48"/>
      <c r="P415" s="48"/>
      <c r="Q415" s="48"/>
      <c r="R415" s="38"/>
      <c r="S415" s="38"/>
      <c r="T415" s="52"/>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83"/>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83"/>
      <c r="CK415" s="11"/>
      <c r="CL415" s="11"/>
      <c r="CM415" s="11"/>
      <c r="CN415" s="11"/>
      <c r="CO415" s="11"/>
      <c r="CP415" s="11"/>
      <c r="CQ415" s="11"/>
      <c r="CR415" s="11"/>
      <c r="CS415" s="11"/>
      <c r="CT415" s="11"/>
      <c r="CU415" s="11"/>
      <c r="CV415" s="11"/>
      <c r="CW415" s="11"/>
      <c r="CX415" s="11"/>
      <c r="CY415" s="11"/>
      <c r="CZ415" s="11"/>
      <c r="DA415" s="11"/>
      <c r="DB415" s="11"/>
      <c r="DC415" s="11"/>
    </row>
    <row r="416" spans="1:107" ht="12.75" customHeight="1">
      <c r="A416" s="11"/>
      <c r="B416" s="11"/>
      <c r="C416" s="11"/>
      <c r="D416" s="11"/>
      <c r="E416" s="11"/>
      <c r="F416" s="11"/>
      <c r="G416" s="11"/>
      <c r="H416" s="15"/>
      <c r="I416" s="38"/>
      <c r="J416" s="38"/>
      <c r="K416" s="38"/>
      <c r="L416" s="41"/>
      <c r="M416" s="43"/>
      <c r="N416" s="11"/>
      <c r="O416" s="48"/>
      <c r="P416" s="48"/>
      <c r="Q416" s="48"/>
      <c r="R416" s="38"/>
      <c r="S416" s="38"/>
      <c r="T416" s="52"/>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83"/>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83"/>
      <c r="CK416" s="11"/>
      <c r="CL416" s="11"/>
      <c r="CM416" s="11"/>
      <c r="CN416" s="11"/>
      <c r="CO416" s="11"/>
      <c r="CP416" s="11"/>
      <c r="CQ416" s="11"/>
      <c r="CR416" s="11"/>
      <c r="CS416" s="11"/>
      <c r="CT416" s="11"/>
      <c r="CU416" s="11"/>
      <c r="CV416" s="11"/>
      <c r="CW416" s="11"/>
      <c r="CX416" s="11"/>
      <c r="CY416" s="11"/>
      <c r="CZ416" s="11"/>
      <c r="DA416" s="11"/>
      <c r="DB416" s="11"/>
      <c r="DC416" s="11"/>
    </row>
    <row r="417" spans="1:107" ht="12.75" customHeight="1">
      <c r="A417" s="11"/>
      <c r="B417" s="11"/>
      <c r="C417" s="11"/>
      <c r="D417" s="11"/>
      <c r="E417" s="11"/>
      <c r="F417" s="11"/>
      <c r="G417" s="11"/>
      <c r="H417" s="15"/>
      <c r="I417" s="38"/>
      <c r="J417" s="38"/>
      <c r="K417" s="38"/>
      <c r="L417" s="41"/>
      <c r="M417" s="43"/>
      <c r="N417" s="11"/>
      <c r="O417" s="48"/>
      <c r="P417" s="48"/>
      <c r="Q417" s="48"/>
      <c r="R417" s="38"/>
      <c r="S417" s="38"/>
      <c r="T417" s="52"/>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83"/>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83"/>
      <c r="CK417" s="11"/>
      <c r="CL417" s="11"/>
      <c r="CM417" s="11"/>
      <c r="CN417" s="11"/>
      <c r="CO417" s="11"/>
      <c r="CP417" s="11"/>
      <c r="CQ417" s="11"/>
      <c r="CR417" s="11"/>
      <c r="CS417" s="11"/>
      <c r="CT417" s="11"/>
      <c r="CU417" s="11"/>
      <c r="CV417" s="11"/>
      <c r="CW417" s="11"/>
      <c r="CX417" s="11"/>
      <c r="CY417" s="11"/>
      <c r="CZ417" s="11"/>
      <c r="DA417" s="11"/>
      <c r="DB417" s="11"/>
      <c r="DC417" s="11"/>
    </row>
    <row r="418" spans="1:107" ht="12.75" customHeight="1">
      <c r="A418" s="11"/>
      <c r="B418" s="11"/>
      <c r="C418" s="11"/>
      <c r="D418" s="11"/>
      <c r="E418" s="11"/>
      <c r="F418" s="11"/>
      <c r="G418" s="11"/>
      <c r="H418" s="15"/>
      <c r="I418" s="38"/>
      <c r="J418" s="38"/>
      <c r="K418" s="38"/>
      <c r="L418" s="41"/>
      <c r="M418" s="43"/>
      <c r="N418" s="11"/>
      <c r="O418" s="48"/>
      <c r="P418" s="48"/>
      <c r="Q418" s="48"/>
      <c r="R418" s="38"/>
      <c r="S418" s="38"/>
      <c r="T418" s="52"/>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83"/>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83"/>
      <c r="CK418" s="11"/>
      <c r="CL418" s="11"/>
      <c r="CM418" s="11"/>
      <c r="CN418" s="11"/>
      <c r="CO418" s="11"/>
      <c r="CP418" s="11"/>
      <c r="CQ418" s="11"/>
      <c r="CR418" s="11"/>
      <c r="CS418" s="11"/>
      <c r="CT418" s="11"/>
      <c r="CU418" s="11"/>
      <c r="CV418" s="11"/>
      <c r="CW418" s="11"/>
      <c r="CX418" s="11"/>
      <c r="CY418" s="11"/>
      <c r="CZ418" s="11"/>
      <c r="DA418" s="11"/>
      <c r="DB418" s="11"/>
      <c r="DC418" s="11"/>
    </row>
    <row r="419" spans="1:107" ht="12.75" customHeight="1">
      <c r="A419" s="11"/>
      <c r="B419" s="11"/>
      <c r="C419" s="11"/>
      <c r="D419" s="11"/>
      <c r="E419" s="11"/>
      <c r="F419" s="11"/>
      <c r="G419" s="11"/>
      <c r="H419" s="15"/>
      <c r="I419" s="38"/>
      <c r="J419" s="38"/>
      <c r="K419" s="38"/>
      <c r="L419" s="41"/>
      <c r="M419" s="43"/>
      <c r="N419" s="11"/>
      <c r="O419" s="48"/>
      <c r="P419" s="48"/>
      <c r="Q419" s="48"/>
      <c r="R419" s="38"/>
      <c r="S419" s="38"/>
      <c r="T419" s="52"/>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83"/>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83"/>
      <c r="CK419" s="11"/>
      <c r="CL419" s="11"/>
      <c r="CM419" s="11"/>
      <c r="CN419" s="11"/>
      <c r="CO419" s="11"/>
      <c r="CP419" s="11"/>
      <c r="CQ419" s="11"/>
      <c r="CR419" s="11"/>
      <c r="CS419" s="11"/>
      <c r="CT419" s="11"/>
      <c r="CU419" s="11"/>
      <c r="CV419" s="11"/>
      <c r="CW419" s="11"/>
      <c r="CX419" s="11"/>
      <c r="CY419" s="11"/>
      <c r="CZ419" s="11"/>
      <c r="DA419" s="11"/>
      <c r="DB419" s="11"/>
      <c r="DC419" s="11"/>
    </row>
    <row r="420" spans="1:107" ht="12.75" customHeight="1">
      <c r="A420" s="11"/>
      <c r="B420" s="11"/>
      <c r="C420" s="11"/>
      <c r="D420" s="11"/>
      <c r="E420" s="11"/>
      <c r="F420" s="11"/>
      <c r="G420" s="11"/>
      <c r="H420" s="15"/>
      <c r="I420" s="38"/>
      <c r="J420" s="38"/>
      <c r="K420" s="38"/>
      <c r="L420" s="41"/>
      <c r="M420" s="43"/>
      <c r="N420" s="11"/>
      <c r="O420" s="48"/>
      <c r="P420" s="48"/>
      <c r="Q420" s="48"/>
      <c r="R420" s="38"/>
      <c r="S420" s="38"/>
      <c r="T420" s="52"/>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83"/>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83"/>
      <c r="CK420" s="11"/>
      <c r="CL420" s="11"/>
      <c r="CM420" s="11"/>
      <c r="CN420" s="11"/>
      <c r="CO420" s="11"/>
      <c r="CP420" s="11"/>
      <c r="CQ420" s="11"/>
      <c r="CR420" s="11"/>
      <c r="CS420" s="11"/>
      <c r="CT420" s="11"/>
      <c r="CU420" s="11"/>
      <c r="CV420" s="11"/>
      <c r="CW420" s="11"/>
      <c r="CX420" s="11"/>
      <c r="CY420" s="11"/>
      <c r="CZ420" s="11"/>
      <c r="DA420" s="11"/>
      <c r="DB420" s="11"/>
      <c r="DC420" s="11"/>
    </row>
    <row r="421" spans="1:107" ht="12.75" customHeight="1">
      <c r="A421" s="11"/>
      <c r="B421" s="11"/>
      <c r="C421" s="11"/>
      <c r="D421" s="11"/>
      <c r="E421" s="11"/>
      <c r="F421" s="11"/>
      <c r="G421" s="11"/>
      <c r="H421" s="15"/>
      <c r="I421" s="38"/>
      <c r="J421" s="38"/>
      <c r="K421" s="38"/>
      <c r="L421" s="41"/>
      <c r="M421" s="43"/>
      <c r="N421" s="11"/>
      <c r="O421" s="48"/>
      <c r="P421" s="48"/>
      <c r="Q421" s="48"/>
      <c r="R421" s="38"/>
      <c r="S421" s="38"/>
      <c r="T421" s="52"/>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83"/>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83"/>
      <c r="CK421" s="11"/>
      <c r="CL421" s="11"/>
      <c r="CM421" s="11"/>
      <c r="CN421" s="11"/>
      <c r="CO421" s="11"/>
      <c r="CP421" s="11"/>
      <c r="CQ421" s="11"/>
      <c r="CR421" s="11"/>
      <c r="CS421" s="11"/>
      <c r="CT421" s="11"/>
      <c r="CU421" s="11"/>
      <c r="CV421" s="11"/>
      <c r="CW421" s="11"/>
      <c r="CX421" s="11"/>
      <c r="CY421" s="11"/>
      <c r="CZ421" s="11"/>
      <c r="DA421" s="11"/>
      <c r="DB421" s="11"/>
      <c r="DC421" s="11"/>
    </row>
    <row r="422" spans="1:107" ht="12.75" customHeight="1">
      <c r="A422" s="11"/>
      <c r="B422" s="11"/>
      <c r="C422" s="11"/>
      <c r="D422" s="11"/>
      <c r="E422" s="11"/>
      <c r="F422" s="11"/>
      <c r="G422" s="11"/>
      <c r="H422" s="15"/>
      <c r="I422" s="38"/>
      <c r="J422" s="38"/>
      <c r="K422" s="38"/>
      <c r="L422" s="41"/>
      <c r="M422" s="43"/>
      <c r="N422" s="11"/>
      <c r="O422" s="48"/>
      <c r="P422" s="48"/>
      <c r="Q422" s="48"/>
      <c r="R422" s="38"/>
      <c r="S422" s="38"/>
      <c r="T422" s="52"/>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83"/>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83"/>
      <c r="CK422" s="11"/>
      <c r="CL422" s="11"/>
      <c r="CM422" s="11"/>
      <c r="CN422" s="11"/>
      <c r="CO422" s="11"/>
      <c r="CP422" s="11"/>
      <c r="CQ422" s="11"/>
      <c r="CR422" s="11"/>
      <c r="CS422" s="11"/>
      <c r="CT422" s="11"/>
      <c r="CU422" s="11"/>
      <c r="CV422" s="11"/>
      <c r="CW422" s="11"/>
      <c r="CX422" s="11"/>
      <c r="CY422" s="11"/>
      <c r="CZ422" s="11"/>
      <c r="DA422" s="11"/>
      <c r="DB422" s="11"/>
      <c r="DC422" s="11"/>
    </row>
    <row r="423" spans="1:107" ht="12.75" customHeight="1">
      <c r="A423" s="11"/>
      <c r="B423" s="11"/>
      <c r="C423" s="11"/>
      <c r="D423" s="11"/>
      <c r="E423" s="11"/>
      <c r="F423" s="11"/>
      <c r="G423" s="11"/>
      <c r="H423" s="15"/>
      <c r="I423" s="38"/>
      <c r="J423" s="38"/>
      <c r="K423" s="38"/>
      <c r="L423" s="41"/>
      <c r="M423" s="43"/>
      <c r="N423" s="11"/>
      <c r="O423" s="48"/>
      <c r="P423" s="48"/>
      <c r="Q423" s="48"/>
      <c r="R423" s="38"/>
      <c r="S423" s="38"/>
      <c r="T423" s="52"/>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83"/>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83"/>
      <c r="CK423" s="11"/>
      <c r="CL423" s="11"/>
      <c r="CM423" s="11"/>
      <c r="CN423" s="11"/>
      <c r="CO423" s="11"/>
      <c r="CP423" s="11"/>
      <c r="CQ423" s="11"/>
      <c r="CR423" s="11"/>
      <c r="CS423" s="11"/>
      <c r="CT423" s="11"/>
      <c r="CU423" s="11"/>
      <c r="CV423" s="11"/>
      <c r="CW423" s="11"/>
      <c r="CX423" s="11"/>
      <c r="CY423" s="11"/>
      <c r="CZ423" s="11"/>
      <c r="DA423" s="11"/>
      <c r="DB423" s="11"/>
      <c r="DC423" s="11"/>
    </row>
    <row r="424" spans="1:107" ht="12.75" customHeight="1">
      <c r="A424" s="11"/>
      <c r="B424" s="11"/>
      <c r="C424" s="11"/>
      <c r="D424" s="11"/>
      <c r="E424" s="11"/>
      <c r="F424" s="11"/>
      <c r="G424" s="11"/>
      <c r="H424" s="15"/>
      <c r="I424" s="38"/>
      <c r="J424" s="38"/>
      <c r="K424" s="38"/>
      <c r="L424" s="41"/>
      <c r="M424" s="43"/>
      <c r="N424" s="11"/>
      <c r="O424" s="48"/>
      <c r="P424" s="48"/>
      <c r="Q424" s="48"/>
      <c r="R424" s="38"/>
      <c r="S424" s="38"/>
      <c r="T424" s="52"/>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83"/>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83"/>
      <c r="CK424" s="11"/>
      <c r="CL424" s="11"/>
      <c r="CM424" s="11"/>
      <c r="CN424" s="11"/>
      <c r="CO424" s="11"/>
      <c r="CP424" s="11"/>
      <c r="CQ424" s="11"/>
      <c r="CR424" s="11"/>
      <c r="CS424" s="11"/>
      <c r="CT424" s="11"/>
      <c r="CU424" s="11"/>
      <c r="CV424" s="11"/>
      <c r="CW424" s="11"/>
      <c r="CX424" s="11"/>
      <c r="CY424" s="11"/>
      <c r="CZ424" s="11"/>
      <c r="DA424" s="11"/>
      <c r="DB424" s="11"/>
      <c r="DC424" s="11"/>
    </row>
    <row r="425" spans="1:107" ht="12.75" customHeight="1">
      <c r="A425" s="11"/>
      <c r="B425" s="11"/>
      <c r="C425" s="11"/>
      <c r="D425" s="11"/>
      <c r="E425" s="11"/>
      <c r="F425" s="11"/>
      <c r="G425" s="11"/>
      <c r="H425" s="15"/>
      <c r="I425" s="38"/>
      <c r="J425" s="38"/>
      <c r="K425" s="38"/>
      <c r="L425" s="41"/>
      <c r="M425" s="43"/>
      <c r="N425" s="11"/>
      <c r="O425" s="48"/>
      <c r="P425" s="48"/>
      <c r="Q425" s="48"/>
      <c r="R425" s="38"/>
      <c r="S425" s="38"/>
      <c r="T425" s="52"/>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83"/>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83"/>
      <c r="CK425" s="11"/>
      <c r="CL425" s="11"/>
      <c r="CM425" s="11"/>
      <c r="CN425" s="11"/>
      <c r="CO425" s="11"/>
      <c r="CP425" s="11"/>
      <c r="CQ425" s="11"/>
      <c r="CR425" s="11"/>
      <c r="CS425" s="11"/>
      <c r="CT425" s="11"/>
      <c r="CU425" s="11"/>
      <c r="CV425" s="11"/>
      <c r="CW425" s="11"/>
      <c r="CX425" s="11"/>
      <c r="CY425" s="11"/>
      <c r="CZ425" s="11"/>
      <c r="DA425" s="11"/>
      <c r="DB425" s="11"/>
      <c r="DC425" s="11"/>
    </row>
    <row r="426" spans="1:107" ht="12.75" customHeight="1">
      <c r="A426" s="11"/>
      <c r="B426" s="11"/>
      <c r="C426" s="11"/>
      <c r="D426" s="11"/>
      <c r="E426" s="11"/>
      <c r="F426" s="11"/>
      <c r="G426" s="11"/>
      <c r="H426" s="15"/>
      <c r="I426" s="38"/>
      <c r="J426" s="38"/>
      <c r="K426" s="38"/>
      <c r="L426" s="41"/>
      <c r="M426" s="43"/>
      <c r="N426" s="11"/>
      <c r="O426" s="48"/>
      <c r="P426" s="48"/>
      <c r="Q426" s="48"/>
      <c r="R426" s="38"/>
      <c r="S426" s="38"/>
      <c r="T426" s="52"/>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83"/>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83"/>
      <c r="CK426" s="11"/>
      <c r="CL426" s="11"/>
      <c r="CM426" s="11"/>
      <c r="CN426" s="11"/>
      <c r="CO426" s="11"/>
      <c r="CP426" s="11"/>
      <c r="CQ426" s="11"/>
      <c r="CR426" s="11"/>
      <c r="CS426" s="11"/>
      <c r="CT426" s="11"/>
      <c r="CU426" s="11"/>
      <c r="CV426" s="11"/>
      <c r="CW426" s="11"/>
      <c r="CX426" s="11"/>
      <c r="CY426" s="11"/>
      <c r="CZ426" s="11"/>
      <c r="DA426" s="11"/>
      <c r="DB426" s="11"/>
      <c r="DC426" s="11"/>
    </row>
    <row r="427" spans="1:107" ht="12.75" customHeight="1">
      <c r="A427" s="11"/>
      <c r="B427" s="11"/>
      <c r="C427" s="11"/>
      <c r="D427" s="11"/>
      <c r="E427" s="11"/>
      <c r="F427" s="11"/>
      <c r="G427" s="11"/>
      <c r="H427" s="15"/>
      <c r="I427" s="38"/>
      <c r="J427" s="38"/>
      <c r="K427" s="38"/>
      <c r="L427" s="41"/>
      <c r="M427" s="43"/>
      <c r="N427" s="11"/>
      <c r="O427" s="48"/>
      <c r="P427" s="48"/>
      <c r="Q427" s="48"/>
      <c r="R427" s="38"/>
      <c r="S427" s="38"/>
      <c r="T427" s="52"/>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83"/>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83"/>
      <c r="CK427" s="11"/>
      <c r="CL427" s="11"/>
      <c r="CM427" s="11"/>
      <c r="CN427" s="11"/>
      <c r="CO427" s="11"/>
      <c r="CP427" s="11"/>
      <c r="CQ427" s="11"/>
      <c r="CR427" s="11"/>
      <c r="CS427" s="11"/>
      <c r="CT427" s="11"/>
      <c r="CU427" s="11"/>
      <c r="CV427" s="11"/>
      <c r="CW427" s="11"/>
      <c r="CX427" s="11"/>
      <c r="CY427" s="11"/>
      <c r="CZ427" s="11"/>
      <c r="DA427" s="11"/>
      <c r="DB427" s="11"/>
      <c r="DC427" s="11"/>
    </row>
    <row r="428" spans="1:107" ht="12.75" customHeight="1">
      <c r="A428" s="11"/>
      <c r="B428" s="11"/>
      <c r="C428" s="11"/>
      <c r="D428" s="11"/>
      <c r="E428" s="11"/>
      <c r="F428" s="11"/>
      <c r="G428" s="11"/>
      <c r="H428" s="15"/>
      <c r="I428" s="38"/>
      <c r="J428" s="38"/>
      <c r="K428" s="38"/>
      <c r="L428" s="41"/>
      <c r="M428" s="43"/>
      <c r="N428" s="11"/>
      <c r="O428" s="48"/>
      <c r="P428" s="48"/>
      <c r="Q428" s="48"/>
      <c r="R428" s="38"/>
      <c r="S428" s="38"/>
      <c r="T428" s="52"/>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83"/>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83"/>
      <c r="CK428" s="11"/>
      <c r="CL428" s="11"/>
      <c r="CM428" s="11"/>
      <c r="CN428" s="11"/>
      <c r="CO428" s="11"/>
      <c r="CP428" s="11"/>
      <c r="CQ428" s="11"/>
      <c r="CR428" s="11"/>
      <c r="CS428" s="11"/>
      <c r="CT428" s="11"/>
      <c r="CU428" s="11"/>
      <c r="CV428" s="11"/>
      <c r="CW428" s="11"/>
      <c r="CX428" s="11"/>
      <c r="CY428" s="11"/>
      <c r="CZ428" s="11"/>
      <c r="DA428" s="11"/>
      <c r="DB428" s="11"/>
      <c r="DC428" s="11"/>
    </row>
    <row r="429" spans="1:107" ht="12.75" customHeight="1">
      <c r="A429" s="11"/>
      <c r="B429" s="11"/>
      <c r="C429" s="11"/>
      <c r="D429" s="11"/>
      <c r="E429" s="11"/>
      <c r="F429" s="11"/>
      <c r="G429" s="11"/>
      <c r="H429" s="15"/>
      <c r="I429" s="38"/>
      <c r="J429" s="38"/>
      <c r="K429" s="38"/>
      <c r="L429" s="41"/>
      <c r="M429" s="43"/>
      <c r="N429" s="11"/>
      <c r="O429" s="48"/>
      <c r="P429" s="48"/>
      <c r="Q429" s="48"/>
      <c r="R429" s="38"/>
      <c r="S429" s="38"/>
      <c r="T429" s="52"/>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83"/>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83"/>
      <c r="CK429" s="11"/>
      <c r="CL429" s="11"/>
      <c r="CM429" s="11"/>
      <c r="CN429" s="11"/>
      <c r="CO429" s="11"/>
      <c r="CP429" s="11"/>
      <c r="CQ429" s="11"/>
      <c r="CR429" s="11"/>
      <c r="CS429" s="11"/>
      <c r="CT429" s="11"/>
      <c r="CU429" s="11"/>
      <c r="CV429" s="11"/>
      <c r="CW429" s="11"/>
      <c r="CX429" s="11"/>
      <c r="CY429" s="11"/>
      <c r="CZ429" s="11"/>
      <c r="DA429" s="11"/>
      <c r="DB429" s="11"/>
      <c r="DC429" s="11"/>
    </row>
    <row r="430" spans="1:107" ht="12.75" customHeight="1">
      <c r="A430" s="11"/>
      <c r="B430" s="11"/>
      <c r="C430" s="11"/>
      <c r="D430" s="11"/>
      <c r="E430" s="11"/>
      <c r="F430" s="11"/>
      <c r="G430" s="11"/>
      <c r="H430" s="15"/>
      <c r="I430" s="38"/>
      <c r="J430" s="38"/>
      <c r="K430" s="38"/>
      <c r="L430" s="41"/>
      <c r="M430" s="43"/>
      <c r="N430" s="11"/>
      <c r="O430" s="48"/>
      <c r="P430" s="48"/>
      <c r="Q430" s="48"/>
      <c r="R430" s="38"/>
      <c r="S430" s="38"/>
      <c r="T430" s="52"/>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83"/>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83"/>
      <c r="CK430" s="11"/>
      <c r="CL430" s="11"/>
      <c r="CM430" s="11"/>
      <c r="CN430" s="11"/>
      <c r="CO430" s="11"/>
      <c r="CP430" s="11"/>
      <c r="CQ430" s="11"/>
      <c r="CR430" s="11"/>
      <c r="CS430" s="11"/>
      <c r="CT430" s="11"/>
      <c r="CU430" s="11"/>
      <c r="CV430" s="11"/>
      <c r="CW430" s="11"/>
      <c r="CX430" s="11"/>
      <c r="CY430" s="11"/>
      <c r="CZ430" s="11"/>
      <c r="DA430" s="11"/>
      <c r="DB430" s="11"/>
      <c r="DC430" s="11"/>
    </row>
    <row r="431" spans="1:107" ht="12.75" customHeight="1">
      <c r="A431" s="11"/>
      <c r="B431" s="11"/>
      <c r="C431" s="11"/>
      <c r="D431" s="11"/>
      <c r="E431" s="11"/>
      <c r="F431" s="11"/>
      <c r="G431" s="11"/>
      <c r="H431" s="15"/>
      <c r="I431" s="38"/>
      <c r="J431" s="38"/>
      <c r="K431" s="38"/>
      <c r="L431" s="41"/>
      <c r="M431" s="43"/>
      <c r="N431" s="11"/>
      <c r="O431" s="48"/>
      <c r="P431" s="48"/>
      <c r="Q431" s="48"/>
      <c r="R431" s="38"/>
      <c r="S431" s="38"/>
      <c r="T431" s="52"/>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83"/>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83"/>
      <c r="CK431" s="11"/>
      <c r="CL431" s="11"/>
      <c r="CM431" s="11"/>
      <c r="CN431" s="11"/>
      <c r="CO431" s="11"/>
      <c r="CP431" s="11"/>
      <c r="CQ431" s="11"/>
      <c r="CR431" s="11"/>
      <c r="CS431" s="11"/>
      <c r="CT431" s="11"/>
      <c r="CU431" s="11"/>
      <c r="CV431" s="11"/>
      <c r="CW431" s="11"/>
      <c r="CX431" s="11"/>
      <c r="CY431" s="11"/>
      <c r="CZ431" s="11"/>
      <c r="DA431" s="11"/>
      <c r="DB431" s="11"/>
      <c r="DC431" s="11"/>
    </row>
    <row r="432" spans="1:107" ht="12.75" customHeight="1">
      <c r="A432" s="11"/>
      <c r="B432" s="11"/>
      <c r="C432" s="11"/>
      <c r="D432" s="11"/>
      <c r="E432" s="11"/>
      <c r="F432" s="11"/>
      <c r="G432" s="11"/>
      <c r="H432" s="15"/>
      <c r="I432" s="38"/>
      <c r="J432" s="38"/>
      <c r="K432" s="38"/>
      <c r="L432" s="41"/>
      <c r="M432" s="43"/>
      <c r="N432" s="11"/>
      <c r="O432" s="48"/>
      <c r="P432" s="48"/>
      <c r="Q432" s="48"/>
      <c r="R432" s="38"/>
      <c r="S432" s="38"/>
      <c r="T432" s="52"/>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83"/>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83"/>
      <c r="CK432" s="11"/>
      <c r="CL432" s="11"/>
      <c r="CM432" s="11"/>
      <c r="CN432" s="11"/>
      <c r="CO432" s="11"/>
      <c r="CP432" s="11"/>
      <c r="CQ432" s="11"/>
      <c r="CR432" s="11"/>
      <c r="CS432" s="11"/>
      <c r="CT432" s="11"/>
      <c r="CU432" s="11"/>
      <c r="CV432" s="11"/>
      <c r="CW432" s="11"/>
      <c r="CX432" s="11"/>
      <c r="CY432" s="11"/>
      <c r="CZ432" s="11"/>
      <c r="DA432" s="11"/>
      <c r="DB432" s="11"/>
      <c r="DC432" s="11"/>
    </row>
    <row r="433" spans="1:107" ht="12.75" customHeight="1">
      <c r="A433" s="11"/>
      <c r="B433" s="11"/>
      <c r="C433" s="11"/>
      <c r="D433" s="11"/>
      <c r="E433" s="11"/>
      <c r="F433" s="11"/>
      <c r="G433" s="11"/>
      <c r="H433" s="15"/>
      <c r="I433" s="38"/>
      <c r="J433" s="38"/>
      <c r="K433" s="38"/>
      <c r="L433" s="41"/>
      <c r="M433" s="43"/>
      <c r="N433" s="11"/>
      <c r="O433" s="48"/>
      <c r="P433" s="48"/>
      <c r="Q433" s="48"/>
      <c r="R433" s="38"/>
      <c r="S433" s="38"/>
      <c r="T433" s="52"/>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83"/>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83"/>
      <c r="CK433" s="11"/>
      <c r="CL433" s="11"/>
      <c r="CM433" s="11"/>
      <c r="CN433" s="11"/>
      <c r="CO433" s="11"/>
      <c r="CP433" s="11"/>
      <c r="CQ433" s="11"/>
      <c r="CR433" s="11"/>
      <c r="CS433" s="11"/>
      <c r="CT433" s="11"/>
      <c r="CU433" s="11"/>
      <c r="CV433" s="11"/>
      <c r="CW433" s="11"/>
      <c r="CX433" s="11"/>
      <c r="CY433" s="11"/>
      <c r="CZ433" s="11"/>
      <c r="DA433" s="11"/>
      <c r="DB433" s="11"/>
      <c r="DC433" s="11"/>
    </row>
    <row r="434" spans="1:107" ht="12.75" customHeight="1">
      <c r="A434" s="11"/>
      <c r="B434" s="11"/>
      <c r="C434" s="11"/>
      <c r="D434" s="11"/>
      <c r="E434" s="11"/>
      <c r="F434" s="11"/>
      <c r="G434" s="11"/>
      <c r="H434" s="15"/>
      <c r="I434" s="38"/>
      <c r="J434" s="38"/>
      <c r="K434" s="38"/>
      <c r="L434" s="41"/>
      <c r="M434" s="43"/>
      <c r="N434" s="11"/>
      <c r="O434" s="48"/>
      <c r="P434" s="48"/>
      <c r="Q434" s="48"/>
      <c r="R434" s="38"/>
      <c r="S434" s="38"/>
      <c r="T434" s="52"/>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83"/>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83"/>
      <c r="CK434" s="11"/>
      <c r="CL434" s="11"/>
      <c r="CM434" s="11"/>
      <c r="CN434" s="11"/>
      <c r="CO434" s="11"/>
      <c r="CP434" s="11"/>
      <c r="CQ434" s="11"/>
      <c r="CR434" s="11"/>
      <c r="CS434" s="11"/>
      <c r="CT434" s="11"/>
      <c r="CU434" s="11"/>
      <c r="CV434" s="11"/>
      <c r="CW434" s="11"/>
      <c r="CX434" s="11"/>
      <c r="CY434" s="11"/>
      <c r="CZ434" s="11"/>
      <c r="DA434" s="11"/>
      <c r="DB434" s="11"/>
      <c r="DC434" s="11"/>
    </row>
    <row r="435" spans="1:107" ht="12.75" customHeight="1">
      <c r="A435" s="11"/>
      <c r="B435" s="11"/>
      <c r="C435" s="11"/>
      <c r="D435" s="11"/>
      <c r="E435" s="11"/>
      <c r="F435" s="11"/>
      <c r="G435" s="11"/>
      <c r="H435" s="15"/>
      <c r="I435" s="38"/>
      <c r="J435" s="38"/>
      <c r="K435" s="38"/>
      <c r="L435" s="41"/>
      <c r="M435" s="43"/>
      <c r="N435" s="11"/>
      <c r="O435" s="48"/>
      <c r="P435" s="48"/>
      <c r="Q435" s="48"/>
      <c r="R435" s="38"/>
      <c r="S435" s="38"/>
      <c r="T435" s="52"/>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83"/>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83"/>
      <c r="CK435" s="11"/>
      <c r="CL435" s="11"/>
      <c r="CM435" s="11"/>
      <c r="CN435" s="11"/>
      <c r="CO435" s="11"/>
      <c r="CP435" s="11"/>
      <c r="CQ435" s="11"/>
      <c r="CR435" s="11"/>
      <c r="CS435" s="11"/>
      <c r="CT435" s="11"/>
      <c r="CU435" s="11"/>
      <c r="CV435" s="11"/>
      <c r="CW435" s="11"/>
      <c r="CX435" s="11"/>
      <c r="CY435" s="11"/>
      <c r="CZ435" s="11"/>
      <c r="DA435" s="11"/>
      <c r="DB435" s="11"/>
      <c r="DC435" s="11"/>
    </row>
    <row r="436" spans="1:107" ht="12.75" customHeight="1">
      <c r="A436" s="11"/>
      <c r="B436" s="11"/>
      <c r="C436" s="11"/>
      <c r="D436" s="11"/>
      <c r="E436" s="11"/>
      <c r="F436" s="11"/>
      <c r="G436" s="11"/>
      <c r="H436" s="15"/>
      <c r="I436" s="38"/>
      <c r="J436" s="38"/>
      <c r="K436" s="38"/>
      <c r="L436" s="41"/>
      <c r="M436" s="43"/>
      <c r="N436" s="11"/>
      <c r="O436" s="48"/>
      <c r="P436" s="48"/>
      <c r="Q436" s="48"/>
      <c r="R436" s="38"/>
      <c r="S436" s="38"/>
      <c r="T436" s="52"/>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83"/>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83"/>
      <c r="CK436" s="11"/>
      <c r="CL436" s="11"/>
      <c r="CM436" s="11"/>
      <c r="CN436" s="11"/>
      <c r="CO436" s="11"/>
      <c r="CP436" s="11"/>
      <c r="CQ436" s="11"/>
      <c r="CR436" s="11"/>
      <c r="CS436" s="11"/>
      <c r="CT436" s="11"/>
      <c r="CU436" s="11"/>
      <c r="CV436" s="11"/>
      <c r="CW436" s="11"/>
      <c r="CX436" s="11"/>
      <c r="CY436" s="11"/>
      <c r="CZ436" s="11"/>
      <c r="DA436" s="11"/>
      <c r="DB436" s="11"/>
      <c r="DC436" s="11"/>
    </row>
    <row r="437" spans="1:107" ht="12.75" customHeight="1">
      <c r="A437" s="11"/>
      <c r="B437" s="11"/>
      <c r="C437" s="11"/>
      <c r="D437" s="11"/>
      <c r="E437" s="11"/>
      <c r="F437" s="11"/>
      <c r="G437" s="11"/>
      <c r="H437" s="15"/>
      <c r="I437" s="38"/>
      <c r="J437" s="38"/>
      <c r="K437" s="38"/>
      <c r="L437" s="41"/>
      <c r="M437" s="43"/>
      <c r="N437" s="11"/>
      <c r="O437" s="48"/>
      <c r="P437" s="48"/>
      <c r="Q437" s="48"/>
      <c r="R437" s="38"/>
      <c r="S437" s="38"/>
      <c r="T437" s="52"/>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83"/>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83"/>
      <c r="CK437" s="11"/>
      <c r="CL437" s="11"/>
      <c r="CM437" s="11"/>
      <c r="CN437" s="11"/>
      <c r="CO437" s="11"/>
      <c r="CP437" s="11"/>
      <c r="CQ437" s="11"/>
      <c r="CR437" s="11"/>
      <c r="CS437" s="11"/>
      <c r="CT437" s="11"/>
      <c r="CU437" s="11"/>
      <c r="CV437" s="11"/>
      <c r="CW437" s="11"/>
      <c r="CX437" s="11"/>
      <c r="CY437" s="11"/>
      <c r="CZ437" s="11"/>
      <c r="DA437" s="11"/>
      <c r="DB437" s="11"/>
      <c r="DC437" s="11"/>
    </row>
    <row r="438" spans="1:107" ht="12.75" customHeight="1">
      <c r="A438" s="11"/>
      <c r="B438" s="11"/>
      <c r="C438" s="11"/>
      <c r="D438" s="11"/>
      <c r="E438" s="11"/>
      <c r="F438" s="11"/>
      <c r="G438" s="11"/>
      <c r="H438" s="15"/>
      <c r="I438" s="38"/>
      <c r="J438" s="38"/>
      <c r="K438" s="38"/>
      <c r="L438" s="41"/>
      <c r="M438" s="43"/>
      <c r="N438" s="11"/>
      <c r="O438" s="48"/>
      <c r="P438" s="48"/>
      <c r="Q438" s="48"/>
      <c r="R438" s="38"/>
      <c r="S438" s="38"/>
      <c r="T438" s="52"/>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83"/>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83"/>
      <c r="CK438" s="11"/>
      <c r="CL438" s="11"/>
      <c r="CM438" s="11"/>
      <c r="CN438" s="11"/>
      <c r="CO438" s="11"/>
      <c r="CP438" s="11"/>
      <c r="CQ438" s="11"/>
      <c r="CR438" s="11"/>
      <c r="CS438" s="11"/>
      <c r="CT438" s="11"/>
      <c r="CU438" s="11"/>
      <c r="CV438" s="11"/>
      <c r="CW438" s="11"/>
      <c r="CX438" s="11"/>
      <c r="CY438" s="11"/>
      <c r="CZ438" s="11"/>
      <c r="DA438" s="11"/>
      <c r="DB438" s="11"/>
      <c r="DC438" s="11"/>
    </row>
    <row r="439" spans="1:107" ht="12.75" customHeight="1">
      <c r="A439" s="11"/>
      <c r="B439" s="11"/>
      <c r="C439" s="11"/>
      <c r="D439" s="11"/>
      <c r="E439" s="11"/>
      <c r="F439" s="11"/>
      <c r="G439" s="11"/>
      <c r="H439" s="15"/>
      <c r="I439" s="38"/>
      <c r="J439" s="38"/>
      <c r="K439" s="38"/>
      <c r="L439" s="41"/>
      <c r="M439" s="43"/>
      <c r="N439" s="11"/>
      <c r="O439" s="48"/>
      <c r="P439" s="48"/>
      <c r="Q439" s="48"/>
      <c r="R439" s="38"/>
      <c r="S439" s="38"/>
      <c r="T439" s="52"/>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83"/>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83"/>
      <c r="CK439" s="11"/>
      <c r="CL439" s="11"/>
      <c r="CM439" s="11"/>
      <c r="CN439" s="11"/>
      <c r="CO439" s="11"/>
      <c r="CP439" s="11"/>
      <c r="CQ439" s="11"/>
      <c r="CR439" s="11"/>
      <c r="CS439" s="11"/>
      <c r="CT439" s="11"/>
      <c r="CU439" s="11"/>
      <c r="CV439" s="11"/>
      <c r="CW439" s="11"/>
      <c r="CX439" s="11"/>
      <c r="CY439" s="11"/>
      <c r="CZ439" s="11"/>
      <c r="DA439" s="11"/>
      <c r="DB439" s="11"/>
      <c r="DC439" s="11"/>
    </row>
    <row r="440" spans="1:107" ht="12.75" customHeight="1">
      <c r="A440" s="11"/>
      <c r="B440" s="11"/>
      <c r="C440" s="11"/>
      <c r="D440" s="11"/>
      <c r="E440" s="11"/>
      <c r="F440" s="11"/>
      <c r="G440" s="11"/>
      <c r="H440" s="15"/>
      <c r="I440" s="38"/>
      <c r="J440" s="38"/>
      <c r="K440" s="38"/>
      <c r="L440" s="41"/>
      <c r="M440" s="43"/>
      <c r="N440" s="11"/>
      <c r="O440" s="48"/>
      <c r="P440" s="48"/>
      <c r="Q440" s="48"/>
      <c r="R440" s="38"/>
      <c r="S440" s="38"/>
      <c r="T440" s="52"/>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83"/>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83"/>
      <c r="CK440" s="11"/>
      <c r="CL440" s="11"/>
      <c r="CM440" s="11"/>
      <c r="CN440" s="11"/>
      <c r="CO440" s="11"/>
      <c r="CP440" s="11"/>
      <c r="CQ440" s="11"/>
      <c r="CR440" s="11"/>
      <c r="CS440" s="11"/>
      <c r="CT440" s="11"/>
      <c r="CU440" s="11"/>
      <c r="CV440" s="11"/>
      <c r="CW440" s="11"/>
      <c r="CX440" s="11"/>
      <c r="CY440" s="11"/>
      <c r="CZ440" s="11"/>
      <c r="DA440" s="11"/>
      <c r="DB440" s="11"/>
      <c r="DC440" s="11"/>
    </row>
    <row r="441" spans="1:107" ht="12.75" customHeight="1">
      <c r="A441" s="11"/>
      <c r="B441" s="11"/>
      <c r="C441" s="11"/>
      <c r="D441" s="11"/>
      <c r="E441" s="11"/>
      <c r="F441" s="11"/>
      <c r="G441" s="11"/>
      <c r="H441" s="15"/>
      <c r="I441" s="38"/>
      <c r="J441" s="38"/>
      <c r="K441" s="38"/>
      <c r="L441" s="41"/>
      <c r="M441" s="43"/>
      <c r="N441" s="11"/>
      <c r="O441" s="48"/>
      <c r="P441" s="48"/>
      <c r="Q441" s="48"/>
      <c r="R441" s="38"/>
      <c r="S441" s="38"/>
      <c r="T441" s="52"/>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83"/>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83"/>
      <c r="CK441" s="11"/>
      <c r="CL441" s="11"/>
      <c r="CM441" s="11"/>
      <c r="CN441" s="11"/>
      <c r="CO441" s="11"/>
      <c r="CP441" s="11"/>
      <c r="CQ441" s="11"/>
      <c r="CR441" s="11"/>
      <c r="CS441" s="11"/>
      <c r="CT441" s="11"/>
      <c r="CU441" s="11"/>
      <c r="CV441" s="11"/>
      <c r="CW441" s="11"/>
      <c r="CX441" s="11"/>
      <c r="CY441" s="11"/>
      <c r="CZ441" s="11"/>
      <c r="DA441" s="11"/>
      <c r="DB441" s="11"/>
      <c r="DC441" s="11"/>
    </row>
    <row r="442" spans="1:107" ht="12.75" customHeight="1">
      <c r="A442" s="11"/>
      <c r="B442" s="11"/>
      <c r="C442" s="11"/>
      <c r="D442" s="11"/>
      <c r="E442" s="11"/>
      <c r="F442" s="11"/>
      <c r="G442" s="11"/>
      <c r="H442" s="15"/>
      <c r="I442" s="38"/>
      <c r="J442" s="38"/>
      <c r="K442" s="38"/>
      <c r="L442" s="41"/>
      <c r="M442" s="43"/>
      <c r="N442" s="11"/>
      <c r="O442" s="48"/>
      <c r="P442" s="48"/>
      <c r="Q442" s="48"/>
      <c r="R442" s="38"/>
      <c r="S442" s="38"/>
      <c r="T442" s="52"/>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83"/>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83"/>
      <c r="CK442" s="11"/>
      <c r="CL442" s="11"/>
      <c r="CM442" s="11"/>
      <c r="CN442" s="11"/>
      <c r="CO442" s="11"/>
      <c r="CP442" s="11"/>
      <c r="CQ442" s="11"/>
      <c r="CR442" s="11"/>
      <c r="CS442" s="11"/>
      <c r="CT442" s="11"/>
      <c r="CU442" s="11"/>
      <c r="CV442" s="11"/>
      <c r="CW442" s="11"/>
      <c r="CX442" s="11"/>
      <c r="CY442" s="11"/>
      <c r="CZ442" s="11"/>
      <c r="DA442" s="11"/>
      <c r="DB442" s="11"/>
      <c r="DC442" s="11"/>
    </row>
    <row r="443" spans="1:107" ht="12.75" customHeight="1">
      <c r="A443" s="11"/>
      <c r="B443" s="11"/>
      <c r="C443" s="11"/>
      <c r="D443" s="11"/>
      <c r="E443" s="11"/>
      <c r="F443" s="11"/>
      <c r="G443" s="11"/>
      <c r="H443" s="15"/>
      <c r="I443" s="38"/>
      <c r="J443" s="38"/>
      <c r="K443" s="38"/>
      <c r="L443" s="41"/>
      <c r="M443" s="43"/>
      <c r="N443" s="11"/>
      <c r="O443" s="48"/>
      <c r="P443" s="48"/>
      <c r="Q443" s="48"/>
      <c r="R443" s="38"/>
      <c r="S443" s="38"/>
      <c r="T443" s="52"/>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83"/>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83"/>
      <c r="CK443" s="11"/>
      <c r="CL443" s="11"/>
      <c r="CM443" s="11"/>
      <c r="CN443" s="11"/>
      <c r="CO443" s="11"/>
      <c r="CP443" s="11"/>
      <c r="CQ443" s="11"/>
      <c r="CR443" s="11"/>
      <c r="CS443" s="11"/>
      <c r="CT443" s="11"/>
      <c r="CU443" s="11"/>
      <c r="CV443" s="11"/>
      <c r="CW443" s="11"/>
      <c r="CX443" s="11"/>
      <c r="CY443" s="11"/>
      <c r="CZ443" s="11"/>
      <c r="DA443" s="11"/>
      <c r="DB443" s="11"/>
      <c r="DC443" s="11"/>
    </row>
    <row r="444" spans="1:107" ht="12.75" customHeight="1">
      <c r="A444" s="11"/>
      <c r="B444" s="11"/>
      <c r="C444" s="11"/>
      <c r="D444" s="11"/>
      <c r="E444" s="11"/>
      <c r="F444" s="11"/>
      <c r="G444" s="11"/>
      <c r="H444" s="15"/>
      <c r="I444" s="38"/>
      <c r="J444" s="38"/>
      <c r="K444" s="38"/>
      <c r="L444" s="41"/>
      <c r="M444" s="43"/>
      <c r="N444" s="11"/>
      <c r="O444" s="48"/>
      <c r="P444" s="48"/>
      <c r="Q444" s="48"/>
      <c r="R444" s="38"/>
      <c r="S444" s="38"/>
      <c r="T444" s="52"/>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83"/>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83"/>
      <c r="CK444" s="11"/>
      <c r="CL444" s="11"/>
      <c r="CM444" s="11"/>
      <c r="CN444" s="11"/>
      <c r="CO444" s="11"/>
      <c r="CP444" s="11"/>
      <c r="CQ444" s="11"/>
      <c r="CR444" s="11"/>
      <c r="CS444" s="11"/>
      <c r="CT444" s="11"/>
      <c r="CU444" s="11"/>
      <c r="CV444" s="11"/>
      <c r="CW444" s="11"/>
      <c r="CX444" s="11"/>
      <c r="CY444" s="11"/>
      <c r="CZ444" s="11"/>
      <c r="DA444" s="11"/>
      <c r="DB444" s="11"/>
      <c r="DC444" s="11"/>
    </row>
    <row r="445" spans="1:107" ht="12.75" customHeight="1">
      <c r="A445" s="11"/>
      <c r="B445" s="11"/>
      <c r="C445" s="11"/>
      <c r="D445" s="11"/>
      <c r="E445" s="11"/>
      <c r="F445" s="11"/>
      <c r="G445" s="11"/>
      <c r="H445" s="15"/>
      <c r="I445" s="38"/>
      <c r="J445" s="38"/>
      <c r="K445" s="38"/>
      <c r="L445" s="41"/>
      <c r="M445" s="43"/>
      <c r="N445" s="11"/>
      <c r="O445" s="48"/>
      <c r="P445" s="48"/>
      <c r="Q445" s="48"/>
      <c r="R445" s="38"/>
      <c r="S445" s="38"/>
      <c r="T445" s="52"/>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83"/>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83"/>
      <c r="CK445" s="11"/>
      <c r="CL445" s="11"/>
      <c r="CM445" s="11"/>
      <c r="CN445" s="11"/>
      <c r="CO445" s="11"/>
      <c r="CP445" s="11"/>
      <c r="CQ445" s="11"/>
      <c r="CR445" s="11"/>
      <c r="CS445" s="11"/>
      <c r="CT445" s="11"/>
      <c r="CU445" s="11"/>
      <c r="CV445" s="11"/>
      <c r="CW445" s="11"/>
      <c r="CX445" s="11"/>
      <c r="CY445" s="11"/>
      <c r="CZ445" s="11"/>
      <c r="DA445" s="11"/>
      <c r="DB445" s="11"/>
      <c r="DC445" s="11"/>
    </row>
    <row r="446" spans="1:107" ht="12.75" customHeight="1">
      <c r="A446" s="11"/>
      <c r="B446" s="11"/>
      <c r="C446" s="11"/>
      <c r="D446" s="11"/>
      <c r="E446" s="11"/>
      <c r="F446" s="11"/>
      <c r="G446" s="11"/>
      <c r="H446" s="15"/>
      <c r="I446" s="38"/>
      <c r="J446" s="38"/>
      <c r="K446" s="38"/>
      <c r="L446" s="41"/>
      <c r="M446" s="43"/>
      <c r="N446" s="11"/>
      <c r="O446" s="48"/>
      <c r="P446" s="48"/>
      <c r="Q446" s="48"/>
      <c r="R446" s="38"/>
      <c r="S446" s="38"/>
      <c r="T446" s="52"/>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83"/>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83"/>
      <c r="CK446" s="11"/>
      <c r="CL446" s="11"/>
      <c r="CM446" s="11"/>
      <c r="CN446" s="11"/>
      <c r="CO446" s="11"/>
      <c r="CP446" s="11"/>
      <c r="CQ446" s="11"/>
      <c r="CR446" s="11"/>
      <c r="CS446" s="11"/>
      <c r="CT446" s="11"/>
      <c r="CU446" s="11"/>
      <c r="CV446" s="11"/>
      <c r="CW446" s="11"/>
      <c r="CX446" s="11"/>
      <c r="CY446" s="11"/>
      <c r="CZ446" s="11"/>
      <c r="DA446" s="11"/>
      <c r="DB446" s="11"/>
      <c r="DC446" s="11"/>
    </row>
    <row r="447" spans="1:107" ht="12.75" customHeight="1">
      <c r="A447" s="11"/>
      <c r="B447" s="11"/>
      <c r="C447" s="11"/>
      <c r="D447" s="11"/>
      <c r="E447" s="11"/>
      <c r="F447" s="11"/>
      <c r="G447" s="11"/>
      <c r="H447" s="15"/>
      <c r="I447" s="38"/>
      <c r="J447" s="38"/>
      <c r="K447" s="38"/>
      <c r="L447" s="41"/>
      <c r="M447" s="43"/>
      <c r="N447" s="11"/>
      <c r="O447" s="48"/>
      <c r="P447" s="48"/>
      <c r="Q447" s="48"/>
      <c r="R447" s="38"/>
      <c r="S447" s="38"/>
      <c r="T447" s="52"/>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83"/>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83"/>
      <c r="CK447" s="11"/>
      <c r="CL447" s="11"/>
      <c r="CM447" s="11"/>
      <c r="CN447" s="11"/>
      <c r="CO447" s="11"/>
      <c r="CP447" s="11"/>
      <c r="CQ447" s="11"/>
      <c r="CR447" s="11"/>
      <c r="CS447" s="11"/>
      <c r="CT447" s="11"/>
      <c r="CU447" s="11"/>
      <c r="CV447" s="11"/>
      <c r="CW447" s="11"/>
      <c r="CX447" s="11"/>
      <c r="CY447" s="11"/>
      <c r="CZ447" s="11"/>
      <c r="DA447" s="11"/>
      <c r="DB447" s="11"/>
      <c r="DC447" s="11"/>
    </row>
    <row r="448" spans="1:107" ht="12.75" customHeight="1">
      <c r="A448" s="11"/>
      <c r="B448" s="11"/>
      <c r="C448" s="11"/>
      <c r="D448" s="11"/>
      <c r="E448" s="11"/>
      <c r="F448" s="11"/>
      <c r="G448" s="11"/>
      <c r="H448" s="15"/>
      <c r="I448" s="38"/>
      <c r="J448" s="38"/>
      <c r="K448" s="38"/>
      <c r="L448" s="41"/>
      <c r="M448" s="43"/>
      <c r="N448" s="11"/>
      <c r="O448" s="48"/>
      <c r="P448" s="48"/>
      <c r="Q448" s="48"/>
      <c r="R448" s="38"/>
      <c r="S448" s="38"/>
      <c r="T448" s="52"/>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83"/>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83"/>
      <c r="CK448" s="11"/>
      <c r="CL448" s="11"/>
      <c r="CM448" s="11"/>
      <c r="CN448" s="11"/>
      <c r="CO448" s="11"/>
      <c r="CP448" s="11"/>
      <c r="CQ448" s="11"/>
      <c r="CR448" s="11"/>
      <c r="CS448" s="11"/>
      <c r="CT448" s="11"/>
      <c r="CU448" s="11"/>
      <c r="CV448" s="11"/>
      <c r="CW448" s="11"/>
      <c r="CX448" s="11"/>
      <c r="CY448" s="11"/>
      <c r="CZ448" s="11"/>
      <c r="DA448" s="11"/>
      <c r="DB448" s="11"/>
      <c r="DC448" s="11"/>
    </row>
    <row r="449" spans="1:107" ht="12.75" customHeight="1">
      <c r="A449" s="11"/>
      <c r="B449" s="11"/>
      <c r="C449" s="11"/>
      <c r="D449" s="11"/>
      <c r="E449" s="11"/>
      <c r="F449" s="11"/>
      <c r="G449" s="11"/>
      <c r="H449" s="15"/>
      <c r="I449" s="38"/>
      <c r="J449" s="38"/>
      <c r="K449" s="38"/>
      <c r="L449" s="41"/>
      <c r="M449" s="43"/>
      <c r="N449" s="11"/>
      <c r="O449" s="48"/>
      <c r="P449" s="48"/>
      <c r="Q449" s="48"/>
      <c r="R449" s="38"/>
      <c r="S449" s="38"/>
      <c r="T449" s="52"/>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83"/>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83"/>
      <c r="CK449" s="11"/>
      <c r="CL449" s="11"/>
      <c r="CM449" s="11"/>
      <c r="CN449" s="11"/>
      <c r="CO449" s="11"/>
      <c r="CP449" s="11"/>
      <c r="CQ449" s="11"/>
      <c r="CR449" s="11"/>
      <c r="CS449" s="11"/>
      <c r="CT449" s="11"/>
      <c r="CU449" s="11"/>
      <c r="CV449" s="11"/>
      <c r="CW449" s="11"/>
      <c r="CX449" s="11"/>
      <c r="CY449" s="11"/>
      <c r="CZ449" s="11"/>
      <c r="DA449" s="11"/>
      <c r="DB449" s="11"/>
      <c r="DC449" s="11"/>
    </row>
    <row r="450" spans="1:107" ht="12.75" customHeight="1">
      <c r="A450" s="11"/>
      <c r="B450" s="11"/>
      <c r="C450" s="11"/>
      <c r="D450" s="11"/>
      <c r="E450" s="11"/>
      <c r="F450" s="11"/>
      <c r="G450" s="11"/>
      <c r="H450" s="15"/>
      <c r="I450" s="38"/>
      <c r="J450" s="38"/>
      <c r="K450" s="38"/>
      <c r="L450" s="41"/>
      <c r="M450" s="43"/>
      <c r="N450" s="11"/>
      <c r="O450" s="48"/>
      <c r="P450" s="48"/>
      <c r="Q450" s="48"/>
      <c r="R450" s="38"/>
      <c r="S450" s="38"/>
      <c r="T450" s="52"/>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83"/>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83"/>
      <c r="CK450" s="11"/>
      <c r="CL450" s="11"/>
      <c r="CM450" s="11"/>
      <c r="CN450" s="11"/>
      <c r="CO450" s="11"/>
      <c r="CP450" s="11"/>
      <c r="CQ450" s="11"/>
      <c r="CR450" s="11"/>
      <c r="CS450" s="11"/>
      <c r="CT450" s="11"/>
      <c r="CU450" s="11"/>
      <c r="CV450" s="11"/>
      <c r="CW450" s="11"/>
      <c r="CX450" s="11"/>
      <c r="CY450" s="11"/>
      <c r="CZ450" s="11"/>
      <c r="DA450" s="11"/>
      <c r="DB450" s="11"/>
      <c r="DC450" s="11"/>
    </row>
    <row r="451" spans="1:107" ht="12.75" customHeight="1">
      <c r="A451" s="11"/>
      <c r="B451" s="11"/>
      <c r="C451" s="11"/>
      <c r="D451" s="11"/>
      <c r="E451" s="11"/>
      <c r="F451" s="11"/>
      <c r="G451" s="11"/>
      <c r="H451" s="15"/>
      <c r="I451" s="38"/>
      <c r="J451" s="38"/>
      <c r="K451" s="38"/>
      <c r="L451" s="41"/>
      <c r="M451" s="43"/>
      <c r="N451" s="11"/>
      <c r="O451" s="48"/>
      <c r="P451" s="48"/>
      <c r="Q451" s="48"/>
      <c r="R451" s="38"/>
      <c r="S451" s="38"/>
      <c r="T451" s="52"/>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83"/>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83"/>
      <c r="CK451" s="11"/>
      <c r="CL451" s="11"/>
      <c r="CM451" s="11"/>
      <c r="CN451" s="11"/>
      <c r="CO451" s="11"/>
      <c r="CP451" s="11"/>
      <c r="CQ451" s="11"/>
      <c r="CR451" s="11"/>
      <c r="CS451" s="11"/>
      <c r="CT451" s="11"/>
      <c r="CU451" s="11"/>
      <c r="CV451" s="11"/>
      <c r="CW451" s="11"/>
      <c r="CX451" s="11"/>
      <c r="CY451" s="11"/>
      <c r="CZ451" s="11"/>
      <c r="DA451" s="11"/>
      <c r="DB451" s="11"/>
      <c r="DC451" s="11"/>
    </row>
    <row r="452" spans="1:107" ht="12.75" customHeight="1">
      <c r="A452" s="11"/>
      <c r="B452" s="11"/>
      <c r="C452" s="11"/>
      <c r="D452" s="11"/>
      <c r="E452" s="11"/>
      <c r="F452" s="11"/>
      <c r="G452" s="11"/>
      <c r="H452" s="15"/>
      <c r="I452" s="38"/>
      <c r="J452" s="38"/>
      <c r="K452" s="38"/>
      <c r="L452" s="41"/>
      <c r="M452" s="43"/>
      <c r="N452" s="11"/>
      <c r="O452" s="48"/>
      <c r="P452" s="48"/>
      <c r="Q452" s="48"/>
      <c r="R452" s="38"/>
      <c r="S452" s="38"/>
      <c r="T452" s="52"/>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83"/>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83"/>
      <c r="CK452" s="11"/>
      <c r="CL452" s="11"/>
      <c r="CM452" s="11"/>
      <c r="CN452" s="11"/>
      <c r="CO452" s="11"/>
      <c r="CP452" s="11"/>
      <c r="CQ452" s="11"/>
      <c r="CR452" s="11"/>
      <c r="CS452" s="11"/>
      <c r="CT452" s="11"/>
      <c r="CU452" s="11"/>
      <c r="CV452" s="11"/>
      <c r="CW452" s="11"/>
      <c r="CX452" s="11"/>
      <c r="CY452" s="11"/>
      <c r="CZ452" s="11"/>
      <c r="DA452" s="11"/>
      <c r="DB452" s="11"/>
      <c r="DC452" s="11"/>
    </row>
    <row r="453" spans="1:107" ht="12.75" customHeight="1">
      <c r="A453" s="11"/>
      <c r="B453" s="11"/>
      <c r="C453" s="11"/>
      <c r="D453" s="11"/>
      <c r="E453" s="11"/>
      <c r="F453" s="11"/>
      <c r="G453" s="11"/>
      <c r="H453" s="15"/>
      <c r="I453" s="38"/>
      <c r="J453" s="38"/>
      <c r="K453" s="38"/>
      <c r="L453" s="41"/>
      <c r="M453" s="43"/>
      <c r="N453" s="11"/>
      <c r="O453" s="48"/>
      <c r="P453" s="48"/>
      <c r="Q453" s="48"/>
      <c r="R453" s="38"/>
      <c r="S453" s="38"/>
      <c r="T453" s="52"/>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83"/>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83"/>
      <c r="CK453" s="11"/>
      <c r="CL453" s="11"/>
      <c r="CM453" s="11"/>
      <c r="CN453" s="11"/>
      <c r="CO453" s="11"/>
      <c r="CP453" s="11"/>
      <c r="CQ453" s="11"/>
      <c r="CR453" s="11"/>
      <c r="CS453" s="11"/>
      <c r="CT453" s="11"/>
      <c r="CU453" s="11"/>
      <c r="CV453" s="11"/>
      <c r="CW453" s="11"/>
      <c r="CX453" s="11"/>
      <c r="CY453" s="11"/>
      <c r="CZ453" s="11"/>
      <c r="DA453" s="11"/>
      <c r="DB453" s="11"/>
      <c r="DC453" s="11"/>
    </row>
    <row r="454" spans="1:107" ht="12.75" customHeight="1">
      <c r="A454" s="11"/>
      <c r="B454" s="11"/>
      <c r="C454" s="11"/>
      <c r="D454" s="11"/>
      <c r="E454" s="11"/>
      <c r="F454" s="11"/>
      <c r="G454" s="11"/>
      <c r="H454" s="15"/>
      <c r="I454" s="38"/>
      <c r="J454" s="38"/>
      <c r="K454" s="38"/>
      <c r="L454" s="41"/>
      <c r="M454" s="43"/>
      <c r="N454" s="11"/>
      <c r="O454" s="48"/>
      <c r="P454" s="48"/>
      <c r="Q454" s="48"/>
      <c r="R454" s="38"/>
      <c r="S454" s="38"/>
      <c r="T454" s="52"/>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83"/>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83"/>
      <c r="CK454" s="11"/>
      <c r="CL454" s="11"/>
      <c r="CM454" s="11"/>
      <c r="CN454" s="11"/>
      <c r="CO454" s="11"/>
      <c r="CP454" s="11"/>
      <c r="CQ454" s="11"/>
      <c r="CR454" s="11"/>
      <c r="CS454" s="11"/>
      <c r="CT454" s="11"/>
      <c r="CU454" s="11"/>
      <c r="CV454" s="11"/>
      <c r="CW454" s="11"/>
      <c r="CX454" s="11"/>
      <c r="CY454" s="11"/>
      <c r="CZ454" s="11"/>
      <c r="DA454" s="11"/>
      <c r="DB454" s="11"/>
      <c r="DC454" s="11"/>
    </row>
    <row r="455" spans="1:107" ht="12.75" customHeight="1">
      <c r="A455" s="11"/>
      <c r="B455" s="11"/>
      <c r="C455" s="11"/>
      <c r="D455" s="11"/>
      <c r="E455" s="11"/>
      <c r="F455" s="11"/>
      <c r="G455" s="11"/>
      <c r="H455" s="15"/>
      <c r="I455" s="38"/>
      <c r="J455" s="38"/>
      <c r="K455" s="38"/>
      <c r="L455" s="41"/>
      <c r="M455" s="43"/>
      <c r="N455" s="11"/>
      <c r="O455" s="48"/>
      <c r="P455" s="48"/>
      <c r="Q455" s="48"/>
      <c r="R455" s="38"/>
      <c r="S455" s="38"/>
      <c r="T455" s="52"/>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83"/>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83"/>
      <c r="CK455" s="11"/>
      <c r="CL455" s="11"/>
      <c r="CM455" s="11"/>
      <c r="CN455" s="11"/>
      <c r="CO455" s="11"/>
      <c r="CP455" s="11"/>
      <c r="CQ455" s="11"/>
      <c r="CR455" s="11"/>
      <c r="CS455" s="11"/>
      <c r="CT455" s="11"/>
      <c r="CU455" s="11"/>
      <c r="CV455" s="11"/>
      <c r="CW455" s="11"/>
      <c r="CX455" s="11"/>
      <c r="CY455" s="11"/>
      <c r="CZ455" s="11"/>
      <c r="DA455" s="11"/>
      <c r="DB455" s="11"/>
      <c r="DC455" s="11"/>
    </row>
    <row r="456" spans="1:107" ht="12.75" customHeight="1">
      <c r="A456" s="11"/>
      <c r="B456" s="11"/>
      <c r="C456" s="11"/>
      <c r="D456" s="11"/>
      <c r="E456" s="11"/>
      <c r="F456" s="11"/>
      <c r="G456" s="11"/>
      <c r="H456" s="15"/>
      <c r="I456" s="38"/>
      <c r="J456" s="38"/>
      <c r="K456" s="38"/>
      <c r="L456" s="41"/>
      <c r="M456" s="43"/>
      <c r="N456" s="11"/>
      <c r="O456" s="48"/>
      <c r="P456" s="48"/>
      <c r="Q456" s="48"/>
      <c r="R456" s="38"/>
      <c r="S456" s="38"/>
      <c r="T456" s="52"/>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83"/>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83"/>
      <c r="CK456" s="11"/>
      <c r="CL456" s="11"/>
      <c r="CM456" s="11"/>
      <c r="CN456" s="11"/>
      <c r="CO456" s="11"/>
      <c r="CP456" s="11"/>
      <c r="CQ456" s="11"/>
      <c r="CR456" s="11"/>
      <c r="CS456" s="11"/>
      <c r="CT456" s="11"/>
      <c r="CU456" s="11"/>
      <c r="CV456" s="11"/>
      <c r="CW456" s="11"/>
      <c r="CX456" s="11"/>
      <c r="CY456" s="11"/>
      <c r="CZ456" s="11"/>
      <c r="DA456" s="11"/>
      <c r="DB456" s="11"/>
      <c r="DC456" s="11"/>
    </row>
    <row r="457" spans="1:107" ht="12.75" customHeight="1">
      <c r="A457" s="11"/>
      <c r="B457" s="11"/>
      <c r="C457" s="11"/>
      <c r="D457" s="11"/>
      <c r="E457" s="11"/>
      <c r="F457" s="11"/>
      <c r="G457" s="11"/>
      <c r="H457" s="15"/>
      <c r="I457" s="38"/>
      <c r="J457" s="38"/>
      <c r="K457" s="38"/>
      <c r="L457" s="41"/>
      <c r="M457" s="43"/>
      <c r="N457" s="11"/>
      <c r="O457" s="48"/>
      <c r="P457" s="48"/>
      <c r="Q457" s="48"/>
      <c r="R457" s="38"/>
      <c r="S457" s="38"/>
      <c r="T457" s="52"/>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83"/>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83"/>
      <c r="CK457" s="11"/>
      <c r="CL457" s="11"/>
      <c r="CM457" s="11"/>
      <c r="CN457" s="11"/>
      <c r="CO457" s="11"/>
      <c r="CP457" s="11"/>
      <c r="CQ457" s="11"/>
      <c r="CR457" s="11"/>
      <c r="CS457" s="11"/>
      <c r="CT457" s="11"/>
      <c r="CU457" s="11"/>
      <c r="CV457" s="11"/>
      <c r="CW457" s="11"/>
      <c r="CX457" s="11"/>
      <c r="CY457" s="11"/>
      <c r="CZ457" s="11"/>
      <c r="DA457" s="11"/>
      <c r="DB457" s="11"/>
      <c r="DC457" s="11"/>
    </row>
    <row r="458" spans="1:107" ht="12.75" customHeight="1">
      <c r="A458" s="11"/>
      <c r="B458" s="11"/>
      <c r="C458" s="11"/>
      <c r="D458" s="11"/>
      <c r="E458" s="11"/>
      <c r="F458" s="11"/>
      <c r="G458" s="11"/>
      <c r="H458" s="15"/>
      <c r="I458" s="38"/>
      <c r="J458" s="38"/>
      <c r="K458" s="38"/>
      <c r="L458" s="41"/>
      <c r="M458" s="43"/>
      <c r="N458" s="11"/>
      <c r="O458" s="48"/>
      <c r="P458" s="48"/>
      <c r="Q458" s="48"/>
      <c r="R458" s="38"/>
      <c r="S458" s="38"/>
      <c r="T458" s="52"/>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83"/>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83"/>
      <c r="CK458" s="11"/>
      <c r="CL458" s="11"/>
      <c r="CM458" s="11"/>
      <c r="CN458" s="11"/>
      <c r="CO458" s="11"/>
      <c r="CP458" s="11"/>
      <c r="CQ458" s="11"/>
      <c r="CR458" s="11"/>
      <c r="CS458" s="11"/>
      <c r="CT458" s="11"/>
      <c r="CU458" s="11"/>
      <c r="CV458" s="11"/>
      <c r="CW458" s="11"/>
      <c r="CX458" s="11"/>
      <c r="CY458" s="11"/>
      <c r="CZ458" s="11"/>
      <c r="DA458" s="11"/>
      <c r="DB458" s="11"/>
      <c r="DC458" s="11"/>
    </row>
    <row r="459" spans="1:107" ht="12.75" customHeight="1">
      <c r="A459" s="11"/>
      <c r="B459" s="11"/>
      <c r="C459" s="11"/>
      <c r="D459" s="11"/>
      <c r="E459" s="11"/>
      <c r="F459" s="11"/>
      <c r="G459" s="11"/>
      <c r="H459" s="15"/>
      <c r="I459" s="38"/>
      <c r="J459" s="38"/>
      <c r="K459" s="38"/>
      <c r="L459" s="41"/>
      <c r="M459" s="43"/>
      <c r="N459" s="11"/>
      <c r="O459" s="48"/>
      <c r="P459" s="48"/>
      <c r="Q459" s="48"/>
      <c r="R459" s="38"/>
      <c r="S459" s="38"/>
      <c r="T459" s="52"/>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83"/>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83"/>
      <c r="CK459" s="11"/>
      <c r="CL459" s="11"/>
      <c r="CM459" s="11"/>
      <c r="CN459" s="11"/>
      <c r="CO459" s="11"/>
      <c r="CP459" s="11"/>
      <c r="CQ459" s="11"/>
      <c r="CR459" s="11"/>
      <c r="CS459" s="11"/>
      <c r="CT459" s="11"/>
      <c r="CU459" s="11"/>
      <c r="CV459" s="11"/>
      <c r="CW459" s="11"/>
      <c r="CX459" s="11"/>
      <c r="CY459" s="11"/>
      <c r="CZ459" s="11"/>
      <c r="DA459" s="11"/>
      <c r="DB459" s="11"/>
      <c r="DC459" s="11"/>
    </row>
    <row r="460" spans="1:107" ht="12.75" customHeight="1">
      <c r="A460" s="11"/>
      <c r="B460" s="11"/>
      <c r="C460" s="11"/>
      <c r="D460" s="11"/>
      <c r="E460" s="11"/>
      <c r="F460" s="11"/>
      <c r="G460" s="11"/>
      <c r="H460" s="15"/>
      <c r="I460" s="38"/>
      <c r="J460" s="38"/>
      <c r="K460" s="38"/>
      <c r="L460" s="41"/>
      <c r="M460" s="43"/>
      <c r="N460" s="11"/>
      <c r="O460" s="48"/>
      <c r="P460" s="48"/>
      <c r="Q460" s="48"/>
      <c r="R460" s="38"/>
      <c r="S460" s="38"/>
      <c r="T460" s="52"/>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83"/>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83"/>
      <c r="CK460" s="11"/>
      <c r="CL460" s="11"/>
      <c r="CM460" s="11"/>
      <c r="CN460" s="11"/>
      <c r="CO460" s="11"/>
      <c r="CP460" s="11"/>
      <c r="CQ460" s="11"/>
      <c r="CR460" s="11"/>
      <c r="CS460" s="11"/>
      <c r="CT460" s="11"/>
      <c r="CU460" s="11"/>
      <c r="CV460" s="11"/>
      <c r="CW460" s="11"/>
      <c r="CX460" s="11"/>
      <c r="CY460" s="11"/>
      <c r="CZ460" s="11"/>
      <c r="DA460" s="11"/>
      <c r="DB460" s="11"/>
      <c r="DC460" s="11"/>
    </row>
    <row r="461" spans="1:107" ht="12.75" customHeight="1">
      <c r="A461" s="11"/>
      <c r="B461" s="11"/>
      <c r="C461" s="11"/>
      <c r="D461" s="11"/>
      <c r="E461" s="11"/>
      <c r="F461" s="11"/>
      <c r="G461" s="11"/>
      <c r="H461" s="15"/>
      <c r="I461" s="38"/>
      <c r="J461" s="38"/>
      <c r="K461" s="38"/>
      <c r="L461" s="41"/>
      <c r="M461" s="43"/>
      <c r="N461" s="11"/>
      <c r="O461" s="48"/>
      <c r="P461" s="48"/>
      <c r="Q461" s="48"/>
      <c r="R461" s="38"/>
      <c r="S461" s="38"/>
      <c r="T461" s="52"/>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83"/>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83"/>
      <c r="CK461" s="11"/>
      <c r="CL461" s="11"/>
      <c r="CM461" s="11"/>
      <c r="CN461" s="11"/>
      <c r="CO461" s="11"/>
      <c r="CP461" s="11"/>
      <c r="CQ461" s="11"/>
      <c r="CR461" s="11"/>
      <c r="CS461" s="11"/>
      <c r="CT461" s="11"/>
      <c r="CU461" s="11"/>
      <c r="CV461" s="11"/>
      <c r="CW461" s="11"/>
      <c r="CX461" s="11"/>
      <c r="CY461" s="11"/>
      <c r="CZ461" s="11"/>
      <c r="DA461" s="11"/>
      <c r="DB461" s="11"/>
      <c r="DC461" s="11"/>
    </row>
    <row r="462" spans="1:107" ht="12.75" customHeight="1">
      <c r="A462" s="11"/>
      <c r="B462" s="11"/>
      <c r="C462" s="11"/>
      <c r="D462" s="11"/>
      <c r="E462" s="11"/>
      <c r="F462" s="11"/>
      <c r="G462" s="11"/>
      <c r="H462" s="15"/>
      <c r="I462" s="38"/>
      <c r="J462" s="38"/>
      <c r="K462" s="38"/>
      <c r="L462" s="41"/>
      <c r="M462" s="43"/>
      <c r="N462" s="11"/>
      <c r="O462" s="48"/>
      <c r="P462" s="48"/>
      <c r="Q462" s="48"/>
      <c r="R462" s="38"/>
      <c r="S462" s="38"/>
      <c r="T462" s="52"/>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83"/>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83"/>
      <c r="CK462" s="11"/>
      <c r="CL462" s="11"/>
      <c r="CM462" s="11"/>
      <c r="CN462" s="11"/>
      <c r="CO462" s="11"/>
      <c r="CP462" s="11"/>
      <c r="CQ462" s="11"/>
      <c r="CR462" s="11"/>
      <c r="CS462" s="11"/>
      <c r="CT462" s="11"/>
      <c r="CU462" s="11"/>
      <c r="CV462" s="11"/>
      <c r="CW462" s="11"/>
      <c r="CX462" s="11"/>
      <c r="CY462" s="11"/>
      <c r="CZ462" s="11"/>
      <c r="DA462" s="11"/>
      <c r="DB462" s="11"/>
      <c r="DC462" s="11"/>
    </row>
    <row r="463" spans="1:107" ht="12.75" customHeight="1">
      <c r="A463" s="11"/>
      <c r="B463" s="11"/>
      <c r="C463" s="11"/>
      <c r="D463" s="11"/>
      <c r="E463" s="11"/>
      <c r="F463" s="11"/>
      <c r="G463" s="11"/>
      <c r="H463" s="15"/>
      <c r="I463" s="38"/>
      <c r="J463" s="38"/>
      <c r="K463" s="38"/>
      <c r="L463" s="41"/>
      <c r="M463" s="43"/>
      <c r="N463" s="11"/>
      <c r="O463" s="48"/>
      <c r="P463" s="48"/>
      <c r="Q463" s="48"/>
      <c r="R463" s="38"/>
      <c r="S463" s="38"/>
      <c r="T463" s="52"/>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83"/>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83"/>
      <c r="CK463" s="11"/>
      <c r="CL463" s="11"/>
      <c r="CM463" s="11"/>
      <c r="CN463" s="11"/>
      <c r="CO463" s="11"/>
      <c r="CP463" s="11"/>
      <c r="CQ463" s="11"/>
      <c r="CR463" s="11"/>
      <c r="CS463" s="11"/>
      <c r="CT463" s="11"/>
      <c r="CU463" s="11"/>
      <c r="CV463" s="11"/>
      <c r="CW463" s="11"/>
      <c r="CX463" s="11"/>
      <c r="CY463" s="11"/>
      <c r="CZ463" s="11"/>
      <c r="DA463" s="11"/>
      <c r="DB463" s="11"/>
      <c r="DC463" s="11"/>
    </row>
    <row r="464" spans="1:107" ht="12.75" customHeight="1">
      <c r="A464" s="11"/>
      <c r="B464" s="11"/>
      <c r="C464" s="11"/>
      <c r="D464" s="11"/>
      <c r="E464" s="11"/>
      <c r="F464" s="11"/>
      <c r="G464" s="11"/>
      <c r="H464" s="15"/>
      <c r="I464" s="38"/>
      <c r="J464" s="38"/>
      <c r="K464" s="38"/>
      <c r="L464" s="41"/>
      <c r="M464" s="43"/>
      <c r="N464" s="11"/>
      <c r="O464" s="48"/>
      <c r="P464" s="48"/>
      <c r="Q464" s="48"/>
      <c r="R464" s="38"/>
      <c r="S464" s="38"/>
      <c r="T464" s="52"/>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83"/>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83"/>
      <c r="CK464" s="11"/>
      <c r="CL464" s="11"/>
      <c r="CM464" s="11"/>
      <c r="CN464" s="11"/>
      <c r="CO464" s="11"/>
      <c r="CP464" s="11"/>
      <c r="CQ464" s="11"/>
      <c r="CR464" s="11"/>
      <c r="CS464" s="11"/>
      <c r="CT464" s="11"/>
      <c r="CU464" s="11"/>
      <c r="CV464" s="11"/>
      <c r="CW464" s="11"/>
      <c r="CX464" s="11"/>
      <c r="CY464" s="11"/>
      <c r="CZ464" s="11"/>
      <c r="DA464" s="11"/>
      <c r="DB464" s="11"/>
      <c r="DC464" s="11"/>
    </row>
    <row r="465" spans="1:107" ht="12.75" customHeight="1">
      <c r="A465" s="11"/>
      <c r="B465" s="11"/>
      <c r="C465" s="11"/>
      <c r="D465" s="11"/>
      <c r="E465" s="11"/>
      <c r="F465" s="11"/>
      <c r="G465" s="11"/>
      <c r="H465" s="15"/>
      <c r="I465" s="38"/>
      <c r="J465" s="38"/>
      <c r="K465" s="38"/>
      <c r="L465" s="41"/>
      <c r="M465" s="43"/>
      <c r="N465" s="11"/>
      <c r="O465" s="48"/>
      <c r="P465" s="48"/>
      <c r="Q465" s="48"/>
      <c r="R465" s="38"/>
      <c r="S465" s="38"/>
      <c r="T465" s="52"/>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83"/>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83"/>
      <c r="CK465" s="11"/>
      <c r="CL465" s="11"/>
      <c r="CM465" s="11"/>
      <c r="CN465" s="11"/>
      <c r="CO465" s="11"/>
      <c r="CP465" s="11"/>
      <c r="CQ465" s="11"/>
      <c r="CR465" s="11"/>
      <c r="CS465" s="11"/>
      <c r="CT465" s="11"/>
      <c r="CU465" s="11"/>
      <c r="CV465" s="11"/>
      <c r="CW465" s="11"/>
      <c r="CX465" s="11"/>
      <c r="CY465" s="11"/>
      <c r="CZ465" s="11"/>
      <c r="DA465" s="11"/>
      <c r="DB465" s="11"/>
      <c r="DC465" s="11"/>
    </row>
    <row r="466" spans="1:107" ht="12.75" customHeight="1">
      <c r="A466" s="11"/>
      <c r="B466" s="11"/>
      <c r="C466" s="11"/>
      <c r="D466" s="11"/>
      <c r="E466" s="11"/>
      <c r="F466" s="11"/>
      <c r="G466" s="11"/>
      <c r="H466" s="15"/>
      <c r="I466" s="38"/>
      <c r="J466" s="38"/>
      <c r="K466" s="38"/>
      <c r="L466" s="41"/>
      <c r="M466" s="43"/>
      <c r="N466" s="11"/>
      <c r="O466" s="48"/>
      <c r="P466" s="48"/>
      <c r="Q466" s="48"/>
      <c r="R466" s="38"/>
      <c r="S466" s="38"/>
      <c r="T466" s="52"/>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83"/>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83"/>
      <c r="CK466" s="11"/>
      <c r="CL466" s="11"/>
      <c r="CM466" s="11"/>
      <c r="CN466" s="11"/>
      <c r="CO466" s="11"/>
      <c r="CP466" s="11"/>
      <c r="CQ466" s="11"/>
      <c r="CR466" s="11"/>
      <c r="CS466" s="11"/>
      <c r="CT466" s="11"/>
      <c r="CU466" s="11"/>
      <c r="CV466" s="11"/>
      <c r="CW466" s="11"/>
      <c r="CX466" s="11"/>
      <c r="CY466" s="11"/>
      <c r="CZ466" s="11"/>
      <c r="DA466" s="11"/>
      <c r="DB466" s="11"/>
      <c r="DC466" s="11"/>
    </row>
    <row r="467" spans="1:107" ht="12.75" customHeight="1">
      <c r="A467" s="11"/>
      <c r="B467" s="11"/>
      <c r="C467" s="11"/>
      <c r="D467" s="11"/>
      <c r="E467" s="11"/>
      <c r="F467" s="11"/>
      <c r="G467" s="11"/>
      <c r="H467" s="15"/>
      <c r="I467" s="38"/>
      <c r="J467" s="38"/>
      <c r="K467" s="38"/>
      <c r="L467" s="41"/>
      <c r="M467" s="43"/>
      <c r="N467" s="11"/>
      <c r="O467" s="48"/>
      <c r="P467" s="48"/>
      <c r="Q467" s="48"/>
      <c r="R467" s="38"/>
      <c r="S467" s="38"/>
      <c r="T467" s="52"/>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83"/>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83"/>
      <c r="CK467" s="11"/>
      <c r="CL467" s="11"/>
      <c r="CM467" s="11"/>
      <c r="CN467" s="11"/>
      <c r="CO467" s="11"/>
      <c r="CP467" s="11"/>
      <c r="CQ467" s="11"/>
      <c r="CR467" s="11"/>
      <c r="CS467" s="11"/>
      <c r="CT467" s="11"/>
      <c r="CU467" s="11"/>
      <c r="CV467" s="11"/>
      <c r="CW467" s="11"/>
      <c r="CX467" s="11"/>
      <c r="CY467" s="11"/>
      <c r="CZ467" s="11"/>
      <c r="DA467" s="11"/>
      <c r="DB467" s="11"/>
      <c r="DC467" s="11"/>
    </row>
    <row r="468" spans="1:107" ht="12.75" customHeight="1">
      <c r="A468" s="11"/>
      <c r="B468" s="11"/>
      <c r="C468" s="11"/>
      <c r="D468" s="11"/>
      <c r="E468" s="11"/>
      <c r="F468" s="11"/>
      <c r="G468" s="11"/>
      <c r="H468" s="15"/>
      <c r="I468" s="38"/>
      <c r="J468" s="38"/>
      <c r="K468" s="38"/>
      <c r="L468" s="41"/>
      <c r="M468" s="43"/>
      <c r="N468" s="11"/>
      <c r="O468" s="48"/>
      <c r="P468" s="48"/>
      <c r="Q468" s="48"/>
      <c r="R468" s="38"/>
      <c r="S468" s="38"/>
      <c r="T468" s="52"/>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83"/>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83"/>
      <c r="CK468" s="11"/>
      <c r="CL468" s="11"/>
      <c r="CM468" s="11"/>
      <c r="CN468" s="11"/>
      <c r="CO468" s="11"/>
      <c r="CP468" s="11"/>
      <c r="CQ468" s="11"/>
      <c r="CR468" s="11"/>
      <c r="CS468" s="11"/>
      <c r="CT468" s="11"/>
      <c r="CU468" s="11"/>
      <c r="CV468" s="11"/>
      <c r="CW468" s="11"/>
      <c r="CX468" s="11"/>
      <c r="CY468" s="11"/>
      <c r="CZ468" s="11"/>
      <c r="DA468" s="11"/>
      <c r="DB468" s="11"/>
      <c r="DC468" s="11"/>
    </row>
    <row r="469" spans="1:107" ht="12.75" customHeight="1">
      <c r="A469" s="11"/>
      <c r="B469" s="11"/>
      <c r="C469" s="11"/>
      <c r="D469" s="11"/>
      <c r="E469" s="11"/>
      <c r="F469" s="11"/>
      <c r="G469" s="11"/>
      <c r="H469" s="15"/>
      <c r="I469" s="38"/>
      <c r="J469" s="38"/>
      <c r="K469" s="38"/>
      <c r="L469" s="41"/>
      <c r="M469" s="43"/>
      <c r="N469" s="11"/>
      <c r="O469" s="48"/>
      <c r="P469" s="48"/>
      <c r="Q469" s="48"/>
      <c r="R469" s="38"/>
      <c r="S469" s="38"/>
      <c r="T469" s="52"/>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83"/>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83"/>
      <c r="CK469" s="11"/>
      <c r="CL469" s="11"/>
      <c r="CM469" s="11"/>
      <c r="CN469" s="11"/>
      <c r="CO469" s="11"/>
      <c r="CP469" s="11"/>
      <c r="CQ469" s="11"/>
      <c r="CR469" s="11"/>
      <c r="CS469" s="11"/>
      <c r="CT469" s="11"/>
      <c r="CU469" s="11"/>
      <c r="CV469" s="11"/>
      <c r="CW469" s="11"/>
      <c r="CX469" s="11"/>
      <c r="CY469" s="11"/>
      <c r="CZ469" s="11"/>
      <c r="DA469" s="11"/>
      <c r="DB469" s="11"/>
      <c r="DC469" s="11"/>
    </row>
    <row r="470" spans="1:107" ht="12.75" customHeight="1">
      <c r="A470" s="11"/>
      <c r="B470" s="11"/>
      <c r="C470" s="11"/>
      <c r="D470" s="11"/>
      <c r="E470" s="11"/>
      <c r="F470" s="11"/>
      <c r="G470" s="11"/>
      <c r="H470" s="15"/>
      <c r="I470" s="38"/>
      <c r="J470" s="38"/>
      <c r="K470" s="38"/>
      <c r="L470" s="41"/>
      <c r="M470" s="43"/>
      <c r="N470" s="11"/>
      <c r="O470" s="48"/>
      <c r="P470" s="48"/>
      <c r="Q470" s="48"/>
      <c r="R470" s="38"/>
      <c r="S470" s="38"/>
      <c r="T470" s="52"/>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83"/>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83"/>
      <c r="CK470" s="11"/>
      <c r="CL470" s="11"/>
      <c r="CM470" s="11"/>
      <c r="CN470" s="11"/>
      <c r="CO470" s="11"/>
      <c r="CP470" s="11"/>
      <c r="CQ470" s="11"/>
      <c r="CR470" s="11"/>
      <c r="CS470" s="11"/>
      <c r="CT470" s="11"/>
      <c r="CU470" s="11"/>
      <c r="CV470" s="11"/>
      <c r="CW470" s="11"/>
      <c r="CX470" s="11"/>
      <c r="CY470" s="11"/>
      <c r="CZ470" s="11"/>
      <c r="DA470" s="11"/>
      <c r="DB470" s="11"/>
      <c r="DC470" s="11"/>
    </row>
    <row r="471" spans="1:107" ht="12.75" customHeight="1">
      <c r="A471" s="11"/>
      <c r="B471" s="11"/>
      <c r="C471" s="11"/>
      <c r="D471" s="11"/>
      <c r="E471" s="11"/>
      <c r="F471" s="11"/>
      <c r="G471" s="11"/>
      <c r="H471" s="15"/>
      <c r="I471" s="38"/>
      <c r="J471" s="38"/>
      <c r="K471" s="38"/>
      <c r="L471" s="41"/>
      <c r="M471" s="43"/>
      <c r="N471" s="11"/>
      <c r="O471" s="48"/>
      <c r="P471" s="48"/>
      <c r="Q471" s="48"/>
      <c r="R471" s="38"/>
      <c r="S471" s="38"/>
      <c r="T471" s="52"/>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83"/>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83"/>
      <c r="CK471" s="11"/>
      <c r="CL471" s="11"/>
      <c r="CM471" s="11"/>
      <c r="CN471" s="11"/>
      <c r="CO471" s="11"/>
      <c r="CP471" s="11"/>
      <c r="CQ471" s="11"/>
      <c r="CR471" s="11"/>
      <c r="CS471" s="11"/>
      <c r="CT471" s="11"/>
      <c r="CU471" s="11"/>
      <c r="CV471" s="11"/>
      <c r="CW471" s="11"/>
      <c r="CX471" s="11"/>
      <c r="CY471" s="11"/>
      <c r="CZ471" s="11"/>
      <c r="DA471" s="11"/>
      <c r="DB471" s="11"/>
      <c r="DC471" s="11"/>
    </row>
    <row r="472" spans="1:107" ht="12.75" customHeight="1">
      <c r="A472" s="11"/>
      <c r="B472" s="11"/>
      <c r="C472" s="11"/>
      <c r="D472" s="11"/>
      <c r="E472" s="11"/>
      <c r="F472" s="11"/>
      <c r="G472" s="11"/>
      <c r="H472" s="15"/>
      <c r="I472" s="38"/>
      <c r="J472" s="38"/>
      <c r="K472" s="38"/>
      <c r="L472" s="41"/>
      <c r="M472" s="43"/>
      <c r="N472" s="11"/>
      <c r="O472" s="48"/>
      <c r="P472" s="48"/>
      <c r="Q472" s="48"/>
      <c r="R472" s="38"/>
      <c r="S472" s="38"/>
      <c r="T472" s="52"/>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83"/>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83"/>
      <c r="CK472" s="11"/>
      <c r="CL472" s="11"/>
      <c r="CM472" s="11"/>
      <c r="CN472" s="11"/>
      <c r="CO472" s="11"/>
      <c r="CP472" s="11"/>
      <c r="CQ472" s="11"/>
      <c r="CR472" s="11"/>
      <c r="CS472" s="11"/>
      <c r="CT472" s="11"/>
      <c r="CU472" s="11"/>
      <c r="CV472" s="11"/>
      <c r="CW472" s="11"/>
      <c r="CX472" s="11"/>
      <c r="CY472" s="11"/>
      <c r="CZ472" s="11"/>
      <c r="DA472" s="11"/>
      <c r="DB472" s="11"/>
      <c r="DC472" s="11"/>
    </row>
    <row r="473" spans="1:107" ht="12.75" customHeight="1">
      <c r="A473" s="11"/>
      <c r="B473" s="11"/>
      <c r="C473" s="11"/>
      <c r="D473" s="11"/>
      <c r="E473" s="11"/>
      <c r="F473" s="11"/>
      <c r="G473" s="11"/>
      <c r="H473" s="15"/>
      <c r="I473" s="38"/>
      <c r="J473" s="38"/>
      <c r="K473" s="38"/>
      <c r="L473" s="41"/>
      <c r="M473" s="43"/>
      <c r="N473" s="11"/>
      <c r="O473" s="48"/>
      <c r="P473" s="48"/>
      <c r="Q473" s="48"/>
      <c r="R473" s="38"/>
      <c r="S473" s="38"/>
      <c r="T473" s="52"/>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83"/>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83"/>
      <c r="CK473" s="11"/>
      <c r="CL473" s="11"/>
      <c r="CM473" s="11"/>
      <c r="CN473" s="11"/>
      <c r="CO473" s="11"/>
      <c r="CP473" s="11"/>
      <c r="CQ473" s="11"/>
      <c r="CR473" s="11"/>
      <c r="CS473" s="11"/>
      <c r="CT473" s="11"/>
      <c r="CU473" s="11"/>
      <c r="CV473" s="11"/>
      <c r="CW473" s="11"/>
      <c r="CX473" s="11"/>
      <c r="CY473" s="11"/>
      <c r="CZ473" s="11"/>
      <c r="DA473" s="11"/>
      <c r="DB473" s="11"/>
      <c r="DC473" s="11"/>
    </row>
    <row r="474" spans="1:107" ht="12.75" customHeight="1">
      <c r="A474" s="11"/>
      <c r="B474" s="11"/>
      <c r="C474" s="11"/>
      <c r="D474" s="11"/>
      <c r="E474" s="11"/>
      <c r="F474" s="11"/>
      <c r="G474" s="11"/>
      <c r="H474" s="15"/>
      <c r="I474" s="38"/>
      <c r="J474" s="38"/>
      <c r="K474" s="38"/>
      <c r="L474" s="41"/>
      <c r="M474" s="43"/>
      <c r="N474" s="11"/>
      <c r="O474" s="48"/>
      <c r="P474" s="48"/>
      <c r="Q474" s="48"/>
      <c r="R474" s="38"/>
      <c r="S474" s="38"/>
      <c r="T474" s="52"/>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83"/>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83"/>
      <c r="CK474" s="11"/>
      <c r="CL474" s="11"/>
      <c r="CM474" s="11"/>
      <c r="CN474" s="11"/>
      <c r="CO474" s="11"/>
      <c r="CP474" s="11"/>
      <c r="CQ474" s="11"/>
      <c r="CR474" s="11"/>
      <c r="CS474" s="11"/>
      <c r="CT474" s="11"/>
      <c r="CU474" s="11"/>
      <c r="CV474" s="11"/>
      <c r="CW474" s="11"/>
      <c r="CX474" s="11"/>
      <c r="CY474" s="11"/>
      <c r="CZ474" s="11"/>
      <c r="DA474" s="11"/>
      <c r="DB474" s="11"/>
      <c r="DC474" s="11"/>
    </row>
    <row r="475" spans="1:107" ht="12.75" customHeight="1">
      <c r="A475" s="11"/>
      <c r="B475" s="11"/>
      <c r="C475" s="11"/>
      <c r="D475" s="11"/>
      <c r="E475" s="11"/>
      <c r="F475" s="11"/>
      <c r="G475" s="11"/>
      <c r="H475" s="15"/>
      <c r="I475" s="38"/>
      <c r="J475" s="38"/>
      <c r="K475" s="38"/>
      <c r="L475" s="41"/>
      <c r="M475" s="43"/>
      <c r="N475" s="11"/>
      <c r="O475" s="48"/>
      <c r="P475" s="48"/>
      <c r="Q475" s="48"/>
      <c r="R475" s="38"/>
      <c r="S475" s="38"/>
      <c r="T475" s="52"/>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83"/>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83"/>
      <c r="CK475" s="11"/>
      <c r="CL475" s="11"/>
      <c r="CM475" s="11"/>
      <c r="CN475" s="11"/>
      <c r="CO475" s="11"/>
      <c r="CP475" s="11"/>
      <c r="CQ475" s="11"/>
      <c r="CR475" s="11"/>
      <c r="CS475" s="11"/>
      <c r="CT475" s="11"/>
      <c r="CU475" s="11"/>
      <c r="CV475" s="11"/>
      <c r="CW475" s="11"/>
      <c r="CX475" s="11"/>
      <c r="CY475" s="11"/>
      <c r="CZ475" s="11"/>
      <c r="DA475" s="11"/>
      <c r="DB475" s="11"/>
      <c r="DC475" s="11"/>
    </row>
    <row r="476" spans="1:107" ht="12.75" customHeight="1">
      <c r="A476" s="11"/>
      <c r="B476" s="11"/>
      <c r="C476" s="11"/>
      <c r="D476" s="11"/>
      <c r="E476" s="11"/>
      <c r="F476" s="11"/>
      <c r="G476" s="11"/>
      <c r="H476" s="15"/>
      <c r="I476" s="38"/>
      <c r="J476" s="38"/>
      <c r="K476" s="38"/>
      <c r="L476" s="41"/>
      <c r="M476" s="43"/>
      <c r="N476" s="11"/>
      <c r="O476" s="48"/>
      <c r="P476" s="48"/>
      <c r="Q476" s="48"/>
      <c r="R476" s="38"/>
      <c r="S476" s="38"/>
      <c r="T476" s="52"/>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83"/>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83"/>
      <c r="CK476" s="11"/>
      <c r="CL476" s="11"/>
      <c r="CM476" s="11"/>
      <c r="CN476" s="11"/>
      <c r="CO476" s="11"/>
      <c r="CP476" s="11"/>
      <c r="CQ476" s="11"/>
      <c r="CR476" s="11"/>
      <c r="CS476" s="11"/>
      <c r="CT476" s="11"/>
      <c r="CU476" s="11"/>
      <c r="CV476" s="11"/>
      <c r="CW476" s="11"/>
      <c r="CX476" s="11"/>
      <c r="CY476" s="11"/>
      <c r="CZ476" s="11"/>
      <c r="DA476" s="11"/>
      <c r="DB476" s="11"/>
      <c r="DC476" s="11"/>
    </row>
    <row r="477" spans="1:107" ht="12.75" customHeight="1">
      <c r="A477" s="11"/>
      <c r="B477" s="11"/>
      <c r="C477" s="11"/>
      <c r="D477" s="11"/>
      <c r="E477" s="11"/>
      <c r="F477" s="11"/>
      <c r="G477" s="11"/>
      <c r="H477" s="15"/>
      <c r="I477" s="38"/>
      <c r="J477" s="38"/>
      <c r="K477" s="38"/>
      <c r="L477" s="41"/>
      <c r="M477" s="43"/>
      <c r="N477" s="11"/>
      <c r="O477" s="48"/>
      <c r="P477" s="48"/>
      <c r="Q477" s="48"/>
      <c r="R477" s="38"/>
      <c r="S477" s="38"/>
      <c r="T477" s="52"/>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83"/>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83"/>
      <c r="CK477" s="11"/>
      <c r="CL477" s="11"/>
      <c r="CM477" s="11"/>
      <c r="CN477" s="11"/>
      <c r="CO477" s="11"/>
      <c r="CP477" s="11"/>
      <c r="CQ477" s="11"/>
      <c r="CR477" s="11"/>
      <c r="CS477" s="11"/>
      <c r="CT477" s="11"/>
      <c r="CU477" s="11"/>
      <c r="CV477" s="11"/>
      <c r="CW477" s="11"/>
      <c r="CX477" s="11"/>
      <c r="CY477" s="11"/>
      <c r="CZ477" s="11"/>
      <c r="DA477" s="11"/>
      <c r="DB477" s="11"/>
      <c r="DC477" s="11"/>
    </row>
    <row r="478" spans="1:107" ht="12.75" customHeight="1">
      <c r="A478" s="11"/>
      <c r="B478" s="11"/>
      <c r="C478" s="11"/>
      <c r="D478" s="11"/>
      <c r="E478" s="11"/>
      <c r="F478" s="11"/>
      <c r="G478" s="11"/>
      <c r="H478" s="15"/>
      <c r="I478" s="38"/>
      <c r="J478" s="38"/>
      <c r="K478" s="38"/>
      <c r="L478" s="41"/>
      <c r="M478" s="43"/>
      <c r="N478" s="11"/>
      <c r="O478" s="48"/>
      <c r="P478" s="48"/>
      <c r="Q478" s="48"/>
      <c r="R478" s="38"/>
      <c r="S478" s="38"/>
      <c r="T478" s="52"/>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83"/>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83"/>
      <c r="CK478" s="11"/>
      <c r="CL478" s="11"/>
      <c r="CM478" s="11"/>
      <c r="CN478" s="11"/>
      <c r="CO478" s="11"/>
      <c r="CP478" s="11"/>
      <c r="CQ478" s="11"/>
      <c r="CR478" s="11"/>
      <c r="CS478" s="11"/>
      <c r="CT478" s="11"/>
      <c r="CU478" s="11"/>
      <c r="CV478" s="11"/>
      <c r="CW478" s="11"/>
      <c r="CX478" s="11"/>
      <c r="CY478" s="11"/>
      <c r="CZ478" s="11"/>
      <c r="DA478" s="11"/>
      <c r="DB478" s="11"/>
      <c r="DC478" s="11"/>
    </row>
    <row r="479" spans="1:107" ht="12.75" customHeight="1">
      <c r="A479" s="11"/>
      <c r="B479" s="11"/>
      <c r="C479" s="11"/>
      <c r="D479" s="11"/>
      <c r="E479" s="11"/>
      <c r="F479" s="11"/>
      <c r="G479" s="11"/>
      <c r="H479" s="15"/>
      <c r="I479" s="38"/>
      <c r="J479" s="38"/>
      <c r="K479" s="38"/>
      <c r="L479" s="41"/>
      <c r="M479" s="43"/>
      <c r="N479" s="11"/>
      <c r="O479" s="48"/>
      <c r="P479" s="48"/>
      <c r="Q479" s="48"/>
      <c r="R479" s="38"/>
      <c r="S479" s="38"/>
      <c r="T479" s="52"/>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83"/>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83"/>
      <c r="CK479" s="11"/>
      <c r="CL479" s="11"/>
      <c r="CM479" s="11"/>
      <c r="CN479" s="11"/>
      <c r="CO479" s="11"/>
      <c r="CP479" s="11"/>
      <c r="CQ479" s="11"/>
      <c r="CR479" s="11"/>
      <c r="CS479" s="11"/>
      <c r="CT479" s="11"/>
      <c r="CU479" s="11"/>
      <c r="CV479" s="11"/>
      <c r="CW479" s="11"/>
      <c r="CX479" s="11"/>
      <c r="CY479" s="11"/>
      <c r="CZ479" s="11"/>
      <c r="DA479" s="11"/>
      <c r="DB479" s="11"/>
      <c r="DC479" s="11"/>
    </row>
    <row r="480" spans="1:107" ht="12.75" customHeight="1">
      <c r="A480" s="11"/>
      <c r="B480" s="11"/>
      <c r="C480" s="11"/>
      <c r="D480" s="11"/>
      <c r="E480" s="11"/>
      <c r="F480" s="11"/>
      <c r="G480" s="11"/>
      <c r="H480" s="15"/>
      <c r="I480" s="38"/>
      <c r="J480" s="38"/>
      <c r="K480" s="38"/>
      <c r="L480" s="41"/>
      <c r="M480" s="43"/>
      <c r="N480" s="11"/>
      <c r="O480" s="48"/>
      <c r="P480" s="48"/>
      <c r="Q480" s="48"/>
      <c r="R480" s="38"/>
      <c r="S480" s="38"/>
      <c r="T480" s="52"/>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83"/>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83"/>
      <c r="CK480" s="11"/>
      <c r="CL480" s="11"/>
      <c r="CM480" s="11"/>
      <c r="CN480" s="11"/>
      <c r="CO480" s="11"/>
      <c r="CP480" s="11"/>
      <c r="CQ480" s="11"/>
      <c r="CR480" s="11"/>
      <c r="CS480" s="11"/>
      <c r="CT480" s="11"/>
      <c r="CU480" s="11"/>
      <c r="CV480" s="11"/>
      <c r="CW480" s="11"/>
      <c r="CX480" s="11"/>
      <c r="CY480" s="11"/>
      <c r="CZ480" s="11"/>
      <c r="DA480" s="11"/>
      <c r="DB480" s="11"/>
      <c r="DC480" s="11"/>
    </row>
    <row r="481" spans="1:107" ht="12.75" customHeight="1">
      <c r="A481" s="11"/>
      <c r="B481" s="11"/>
      <c r="C481" s="11"/>
      <c r="D481" s="11"/>
      <c r="E481" s="11"/>
      <c r="F481" s="11"/>
      <c r="G481" s="11"/>
      <c r="H481" s="15"/>
      <c r="I481" s="38"/>
      <c r="J481" s="38"/>
      <c r="K481" s="38"/>
      <c r="L481" s="41"/>
      <c r="M481" s="43"/>
      <c r="N481" s="11"/>
      <c r="O481" s="48"/>
      <c r="P481" s="48"/>
      <c r="Q481" s="48"/>
      <c r="R481" s="38"/>
      <c r="S481" s="38"/>
      <c r="T481" s="52"/>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83"/>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83"/>
      <c r="CK481" s="11"/>
      <c r="CL481" s="11"/>
      <c r="CM481" s="11"/>
      <c r="CN481" s="11"/>
      <c r="CO481" s="11"/>
      <c r="CP481" s="11"/>
      <c r="CQ481" s="11"/>
      <c r="CR481" s="11"/>
      <c r="CS481" s="11"/>
      <c r="CT481" s="11"/>
      <c r="CU481" s="11"/>
      <c r="CV481" s="11"/>
      <c r="CW481" s="11"/>
      <c r="CX481" s="11"/>
      <c r="CY481" s="11"/>
      <c r="CZ481" s="11"/>
      <c r="DA481" s="11"/>
      <c r="DB481" s="11"/>
      <c r="DC481" s="11"/>
    </row>
    <row r="482" spans="1:107" ht="12.75" customHeight="1">
      <c r="A482" s="11"/>
      <c r="B482" s="11"/>
      <c r="C482" s="11"/>
      <c r="D482" s="11"/>
      <c r="E482" s="11"/>
      <c r="F482" s="11"/>
      <c r="G482" s="11"/>
      <c r="H482" s="15"/>
      <c r="I482" s="38"/>
      <c r="J482" s="38"/>
      <c r="K482" s="38"/>
      <c r="L482" s="41"/>
      <c r="M482" s="43"/>
      <c r="N482" s="11"/>
      <c r="O482" s="48"/>
      <c r="P482" s="48"/>
      <c r="Q482" s="48"/>
      <c r="R482" s="38"/>
      <c r="S482" s="38"/>
      <c r="T482" s="52"/>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83"/>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83"/>
      <c r="CK482" s="11"/>
      <c r="CL482" s="11"/>
      <c r="CM482" s="11"/>
      <c r="CN482" s="11"/>
      <c r="CO482" s="11"/>
      <c r="CP482" s="11"/>
      <c r="CQ482" s="11"/>
      <c r="CR482" s="11"/>
      <c r="CS482" s="11"/>
      <c r="CT482" s="11"/>
      <c r="CU482" s="11"/>
      <c r="CV482" s="11"/>
      <c r="CW482" s="11"/>
      <c r="CX482" s="11"/>
      <c r="CY482" s="11"/>
      <c r="CZ482" s="11"/>
      <c r="DA482" s="11"/>
      <c r="DB482" s="11"/>
      <c r="DC482" s="11"/>
    </row>
    <row r="483" spans="1:107" ht="12.75" customHeight="1">
      <c r="A483" s="11"/>
      <c r="B483" s="11"/>
      <c r="C483" s="11"/>
      <c r="D483" s="11"/>
      <c r="E483" s="11"/>
      <c r="F483" s="11"/>
      <c r="G483" s="11"/>
      <c r="H483" s="15"/>
      <c r="I483" s="38"/>
      <c r="J483" s="38"/>
      <c r="K483" s="38"/>
      <c r="L483" s="41"/>
      <c r="M483" s="43"/>
      <c r="N483" s="11"/>
      <c r="O483" s="48"/>
      <c r="P483" s="48"/>
      <c r="Q483" s="48"/>
      <c r="R483" s="38"/>
      <c r="S483" s="38"/>
      <c r="T483" s="52"/>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83"/>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83"/>
      <c r="CK483" s="11"/>
      <c r="CL483" s="11"/>
      <c r="CM483" s="11"/>
      <c r="CN483" s="11"/>
      <c r="CO483" s="11"/>
      <c r="CP483" s="11"/>
      <c r="CQ483" s="11"/>
      <c r="CR483" s="11"/>
      <c r="CS483" s="11"/>
      <c r="CT483" s="11"/>
      <c r="CU483" s="11"/>
      <c r="CV483" s="11"/>
      <c r="CW483" s="11"/>
      <c r="CX483" s="11"/>
      <c r="CY483" s="11"/>
      <c r="CZ483" s="11"/>
      <c r="DA483" s="11"/>
      <c r="DB483" s="11"/>
      <c r="DC483" s="11"/>
    </row>
    <row r="484" spans="1:107" ht="12.75" customHeight="1">
      <c r="A484" s="11"/>
      <c r="B484" s="11"/>
      <c r="C484" s="11"/>
      <c r="D484" s="11"/>
      <c r="E484" s="11"/>
      <c r="F484" s="11"/>
      <c r="G484" s="11"/>
      <c r="H484" s="15"/>
      <c r="I484" s="38"/>
      <c r="J484" s="38"/>
      <c r="K484" s="38"/>
      <c r="L484" s="41"/>
      <c r="M484" s="43"/>
      <c r="N484" s="11"/>
      <c r="O484" s="48"/>
      <c r="P484" s="48"/>
      <c r="Q484" s="48"/>
      <c r="R484" s="38"/>
      <c r="S484" s="38"/>
      <c r="T484" s="52"/>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83"/>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83"/>
      <c r="CK484" s="11"/>
      <c r="CL484" s="11"/>
      <c r="CM484" s="11"/>
      <c r="CN484" s="11"/>
      <c r="CO484" s="11"/>
      <c r="CP484" s="11"/>
      <c r="CQ484" s="11"/>
      <c r="CR484" s="11"/>
      <c r="CS484" s="11"/>
      <c r="CT484" s="11"/>
      <c r="CU484" s="11"/>
      <c r="CV484" s="11"/>
      <c r="CW484" s="11"/>
      <c r="CX484" s="11"/>
      <c r="CY484" s="11"/>
      <c r="CZ484" s="11"/>
      <c r="DA484" s="11"/>
      <c r="DB484" s="11"/>
      <c r="DC484" s="11"/>
    </row>
    <row r="485" spans="1:107" ht="12.75" customHeight="1">
      <c r="A485" s="11"/>
      <c r="B485" s="11"/>
      <c r="C485" s="11"/>
      <c r="D485" s="11"/>
      <c r="E485" s="11"/>
      <c r="F485" s="11"/>
      <c r="G485" s="11"/>
      <c r="H485" s="15"/>
      <c r="I485" s="38"/>
      <c r="J485" s="38"/>
      <c r="K485" s="38"/>
      <c r="L485" s="41"/>
      <c r="M485" s="43"/>
      <c r="N485" s="11"/>
      <c r="O485" s="48"/>
      <c r="P485" s="48"/>
      <c r="Q485" s="48"/>
      <c r="R485" s="38"/>
      <c r="S485" s="38"/>
      <c r="T485" s="52"/>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83"/>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83"/>
      <c r="CK485" s="11"/>
      <c r="CL485" s="11"/>
      <c r="CM485" s="11"/>
      <c r="CN485" s="11"/>
      <c r="CO485" s="11"/>
      <c r="CP485" s="11"/>
      <c r="CQ485" s="11"/>
      <c r="CR485" s="11"/>
      <c r="CS485" s="11"/>
      <c r="CT485" s="11"/>
      <c r="CU485" s="11"/>
      <c r="CV485" s="11"/>
      <c r="CW485" s="11"/>
      <c r="CX485" s="11"/>
      <c r="CY485" s="11"/>
      <c r="CZ485" s="11"/>
      <c r="DA485" s="11"/>
      <c r="DB485" s="11"/>
      <c r="DC485" s="11"/>
    </row>
    <row r="486" spans="1:107" ht="12.75" customHeight="1">
      <c r="A486" s="11"/>
      <c r="B486" s="11"/>
      <c r="C486" s="11"/>
      <c r="D486" s="11"/>
      <c r="E486" s="11"/>
      <c r="F486" s="11"/>
      <c r="G486" s="11"/>
      <c r="H486" s="15"/>
      <c r="I486" s="38"/>
      <c r="J486" s="38"/>
      <c r="K486" s="38"/>
      <c r="L486" s="41"/>
      <c r="M486" s="43"/>
      <c r="N486" s="11"/>
      <c r="O486" s="48"/>
      <c r="P486" s="48"/>
      <c r="Q486" s="48"/>
      <c r="R486" s="38"/>
      <c r="S486" s="38"/>
      <c r="T486" s="52"/>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83"/>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83"/>
      <c r="CK486" s="11"/>
      <c r="CL486" s="11"/>
      <c r="CM486" s="11"/>
      <c r="CN486" s="11"/>
      <c r="CO486" s="11"/>
      <c r="CP486" s="11"/>
      <c r="CQ486" s="11"/>
      <c r="CR486" s="11"/>
      <c r="CS486" s="11"/>
      <c r="CT486" s="11"/>
      <c r="CU486" s="11"/>
      <c r="CV486" s="11"/>
      <c r="CW486" s="11"/>
      <c r="CX486" s="11"/>
      <c r="CY486" s="11"/>
      <c r="CZ486" s="11"/>
      <c r="DA486" s="11"/>
      <c r="DB486" s="11"/>
      <c r="DC486" s="11"/>
    </row>
    <row r="487" spans="1:107" ht="12.75" customHeight="1">
      <c r="A487" s="11"/>
      <c r="B487" s="11"/>
      <c r="C487" s="11"/>
      <c r="D487" s="11"/>
      <c r="E487" s="11"/>
      <c r="F487" s="11"/>
      <c r="G487" s="11"/>
      <c r="H487" s="15"/>
      <c r="I487" s="38"/>
      <c r="J487" s="38"/>
      <c r="K487" s="38"/>
      <c r="L487" s="41"/>
      <c r="M487" s="43"/>
      <c r="N487" s="11"/>
      <c r="O487" s="48"/>
      <c r="P487" s="48"/>
      <c r="Q487" s="48"/>
      <c r="R487" s="38"/>
      <c r="S487" s="38"/>
      <c r="T487" s="52"/>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83"/>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83"/>
      <c r="CK487" s="11"/>
      <c r="CL487" s="11"/>
      <c r="CM487" s="11"/>
      <c r="CN487" s="11"/>
      <c r="CO487" s="11"/>
      <c r="CP487" s="11"/>
      <c r="CQ487" s="11"/>
      <c r="CR487" s="11"/>
      <c r="CS487" s="11"/>
      <c r="CT487" s="11"/>
      <c r="CU487" s="11"/>
      <c r="CV487" s="11"/>
      <c r="CW487" s="11"/>
      <c r="CX487" s="11"/>
      <c r="CY487" s="11"/>
      <c r="CZ487" s="11"/>
      <c r="DA487" s="11"/>
      <c r="DB487" s="11"/>
      <c r="DC487" s="11"/>
    </row>
    <row r="488" spans="1:107" ht="12.75" customHeight="1">
      <c r="A488" s="11"/>
      <c r="B488" s="11"/>
      <c r="C488" s="11"/>
      <c r="D488" s="11"/>
      <c r="E488" s="11"/>
      <c r="F488" s="11"/>
      <c r="G488" s="11"/>
      <c r="H488" s="15"/>
      <c r="I488" s="38"/>
      <c r="J488" s="38"/>
      <c r="K488" s="38"/>
      <c r="L488" s="41"/>
      <c r="M488" s="43"/>
      <c r="N488" s="11"/>
      <c r="O488" s="48"/>
      <c r="P488" s="48"/>
      <c r="Q488" s="48"/>
      <c r="R488" s="38"/>
      <c r="S488" s="38"/>
      <c r="T488" s="52"/>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83"/>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83"/>
      <c r="CK488" s="11"/>
      <c r="CL488" s="11"/>
      <c r="CM488" s="11"/>
      <c r="CN488" s="11"/>
      <c r="CO488" s="11"/>
      <c r="CP488" s="11"/>
      <c r="CQ488" s="11"/>
      <c r="CR488" s="11"/>
      <c r="CS488" s="11"/>
      <c r="CT488" s="11"/>
      <c r="CU488" s="11"/>
      <c r="CV488" s="11"/>
      <c r="CW488" s="11"/>
      <c r="CX488" s="11"/>
      <c r="CY488" s="11"/>
      <c r="CZ488" s="11"/>
      <c r="DA488" s="11"/>
      <c r="DB488" s="11"/>
      <c r="DC488" s="11"/>
    </row>
    <row r="489" spans="1:107" ht="12.75" customHeight="1">
      <c r="A489" s="11"/>
      <c r="B489" s="11"/>
      <c r="C489" s="11"/>
      <c r="D489" s="11"/>
      <c r="E489" s="11"/>
      <c r="F489" s="11"/>
      <c r="G489" s="11"/>
      <c r="H489" s="15"/>
      <c r="I489" s="38"/>
      <c r="J489" s="38"/>
      <c r="K489" s="38"/>
      <c r="L489" s="41"/>
      <c r="M489" s="43"/>
      <c r="N489" s="11"/>
      <c r="O489" s="48"/>
      <c r="P489" s="48"/>
      <c r="Q489" s="48"/>
      <c r="R489" s="38"/>
      <c r="S489" s="38"/>
      <c r="T489" s="52"/>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83"/>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83"/>
      <c r="CK489" s="11"/>
      <c r="CL489" s="11"/>
      <c r="CM489" s="11"/>
      <c r="CN489" s="11"/>
      <c r="CO489" s="11"/>
      <c r="CP489" s="11"/>
      <c r="CQ489" s="11"/>
      <c r="CR489" s="11"/>
      <c r="CS489" s="11"/>
      <c r="CT489" s="11"/>
      <c r="CU489" s="11"/>
      <c r="CV489" s="11"/>
      <c r="CW489" s="11"/>
      <c r="CX489" s="11"/>
      <c r="CY489" s="11"/>
      <c r="CZ489" s="11"/>
      <c r="DA489" s="11"/>
      <c r="DB489" s="11"/>
      <c r="DC489" s="11"/>
    </row>
    <row r="490" spans="1:107" ht="12.75" customHeight="1">
      <c r="A490" s="11"/>
      <c r="B490" s="11"/>
      <c r="C490" s="11"/>
      <c r="D490" s="11"/>
      <c r="E490" s="11"/>
      <c r="F490" s="11"/>
      <c r="G490" s="11"/>
      <c r="H490" s="15"/>
      <c r="I490" s="38"/>
      <c r="J490" s="38"/>
      <c r="K490" s="38"/>
      <c r="L490" s="41"/>
      <c r="M490" s="43"/>
      <c r="N490" s="11"/>
      <c r="O490" s="48"/>
      <c r="P490" s="48"/>
      <c r="Q490" s="48"/>
      <c r="R490" s="38"/>
      <c r="S490" s="38"/>
      <c r="T490" s="52"/>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83"/>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83"/>
      <c r="CK490" s="11"/>
      <c r="CL490" s="11"/>
      <c r="CM490" s="11"/>
      <c r="CN490" s="11"/>
      <c r="CO490" s="11"/>
      <c r="CP490" s="11"/>
      <c r="CQ490" s="11"/>
      <c r="CR490" s="11"/>
      <c r="CS490" s="11"/>
      <c r="CT490" s="11"/>
      <c r="CU490" s="11"/>
      <c r="CV490" s="11"/>
      <c r="CW490" s="11"/>
      <c r="CX490" s="11"/>
      <c r="CY490" s="11"/>
      <c r="CZ490" s="11"/>
      <c r="DA490" s="11"/>
      <c r="DB490" s="11"/>
      <c r="DC490" s="11"/>
    </row>
    <row r="491" spans="1:107" ht="12.75" customHeight="1">
      <c r="A491" s="11"/>
      <c r="B491" s="11"/>
      <c r="C491" s="11"/>
      <c r="D491" s="11"/>
      <c r="E491" s="11"/>
      <c r="F491" s="11"/>
      <c r="G491" s="11"/>
      <c r="H491" s="15"/>
      <c r="I491" s="38"/>
      <c r="J491" s="38"/>
      <c r="K491" s="38"/>
      <c r="L491" s="41"/>
      <c r="M491" s="43"/>
      <c r="N491" s="11"/>
      <c r="O491" s="48"/>
      <c r="P491" s="48"/>
      <c r="Q491" s="48"/>
      <c r="R491" s="38"/>
      <c r="S491" s="38"/>
      <c r="T491" s="52"/>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83"/>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83"/>
      <c r="CK491" s="11"/>
      <c r="CL491" s="11"/>
      <c r="CM491" s="11"/>
      <c r="CN491" s="11"/>
      <c r="CO491" s="11"/>
      <c r="CP491" s="11"/>
      <c r="CQ491" s="11"/>
      <c r="CR491" s="11"/>
      <c r="CS491" s="11"/>
      <c r="CT491" s="11"/>
      <c r="CU491" s="11"/>
      <c r="CV491" s="11"/>
      <c r="CW491" s="11"/>
      <c r="CX491" s="11"/>
      <c r="CY491" s="11"/>
      <c r="CZ491" s="11"/>
      <c r="DA491" s="11"/>
      <c r="DB491" s="11"/>
      <c r="DC491" s="11"/>
    </row>
    <row r="492" spans="1:107" ht="12.75" customHeight="1">
      <c r="A492" s="11"/>
      <c r="B492" s="11"/>
      <c r="C492" s="11"/>
      <c r="D492" s="11"/>
      <c r="E492" s="11"/>
      <c r="F492" s="11"/>
      <c r="G492" s="11"/>
      <c r="H492" s="15"/>
      <c r="I492" s="38"/>
      <c r="J492" s="38"/>
      <c r="K492" s="38"/>
      <c r="L492" s="41"/>
      <c r="M492" s="43"/>
      <c r="N492" s="11"/>
      <c r="O492" s="48"/>
      <c r="P492" s="48"/>
      <c r="Q492" s="48"/>
      <c r="R492" s="38"/>
      <c r="S492" s="38"/>
      <c r="T492" s="52"/>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83"/>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83"/>
      <c r="CK492" s="11"/>
      <c r="CL492" s="11"/>
      <c r="CM492" s="11"/>
      <c r="CN492" s="11"/>
      <c r="CO492" s="11"/>
      <c r="CP492" s="11"/>
      <c r="CQ492" s="11"/>
      <c r="CR492" s="11"/>
      <c r="CS492" s="11"/>
      <c r="CT492" s="11"/>
      <c r="CU492" s="11"/>
      <c r="CV492" s="11"/>
      <c r="CW492" s="11"/>
      <c r="CX492" s="11"/>
      <c r="CY492" s="11"/>
      <c r="CZ492" s="11"/>
      <c r="DA492" s="11"/>
      <c r="DB492" s="11"/>
      <c r="DC492" s="11"/>
    </row>
    <row r="493" spans="1:107" ht="12.75" customHeight="1">
      <c r="A493" s="11"/>
      <c r="B493" s="11"/>
      <c r="C493" s="11"/>
      <c r="D493" s="11"/>
      <c r="E493" s="11"/>
      <c r="F493" s="11"/>
      <c r="G493" s="11"/>
      <c r="H493" s="15"/>
      <c r="I493" s="38"/>
      <c r="J493" s="38"/>
      <c r="K493" s="38"/>
      <c r="L493" s="41"/>
      <c r="M493" s="43"/>
      <c r="N493" s="11"/>
      <c r="O493" s="48"/>
      <c r="P493" s="48"/>
      <c r="Q493" s="48"/>
      <c r="R493" s="38"/>
      <c r="S493" s="38"/>
      <c r="T493" s="52"/>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83"/>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83"/>
      <c r="CK493" s="11"/>
      <c r="CL493" s="11"/>
      <c r="CM493" s="11"/>
      <c r="CN493" s="11"/>
      <c r="CO493" s="11"/>
      <c r="CP493" s="11"/>
      <c r="CQ493" s="11"/>
      <c r="CR493" s="11"/>
      <c r="CS493" s="11"/>
      <c r="CT493" s="11"/>
      <c r="CU493" s="11"/>
      <c r="CV493" s="11"/>
      <c r="CW493" s="11"/>
      <c r="CX493" s="11"/>
      <c r="CY493" s="11"/>
      <c r="CZ493" s="11"/>
      <c r="DA493" s="11"/>
      <c r="DB493" s="11"/>
      <c r="DC493" s="11"/>
    </row>
    <row r="494" spans="1:107" ht="12.75" customHeight="1">
      <c r="A494" s="11"/>
      <c r="B494" s="11"/>
      <c r="C494" s="11"/>
      <c r="D494" s="11"/>
      <c r="E494" s="11"/>
      <c r="F494" s="11"/>
      <c r="G494" s="11"/>
      <c r="H494" s="15"/>
      <c r="I494" s="38"/>
      <c r="J494" s="38"/>
      <c r="K494" s="38"/>
      <c r="L494" s="41"/>
      <c r="M494" s="43"/>
      <c r="N494" s="11"/>
      <c r="O494" s="48"/>
      <c r="P494" s="48"/>
      <c r="Q494" s="48"/>
      <c r="R494" s="38"/>
      <c r="S494" s="38"/>
      <c r="T494" s="52"/>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83"/>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83"/>
      <c r="CK494" s="11"/>
      <c r="CL494" s="11"/>
      <c r="CM494" s="11"/>
      <c r="CN494" s="11"/>
      <c r="CO494" s="11"/>
      <c r="CP494" s="11"/>
      <c r="CQ494" s="11"/>
      <c r="CR494" s="11"/>
      <c r="CS494" s="11"/>
      <c r="CT494" s="11"/>
      <c r="CU494" s="11"/>
      <c r="CV494" s="11"/>
      <c r="CW494" s="11"/>
      <c r="CX494" s="11"/>
      <c r="CY494" s="11"/>
      <c r="CZ494" s="11"/>
      <c r="DA494" s="11"/>
      <c r="DB494" s="11"/>
      <c r="DC494" s="11"/>
    </row>
    <row r="495" spans="1:107" ht="12.75" customHeight="1">
      <c r="A495" s="11"/>
      <c r="B495" s="11"/>
      <c r="C495" s="11"/>
      <c r="D495" s="11"/>
      <c r="E495" s="11"/>
      <c r="F495" s="11"/>
      <c r="G495" s="11"/>
      <c r="H495" s="15"/>
      <c r="I495" s="38"/>
      <c r="J495" s="38"/>
      <c r="K495" s="38"/>
      <c r="L495" s="41"/>
      <c r="M495" s="43"/>
      <c r="N495" s="11"/>
      <c r="O495" s="48"/>
      <c r="P495" s="48"/>
      <c r="Q495" s="48"/>
      <c r="R495" s="38"/>
      <c r="S495" s="38"/>
      <c r="T495" s="52"/>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83"/>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83"/>
      <c r="CK495" s="11"/>
      <c r="CL495" s="11"/>
      <c r="CM495" s="11"/>
      <c r="CN495" s="11"/>
      <c r="CO495" s="11"/>
      <c r="CP495" s="11"/>
      <c r="CQ495" s="11"/>
      <c r="CR495" s="11"/>
      <c r="CS495" s="11"/>
      <c r="CT495" s="11"/>
      <c r="CU495" s="11"/>
      <c r="CV495" s="11"/>
      <c r="CW495" s="11"/>
      <c r="CX495" s="11"/>
      <c r="CY495" s="11"/>
      <c r="CZ495" s="11"/>
      <c r="DA495" s="11"/>
      <c r="DB495" s="11"/>
      <c r="DC495" s="11"/>
    </row>
    <row r="496" spans="1:107" ht="12.75" customHeight="1">
      <c r="A496" s="11"/>
      <c r="B496" s="11"/>
      <c r="C496" s="11"/>
      <c r="D496" s="11"/>
      <c r="E496" s="11"/>
      <c r="F496" s="11"/>
      <c r="G496" s="11"/>
      <c r="H496" s="15"/>
      <c r="I496" s="38"/>
      <c r="J496" s="38"/>
      <c r="K496" s="38"/>
      <c r="L496" s="41"/>
      <c r="M496" s="43"/>
      <c r="N496" s="11"/>
      <c r="O496" s="48"/>
      <c r="P496" s="48"/>
      <c r="Q496" s="48"/>
      <c r="R496" s="38"/>
      <c r="S496" s="38"/>
      <c r="T496" s="52"/>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83"/>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83"/>
      <c r="CK496" s="11"/>
      <c r="CL496" s="11"/>
      <c r="CM496" s="11"/>
      <c r="CN496" s="11"/>
      <c r="CO496" s="11"/>
      <c r="CP496" s="11"/>
      <c r="CQ496" s="11"/>
      <c r="CR496" s="11"/>
      <c r="CS496" s="11"/>
      <c r="CT496" s="11"/>
      <c r="CU496" s="11"/>
      <c r="CV496" s="11"/>
      <c r="CW496" s="11"/>
      <c r="CX496" s="11"/>
      <c r="CY496" s="11"/>
      <c r="CZ496" s="11"/>
      <c r="DA496" s="11"/>
      <c r="DB496" s="11"/>
      <c r="DC496" s="11"/>
    </row>
    <row r="497" spans="1:107" ht="12.75" customHeight="1">
      <c r="A497" s="11"/>
      <c r="B497" s="11"/>
      <c r="C497" s="11"/>
      <c r="D497" s="11"/>
      <c r="E497" s="11"/>
      <c r="F497" s="11"/>
      <c r="G497" s="11"/>
      <c r="H497" s="15"/>
      <c r="I497" s="38"/>
      <c r="J497" s="38"/>
      <c r="K497" s="38"/>
      <c r="L497" s="41"/>
      <c r="M497" s="43"/>
      <c r="N497" s="11"/>
      <c r="O497" s="48"/>
      <c r="P497" s="48"/>
      <c r="Q497" s="48"/>
      <c r="R497" s="38"/>
      <c r="S497" s="38"/>
      <c r="T497" s="52"/>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83"/>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83"/>
      <c r="CK497" s="11"/>
      <c r="CL497" s="11"/>
      <c r="CM497" s="11"/>
      <c r="CN497" s="11"/>
      <c r="CO497" s="11"/>
      <c r="CP497" s="11"/>
      <c r="CQ497" s="11"/>
      <c r="CR497" s="11"/>
      <c r="CS497" s="11"/>
      <c r="CT497" s="11"/>
      <c r="CU497" s="11"/>
      <c r="CV497" s="11"/>
      <c r="CW497" s="11"/>
      <c r="CX497" s="11"/>
      <c r="CY497" s="11"/>
      <c r="CZ497" s="11"/>
      <c r="DA497" s="11"/>
      <c r="DB497" s="11"/>
      <c r="DC497" s="11"/>
    </row>
    <row r="498" spans="1:107" ht="12.75" customHeight="1">
      <c r="A498" s="11"/>
      <c r="B498" s="11"/>
      <c r="C498" s="11"/>
      <c r="D498" s="11"/>
      <c r="E498" s="11"/>
      <c r="F498" s="11"/>
      <c r="G498" s="11"/>
      <c r="H498" s="15"/>
      <c r="I498" s="38"/>
      <c r="J498" s="38"/>
      <c r="K498" s="38"/>
      <c r="L498" s="41"/>
      <c r="M498" s="43"/>
      <c r="N498" s="11"/>
      <c r="O498" s="48"/>
      <c r="P498" s="48"/>
      <c r="Q498" s="48"/>
      <c r="R498" s="38"/>
      <c r="S498" s="38"/>
      <c r="T498" s="52"/>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83"/>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83"/>
      <c r="CK498" s="11"/>
      <c r="CL498" s="11"/>
      <c r="CM498" s="11"/>
      <c r="CN498" s="11"/>
      <c r="CO498" s="11"/>
      <c r="CP498" s="11"/>
      <c r="CQ498" s="11"/>
      <c r="CR498" s="11"/>
      <c r="CS498" s="11"/>
      <c r="CT498" s="11"/>
      <c r="CU498" s="11"/>
      <c r="CV498" s="11"/>
      <c r="CW498" s="11"/>
      <c r="CX498" s="11"/>
      <c r="CY498" s="11"/>
      <c r="CZ498" s="11"/>
      <c r="DA498" s="11"/>
      <c r="DB498" s="11"/>
      <c r="DC498" s="11"/>
    </row>
    <row r="499" spans="1:107" ht="12.75" customHeight="1">
      <c r="A499" s="11"/>
      <c r="B499" s="11"/>
      <c r="C499" s="11"/>
      <c r="D499" s="11"/>
      <c r="E499" s="11"/>
      <c r="F499" s="11"/>
      <c r="G499" s="11"/>
      <c r="H499" s="15"/>
      <c r="I499" s="38"/>
      <c r="J499" s="38"/>
      <c r="K499" s="38"/>
      <c r="L499" s="41"/>
      <c r="M499" s="43"/>
      <c r="N499" s="11"/>
      <c r="O499" s="48"/>
      <c r="P499" s="48"/>
      <c r="Q499" s="48"/>
      <c r="R499" s="38"/>
      <c r="S499" s="38"/>
      <c r="T499" s="52"/>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83"/>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83"/>
      <c r="CK499" s="11"/>
      <c r="CL499" s="11"/>
      <c r="CM499" s="11"/>
      <c r="CN499" s="11"/>
      <c r="CO499" s="11"/>
      <c r="CP499" s="11"/>
      <c r="CQ499" s="11"/>
      <c r="CR499" s="11"/>
      <c r="CS499" s="11"/>
      <c r="CT499" s="11"/>
      <c r="CU499" s="11"/>
      <c r="CV499" s="11"/>
      <c r="CW499" s="11"/>
      <c r="CX499" s="11"/>
      <c r="CY499" s="11"/>
      <c r="CZ499" s="11"/>
      <c r="DA499" s="11"/>
      <c r="DB499" s="11"/>
      <c r="DC499" s="11"/>
    </row>
    <row r="500" spans="1:107" ht="12.75" customHeight="1">
      <c r="A500" s="11"/>
      <c r="B500" s="11"/>
      <c r="C500" s="11"/>
      <c r="D500" s="11"/>
      <c r="E500" s="11"/>
      <c r="F500" s="11"/>
      <c r="G500" s="11"/>
      <c r="H500" s="15"/>
      <c r="I500" s="38"/>
      <c r="J500" s="38"/>
      <c r="K500" s="38"/>
      <c r="L500" s="41"/>
      <c r="M500" s="43"/>
      <c r="N500" s="11"/>
      <c r="O500" s="48"/>
      <c r="P500" s="48"/>
      <c r="Q500" s="48"/>
      <c r="R500" s="38"/>
      <c r="S500" s="38"/>
      <c r="T500" s="52"/>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83"/>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83"/>
      <c r="CK500" s="11"/>
      <c r="CL500" s="11"/>
      <c r="CM500" s="11"/>
      <c r="CN500" s="11"/>
      <c r="CO500" s="11"/>
      <c r="CP500" s="11"/>
      <c r="CQ500" s="11"/>
      <c r="CR500" s="11"/>
      <c r="CS500" s="11"/>
      <c r="CT500" s="11"/>
      <c r="CU500" s="11"/>
      <c r="CV500" s="11"/>
      <c r="CW500" s="11"/>
      <c r="CX500" s="11"/>
      <c r="CY500" s="11"/>
      <c r="CZ500" s="11"/>
      <c r="DA500" s="11"/>
      <c r="DB500" s="11"/>
      <c r="DC500" s="11"/>
    </row>
    <row r="501" spans="1:107" ht="12.75" customHeight="1">
      <c r="A501" s="11"/>
      <c r="B501" s="11"/>
      <c r="C501" s="11"/>
      <c r="D501" s="11"/>
      <c r="E501" s="11"/>
      <c r="F501" s="11"/>
      <c r="G501" s="11"/>
      <c r="H501" s="15"/>
      <c r="I501" s="38"/>
      <c r="J501" s="38"/>
      <c r="K501" s="38"/>
      <c r="L501" s="41"/>
      <c r="M501" s="43"/>
      <c r="N501" s="11"/>
      <c r="O501" s="48"/>
      <c r="P501" s="48"/>
      <c r="Q501" s="48"/>
      <c r="R501" s="38"/>
      <c r="S501" s="38"/>
      <c r="T501" s="52"/>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83"/>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83"/>
      <c r="CK501" s="11"/>
      <c r="CL501" s="11"/>
      <c r="CM501" s="11"/>
      <c r="CN501" s="11"/>
      <c r="CO501" s="11"/>
      <c r="CP501" s="11"/>
      <c r="CQ501" s="11"/>
      <c r="CR501" s="11"/>
      <c r="CS501" s="11"/>
      <c r="CT501" s="11"/>
      <c r="CU501" s="11"/>
      <c r="CV501" s="11"/>
      <c r="CW501" s="11"/>
      <c r="CX501" s="11"/>
      <c r="CY501" s="11"/>
      <c r="CZ501" s="11"/>
      <c r="DA501" s="11"/>
      <c r="DB501" s="11"/>
      <c r="DC501" s="11"/>
    </row>
    <row r="502" spans="1:107" ht="12.75" customHeight="1">
      <c r="A502" s="11"/>
      <c r="B502" s="11"/>
      <c r="C502" s="11"/>
      <c r="D502" s="11"/>
      <c r="E502" s="11"/>
      <c r="F502" s="11"/>
      <c r="G502" s="11"/>
      <c r="H502" s="15"/>
      <c r="I502" s="38"/>
      <c r="J502" s="38"/>
      <c r="K502" s="38"/>
      <c r="L502" s="41"/>
      <c r="M502" s="43"/>
      <c r="N502" s="11"/>
      <c r="O502" s="48"/>
      <c r="P502" s="48"/>
      <c r="Q502" s="48"/>
      <c r="R502" s="38"/>
      <c r="S502" s="38"/>
      <c r="T502" s="52"/>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83"/>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83"/>
      <c r="CK502" s="11"/>
      <c r="CL502" s="11"/>
      <c r="CM502" s="11"/>
      <c r="CN502" s="11"/>
      <c r="CO502" s="11"/>
      <c r="CP502" s="11"/>
      <c r="CQ502" s="11"/>
      <c r="CR502" s="11"/>
      <c r="CS502" s="11"/>
      <c r="CT502" s="11"/>
      <c r="CU502" s="11"/>
      <c r="CV502" s="11"/>
      <c r="CW502" s="11"/>
      <c r="CX502" s="11"/>
      <c r="CY502" s="11"/>
      <c r="CZ502" s="11"/>
      <c r="DA502" s="11"/>
      <c r="DB502" s="11"/>
      <c r="DC502" s="11"/>
    </row>
    <row r="503" spans="1:107" ht="12.75" customHeight="1">
      <c r="A503" s="11"/>
      <c r="B503" s="11"/>
      <c r="C503" s="11"/>
      <c r="D503" s="11"/>
      <c r="E503" s="11"/>
      <c r="F503" s="11"/>
      <c r="G503" s="11"/>
      <c r="H503" s="15"/>
      <c r="I503" s="38"/>
      <c r="J503" s="38"/>
      <c r="K503" s="38"/>
      <c r="L503" s="41"/>
      <c r="M503" s="43"/>
      <c r="N503" s="11"/>
      <c r="O503" s="48"/>
      <c r="P503" s="48"/>
      <c r="Q503" s="48"/>
      <c r="R503" s="38"/>
      <c r="S503" s="38"/>
      <c r="T503" s="52"/>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83"/>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83"/>
      <c r="CK503" s="11"/>
      <c r="CL503" s="11"/>
      <c r="CM503" s="11"/>
      <c r="CN503" s="11"/>
      <c r="CO503" s="11"/>
      <c r="CP503" s="11"/>
      <c r="CQ503" s="11"/>
      <c r="CR503" s="11"/>
      <c r="CS503" s="11"/>
      <c r="CT503" s="11"/>
      <c r="CU503" s="11"/>
      <c r="CV503" s="11"/>
      <c r="CW503" s="11"/>
      <c r="CX503" s="11"/>
      <c r="CY503" s="11"/>
      <c r="CZ503" s="11"/>
      <c r="DA503" s="11"/>
      <c r="DB503" s="11"/>
      <c r="DC503" s="11"/>
    </row>
    <row r="504" spans="1:107" ht="12.75" customHeight="1">
      <c r="A504" s="11"/>
      <c r="B504" s="11"/>
      <c r="C504" s="11"/>
      <c r="D504" s="11"/>
      <c r="E504" s="11"/>
      <c r="F504" s="11"/>
      <c r="G504" s="11"/>
      <c r="H504" s="15"/>
      <c r="I504" s="38"/>
      <c r="J504" s="38"/>
      <c r="K504" s="38"/>
      <c r="L504" s="41"/>
      <c r="M504" s="43"/>
      <c r="N504" s="11"/>
      <c r="O504" s="48"/>
      <c r="P504" s="48"/>
      <c r="Q504" s="48"/>
      <c r="R504" s="38"/>
      <c r="S504" s="38"/>
      <c r="T504" s="52"/>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83"/>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83"/>
      <c r="CK504" s="11"/>
      <c r="CL504" s="11"/>
      <c r="CM504" s="11"/>
      <c r="CN504" s="11"/>
      <c r="CO504" s="11"/>
      <c r="CP504" s="11"/>
      <c r="CQ504" s="11"/>
      <c r="CR504" s="11"/>
      <c r="CS504" s="11"/>
      <c r="CT504" s="11"/>
      <c r="CU504" s="11"/>
      <c r="CV504" s="11"/>
      <c r="CW504" s="11"/>
      <c r="CX504" s="11"/>
      <c r="CY504" s="11"/>
      <c r="CZ504" s="11"/>
      <c r="DA504" s="11"/>
      <c r="DB504" s="11"/>
      <c r="DC504" s="11"/>
    </row>
    <row r="505" spans="1:107" ht="12.75" customHeight="1">
      <c r="A505" s="11"/>
      <c r="B505" s="11"/>
      <c r="C505" s="11"/>
      <c r="D505" s="11"/>
      <c r="E505" s="11"/>
      <c r="F505" s="11"/>
      <c r="G505" s="11"/>
      <c r="H505" s="15"/>
      <c r="I505" s="38"/>
      <c r="J505" s="38"/>
      <c r="K505" s="38"/>
      <c r="L505" s="41"/>
      <c r="M505" s="43"/>
      <c r="N505" s="11"/>
      <c r="O505" s="48"/>
      <c r="P505" s="48"/>
      <c r="Q505" s="48"/>
      <c r="R505" s="38"/>
      <c r="S505" s="38"/>
      <c r="T505" s="52"/>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83"/>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83"/>
      <c r="CK505" s="11"/>
      <c r="CL505" s="11"/>
      <c r="CM505" s="11"/>
      <c r="CN505" s="11"/>
      <c r="CO505" s="11"/>
      <c r="CP505" s="11"/>
      <c r="CQ505" s="11"/>
      <c r="CR505" s="11"/>
      <c r="CS505" s="11"/>
      <c r="CT505" s="11"/>
      <c r="CU505" s="11"/>
      <c r="CV505" s="11"/>
      <c r="CW505" s="11"/>
      <c r="CX505" s="11"/>
      <c r="CY505" s="11"/>
      <c r="CZ505" s="11"/>
      <c r="DA505" s="11"/>
      <c r="DB505" s="11"/>
      <c r="DC505" s="11"/>
    </row>
    <row r="506" spans="1:107" ht="12.75" customHeight="1">
      <c r="A506" s="11"/>
      <c r="B506" s="11"/>
      <c r="C506" s="11"/>
      <c r="D506" s="11"/>
      <c r="E506" s="11"/>
      <c r="F506" s="11"/>
      <c r="G506" s="11"/>
      <c r="H506" s="15"/>
      <c r="I506" s="38"/>
      <c r="J506" s="38"/>
      <c r="K506" s="38"/>
      <c r="L506" s="41"/>
      <c r="M506" s="43"/>
      <c r="N506" s="11"/>
      <c r="O506" s="48"/>
      <c r="P506" s="48"/>
      <c r="Q506" s="48"/>
      <c r="R506" s="38"/>
      <c r="S506" s="38"/>
      <c r="T506" s="52"/>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83"/>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83"/>
      <c r="CK506" s="11"/>
      <c r="CL506" s="11"/>
      <c r="CM506" s="11"/>
      <c r="CN506" s="11"/>
      <c r="CO506" s="11"/>
      <c r="CP506" s="11"/>
      <c r="CQ506" s="11"/>
      <c r="CR506" s="11"/>
      <c r="CS506" s="11"/>
      <c r="CT506" s="11"/>
      <c r="CU506" s="11"/>
      <c r="CV506" s="11"/>
      <c r="CW506" s="11"/>
      <c r="CX506" s="11"/>
      <c r="CY506" s="11"/>
      <c r="CZ506" s="11"/>
      <c r="DA506" s="11"/>
      <c r="DB506" s="11"/>
      <c r="DC506" s="11"/>
    </row>
    <row r="507" spans="1:107" ht="12.75" customHeight="1">
      <c r="A507" s="11"/>
      <c r="B507" s="11"/>
      <c r="C507" s="11"/>
      <c r="D507" s="11"/>
      <c r="E507" s="11"/>
      <c r="F507" s="11"/>
      <c r="G507" s="11"/>
      <c r="H507" s="15"/>
      <c r="I507" s="38"/>
      <c r="J507" s="38"/>
      <c r="K507" s="38"/>
      <c r="L507" s="41"/>
      <c r="M507" s="43"/>
      <c r="N507" s="11"/>
      <c r="O507" s="48"/>
      <c r="P507" s="48"/>
      <c r="Q507" s="48"/>
      <c r="R507" s="38"/>
      <c r="S507" s="38"/>
      <c r="T507" s="52"/>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83"/>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83"/>
      <c r="CK507" s="11"/>
      <c r="CL507" s="11"/>
      <c r="CM507" s="11"/>
      <c r="CN507" s="11"/>
      <c r="CO507" s="11"/>
      <c r="CP507" s="11"/>
      <c r="CQ507" s="11"/>
      <c r="CR507" s="11"/>
      <c r="CS507" s="11"/>
      <c r="CT507" s="11"/>
      <c r="CU507" s="11"/>
      <c r="CV507" s="11"/>
      <c r="CW507" s="11"/>
      <c r="CX507" s="11"/>
      <c r="CY507" s="11"/>
      <c r="CZ507" s="11"/>
      <c r="DA507" s="11"/>
      <c r="DB507" s="11"/>
      <c r="DC507" s="11"/>
    </row>
    <row r="508" spans="1:107" ht="12.75" customHeight="1">
      <c r="A508" s="11"/>
      <c r="B508" s="11"/>
      <c r="C508" s="11"/>
      <c r="D508" s="11"/>
      <c r="E508" s="11"/>
      <c r="F508" s="11"/>
      <c r="G508" s="11"/>
      <c r="H508" s="15"/>
      <c r="I508" s="38"/>
      <c r="J508" s="38"/>
      <c r="K508" s="38"/>
      <c r="L508" s="41"/>
      <c r="M508" s="43"/>
      <c r="N508" s="11"/>
      <c r="O508" s="48"/>
      <c r="P508" s="48"/>
      <c r="Q508" s="48"/>
      <c r="R508" s="38"/>
      <c r="S508" s="38"/>
      <c r="T508" s="52"/>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83"/>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83"/>
      <c r="CK508" s="11"/>
      <c r="CL508" s="11"/>
      <c r="CM508" s="11"/>
      <c r="CN508" s="11"/>
      <c r="CO508" s="11"/>
      <c r="CP508" s="11"/>
      <c r="CQ508" s="11"/>
      <c r="CR508" s="11"/>
      <c r="CS508" s="11"/>
      <c r="CT508" s="11"/>
      <c r="CU508" s="11"/>
      <c r="CV508" s="11"/>
      <c r="CW508" s="11"/>
      <c r="CX508" s="11"/>
      <c r="CY508" s="11"/>
      <c r="CZ508" s="11"/>
      <c r="DA508" s="11"/>
      <c r="DB508" s="11"/>
      <c r="DC508" s="11"/>
    </row>
    <row r="509" spans="1:107" ht="12.75" customHeight="1">
      <c r="A509" s="11"/>
      <c r="B509" s="11"/>
      <c r="C509" s="11"/>
      <c r="D509" s="11"/>
      <c r="E509" s="11"/>
      <c r="F509" s="11"/>
      <c r="G509" s="11"/>
      <c r="H509" s="15"/>
      <c r="I509" s="38"/>
      <c r="J509" s="38"/>
      <c r="K509" s="38"/>
      <c r="L509" s="41"/>
      <c r="M509" s="43"/>
      <c r="N509" s="11"/>
      <c r="O509" s="48"/>
      <c r="P509" s="48"/>
      <c r="Q509" s="48"/>
      <c r="R509" s="38"/>
      <c r="S509" s="38"/>
      <c r="T509" s="52"/>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83"/>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83"/>
      <c r="CK509" s="11"/>
      <c r="CL509" s="11"/>
      <c r="CM509" s="11"/>
      <c r="CN509" s="11"/>
      <c r="CO509" s="11"/>
      <c r="CP509" s="11"/>
      <c r="CQ509" s="11"/>
      <c r="CR509" s="11"/>
      <c r="CS509" s="11"/>
      <c r="CT509" s="11"/>
      <c r="CU509" s="11"/>
      <c r="CV509" s="11"/>
      <c r="CW509" s="11"/>
      <c r="CX509" s="11"/>
      <c r="CY509" s="11"/>
      <c r="CZ509" s="11"/>
      <c r="DA509" s="11"/>
      <c r="DB509" s="11"/>
      <c r="DC509" s="11"/>
    </row>
    <row r="510" spans="1:107" ht="12.75" customHeight="1">
      <c r="A510" s="11"/>
      <c r="B510" s="11"/>
      <c r="C510" s="11"/>
      <c r="D510" s="11"/>
      <c r="E510" s="11"/>
      <c r="F510" s="11"/>
      <c r="G510" s="11"/>
      <c r="H510" s="15"/>
      <c r="I510" s="38"/>
      <c r="J510" s="38"/>
      <c r="K510" s="38"/>
      <c r="L510" s="41"/>
      <c r="M510" s="43"/>
      <c r="N510" s="11"/>
      <c r="O510" s="48"/>
      <c r="P510" s="48"/>
      <c r="Q510" s="48"/>
      <c r="R510" s="38"/>
      <c r="S510" s="38"/>
      <c r="T510" s="52"/>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83"/>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83"/>
      <c r="CK510" s="11"/>
      <c r="CL510" s="11"/>
      <c r="CM510" s="11"/>
      <c r="CN510" s="11"/>
      <c r="CO510" s="11"/>
      <c r="CP510" s="11"/>
      <c r="CQ510" s="11"/>
      <c r="CR510" s="11"/>
      <c r="CS510" s="11"/>
      <c r="CT510" s="11"/>
      <c r="CU510" s="11"/>
      <c r="CV510" s="11"/>
      <c r="CW510" s="11"/>
      <c r="CX510" s="11"/>
      <c r="CY510" s="11"/>
      <c r="CZ510" s="11"/>
      <c r="DA510" s="11"/>
      <c r="DB510" s="11"/>
      <c r="DC510" s="11"/>
    </row>
    <row r="511" spans="1:107" ht="12.75" customHeight="1">
      <c r="A511" s="11"/>
      <c r="B511" s="11"/>
      <c r="C511" s="11"/>
      <c r="D511" s="11"/>
      <c r="E511" s="11"/>
      <c r="F511" s="11"/>
      <c r="G511" s="11"/>
      <c r="H511" s="15"/>
      <c r="I511" s="38"/>
      <c r="J511" s="38"/>
      <c r="K511" s="38"/>
      <c r="L511" s="41"/>
      <c r="M511" s="43"/>
      <c r="N511" s="11"/>
      <c r="O511" s="48"/>
      <c r="P511" s="48"/>
      <c r="Q511" s="48"/>
      <c r="R511" s="38"/>
      <c r="S511" s="38"/>
      <c r="T511" s="52"/>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83"/>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83"/>
      <c r="CK511" s="11"/>
      <c r="CL511" s="11"/>
      <c r="CM511" s="11"/>
      <c r="CN511" s="11"/>
      <c r="CO511" s="11"/>
      <c r="CP511" s="11"/>
      <c r="CQ511" s="11"/>
      <c r="CR511" s="11"/>
      <c r="CS511" s="11"/>
      <c r="CT511" s="11"/>
      <c r="CU511" s="11"/>
      <c r="CV511" s="11"/>
      <c r="CW511" s="11"/>
      <c r="CX511" s="11"/>
      <c r="CY511" s="11"/>
      <c r="CZ511" s="11"/>
      <c r="DA511" s="11"/>
      <c r="DB511" s="11"/>
      <c r="DC511" s="11"/>
    </row>
    <row r="512" spans="1:107" ht="12.75" customHeight="1">
      <c r="A512" s="11"/>
      <c r="B512" s="11"/>
      <c r="C512" s="11"/>
      <c r="D512" s="11"/>
      <c r="E512" s="11"/>
      <c r="F512" s="11"/>
      <c r="G512" s="11"/>
      <c r="H512" s="15"/>
      <c r="I512" s="38"/>
      <c r="J512" s="38"/>
      <c r="K512" s="38"/>
      <c r="L512" s="41"/>
      <c r="M512" s="43"/>
      <c r="N512" s="11"/>
      <c r="O512" s="48"/>
      <c r="P512" s="48"/>
      <c r="Q512" s="48"/>
      <c r="R512" s="38"/>
      <c r="S512" s="38"/>
      <c r="T512" s="52"/>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83"/>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83"/>
      <c r="CK512" s="11"/>
      <c r="CL512" s="11"/>
      <c r="CM512" s="11"/>
      <c r="CN512" s="11"/>
      <c r="CO512" s="11"/>
      <c r="CP512" s="11"/>
      <c r="CQ512" s="11"/>
      <c r="CR512" s="11"/>
      <c r="CS512" s="11"/>
      <c r="CT512" s="11"/>
      <c r="CU512" s="11"/>
      <c r="CV512" s="11"/>
      <c r="CW512" s="11"/>
      <c r="CX512" s="11"/>
      <c r="CY512" s="11"/>
      <c r="CZ512" s="11"/>
      <c r="DA512" s="11"/>
      <c r="DB512" s="11"/>
      <c r="DC512" s="11"/>
    </row>
    <row r="513" spans="1:107" ht="12.75" customHeight="1">
      <c r="A513" s="11"/>
      <c r="B513" s="11"/>
      <c r="C513" s="11"/>
      <c r="D513" s="11"/>
      <c r="E513" s="11"/>
      <c r="F513" s="11"/>
      <c r="G513" s="11"/>
      <c r="H513" s="15"/>
      <c r="I513" s="38"/>
      <c r="J513" s="38"/>
      <c r="K513" s="38"/>
      <c r="L513" s="41"/>
      <c r="M513" s="43"/>
      <c r="N513" s="11"/>
      <c r="O513" s="48"/>
      <c r="P513" s="48"/>
      <c r="Q513" s="48"/>
      <c r="R513" s="38"/>
      <c r="S513" s="38"/>
      <c r="T513" s="52"/>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83"/>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83"/>
      <c r="CK513" s="11"/>
      <c r="CL513" s="11"/>
      <c r="CM513" s="11"/>
      <c r="CN513" s="11"/>
      <c r="CO513" s="11"/>
      <c r="CP513" s="11"/>
      <c r="CQ513" s="11"/>
      <c r="CR513" s="11"/>
      <c r="CS513" s="11"/>
      <c r="CT513" s="11"/>
      <c r="CU513" s="11"/>
      <c r="CV513" s="11"/>
      <c r="CW513" s="11"/>
      <c r="CX513" s="11"/>
      <c r="CY513" s="11"/>
      <c r="CZ513" s="11"/>
      <c r="DA513" s="11"/>
      <c r="DB513" s="11"/>
      <c r="DC513" s="11"/>
    </row>
    <row r="514" spans="1:107" ht="12.75" customHeight="1">
      <c r="A514" s="11"/>
      <c r="B514" s="11"/>
      <c r="C514" s="11"/>
      <c r="D514" s="11"/>
      <c r="E514" s="11"/>
      <c r="F514" s="11"/>
      <c r="G514" s="11"/>
      <c r="H514" s="15"/>
      <c r="I514" s="38"/>
      <c r="J514" s="38"/>
      <c r="K514" s="38"/>
      <c r="L514" s="41"/>
      <c r="M514" s="43"/>
      <c r="N514" s="11"/>
      <c r="O514" s="48"/>
      <c r="P514" s="48"/>
      <c r="Q514" s="48"/>
      <c r="R514" s="38"/>
      <c r="S514" s="38"/>
      <c r="T514" s="52"/>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83"/>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83"/>
      <c r="CK514" s="11"/>
      <c r="CL514" s="11"/>
      <c r="CM514" s="11"/>
      <c r="CN514" s="11"/>
      <c r="CO514" s="11"/>
      <c r="CP514" s="11"/>
      <c r="CQ514" s="11"/>
      <c r="CR514" s="11"/>
      <c r="CS514" s="11"/>
      <c r="CT514" s="11"/>
      <c r="CU514" s="11"/>
      <c r="CV514" s="11"/>
      <c r="CW514" s="11"/>
      <c r="CX514" s="11"/>
      <c r="CY514" s="11"/>
      <c r="CZ514" s="11"/>
      <c r="DA514" s="11"/>
      <c r="DB514" s="11"/>
      <c r="DC514" s="11"/>
    </row>
    <row r="515" spans="1:107" ht="12.75" customHeight="1">
      <c r="A515" s="11"/>
      <c r="B515" s="11"/>
      <c r="C515" s="11"/>
      <c r="D515" s="11"/>
      <c r="E515" s="11"/>
      <c r="F515" s="11"/>
      <c r="G515" s="11"/>
      <c r="H515" s="15"/>
      <c r="I515" s="38"/>
      <c r="J515" s="38"/>
      <c r="K515" s="38"/>
      <c r="L515" s="41"/>
      <c r="M515" s="43"/>
      <c r="N515" s="11"/>
      <c r="O515" s="48"/>
      <c r="P515" s="48"/>
      <c r="Q515" s="48"/>
      <c r="R515" s="38"/>
      <c r="S515" s="38"/>
      <c r="T515" s="52"/>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83"/>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83"/>
      <c r="CK515" s="11"/>
      <c r="CL515" s="11"/>
      <c r="CM515" s="11"/>
      <c r="CN515" s="11"/>
      <c r="CO515" s="11"/>
      <c r="CP515" s="11"/>
      <c r="CQ515" s="11"/>
      <c r="CR515" s="11"/>
      <c r="CS515" s="11"/>
      <c r="CT515" s="11"/>
      <c r="CU515" s="11"/>
      <c r="CV515" s="11"/>
      <c r="CW515" s="11"/>
      <c r="CX515" s="11"/>
      <c r="CY515" s="11"/>
      <c r="CZ515" s="11"/>
      <c r="DA515" s="11"/>
      <c r="DB515" s="11"/>
      <c r="DC515" s="11"/>
    </row>
    <row r="516" spans="1:107" ht="12.75" customHeight="1">
      <c r="A516" s="11"/>
      <c r="B516" s="11"/>
      <c r="C516" s="11"/>
      <c r="D516" s="11"/>
      <c r="E516" s="11"/>
      <c r="F516" s="11"/>
      <c r="G516" s="11"/>
      <c r="H516" s="15"/>
      <c r="I516" s="38"/>
      <c r="J516" s="38"/>
      <c r="K516" s="38"/>
      <c r="L516" s="41"/>
      <c r="M516" s="43"/>
      <c r="N516" s="11"/>
      <c r="O516" s="48"/>
      <c r="P516" s="48"/>
      <c r="Q516" s="48"/>
      <c r="R516" s="38"/>
      <c r="S516" s="38"/>
      <c r="T516" s="52"/>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83"/>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83"/>
      <c r="CK516" s="11"/>
      <c r="CL516" s="11"/>
      <c r="CM516" s="11"/>
      <c r="CN516" s="11"/>
      <c r="CO516" s="11"/>
      <c r="CP516" s="11"/>
      <c r="CQ516" s="11"/>
      <c r="CR516" s="11"/>
      <c r="CS516" s="11"/>
      <c r="CT516" s="11"/>
      <c r="CU516" s="11"/>
      <c r="CV516" s="11"/>
      <c r="CW516" s="11"/>
      <c r="CX516" s="11"/>
      <c r="CY516" s="11"/>
      <c r="CZ516" s="11"/>
      <c r="DA516" s="11"/>
      <c r="DB516" s="11"/>
      <c r="DC516" s="11"/>
    </row>
    <row r="517" spans="1:107" ht="12.75" customHeight="1">
      <c r="A517" s="11"/>
      <c r="B517" s="11"/>
      <c r="C517" s="11"/>
      <c r="D517" s="11"/>
      <c r="E517" s="11"/>
      <c r="F517" s="11"/>
      <c r="G517" s="11"/>
      <c r="H517" s="15"/>
      <c r="I517" s="38"/>
      <c r="J517" s="38"/>
      <c r="K517" s="38"/>
      <c r="L517" s="41"/>
      <c r="M517" s="43"/>
      <c r="N517" s="11"/>
      <c r="O517" s="48"/>
      <c r="P517" s="48"/>
      <c r="Q517" s="48"/>
      <c r="R517" s="38"/>
      <c r="S517" s="38"/>
      <c r="T517" s="52"/>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83"/>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83"/>
      <c r="CK517" s="11"/>
      <c r="CL517" s="11"/>
      <c r="CM517" s="11"/>
      <c r="CN517" s="11"/>
      <c r="CO517" s="11"/>
      <c r="CP517" s="11"/>
      <c r="CQ517" s="11"/>
      <c r="CR517" s="11"/>
      <c r="CS517" s="11"/>
      <c r="CT517" s="11"/>
      <c r="CU517" s="11"/>
      <c r="CV517" s="11"/>
      <c r="CW517" s="11"/>
      <c r="CX517" s="11"/>
      <c r="CY517" s="11"/>
      <c r="CZ517" s="11"/>
      <c r="DA517" s="11"/>
      <c r="DB517" s="11"/>
      <c r="DC517" s="11"/>
    </row>
    <row r="518" spans="1:107" ht="12.75" customHeight="1">
      <c r="A518" s="11"/>
      <c r="B518" s="11"/>
      <c r="C518" s="11"/>
      <c r="D518" s="11"/>
      <c r="E518" s="11"/>
      <c r="F518" s="11"/>
      <c r="G518" s="11"/>
      <c r="H518" s="15"/>
      <c r="I518" s="38"/>
      <c r="J518" s="38"/>
      <c r="K518" s="38"/>
      <c r="L518" s="41"/>
      <c r="M518" s="43"/>
      <c r="N518" s="11"/>
      <c r="O518" s="48"/>
      <c r="P518" s="48"/>
      <c r="Q518" s="48"/>
      <c r="R518" s="38"/>
      <c r="S518" s="38"/>
      <c r="T518" s="52"/>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83"/>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83"/>
      <c r="CK518" s="11"/>
      <c r="CL518" s="11"/>
      <c r="CM518" s="11"/>
      <c r="CN518" s="11"/>
      <c r="CO518" s="11"/>
      <c r="CP518" s="11"/>
      <c r="CQ518" s="11"/>
      <c r="CR518" s="11"/>
      <c r="CS518" s="11"/>
      <c r="CT518" s="11"/>
      <c r="CU518" s="11"/>
      <c r="CV518" s="11"/>
      <c r="CW518" s="11"/>
      <c r="CX518" s="11"/>
      <c r="CY518" s="11"/>
      <c r="CZ518" s="11"/>
      <c r="DA518" s="11"/>
      <c r="DB518" s="11"/>
      <c r="DC518" s="11"/>
    </row>
    <row r="519" spans="1:107" ht="12.75" customHeight="1">
      <c r="A519" s="11"/>
      <c r="B519" s="11"/>
      <c r="C519" s="11"/>
      <c r="D519" s="11"/>
      <c r="E519" s="11"/>
      <c r="F519" s="11"/>
      <c r="G519" s="11"/>
      <c r="H519" s="15"/>
      <c r="I519" s="38"/>
      <c r="J519" s="38"/>
      <c r="K519" s="38"/>
      <c r="L519" s="41"/>
      <c r="M519" s="43"/>
      <c r="N519" s="11"/>
      <c r="O519" s="48"/>
      <c r="P519" s="48"/>
      <c r="Q519" s="48"/>
      <c r="R519" s="38"/>
      <c r="S519" s="38"/>
      <c r="T519" s="52"/>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83"/>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83"/>
      <c r="CK519" s="11"/>
      <c r="CL519" s="11"/>
      <c r="CM519" s="11"/>
      <c r="CN519" s="11"/>
      <c r="CO519" s="11"/>
      <c r="CP519" s="11"/>
      <c r="CQ519" s="11"/>
      <c r="CR519" s="11"/>
      <c r="CS519" s="11"/>
      <c r="CT519" s="11"/>
      <c r="CU519" s="11"/>
      <c r="CV519" s="11"/>
      <c r="CW519" s="11"/>
      <c r="CX519" s="11"/>
      <c r="CY519" s="11"/>
      <c r="CZ519" s="11"/>
      <c r="DA519" s="11"/>
      <c r="DB519" s="11"/>
      <c r="DC519" s="11"/>
    </row>
    <row r="520" spans="1:107" ht="12.75" customHeight="1">
      <c r="A520" s="11"/>
      <c r="B520" s="11"/>
      <c r="C520" s="11"/>
      <c r="D520" s="11"/>
      <c r="E520" s="11"/>
      <c r="F520" s="11"/>
      <c r="G520" s="11"/>
      <c r="H520" s="15"/>
      <c r="I520" s="38"/>
      <c r="J520" s="38"/>
      <c r="K520" s="38"/>
      <c r="L520" s="41"/>
      <c r="M520" s="43"/>
      <c r="N520" s="11"/>
      <c r="O520" s="48"/>
      <c r="P520" s="48"/>
      <c r="Q520" s="48"/>
      <c r="R520" s="38"/>
      <c r="S520" s="38"/>
      <c r="T520" s="52"/>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83"/>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83"/>
      <c r="CK520" s="11"/>
      <c r="CL520" s="11"/>
      <c r="CM520" s="11"/>
      <c r="CN520" s="11"/>
      <c r="CO520" s="11"/>
      <c r="CP520" s="11"/>
      <c r="CQ520" s="11"/>
      <c r="CR520" s="11"/>
      <c r="CS520" s="11"/>
      <c r="CT520" s="11"/>
      <c r="CU520" s="11"/>
      <c r="CV520" s="11"/>
      <c r="CW520" s="11"/>
      <c r="CX520" s="11"/>
      <c r="CY520" s="11"/>
      <c r="CZ520" s="11"/>
      <c r="DA520" s="11"/>
      <c r="DB520" s="11"/>
      <c r="DC520" s="11"/>
    </row>
    <row r="521" spans="1:107" ht="12.75" customHeight="1">
      <c r="A521" s="11"/>
      <c r="B521" s="11"/>
      <c r="C521" s="11"/>
      <c r="D521" s="11"/>
      <c r="E521" s="11"/>
      <c r="F521" s="11"/>
      <c r="G521" s="11"/>
      <c r="H521" s="15"/>
      <c r="I521" s="38"/>
      <c r="J521" s="38"/>
      <c r="K521" s="38"/>
      <c r="L521" s="41"/>
      <c r="M521" s="43"/>
      <c r="N521" s="11"/>
      <c r="O521" s="48"/>
      <c r="P521" s="48"/>
      <c r="Q521" s="48"/>
      <c r="R521" s="38"/>
      <c r="S521" s="38"/>
      <c r="T521" s="52"/>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83"/>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83"/>
      <c r="CK521" s="11"/>
      <c r="CL521" s="11"/>
      <c r="CM521" s="11"/>
      <c r="CN521" s="11"/>
      <c r="CO521" s="11"/>
      <c r="CP521" s="11"/>
      <c r="CQ521" s="11"/>
      <c r="CR521" s="11"/>
      <c r="CS521" s="11"/>
      <c r="CT521" s="11"/>
      <c r="CU521" s="11"/>
      <c r="CV521" s="11"/>
      <c r="CW521" s="11"/>
      <c r="CX521" s="11"/>
      <c r="CY521" s="11"/>
      <c r="CZ521" s="11"/>
      <c r="DA521" s="11"/>
      <c r="DB521" s="11"/>
      <c r="DC521" s="11"/>
    </row>
    <row r="522" spans="1:107" ht="12.75" customHeight="1">
      <c r="A522" s="11"/>
      <c r="B522" s="11"/>
      <c r="C522" s="11"/>
      <c r="D522" s="11"/>
      <c r="E522" s="11"/>
      <c r="F522" s="11"/>
      <c r="G522" s="11"/>
      <c r="H522" s="15"/>
      <c r="I522" s="38"/>
      <c r="J522" s="38"/>
      <c r="K522" s="38"/>
      <c r="L522" s="41"/>
      <c r="M522" s="43"/>
      <c r="N522" s="11"/>
      <c r="O522" s="48"/>
      <c r="P522" s="48"/>
      <c r="Q522" s="48"/>
      <c r="R522" s="38"/>
      <c r="S522" s="38"/>
      <c r="T522" s="52"/>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83"/>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83"/>
      <c r="CK522" s="11"/>
      <c r="CL522" s="11"/>
      <c r="CM522" s="11"/>
      <c r="CN522" s="11"/>
      <c r="CO522" s="11"/>
      <c r="CP522" s="11"/>
      <c r="CQ522" s="11"/>
      <c r="CR522" s="11"/>
      <c r="CS522" s="11"/>
      <c r="CT522" s="11"/>
      <c r="CU522" s="11"/>
      <c r="CV522" s="11"/>
      <c r="CW522" s="11"/>
      <c r="CX522" s="11"/>
      <c r="CY522" s="11"/>
      <c r="CZ522" s="11"/>
      <c r="DA522" s="11"/>
      <c r="DB522" s="11"/>
      <c r="DC522" s="11"/>
    </row>
    <row r="523" spans="1:107" ht="12.75" customHeight="1">
      <c r="A523" s="11"/>
      <c r="B523" s="11"/>
      <c r="C523" s="11"/>
      <c r="D523" s="11"/>
      <c r="E523" s="11"/>
      <c r="F523" s="11"/>
      <c r="G523" s="11"/>
      <c r="H523" s="15"/>
      <c r="I523" s="38"/>
      <c r="J523" s="38"/>
      <c r="K523" s="38"/>
      <c r="L523" s="41"/>
      <c r="M523" s="43"/>
      <c r="N523" s="11"/>
      <c r="O523" s="48"/>
      <c r="P523" s="48"/>
      <c r="Q523" s="48"/>
      <c r="R523" s="38"/>
      <c r="S523" s="38"/>
      <c r="T523" s="52"/>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83"/>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83"/>
      <c r="CK523" s="11"/>
      <c r="CL523" s="11"/>
      <c r="CM523" s="11"/>
      <c r="CN523" s="11"/>
      <c r="CO523" s="11"/>
      <c r="CP523" s="11"/>
      <c r="CQ523" s="11"/>
      <c r="CR523" s="11"/>
      <c r="CS523" s="11"/>
      <c r="CT523" s="11"/>
      <c r="CU523" s="11"/>
      <c r="CV523" s="11"/>
      <c r="CW523" s="11"/>
      <c r="CX523" s="11"/>
      <c r="CY523" s="11"/>
      <c r="CZ523" s="11"/>
      <c r="DA523" s="11"/>
      <c r="DB523" s="11"/>
      <c r="DC523" s="11"/>
    </row>
    <row r="524" spans="1:107" ht="12.75" customHeight="1">
      <c r="A524" s="11"/>
      <c r="B524" s="11"/>
      <c r="C524" s="11"/>
      <c r="D524" s="11"/>
      <c r="E524" s="11"/>
      <c r="F524" s="11"/>
      <c r="G524" s="11"/>
      <c r="H524" s="15"/>
      <c r="I524" s="38"/>
      <c r="J524" s="38"/>
      <c r="K524" s="38"/>
      <c r="L524" s="41"/>
      <c r="M524" s="43"/>
      <c r="N524" s="11"/>
      <c r="O524" s="48"/>
      <c r="P524" s="48"/>
      <c r="Q524" s="48"/>
      <c r="R524" s="38"/>
      <c r="S524" s="38"/>
      <c r="T524" s="52"/>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83"/>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83"/>
      <c r="CK524" s="11"/>
      <c r="CL524" s="11"/>
      <c r="CM524" s="11"/>
      <c r="CN524" s="11"/>
      <c r="CO524" s="11"/>
      <c r="CP524" s="11"/>
      <c r="CQ524" s="11"/>
      <c r="CR524" s="11"/>
      <c r="CS524" s="11"/>
      <c r="CT524" s="11"/>
      <c r="CU524" s="11"/>
      <c r="CV524" s="11"/>
      <c r="CW524" s="11"/>
      <c r="CX524" s="11"/>
      <c r="CY524" s="11"/>
      <c r="CZ524" s="11"/>
      <c r="DA524" s="11"/>
      <c r="DB524" s="11"/>
      <c r="DC524" s="11"/>
    </row>
    <row r="525" spans="1:107" ht="12.75" customHeight="1">
      <c r="A525" s="11"/>
      <c r="B525" s="11"/>
      <c r="C525" s="11"/>
      <c r="D525" s="11"/>
      <c r="E525" s="11"/>
      <c r="F525" s="11"/>
      <c r="G525" s="11"/>
      <c r="H525" s="15"/>
      <c r="I525" s="38"/>
      <c r="J525" s="38"/>
      <c r="K525" s="38"/>
      <c r="L525" s="41"/>
      <c r="M525" s="43"/>
      <c r="N525" s="11"/>
      <c r="O525" s="48"/>
      <c r="P525" s="48"/>
      <c r="Q525" s="48"/>
      <c r="R525" s="38"/>
      <c r="S525" s="38"/>
      <c r="T525" s="52"/>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83"/>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83"/>
      <c r="CK525" s="11"/>
      <c r="CL525" s="11"/>
      <c r="CM525" s="11"/>
      <c r="CN525" s="11"/>
      <c r="CO525" s="11"/>
      <c r="CP525" s="11"/>
      <c r="CQ525" s="11"/>
      <c r="CR525" s="11"/>
      <c r="CS525" s="11"/>
      <c r="CT525" s="11"/>
      <c r="CU525" s="11"/>
      <c r="CV525" s="11"/>
      <c r="CW525" s="11"/>
      <c r="CX525" s="11"/>
      <c r="CY525" s="11"/>
      <c r="CZ525" s="11"/>
      <c r="DA525" s="11"/>
      <c r="DB525" s="11"/>
      <c r="DC525" s="11"/>
    </row>
    <row r="526" spans="1:107" ht="12.75" customHeight="1">
      <c r="A526" s="11"/>
      <c r="B526" s="11"/>
      <c r="C526" s="11"/>
      <c r="D526" s="11"/>
      <c r="E526" s="11"/>
      <c r="F526" s="11"/>
      <c r="G526" s="11"/>
      <c r="H526" s="15"/>
      <c r="I526" s="38"/>
      <c r="J526" s="38"/>
      <c r="K526" s="38"/>
      <c r="L526" s="41"/>
      <c r="M526" s="43"/>
      <c r="N526" s="11"/>
      <c r="O526" s="48"/>
      <c r="P526" s="48"/>
      <c r="Q526" s="48"/>
      <c r="R526" s="38"/>
      <c r="S526" s="38"/>
      <c r="T526" s="52"/>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83"/>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83"/>
      <c r="CK526" s="11"/>
      <c r="CL526" s="11"/>
      <c r="CM526" s="11"/>
      <c r="CN526" s="11"/>
      <c r="CO526" s="11"/>
      <c r="CP526" s="11"/>
      <c r="CQ526" s="11"/>
      <c r="CR526" s="11"/>
      <c r="CS526" s="11"/>
      <c r="CT526" s="11"/>
      <c r="CU526" s="11"/>
      <c r="CV526" s="11"/>
      <c r="CW526" s="11"/>
      <c r="CX526" s="11"/>
      <c r="CY526" s="11"/>
      <c r="CZ526" s="11"/>
      <c r="DA526" s="11"/>
      <c r="DB526" s="11"/>
      <c r="DC526" s="11"/>
    </row>
    <row r="527" spans="1:107" ht="12.75" customHeight="1">
      <c r="A527" s="11"/>
      <c r="B527" s="11"/>
      <c r="C527" s="11"/>
      <c r="D527" s="11"/>
      <c r="E527" s="11"/>
      <c r="F527" s="11"/>
      <c r="G527" s="11"/>
      <c r="H527" s="15"/>
      <c r="I527" s="38"/>
      <c r="J527" s="38"/>
      <c r="K527" s="38"/>
      <c r="L527" s="41"/>
      <c r="M527" s="43"/>
      <c r="N527" s="11"/>
      <c r="O527" s="48"/>
      <c r="P527" s="48"/>
      <c r="Q527" s="48"/>
      <c r="R527" s="38"/>
      <c r="S527" s="38"/>
      <c r="T527" s="52"/>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83"/>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83"/>
      <c r="CK527" s="11"/>
      <c r="CL527" s="11"/>
      <c r="CM527" s="11"/>
      <c r="CN527" s="11"/>
      <c r="CO527" s="11"/>
      <c r="CP527" s="11"/>
      <c r="CQ527" s="11"/>
      <c r="CR527" s="11"/>
      <c r="CS527" s="11"/>
      <c r="CT527" s="11"/>
      <c r="CU527" s="11"/>
      <c r="CV527" s="11"/>
      <c r="CW527" s="11"/>
      <c r="CX527" s="11"/>
      <c r="CY527" s="11"/>
      <c r="CZ527" s="11"/>
      <c r="DA527" s="11"/>
      <c r="DB527" s="11"/>
      <c r="DC527" s="11"/>
    </row>
    <row r="528" spans="1:107" ht="12.75" customHeight="1">
      <c r="A528" s="11"/>
      <c r="B528" s="11"/>
      <c r="C528" s="11"/>
      <c r="D528" s="11"/>
      <c r="E528" s="11"/>
      <c r="F528" s="11"/>
      <c r="G528" s="11"/>
      <c r="H528" s="15"/>
      <c r="I528" s="38"/>
      <c r="J528" s="38"/>
      <c r="K528" s="38"/>
      <c r="L528" s="41"/>
      <c r="M528" s="43"/>
      <c r="N528" s="11"/>
      <c r="O528" s="48"/>
      <c r="P528" s="48"/>
      <c r="Q528" s="48"/>
      <c r="R528" s="38"/>
      <c r="S528" s="38"/>
      <c r="T528" s="52"/>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83"/>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c r="CF528" s="11"/>
      <c r="CG528" s="11"/>
      <c r="CH528" s="11"/>
      <c r="CI528" s="11"/>
      <c r="CJ528" s="183"/>
      <c r="CK528" s="11"/>
      <c r="CL528" s="11"/>
      <c r="CM528" s="11"/>
      <c r="CN528" s="11"/>
      <c r="CO528" s="11"/>
      <c r="CP528" s="11"/>
      <c r="CQ528" s="11"/>
      <c r="CR528" s="11"/>
      <c r="CS528" s="11"/>
      <c r="CT528" s="11"/>
      <c r="CU528" s="11"/>
      <c r="CV528" s="11"/>
      <c r="CW528" s="11"/>
      <c r="CX528" s="11"/>
      <c r="CY528" s="11"/>
      <c r="CZ528" s="11"/>
      <c r="DA528" s="11"/>
      <c r="DB528" s="11"/>
      <c r="DC528" s="11"/>
    </row>
    <row r="529" spans="1:107" ht="12.75" customHeight="1">
      <c r="A529" s="11"/>
      <c r="B529" s="11"/>
      <c r="C529" s="11"/>
      <c r="D529" s="11"/>
      <c r="E529" s="11"/>
      <c r="F529" s="11"/>
      <c r="G529" s="11"/>
      <c r="H529" s="15"/>
      <c r="I529" s="38"/>
      <c r="J529" s="38"/>
      <c r="K529" s="38"/>
      <c r="L529" s="41"/>
      <c r="M529" s="43"/>
      <c r="N529" s="11"/>
      <c r="O529" s="48"/>
      <c r="P529" s="48"/>
      <c r="Q529" s="48"/>
      <c r="R529" s="38"/>
      <c r="S529" s="38"/>
      <c r="T529" s="52"/>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83"/>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83"/>
      <c r="CK529" s="11"/>
      <c r="CL529" s="11"/>
      <c r="CM529" s="11"/>
      <c r="CN529" s="11"/>
      <c r="CO529" s="11"/>
      <c r="CP529" s="11"/>
      <c r="CQ529" s="11"/>
      <c r="CR529" s="11"/>
      <c r="CS529" s="11"/>
      <c r="CT529" s="11"/>
      <c r="CU529" s="11"/>
      <c r="CV529" s="11"/>
      <c r="CW529" s="11"/>
      <c r="CX529" s="11"/>
      <c r="CY529" s="11"/>
      <c r="CZ529" s="11"/>
      <c r="DA529" s="11"/>
      <c r="DB529" s="11"/>
      <c r="DC529" s="11"/>
    </row>
    <row r="530" spans="1:107" ht="12.75" customHeight="1">
      <c r="A530" s="11"/>
      <c r="B530" s="11"/>
      <c r="C530" s="11"/>
      <c r="D530" s="11"/>
      <c r="E530" s="11"/>
      <c r="F530" s="11"/>
      <c r="G530" s="11"/>
      <c r="H530" s="15"/>
      <c r="I530" s="38"/>
      <c r="J530" s="38"/>
      <c r="K530" s="38"/>
      <c r="L530" s="41"/>
      <c r="M530" s="43"/>
      <c r="N530" s="11"/>
      <c r="O530" s="48"/>
      <c r="P530" s="48"/>
      <c r="Q530" s="48"/>
      <c r="R530" s="38"/>
      <c r="S530" s="38"/>
      <c r="T530" s="52"/>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83"/>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83"/>
      <c r="CK530" s="11"/>
      <c r="CL530" s="11"/>
      <c r="CM530" s="11"/>
      <c r="CN530" s="11"/>
      <c r="CO530" s="11"/>
      <c r="CP530" s="11"/>
      <c r="CQ530" s="11"/>
      <c r="CR530" s="11"/>
      <c r="CS530" s="11"/>
      <c r="CT530" s="11"/>
      <c r="CU530" s="11"/>
      <c r="CV530" s="11"/>
      <c r="CW530" s="11"/>
      <c r="CX530" s="11"/>
      <c r="CY530" s="11"/>
      <c r="CZ530" s="11"/>
      <c r="DA530" s="11"/>
      <c r="DB530" s="11"/>
      <c r="DC530" s="11"/>
    </row>
    <row r="531" spans="1:107" ht="12.75" customHeight="1">
      <c r="A531" s="11"/>
      <c r="B531" s="11"/>
      <c r="C531" s="11"/>
      <c r="D531" s="11"/>
      <c r="E531" s="11"/>
      <c r="F531" s="11"/>
      <c r="G531" s="11"/>
      <c r="H531" s="15"/>
      <c r="I531" s="38"/>
      <c r="J531" s="38"/>
      <c r="K531" s="38"/>
      <c r="L531" s="41"/>
      <c r="M531" s="43"/>
      <c r="N531" s="11"/>
      <c r="O531" s="48"/>
      <c r="P531" s="48"/>
      <c r="Q531" s="48"/>
      <c r="R531" s="38"/>
      <c r="S531" s="38"/>
      <c r="T531" s="52"/>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83"/>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83"/>
      <c r="CK531" s="11"/>
      <c r="CL531" s="11"/>
      <c r="CM531" s="11"/>
      <c r="CN531" s="11"/>
      <c r="CO531" s="11"/>
      <c r="CP531" s="11"/>
      <c r="CQ531" s="11"/>
      <c r="CR531" s="11"/>
      <c r="CS531" s="11"/>
      <c r="CT531" s="11"/>
      <c r="CU531" s="11"/>
      <c r="CV531" s="11"/>
      <c r="CW531" s="11"/>
      <c r="CX531" s="11"/>
      <c r="CY531" s="11"/>
      <c r="CZ531" s="11"/>
      <c r="DA531" s="11"/>
      <c r="DB531" s="11"/>
      <c r="DC531" s="11"/>
    </row>
    <row r="532" spans="1:107" ht="12.75" customHeight="1">
      <c r="A532" s="11"/>
      <c r="B532" s="11"/>
      <c r="C532" s="11"/>
      <c r="D532" s="11"/>
      <c r="E532" s="11"/>
      <c r="F532" s="11"/>
      <c r="G532" s="11"/>
      <c r="H532" s="15"/>
      <c r="I532" s="38"/>
      <c r="J532" s="38"/>
      <c r="K532" s="38"/>
      <c r="L532" s="41"/>
      <c r="M532" s="43"/>
      <c r="N532" s="11"/>
      <c r="O532" s="48"/>
      <c r="P532" s="48"/>
      <c r="Q532" s="48"/>
      <c r="R532" s="38"/>
      <c r="S532" s="38"/>
      <c r="T532" s="52"/>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83"/>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83"/>
      <c r="CK532" s="11"/>
      <c r="CL532" s="11"/>
      <c r="CM532" s="11"/>
      <c r="CN532" s="11"/>
      <c r="CO532" s="11"/>
      <c r="CP532" s="11"/>
      <c r="CQ532" s="11"/>
      <c r="CR532" s="11"/>
      <c r="CS532" s="11"/>
      <c r="CT532" s="11"/>
      <c r="CU532" s="11"/>
      <c r="CV532" s="11"/>
      <c r="CW532" s="11"/>
      <c r="CX532" s="11"/>
      <c r="CY532" s="11"/>
      <c r="CZ532" s="11"/>
      <c r="DA532" s="11"/>
      <c r="DB532" s="11"/>
      <c r="DC532" s="11"/>
    </row>
    <row r="533" spans="1:107" ht="12.75" customHeight="1">
      <c r="A533" s="11"/>
      <c r="B533" s="11"/>
      <c r="C533" s="11"/>
      <c r="D533" s="11"/>
      <c r="E533" s="11"/>
      <c r="F533" s="11"/>
      <c r="G533" s="11"/>
      <c r="H533" s="15"/>
      <c r="I533" s="38"/>
      <c r="J533" s="38"/>
      <c r="K533" s="38"/>
      <c r="L533" s="41"/>
      <c r="M533" s="43"/>
      <c r="N533" s="11"/>
      <c r="O533" s="48"/>
      <c r="P533" s="48"/>
      <c r="Q533" s="48"/>
      <c r="R533" s="38"/>
      <c r="S533" s="38"/>
      <c r="T533" s="52"/>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83"/>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83"/>
      <c r="CK533" s="11"/>
      <c r="CL533" s="11"/>
      <c r="CM533" s="11"/>
      <c r="CN533" s="11"/>
      <c r="CO533" s="11"/>
      <c r="CP533" s="11"/>
      <c r="CQ533" s="11"/>
      <c r="CR533" s="11"/>
      <c r="CS533" s="11"/>
      <c r="CT533" s="11"/>
      <c r="CU533" s="11"/>
      <c r="CV533" s="11"/>
      <c r="CW533" s="11"/>
      <c r="CX533" s="11"/>
      <c r="CY533" s="11"/>
      <c r="CZ533" s="11"/>
      <c r="DA533" s="11"/>
      <c r="DB533" s="11"/>
      <c r="DC533" s="11"/>
    </row>
    <row r="534" spans="1:107" ht="12.75" customHeight="1">
      <c r="A534" s="11"/>
      <c r="B534" s="11"/>
      <c r="C534" s="11"/>
      <c r="D534" s="11"/>
      <c r="E534" s="11"/>
      <c r="F534" s="11"/>
      <c r="G534" s="11"/>
      <c r="H534" s="15"/>
      <c r="I534" s="38"/>
      <c r="J534" s="38"/>
      <c r="K534" s="38"/>
      <c r="L534" s="41"/>
      <c r="M534" s="43"/>
      <c r="N534" s="11"/>
      <c r="O534" s="48"/>
      <c r="P534" s="48"/>
      <c r="Q534" s="48"/>
      <c r="R534" s="38"/>
      <c r="S534" s="38"/>
      <c r="T534" s="52"/>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83"/>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83"/>
      <c r="CK534" s="11"/>
      <c r="CL534" s="11"/>
      <c r="CM534" s="11"/>
      <c r="CN534" s="11"/>
      <c r="CO534" s="11"/>
      <c r="CP534" s="11"/>
      <c r="CQ534" s="11"/>
      <c r="CR534" s="11"/>
      <c r="CS534" s="11"/>
      <c r="CT534" s="11"/>
      <c r="CU534" s="11"/>
      <c r="CV534" s="11"/>
      <c r="CW534" s="11"/>
      <c r="CX534" s="11"/>
      <c r="CY534" s="11"/>
      <c r="CZ534" s="11"/>
      <c r="DA534" s="11"/>
      <c r="DB534" s="11"/>
      <c r="DC534" s="11"/>
    </row>
    <row r="535" spans="1:107" ht="12.75" customHeight="1">
      <c r="A535" s="11"/>
      <c r="B535" s="11"/>
      <c r="C535" s="11"/>
      <c r="D535" s="11"/>
      <c r="E535" s="11"/>
      <c r="F535" s="11"/>
      <c r="G535" s="11"/>
      <c r="H535" s="15"/>
      <c r="I535" s="38"/>
      <c r="J535" s="38"/>
      <c r="K535" s="38"/>
      <c r="L535" s="41"/>
      <c r="M535" s="43"/>
      <c r="N535" s="11"/>
      <c r="O535" s="48"/>
      <c r="P535" s="48"/>
      <c r="Q535" s="48"/>
      <c r="R535" s="38"/>
      <c r="S535" s="38"/>
      <c r="T535" s="52"/>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83"/>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83"/>
      <c r="CK535" s="11"/>
      <c r="CL535" s="11"/>
      <c r="CM535" s="11"/>
      <c r="CN535" s="11"/>
      <c r="CO535" s="11"/>
      <c r="CP535" s="11"/>
      <c r="CQ535" s="11"/>
      <c r="CR535" s="11"/>
      <c r="CS535" s="11"/>
      <c r="CT535" s="11"/>
      <c r="CU535" s="11"/>
      <c r="CV535" s="11"/>
      <c r="CW535" s="11"/>
      <c r="CX535" s="11"/>
      <c r="CY535" s="11"/>
      <c r="CZ535" s="11"/>
      <c r="DA535" s="11"/>
      <c r="DB535" s="11"/>
      <c r="DC535" s="11"/>
    </row>
    <row r="536" spans="1:107" ht="12.75" customHeight="1">
      <c r="A536" s="11"/>
      <c r="B536" s="11"/>
      <c r="C536" s="11"/>
      <c r="D536" s="11"/>
      <c r="E536" s="11"/>
      <c r="F536" s="11"/>
      <c r="G536" s="11"/>
      <c r="H536" s="15"/>
      <c r="I536" s="38"/>
      <c r="J536" s="38"/>
      <c r="K536" s="38"/>
      <c r="L536" s="41"/>
      <c r="M536" s="43"/>
      <c r="N536" s="11"/>
      <c r="O536" s="48"/>
      <c r="P536" s="48"/>
      <c r="Q536" s="48"/>
      <c r="R536" s="38"/>
      <c r="S536" s="38"/>
      <c r="T536" s="52"/>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83"/>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83"/>
      <c r="CK536" s="11"/>
      <c r="CL536" s="11"/>
      <c r="CM536" s="11"/>
      <c r="CN536" s="11"/>
      <c r="CO536" s="11"/>
      <c r="CP536" s="11"/>
      <c r="CQ536" s="11"/>
      <c r="CR536" s="11"/>
      <c r="CS536" s="11"/>
      <c r="CT536" s="11"/>
      <c r="CU536" s="11"/>
      <c r="CV536" s="11"/>
      <c r="CW536" s="11"/>
      <c r="CX536" s="11"/>
      <c r="CY536" s="11"/>
      <c r="CZ536" s="11"/>
      <c r="DA536" s="11"/>
      <c r="DB536" s="11"/>
      <c r="DC536" s="11"/>
    </row>
    <row r="537" spans="1:107" ht="12.75" customHeight="1">
      <c r="A537" s="11"/>
      <c r="B537" s="11"/>
      <c r="C537" s="11"/>
      <c r="D537" s="11"/>
      <c r="E537" s="11"/>
      <c r="F537" s="11"/>
      <c r="G537" s="11"/>
      <c r="H537" s="15"/>
      <c r="I537" s="38"/>
      <c r="J537" s="38"/>
      <c r="K537" s="38"/>
      <c r="L537" s="41"/>
      <c r="M537" s="43"/>
      <c r="N537" s="11"/>
      <c r="O537" s="48"/>
      <c r="P537" s="48"/>
      <c r="Q537" s="48"/>
      <c r="R537" s="38"/>
      <c r="S537" s="38"/>
      <c r="T537" s="52"/>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83"/>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83"/>
      <c r="CK537" s="11"/>
      <c r="CL537" s="11"/>
      <c r="CM537" s="11"/>
      <c r="CN537" s="11"/>
      <c r="CO537" s="11"/>
      <c r="CP537" s="11"/>
      <c r="CQ537" s="11"/>
      <c r="CR537" s="11"/>
      <c r="CS537" s="11"/>
      <c r="CT537" s="11"/>
      <c r="CU537" s="11"/>
      <c r="CV537" s="11"/>
      <c r="CW537" s="11"/>
      <c r="CX537" s="11"/>
      <c r="CY537" s="11"/>
      <c r="CZ537" s="11"/>
      <c r="DA537" s="11"/>
      <c r="DB537" s="11"/>
      <c r="DC537" s="11"/>
    </row>
    <row r="538" spans="1:107" ht="12.75" customHeight="1">
      <c r="A538" s="11"/>
      <c r="B538" s="11"/>
      <c r="C538" s="11"/>
      <c r="D538" s="11"/>
      <c r="E538" s="11"/>
      <c r="F538" s="11"/>
      <c r="G538" s="11"/>
      <c r="H538" s="15"/>
      <c r="I538" s="38"/>
      <c r="J538" s="38"/>
      <c r="K538" s="38"/>
      <c r="L538" s="41"/>
      <c r="M538" s="43"/>
      <c r="N538" s="11"/>
      <c r="O538" s="48"/>
      <c r="P538" s="48"/>
      <c r="Q538" s="48"/>
      <c r="R538" s="38"/>
      <c r="S538" s="38"/>
      <c r="T538" s="52"/>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83"/>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83"/>
      <c r="CK538" s="11"/>
      <c r="CL538" s="11"/>
      <c r="CM538" s="11"/>
      <c r="CN538" s="11"/>
      <c r="CO538" s="11"/>
      <c r="CP538" s="11"/>
      <c r="CQ538" s="11"/>
      <c r="CR538" s="11"/>
      <c r="CS538" s="11"/>
      <c r="CT538" s="11"/>
      <c r="CU538" s="11"/>
      <c r="CV538" s="11"/>
      <c r="CW538" s="11"/>
      <c r="CX538" s="11"/>
      <c r="CY538" s="11"/>
      <c r="CZ538" s="11"/>
      <c r="DA538" s="11"/>
      <c r="DB538" s="11"/>
      <c r="DC538" s="11"/>
    </row>
    <row r="539" spans="1:107" ht="12.75" customHeight="1">
      <c r="A539" s="11"/>
      <c r="B539" s="11"/>
      <c r="C539" s="11"/>
      <c r="D539" s="11"/>
      <c r="E539" s="11"/>
      <c r="F539" s="11"/>
      <c r="G539" s="11"/>
      <c r="H539" s="15"/>
      <c r="I539" s="38"/>
      <c r="J539" s="38"/>
      <c r="K539" s="38"/>
      <c r="L539" s="41"/>
      <c r="M539" s="43"/>
      <c r="N539" s="11"/>
      <c r="O539" s="48"/>
      <c r="P539" s="48"/>
      <c r="Q539" s="48"/>
      <c r="R539" s="38"/>
      <c r="S539" s="38"/>
      <c r="T539" s="52"/>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83"/>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83"/>
      <c r="CK539" s="11"/>
      <c r="CL539" s="11"/>
      <c r="CM539" s="11"/>
      <c r="CN539" s="11"/>
      <c r="CO539" s="11"/>
      <c r="CP539" s="11"/>
      <c r="CQ539" s="11"/>
      <c r="CR539" s="11"/>
      <c r="CS539" s="11"/>
      <c r="CT539" s="11"/>
      <c r="CU539" s="11"/>
      <c r="CV539" s="11"/>
      <c r="CW539" s="11"/>
      <c r="CX539" s="11"/>
      <c r="CY539" s="11"/>
      <c r="CZ539" s="11"/>
      <c r="DA539" s="11"/>
      <c r="DB539" s="11"/>
      <c r="DC539" s="11"/>
    </row>
    <row r="540" spans="1:107" ht="12.75" customHeight="1">
      <c r="A540" s="11"/>
      <c r="B540" s="11"/>
      <c r="C540" s="11"/>
      <c r="D540" s="11"/>
      <c r="E540" s="11"/>
      <c r="F540" s="11"/>
      <c r="G540" s="11"/>
      <c r="H540" s="15"/>
      <c r="I540" s="38"/>
      <c r="J540" s="38"/>
      <c r="K540" s="38"/>
      <c r="L540" s="41"/>
      <c r="M540" s="43"/>
      <c r="N540" s="11"/>
      <c r="O540" s="48"/>
      <c r="P540" s="48"/>
      <c r="Q540" s="48"/>
      <c r="R540" s="38"/>
      <c r="S540" s="38"/>
      <c r="T540" s="52"/>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83"/>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83"/>
      <c r="CK540" s="11"/>
      <c r="CL540" s="11"/>
      <c r="CM540" s="11"/>
      <c r="CN540" s="11"/>
      <c r="CO540" s="11"/>
      <c r="CP540" s="11"/>
      <c r="CQ540" s="11"/>
      <c r="CR540" s="11"/>
      <c r="CS540" s="11"/>
      <c r="CT540" s="11"/>
      <c r="CU540" s="11"/>
      <c r="CV540" s="11"/>
      <c r="CW540" s="11"/>
      <c r="CX540" s="11"/>
      <c r="CY540" s="11"/>
      <c r="CZ540" s="11"/>
      <c r="DA540" s="11"/>
      <c r="DB540" s="11"/>
      <c r="DC540" s="11"/>
    </row>
    <row r="541" spans="1:107" ht="12.75" customHeight="1">
      <c r="A541" s="11"/>
      <c r="B541" s="11"/>
      <c r="C541" s="11"/>
      <c r="D541" s="11"/>
      <c r="E541" s="11"/>
      <c r="F541" s="11"/>
      <c r="G541" s="11"/>
      <c r="H541" s="15"/>
      <c r="I541" s="38"/>
      <c r="J541" s="38"/>
      <c r="K541" s="38"/>
      <c r="L541" s="41"/>
      <c r="M541" s="43"/>
      <c r="N541" s="11"/>
      <c r="O541" s="48"/>
      <c r="P541" s="48"/>
      <c r="Q541" s="48"/>
      <c r="R541" s="38"/>
      <c r="S541" s="38"/>
      <c r="T541" s="52"/>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83"/>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83"/>
      <c r="CK541" s="11"/>
      <c r="CL541" s="11"/>
      <c r="CM541" s="11"/>
      <c r="CN541" s="11"/>
      <c r="CO541" s="11"/>
      <c r="CP541" s="11"/>
      <c r="CQ541" s="11"/>
      <c r="CR541" s="11"/>
      <c r="CS541" s="11"/>
      <c r="CT541" s="11"/>
      <c r="CU541" s="11"/>
      <c r="CV541" s="11"/>
      <c r="CW541" s="11"/>
      <c r="CX541" s="11"/>
      <c r="CY541" s="11"/>
      <c r="CZ541" s="11"/>
      <c r="DA541" s="11"/>
      <c r="DB541" s="11"/>
      <c r="DC541" s="11"/>
    </row>
    <row r="542" spans="1:107" ht="12.75" customHeight="1">
      <c r="A542" s="11"/>
      <c r="B542" s="11"/>
      <c r="C542" s="11"/>
      <c r="D542" s="11"/>
      <c r="E542" s="11"/>
      <c r="F542" s="11"/>
      <c r="G542" s="11"/>
      <c r="H542" s="15"/>
      <c r="I542" s="38"/>
      <c r="J542" s="38"/>
      <c r="K542" s="38"/>
      <c r="L542" s="41"/>
      <c r="M542" s="43"/>
      <c r="N542" s="11"/>
      <c r="O542" s="48"/>
      <c r="P542" s="48"/>
      <c r="Q542" s="48"/>
      <c r="R542" s="38"/>
      <c r="S542" s="38"/>
      <c r="T542" s="52"/>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83"/>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83"/>
      <c r="CK542" s="11"/>
      <c r="CL542" s="11"/>
      <c r="CM542" s="11"/>
      <c r="CN542" s="11"/>
      <c r="CO542" s="11"/>
      <c r="CP542" s="11"/>
      <c r="CQ542" s="11"/>
      <c r="CR542" s="11"/>
      <c r="CS542" s="11"/>
      <c r="CT542" s="11"/>
      <c r="CU542" s="11"/>
      <c r="CV542" s="11"/>
      <c r="CW542" s="11"/>
      <c r="CX542" s="11"/>
      <c r="CY542" s="11"/>
      <c r="CZ542" s="11"/>
      <c r="DA542" s="11"/>
      <c r="DB542" s="11"/>
      <c r="DC542" s="11"/>
    </row>
    <row r="543" spans="1:107" ht="12.75" customHeight="1">
      <c r="A543" s="11"/>
      <c r="B543" s="11"/>
      <c r="C543" s="11"/>
      <c r="D543" s="11"/>
      <c r="E543" s="11"/>
      <c r="F543" s="11"/>
      <c r="G543" s="11"/>
      <c r="H543" s="15"/>
      <c r="I543" s="38"/>
      <c r="J543" s="38"/>
      <c r="K543" s="38"/>
      <c r="L543" s="41"/>
      <c r="M543" s="43"/>
      <c r="N543" s="11"/>
      <c r="O543" s="48"/>
      <c r="P543" s="48"/>
      <c r="Q543" s="48"/>
      <c r="R543" s="38"/>
      <c r="S543" s="38"/>
      <c r="T543" s="52"/>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83"/>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83"/>
      <c r="CK543" s="11"/>
      <c r="CL543" s="11"/>
      <c r="CM543" s="11"/>
      <c r="CN543" s="11"/>
      <c r="CO543" s="11"/>
      <c r="CP543" s="11"/>
      <c r="CQ543" s="11"/>
      <c r="CR543" s="11"/>
      <c r="CS543" s="11"/>
      <c r="CT543" s="11"/>
      <c r="CU543" s="11"/>
      <c r="CV543" s="11"/>
      <c r="CW543" s="11"/>
      <c r="CX543" s="11"/>
      <c r="CY543" s="11"/>
      <c r="CZ543" s="11"/>
      <c r="DA543" s="11"/>
      <c r="DB543" s="11"/>
      <c r="DC543" s="11"/>
    </row>
    <row r="544" spans="1:107" ht="12.75" customHeight="1">
      <c r="A544" s="11"/>
      <c r="B544" s="11"/>
      <c r="C544" s="11"/>
      <c r="D544" s="11"/>
      <c r="E544" s="11"/>
      <c r="F544" s="11"/>
      <c r="G544" s="11"/>
      <c r="H544" s="15"/>
      <c r="I544" s="38"/>
      <c r="J544" s="38"/>
      <c r="K544" s="38"/>
      <c r="L544" s="41"/>
      <c r="M544" s="43"/>
      <c r="N544" s="11"/>
      <c r="O544" s="48"/>
      <c r="P544" s="48"/>
      <c r="Q544" s="48"/>
      <c r="R544" s="38"/>
      <c r="S544" s="38"/>
      <c r="T544" s="52"/>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83"/>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83"/>
      <c r="CK544" s="11"/>
      <c r="CL544" s="11"/>
      <c r="CM544" s="11"/>
      <c r="CN544" s="11"/>
      <c r="CO544" s="11"/>
      <c r="CP544" s="11"/>
      <c r="CQ544" s="11"/>
      <c r="CR544" s="11"/>
      <c r="CS544" s="11"/>
      <c r="CT544" s="11"/>
      <c r="CU544" s="11"/>
      <c r="CV544" s="11"/>
      <c r="CW544" s="11"/>
      <c r="CX544" s="11"/>
      <c r="CY544" s="11"/>
      <c r="CZ544" s="11"/>
      <c r="DA544" s="11"/>
      <c r="DB544" s="11"/>
      <c r="DC544" s="11"/>
    </row>
    <row r="545" spans="1:107" ht="12.75" customHeight="1">
      <c r="A545" s="11"/>
      <c r="B545" s="11"/>
      <c r="C545" s="11"/>
      <c r="D545" s="11"/>
      <c r="E545" s="11"/>
      <c r="F545" s="11"/>
      <c r="G545" s="11"/>
      <c r="H545" s="15"/>
      <c r="I545" s="38"/>
      <c r="J545" s="38"/>
      <c r="K545" s="38"/>
      <c r="L545" s="41"/>
      <c r="M545" s="43"/>
      <c r="N545" s="11"/>
      <c r="O545" s="48"/>
      <c r="P545" s="48"/>
      <c r="Q545" s="48"/>
      <c r="R545" s="38"/>
      <c r="S545" s="38"/>
      <c r="T545" s="52"/>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83"/>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83"/>
      <c r="CK545" s="11"/>
      <c r="CL545" s="11"/>
      <c r="CM545" s="11"/>
      <c r="CN545" s="11"/>
      <c r="CO545" s="11"/>
      <c r="CP545" s="11"/>
      <c r="CQ545" s="11"/>
      <c r="CR545" s="11"/>
      <c r="CS545" s="11"/>
      <c r="CT545" s="11"/>
      <c r="CU545" s="11"/>
      <c r="CV545" s="11"/>
      <c r="CW545" s="11"/>
      <c r="CX545" s="11"/>
      <c r="CY545" s="11"/>
      <c r="CZ545" s="11"/>
      <c r="DA545" s="11"/>
      <c r="DB545" s="11"/>
      <c r="DC545" s="11"/>
    </row>
    <row r="546" spans="1:107" ht="12.75" customHeight="1">
      <c r="A546" s="11"/>
      <c r="B546" s="11"/>
      <c r="C546" s="11"/>
      <c r="D546" s="11"/>
      <c r="E546" s="11"/>
      <c r="F546" s="11"/>
      <c r="G546" s="11"/>
      <c r="H546" s="15"/>
      <c r="I546" s="38"/>
      <c r="J546" s="38"/>
      <c r="K546" s="38"/>
      <c r="L546" s="41"/>
      <c r="M546" s="43"/>
      <c r="N546" s="11"/>
      <c r="O546" s="48"/>
      <c r="P546" s="48"/>
      <c r="Q546" s="48"/>
      <c r="R546" s="38"/>
      <c r="S546" s="38"/>
      <c r="T546" s="52"/>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83"/>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83"/>
      <c r="CK546" s="11"/>
      <c r="CL546" s="11"/>
      <c r="CM546" s="11"/>
      <c r="CN546" s="11"/>
      <c r="CO546" s="11"/>
      <c r="CP546" s="11"/>
      <c r="CQ546" s="11"/>
      <c r="CR546" s="11"/>
      <c r="CS546" s="11"/>
      <c r="CT546" s="11"/>
      <c r="CU546" s="11"/>
      <c r="CV546" s="11"/>
      <c r="CW546" s="11"/>
      <c r="CX546" s="11"/>
      <c r="CY546" s="11"/>
      <c r="CZ546" s="11"/>
      <c r="DA546" s="11"/>
      <c r="DB546" s="11"/>
      <c r="DC546" s="11"/>
    </row>
    <row r="547" spans="1:107" ht="12.75" customHeight="1">
      <c r="A547" s="11"/>
      <c r="B547" s="11"/>
      <c r="C547" s="11"/>
      <c r="D547" s="11"/>
      <c r="E547" s="11"/>
      <c r="F547" s="11"/>
      <c r="G547" s="11"/>
      <c r="H547" s="15"/>
      <c r="I547" s="38"/>
      <c r="J547" s="38"/>
      <c r="K547" s="38"/>
      <c r="L547" s="41"/>
      <c r="M547" s="43"/>
      <c r="N547" s="11"/>
      <c r="O547" s="48"/>
      <c r="P547" s="48"/>
      <c r="Q547" s="48"/>
      <c r="R547" s="38"/>
      <c r="S547" s="38"/>
      <c r="T547" s="52"/>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83"/>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83"/>
      <c r="CK547" s="11"/>
      <c r="CL547" s="11"/>
      <c r="CM547" s="11"/>
      <c r="CN547" s="11"/>
      <c r="CO547" s="11"/>
      <c r="CP547" s="11"/>
      <c r="CQ547" s="11"/>
      <c r="CR547" s="11"/>
      <c r="CS547" s="11"/>
      <c r="CT547" s="11"/>
      <c r="CU547" s="11"/>
      <c r="CV547" s="11"/>
      <c r="CW547" s="11"/>
      <c r="CX547" s="11"/>
      <c r="CY547" s="11"/>
      <c r="CZ547" s="11"/>
      <c r="DA547" s="11"/>
      <c r="DB547" s="11"/>
      <c r="DC547" s="11"/>
    </row>
    <row r="548" spans="1:107" ht="12.75" customHeight="1">
      <c r="A548" s="11"/>
      <c r="B548" s="11"/>
      <c r="C548" s="11"/>
      <c r="D548" s="11"/>
      <c r="E548" s="11"/>
      <c r="F548" s="11"/>
      <c r="G548" s="11"/>
      <c r="H548" s="15"/>
      <c r="I548" s="38"/>
      <c r="J548" s="38"/>
      <c r="K548" s="38"/>
      <c r="L548" s="41"/>
      <c r="M548" s="43"/>
      <c r="N548" s="11"/>
      <c r="O548" s="48"/>
      <c r="P548" s="48"/>
      <c r="Q548" s="48"/>
      <c r="R548" s="38"/>
      <c r="S548" s="38"/>
      <c r="T548" s="52"/>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83"/>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83"/>
      <c r="CK548" s="11"/>
      <c r="CL548" s="11"/>
      <c r="CM548" s="11"/>
      <c r="CN548" s="11"/>
      <c r="CO548" s="11"/>
      <c r="CP548" s="11"/>
      <c r="CQ548" s="11"/>
      <c r="CR548" s="11"/>
      <c r="CS548" s="11"/>
      <c r="CT548" s="11"/>
      <c r="CU548" s="11"/>
      <c r="CV548" s="11"/>
      <c r="CW548" s="11"/>
      <c r="CX548" s="11"/>
      <c r="CY548" s="11"/>
      <c r="CZ548" s="11"/>
      <c r="DA548" s="11"/>
      <c r="DB548" s="11"/>
      <c r="DC548" s="11"/>
    </row>
    <row r="549" spans="1:107" ht="12.75" customHeight="1">
      <c r="A549" s="11"/>
      <c r="B549" s="11"/>
      <c r="C549" s="11"/>
      <c r="D549" s="11"/>
      <c r="E549" s="11"/>
      <c r="F549" s="11"/>
      <c r="G549" s="11"/>
      <c r="H549" s="15"/>
      <c r="I549" s="38"/>
      <c r="J549" s="38"/>
      <c r="K549" s="38"/>
      <c r="L549" s="41"/>
      <c r="M549" s="43"/>
      <c r="N549" s="11"/>
      <c r="O549" s="48"/>
      <c r="P549" s="48"/>
      <c r="Q549" s="48"/>
      <c r="R549" s="38"/>
      <c r="S549" s="38"/>
      <c r="T549" s="52"/>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83"/>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c r="CD549" s="11"/>
      <c r="CE549" s="11"/>
      <c r="CF549" s="11"/>
      <c r="CG549" s="11"/>
      <c r="CH549" s="11"/>
      <c r="CI549" s="11"/>
      <c r="CJ549" s="183"/>
      <c r="CK549" s="11"/>
      <c r="CL549" s="11"/>
      <c r="CM549" s="11"/>
      <c r="CN549" s="11"/>
      <c r="CO549" s="11"/>
      <c r="CP549" s="11"/>
      <c r="CQ549" s="11"/>
      <c r="CR549" s="11"/>
      <c r="CS549" s="11"/>
      <c r="CT549" s="11"/>
      <c r="CU549" s="11"/>
      <c r="CV549" s="11"/>
      <c r="CW549" s="11"/>
      <c r="CX549" s="11"/>
      <c r="CY549" s="11"/>
      <c r="CZ549" s="11"/>
      <c r="DA549" s="11"/>
      <c r="DB549" s="11"/>
      <c r="DC549" s="11"/>
    </row>
    <row r="550" spans="1:107" ht="12.75" customHeight="1">
      <c r="A550" s="11"/>
      <c r="B550" s="11"/>
      <c r="C550" s="11"/>
      <c r="D550" s="11"/>
      <c r="E550" s="11"/>
      <c r="F550" s="11"/>
      <c r="G550" s="11"/>
      <c r="H550" s="15"/>
      <c r="I550" s="38"/>
      <c r="J550" s="38"/>
      <c r="K550" s="38"/>
      <c r="L550" s="41"/>
      <c r="M550" s="43"/>
      <c r="N550" s="11"/>
      <c r="O550" s="48"/>
      <c r="P550" s="48"/>
      <c r="Q550" s="48"/>
      <c r="R550" s="38"/>
      <c r="S550" s="38"/>
      <c r="T550" s="52"/>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83"/>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83"/>
      <c r="CK550" s="11"/>
      <c r="CL550" s="11"/>
      <c r="CM550" s="11"/>
      <c r="CN550" s="11"/>
      <c r="CO550" s="11"/>
      <c r="CP550" s="11"/>
      <c r="CQ550" s="11"/>
      <c r="CR550" s="11"/>
      <c r="CS550" s="11"/>
      <c r="CT550" s="11"/>
      <c r="CU550" s="11"/>
      <c r="CV550" s="11"/>
      <c r="CW550" s="11"/>
      <c r="CX550" s="11"/>
      <c r="CY550" s="11"/>
      <c r="CZ550" s="11"/>
      <c r="DA550" s="11"/>
      <c r="DB550" s="11"/>
      <c r="DC550" s="11"/>
    </row>
    <row r="551" spans="1:107" ht="12.75" customHeight="1">
      <c r="A551" s="11"/>
      <c r="B551" s="11"/>
      <c r="C551" s="11"/>
      <c r="D551" s="11"/>
      <c r="E551" s="11"/>
      <c r="F551" s="11"/>
      <c r="G551" s="11"/>
      <c r="H551" s="15"/>
      <c r="I551" s="38"/>
      <c r="J551" s="38"/>
      <c r="K551" s="38"/>
      <c r="L551" s="41"/>
      <c r="M551" s="43"/>
      <c r="N551" s="11"/>
      <c r="O551" s="48"/>
      <c r="P551" s="48"/>
      <c r="Q551" s="48"/>
      <c r="R551" s="38"/>
      <c r="S551" s="38"/>
      <c r="T551" s="52"/>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83"/>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83"/>
      <c r="CK551" s="11"/>
      <c r="CL551" s="11"/>
      <c r="CM551" s="11"/>
      <c r="CN551" s="11"/>
      <c r="CO551" s="11"/>
      <c r="CP551" s="11"/>
      <c r="CQ551" s="11"/>
      <c r="CR551" s="11"/>
      <c r="CS551" s="11"/>
      <c r="CT551" s="11"/>
      <c r="CU551" s="11"/>
      <c r="CV551" s="11"/>
      <c r="CW551" s="11"/>
      <c r="CX551" s="11"/>
      <c r="CY551" s="11"/>
      <c r="CZ551" s="11"/>
      <c r="DA551" s="11"/>
      <c r="DB551" s="11"/>
      <c r="DC551" s="11"/>
    </row>
    <row r="552" spans="1:107" ht="12.75" customHeight="1">
      <c r="A552" s="11"/>
      <c r="B552" s="11"/>
      <c r="C552" s="11"/>
      <c r="D552" s="11"/>
      <c r="E552" s="11"/>
      <c r="F552" s="11"/>
      <c r="G552" s="11"/>
      <c r="H552" s="15"/>
      <c r="I552" s="38"/>
      <c r="J552" s="38"/>
      <c r="K552" s="38"/>
      <c r="L552" s="41"/>
      <c r="M552" s="43"/>
      <c r="N552" s="11"/>
      <c r="O552" s="48"/>
      <c r="P552" s="48"/>
      <c r="Q552" s="48"/>
      <c r="R552" s="38"/>
      <c r="S552" s="38"/>
      <c r="T552" s="52"/>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83"/>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83"/>
      <c r="CK552" s="11"/>
      <c r="CL552" s="11"/>
      <c r="CM552" s="11"/>
      <c r="CN552" s="11"/>
      <c r="CO552" s="11"/>
      <c r="CP552" s="11"/>
      <c r="CQ552" s="11"/>
      <c r="CR552" s="11"/>
      <c r="CS552" s="11"/>
      <c r="CT552" s="11"/>
      <c r="CU552" s="11"/>
      <c r="CV552" s="11"/>
      <c r="CW552" s="11"/>
      <c r="CX552" s="11"/>
      <c r="CY552" s="11"/>
      <c r="CZ552" s="11"/>
      <c r="DA552" s="11"/>
      <c r="DB552" s="11"/>
      <c r="DC552" s="11"/>
    </row>
    <row r="553" spans="1:107" ht="12.75" customHeight="1">
      <c r="A553" s="11"/>
      <c r="B553" s="11"/>
      <c r="C553" s="11"/>
      <c r="D553" s="11"/>
      <c r="E553" s="11"/>
      <c r="F553" s="11"/>
      <c r="G553" s="11"/>
      <c r="H553" s="15"/>
      <c r="I553" s="38"/>
      <c r="J553" s="38"/>
      <c r="K553" s="38"/>
      <c r="L553" s="41"/>
      <c r="M553" s="43"/>
      <c r="N553" s="11"/>
      <c r="O553" s="48"/>
      <c r="P553" s="48"/>
      <c r="Q553" s="48"/>
      <c r="R553" s="38"/>
      <c r="S553" s="38"/>
      <c r="T553" s="52"/>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83"/>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83"/>
      <c r="CK553" s="11"/>
      <c r="CL553" s="11"/>
      <c r="CM553" s="11"/>
      <c r="CN553" s="11"/>
      <c r="CO553" s="11"/>
      <c r="CP553" s="11"/>
      <c r="CQ553" s="11"/>
      <c r="CR553" s="11"/>
      <c r="CS553" s="11"/>
      <c r="CT553" s="11"/>
      <c r="CU553" s="11"/>
      <c r="CV553" s="11"/>
      <c r="CW553" s="11"/>
      <c r="CX553" s="11"/>
      <c r="CY553" s="11"/>
      <c r="CZ553" s="11"/>
      <c r="DA553" s="11"/>
      <c r="DB553" s="11"/>
      <c r="DC553" s="11"/>
    </row>
    <row r="554" spans="1:107" ht="12.75" customHeight="1">
      <c r="A554" s="11"/>
      <c r="B554" s="11"/>
      <c r="C554" s="11"/>
      <c r="D554" s="11"/>
      <c r="E554" s="11"/>
      <c r="F554" s="11"/>
      <c r="G554" s="11"/>
      <c r="H554" s="15"/>
      <c r="I554" s="38"/>
      <c r="J554" s="38"/>
      <c r="K554" s="38"/>
      <c r="L554" s="41"/>
      <c r="M554" s="43"/>
      <c r="N554" s="11"/>
      <c r="O554" s="48"/>
      <c r="P554" s="48"/>
      <c r="Q554" s="48"/>
      <c r="R554" s="38"/>
      <c r="S554" s="38"/>
      <c r="T554" s="52"/>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83"/>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83"/>
      <c r="CK554" s="11"/>
      <c r="CL554" s="11"/>
      <c r="CM554" s="11"/>
      <c r="CN554" s="11"/>
      <c r="CO554" s="11"/>
      <c r="CP554" s="11"/>
      <c r="CQ554" s="11"/>
      <c r="CR554" s="11"/>
      <c r="CS554" s="11"/>
      <c r="CT554" s="11"/>
      <c r="CU554" s="11"/>
      <c r="CV554" s="11"/>
      <c r="CW554" s="11"/>
      <c r="CX554" s="11"/>
      <c r="CY554" s="11"/>
      <c r="CZ554" s="11"/>
      <c r="DA554" s="11"/>
      <c r="DB554" s="11"/>
      <c r="DC554" s="11"/>
    </row>
    <row r="555" spans="1:107" ht="12.75" customHeight="1">
      <c r="A555" s="11"/>
      <c r="B555" s="11"/>
      <c r="C555" s="11"/>
      <c r="D555" s="11"/>
      <c r="E555" s="11"/>
      <c r="F555" s="11"/>
      <c r="G555" s="11"/>
      <c r="H555" s="15"/>
      <c r="I555" s="38"/>
      <c r="J555" s="38"/>
      <c r="K555" s="38"/>
      <c r="L555" s="41"/>
      <c r="M555" s="43"/>
      <c r="N555" s="11"/>
      <c r="O555" s="48"/>
      <c r="P555" s="48"/>
      <c r="Q555" s="48"/>
      <c r="R555" s="38"/>
      <c r="S555" s="38"/>
      <c r="T555" s="52"/>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83"/>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83"/>
      <c r="CK555" s="11"/>
      <c r="CL555" s="11"/>
      <c r="CM555" s="11"/>
      <c r="CN555" s="11"/>
      <c r="CO555" s="11"/>
      <c r="CP555" s="11"/>
      <c r="CQ555" s="11"/>
      <c r="CR555" s="11"/>
      <c r="CS555" s="11"/>
      <c r="CT555" s="11"/>
      <c r="CU555" s="11"/>
      <c r="CV555" s="11"/>
      <c r="CW555" s="11"/>
      <c r="CX555" s="11"/>
      <c r="CY555" s="11"/>
      <c r="CZ555" s="11"/>
      <c r="DA555" s="11"/>
      <c r="DB555" s="11"/>
      <c r="DC555" s="11"/>
    </row>
    <row r="556" spans="1:107" ht="12.75" customHeight="1">
      <c r="A556" s="11"/>
      <c r="B556" s="11"/>
      <c r="C556" s="11"/>
      <c r="D556" s="11"/>
      <c r="E556" s="11"/>
      <c r="F556" s="11"/>
      <c r="G556" s="11"/>
      <c r="H556" s="15"/>
      <c r="I556" s="38"/>
      <c r="J556" s="38"/>
      <c r="K556" s="38"/>
      <c r="L556" s="41"/>
      <c r="M556" s="43"/>
      <c r="N556" s="11"/>
      <c r="O556" s="48"/>
      <c r="P556" s="48"/>
      <c r="Q556" s="48"/>
      <c r="R556" s="38"/>
      <c r="S556" s="38"/>
      <c r="T556" s="52"/>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83"/>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83"/>
      <c r="CK556" s="11"/>
      <c r="CL556" s="11"/>
      <c r="CM556" s="11"/>
      <c r="CN556" s="11"/>
      <c r="CO556" s="11"/>
      <c r="CP556" s="11"/>
      <c r="CQ556" s="11"/>
      <c r="CR556" s="11"/>
      <c r="CS556" s="11"/>
      <c r="CT556" s="11"/>
      <c r="CU556" s="11"/>
      <c r="CV556" s="11"/>
      <c r="CW556" s="11"/>
      <c r="CX556" s="11"/>
      <c r="CY556" s="11"/>
      <c r="CZ556" s="11"/>
      <c r="DA556" s="11"/>
      <c r="DB556" s="11"/>
      <c r="DC556" s="11"/>
    </row>
    <row r="557" spans="1:107" ht="12.75" customHeight="1">
      <c r="A557" s="11"/>
      <c r="B557" s="11"/>
      <c r="C557" s="11"/>
      <c r="D557" s="11"/>
      <c r="E557" s="11"/>
      <c r="F557" s="11"/>
      <c r="G557" s="11"/>
      <c r="H557" s="15"/>
      <c r="I557" s="38"/>
      <c r="J557" s="38"/>
      <c r="K557" s="38"/>
      <c r="L557" s="41"/>
      <c r="M557" s="43"/>
      <c r="N557" s="11"/>
      <c r="O557" s="48"/>
      <c r="P557" s="48"/>
      <c r="Q557" s="48"/>
      <c r="R557" s="38"/>
      <c r="S557" s="38"/>
      <c r="T557" s="52"/>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83"/>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83"/>
      <c r="CK557" s="11"/>
      <c r="CL557" s="11"/>
      <c r="CM557" s="11"/>
      <c r="CN557" s="11"/>
      <c r="CO557" s="11"/>
      <c r="CP557" s="11"/>
      <c r="CQ557" s="11"/>
      <c r="CR557" s="11"/>
      <c r="CS557" s="11"/>
      <c r="CT557" s="11"/>
      <c r="CU557" s="11"/>
      <c r="CV557" s="11"/>
      <c r="CW557" s="11"/>
      <c r="CX557" s="11"/>
      <c r="CY557" s="11"/>
      <c r="CZ557" s="11"/>
      <c r="DA557" s="11"/>
      <c r="DB557" s="11"/>
      <c r="DC557" s="11"/>
    </row>
    <row r="558" spans="1:107" ht="12.75" customHeight="1">
      <c r="A558" s="11"/>
      <c r="B558" s="11"/>
      <c r="C558" s="11"/>
      <c r="D558" s="11"/>
      <c r="E558" s="11"/>
      <c r="F558" s="11"/>
      <c r="G558" s="11"/>
      <c r="H558" s="15"/>
      <c r="I558" s="38"/>
      <c r="J558" s="38"/>
      <c r="K558" s="38"/>
      <c r="L558" s="41"/>
      <c r="M558" s="43"/>
      <c r="N558" s="11"/>
      <c r="O558" s="48"/>
      <c r="P558" s="48"/>
      <c r="Q558" s="48"/>
      <c r="R558" s="38"/>
      <c r="S558" s="38"/>
      <c r="T558" s="52"/>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83"/>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83"/>
      <c r="CK558" s="11"/>
      <c r="CL558" s="11"/>
      <c r="CM558" s="11"/>
      <c r="CN558" s="11"/>
      <c r="CO558" s="11"/>
      <c r="CP558" s="11"/>
      <c r="CQ558" s="11"/>
      <c r="CR558" s="11"/>
      <c r="CS558" s="11"/>
      <c r="CT558" s="11"/>
      <c r="CU558" s="11"/>
      <c r="CV558" s="11"/>
      <c r="CW558" s="11"/>
      <c r="CX558" s="11"/>
      <c r="CY558" s="11"/>
      <c r="CZ558" s="11"/>
      <c r="DA558" s="11"/>
      <c r="DB558" s="11"/>
      <c r="DC558" s="11"/>
    </row>
    <row r="559" spans="1:107" ht="12.75" customHeight="1">
      <c r="A559" s="11"/>
      <c r="B559" s="11"/>
      <c r="C559" s="11"/>
      <c r="D559" s="11"/>
      <c r="E559" s="11"/>
      <c r="F559" s="11"/>
      <c r="G559" s="11"/>
      <c r="H559" s="15"/>
      <c r="I559" s="38"/>
      <c r="J559" s="38"/>
      <c r="K559" s="38"/>
      <c r="L559" s="41"/>
      <c r="M559" s="43"/>
      <c r="N559" s="11"/>
      <c r="O559" s="48"/>
      <c r="P559" s="48"/>
      <c r="Q559" s="48"/>
      <c r="R559" s="38"/>
      <c r="S559" s="38"/>
      <c r="T559" s="52"/>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83"/>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83"/>
      <c r="CK559" s="11"/>
      <c r="CL559" s="11"/>
      <c r="CM559" s="11"/>
      <c r="CN559" s="11"/>
      <c r="CO559" s="11"/>
      <c r="CP559" s="11"/>
      <c r="CQ559" s="11"/>
      <c r="CR559" s="11"/>
      <c r="CS559" s="11"/>
      <c r="CT559" s="11"/>
      <c r="CU559" s="11"/>
      <c r="CV559" s="11"/>
      <c r="CW559" s="11"/>
      <c r="CX559" s="11"/>
      <c r="CY559" s="11"/>
      <c r="CZ559" s="11"/>
      <c r="DA559" s="11"/>
      <c r="DB559" s="11"/>
      <c r="DC559" s="11"/>
    </row>
    <row r="560" spans="1:107" ht="12.75" customHeight="1">
      <c r="A560" s="11"/>
      <c r="B560" s="11"/>
      <c r="C560" s="11"/>
      <c r="D560" s="11"/>
      <c r="E560" s="11"/>
      <c r="F560" s="11"/>
      <c r="G560" s="11"/>
      <c r="H560" s="15"/>
      <c r="I560" s="38"/>
      <c r="J560" s="38"/>
      <c r="K560" s="38"/>
      <c r="L560" s="41"/>
      <c r="M560" s="43"/>
      <c r="N560" s="11"/>
      <c r="O560" s="48"/>
      <c r="P560" s="48"/>
      <c r="Q560" s="48"/>
      <c r="R560" s="38"/>
      <c r="S560" s="38"/>
      <c r="T560" s="52"/>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83"/>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83"/>
      <c r="CK560" s="11"/>
      <c r="CL560" s="11"/>
      <c r="CM560" s="11"/>
      <c r="CN560" s="11"/>
      <c r="CO560" s="11"/>
      <c r="CP560" s="11"/>
      <c r="CQ560" s="11"/>
      <c r="CR560" s="11"/>
      <c r="CS560" s="11"/>
      <c r="CT560" s="11"/>
      <c r="CU560" s="11"/>
      <c r="CV560" s="11"/>
      <c r="CW560" s="11"/>
      <c r="CX560" s="11"/>
      <c r="CY560" s="11"/>
      <c r="CZ560" s="11"/>
      <c r="DA560" s="11"/>
      <c r="DB560" s="11"/>
      <c r="DC560" s="11"/>
    </row>
    <row r="561" spans="1:107" ht="12.75" customHeight="1">
      <c r="A561" s="11"/>
      <c r="B561" s="11"/>
      <c r="C561" s="11"/>
      <c r="D561" s="11"/>
      <c r="E561" s="11"/>
      <c r="F561" s="11"/>
      <c r="G561" s="11"/>
      <c r="H561" s="15"/>
      <c r="I561" s="38"/>
      <c r="J561" s="38"/>
      <c r="K561" s="38"/>
      <c r="L561" s="41"/>
      <c r="M561" s="43"/>
      <c r="N561" s="11"/>
      <c r="O561" s="48"/>
      <c r="P561" s="48"/>
      <c r="Q561" s="48"/>
      <c r="R561" s="38"/>
      <c r="S561" s="38"/>
      <c r="T561" s="52"/>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83"/>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83"/>
      <c r="CK561" s="11"/>
      <c r="CL561" s="11"/>
      <c r="CM561" s="11"/>
      <c r="CN561" s="11"/>
      <c r="CO561" s="11"/>
      <c r="CP561" s="11"/>
      <c r="CQ561" s="11"/>
      <c r="CR561" s="11"/>
      <c r="CS561" s="11"/>
      <c r="CT561" s="11"/>
      <c r="CU561" s="11"/>
      <c r="CV561" s="11"/>
      <c r="CW561" s="11"/>
      <c r="CX561" s="11"/>
      <c r="CY561" s="11"/>
      <c r="CZ561" s="11"/>
      <c r="DA561" s="11"/>
      <c r="DB561" s="11"/>
      <c r="DC561" s="11"/>
    </row>
    <row r="562" spans="1:107" ht="12.75" customHeight="1">
      <c r="A562" s="11"/>
      <c r="B562" s="11"/>
      <c r="C562" s="11"/>
      <c r="D562" s="11"/>
      <c r="E562" s="11"/>
      <c r="F562" s="11"/>
      <c r="G562" s="11"/>
      <c r="H562" s="15"/>
      <c r="I562" s="38"/>
      <c r="J562" s="38"/>
      <c r="K562" s="38"/>
      <c r="L562" s="41"/>
      <c r="M562" s="43"/>
      <c r="N562" s="11"/>
      <c r="O562" s="48"/>
      <c r="P562" s="48"/>
      <c r="Q562" s="48"/>
      <c r="R562" s="38"/>
      <c r="S562" s="38"/>
      <c r="T562" s="52"/>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83"/>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83"/>
      <c r="CK562" s="11"/>
      <c r="CL562" s="11"/>
      <c r="CM562" s="11"/>
      <c r="CN562" s="11"/>
      <c r="CO562" s="11"/>
      <c r="CP562" s="11"/>
      <c r="CQ562" s="11"/>
      <c r="CR562" s="11"/>
      <c r="CS562" s="11"/>
      <c r="CT562" s="11"/>
      <c r="CU562" s="11"/>
      <c r="CV562" s="11"/>
      <c r="CW562" s="11"/>
      <c r="CX562" s="11"/>
      <c r="CY562" s="11"/>
      <c r="CZ562" s="11"/>
      <c r="DA562" s="11"/>
      <c r="DB562" s="11"/>
      <c r="DC562" s="11"/>
    </row>
    <row r="563" spans="1:107" ht="12.75" customHeight="1">
      <c r="A563" s="11"/>
      <c r="B563" s="11"/>
      <c r="C563" s="11"/>
      <c r="D563" s="11"/>
      <c r="E563" s="11"/>
      <c r="F563" s="11"/>
      <c r="G563" s="11"/>
      <c r="H563" s="15"/>
      <c r="I563" s="38"/>
      <c r="J563" s="38"/>
      <c r="K563" s="38"/>
      <c r="L563" s="41"/>
      <c r="M563" s="43"/>
      <c r="N563" s="11"/>
      <c r="O563" s="48"/>
      <c r="P563" s="48"/>
      <c r="Q563" s="48"/>
      <c r="R563" s="38"/>
      <c r="S563" s="38"/>
      <c r="T563" s="52"/>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83"/>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83"/>
      <c r="CK563" s="11"/>
      <c r="CL563" s="11"/>
      <c r="CM563" s="11"/>
      <c r="CN563" s="11"/>
      <c r="CO563" s="11"/>
      <c r="CP563" s="11"/>
      <c r="CQ563" s="11"/>
      <c r="CR563" s="11"/>
      <c r="CS563" s="11"/>
      <c r="CT563" s="11"/>
      <c r="CU563" s="11"/>
      <c r="CV563" s="11"/>
      <c r="CW563" s="11"/>
      <c r="CX563" s="11"/>
      <c r="CY563" s="11"/>
      <c r="CZ563" s="11"/>
      <c r="DA563" s="11"/>
      <c r="DB563" s="11"/>
      <c r="DC563" s="11"/>
    </row>
    <row r="564" spans="1:107" ht="12.75" customHeight="1">
      <c r="A564" s="11"/>
      <c r="B564" s="11"/>
      <c r="C564" s="11"/>
      <c r="D564" s="11"/>
      <c r="E564" s="11"/>
      <c r="F564" s="11"/>
      <c r="G564" s="11"/>
      <c r="H564" s="15"/>
      <c r="I564" s="38"/>
      <c r="J564" s="38"/>
      <c r="K564" s="38"/>
      <c r="L564" s="41"/>
      <c r="M564" s="43"/>
      <c r="N564" s="11"/>
      <c r="O564" s="48"/>
      <c r="P564" s="48"/>
      <c r="Q564" s="48"/>
      <c r="R564" s="38"/>
      <c r="S564" s="38"/>
      <c r="T564" s="52"/>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83"/>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83"/>
      <c r="CK564" s="11"/>
      <c r="CL564" s="11"/>
      <c r="CM564" s="11"/>
      <c r="CN564" s="11"/>
      <c r="CO564" s="11"/>
      <c r="CP564" s="11"/>
      <c r="CQ564" s="11"/>
      <c r="CR564" s="11"/>
      <c r="CS564" s="11"/>
      <c r="CT564" s="11"/>
      <c r="CU564" s="11"/>
      <c r="CV564" s="11"/>
      <c r="CW564" s="11"/>
      <c r="CX564" s="11"/>
      <c r="CY564" s="11"/>
      <c r="CZ564" s="11"/>
      <c r="DA564" s="11"/>
      <c r="DB564" s="11"/>
      <c r="DC564" s="11"/>
    </row>
    <row r="565" spans="1:107" ht="12.75" customHeight="1">
      <c r="A565" s="11"/>
      <c r="B565" s="11"/>
      <c r="C565" s="11"/>
      <c r="D565" s="11"/>
      <c r="E565" s="11"/>
      <c r="F565" s="11"/>
      <c r="G565" s="11"/>
      <c r="H565" s="15"/>
      <c r="I565" s="38"/>
      <c r="J565" s="38"/>
      <c r="K565" s="38"/>
      <c r="L565" s="41"/>
      <c r="M565" s="43"/>
      <c r="N565" s="11"/>
      <c r="O565" s="48"/>
      <c r="P565" s="48"/>
      <c r="Q565" s="48"/>
      <c r="R565" s="38"/>
      <c r="S565" s="38"/>
      <c r="T565" s="52"/>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83"/>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83"/>
      <c r="CK565" s="11"/>
      <c r="CL565" s="11"/>
      <c r="CM565" s="11"/>
      <c r="CN565" s="11"/>
      <c r="CO565" s="11"/>
      <c r="CP565" s="11"/>
      <c r="CQ565" s="11"/>
      <c r="CR565" s="11"/>
      <c r="CS565" s="11"/>
      <c r="CT565" s="11"/>
      <c r="CU565" s="11"/>
      <c r="CV565" s="11"/>
      <c r="CW565" s="11"/>
      <c r="CX565" s="11"/>
      <c r="CY565" s="11"/>
      <c r="CZ565" s="11"/>
      <c r="DA565" s="11"/>
      <c r="DB565" s="11"/>
      <c r="DC565" s="11"/>
    </row>
    <row r="566" spans="1:107" ht="12.75" customHeight="1">
      <c r="A566" s="11"/>
      <c r="B566" s="11"/>
      <c r="C566" s="11"/>
      <c r="D566" s="11"/>
      <c r="E566" s="11"/>
      <c r="F566" s="11"/>
      <c r="G566" s="11"/>
      <c r="H566" s="15"/>
      <c r="I566" s="38"/>
      <c r="J566" s="38"/>
      <c r="K566" s="38"/>
      <c r="L566" s="41"/>
      <c r="M566" s="43"/>
      <c r="N566" s="11"/>
      <c r="O566" s="48"/>
      <c r="P566" s="48"/>
      <c r="Q566" s="48"/>
      <c r="R566" s="38"/>
      <c r="S566" s="38"/>
      <c r="T566" s="52"/>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83"/>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83"/>
      <c r="CK566" s="11"/>
      <c r="CL566" s="11"/>
      <c r="CM566" s="11"/>
      <c r="CN566" s="11"/>
      <c r="CO566" s="11"/>
      <c r="CP566" s="11"/>
      <c r="CQ566" s="11"/>
      <c r="CR566" s="11"/>
      <c r="CS566" s="11"/>
      <c r="CT566" s="11"/>
      <c r="CU566" s="11"/>
      <c r="CV566" s="11"/>
      <c r="CW566" s="11"/>
      <c r="CX566" s="11"/>
      <c r="CY566" s="11"/>
      <c r="CZ566" s="11"/>
      <c r="DA566" s="11"/>
      <c r="DB566" s="11"/>
      <c r="DC566" s="11"/>
    </row>
    <row r="567" spans="1:107" ht="12.75" customHeight="1">
      <c r="A567" s="11"/>
      <c r="B567" s="11"/>
      <c r="C567" s="11"/>
      <c r="D567" s="11"/>
      <c r="E567" s="11"/>
      <c r="F567" s="11"/>
      <c r="G567" s="11"/>
      <c r="H567" s="15"/>
      <c r="I567" s="38"/>
      <c r="J567" s="38"/>
      <c r="K567" s="38"/>
      <c r="L567" s="41"/>
      <c r="M567" s="43"/>
      <c r="N567" s="11"/>
      <c r="O567" s="48"/>
      <c r="P567" s="48"/>
      <c r="Q567" s="48"/>
      <c r="R567" s="38"/>
      <c r="S567" s="38"/>
      <c r="T567" s="52"/>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83"/>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83"/>
      <c r="CK567" s="11"/>
      <c r="CL567" s="11"/>
      <c r="CM567" s="11"/>
      <c r="CN567" s="11"/>
      <c r="CO567" s="11"/>
      <c r="CP567" s="11"/>
      <c r="CQ567" s="11"/>
      <c r="CR567" s="11"/>
      <c r="CS567" s="11"/>
      <c r="CT567" s="11"/>
      <c r="CU567" s="11"/>
      <c r="CV567" s="11"/>
      <c r="CW567" s="11"/>
      <c r="CX567" s="11"/>
      <c r="CY567" s="11"/>
      <c r="CZ567" s="11"/>
      <c r="DA567" s="11"/>
      <c r="DB567" s="11"/>
      <c r="DC567" s="11"/>
    </row>
    <row r="568" spans="1:107" ht="12.75" customHeight="1">
      <c r="A568" s="11"/>
      <c r="B568" s="11"/>
      <c r="C568" s="11"/>
      <c r="D568" s="11"/>
      <c r="E568" s="11"/>
      <c r="F568" s="11"/>
      <c r="G568" s="11"/>
      <c r="H568" s="15"/>
      <c r="I568" s="38"/>
      <c r="J568" s="38"/>
      <c r="K568" s="38"/>
      <c r="L568" s="41"/>
      <c r="M568" s="43"/>
      <c r="N568" s="11"/>
      <c r="O568" s="48"/>
      <c r="P568" s="48"/>
      <c r="Q568" s="48"/>
      <c r="R568" s="38"/>
      <c r="S568" s="38"/>
      <c r="T568" s="52"/>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83"/>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83"/>
      <c r="CK568" s="11"/>
      <c r="CL568" s="11"/>
      <c r="CM568" s="11"/>
      <c r="CN568" s="11"/>
      <c r="CO568" s="11"/>
      <c r="CP568" s="11"/>
      <c r="CQ568" s="11"/>
      <c r="CR568" s="11"/>
      <c r="CS568" s="11"/>
      <c r="CT568" s="11"/>
      <c r="CU568" s="11"/>
      <c r="CV568" s="11"/>
      <c r="CW568" s="11"/>
      <c r="CX568" s="11"/>
      <c r="CY568" s="11"/>
      <c r="CZ568" s="11"/>
      <c r="DA568" s="11"/>
      <c r="DB568" s="11"/>
      <c r="DC568" s="11"/>
    </row>
    <row r="569" spans="1:107" ht="12.75" customHeight="1">
      <c r="A569" s="11"/>
      <c r="B569" s="11"/>
      <c r="C569" s="11"/>
      <c r="D569" s="11"/>
      <c r="E569" s="11"/>
      <c r="F569" s="11"/>
      <c r="G569" s="11"/>
      <c r="H569" s="15"/>
      <c r="I569" s="38"/>
      <c r="J569" s="38"/>
      <c r="K569" s="38"/>
      <c r="L569" s="41"/>
      <c r="M569" s="43"/>
      <c r="N569" s="11"/>
      <c r="O569" s="48"/>
      <c r="P569" s="48"/>
      <c r="Q569" s="48"/>
      <c r="R569" s="38"/>
      <c r="S569" s="38"/>
      <c r="T569" s="52"/>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83"/>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83"/>
      <c r="CK569" s="11"/>
      <c r="CL569" s="11"/>
      <c r="CM569" s="11"/>
      <c r="CN569" s="11"/>
      <c r="CO569" s="11"/>
      <c r="CP569" s="11"/>
      <c r="CQ569" s="11"/>
      <c r="CR569" s="11"/>
      <c r="CS569" s="11"/>
      <c r="CT569" s="11"/>
      <c r="CU569" s="11"/>
      <c r="CV569" s="11"/>
      <c r="CW569" s="11"/>
      <c r="CX569" s="11"/>
      <c r="CY569" s="11"/>
      <c r="CZ569" s="11"/>
      <c r="DA569" s="11"/>
      <c r="DB569" s="11"/>
      <c r="DC569" s="11"/>
    </row>
    <row r="570" spans="1:107" ht="12.75" customHeight="1">
      <c r="A570" s="11"/>
      <c r="B570" s="11"/>
      <c r="C570" s="11"/>
      <c r="D570" s="11"/>
      <c r="E570" s="11"/>
      <c r="F570" s="11"/>
      <c r="G570" s="11"/>
      <c r="H570" s="15"/>
      <c r="I570" s="38"/>
      <c r="J570" s="38"/>
      <c r="K570" s="38"/>
      <c r="L570" s="41"/>
      <c r="M570" s="43"/>
      <c r="N570" s="11"/>
      <c r="O570" s="48"/>
      <c r="P570" s="48"/>
      <c r="Q570" s="48"/>
      <c r="R570" s="38"/>
      <c r="S570" s="38"/>
      <c r="T570" s="52"/>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83"/>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83"/>
      <c r="CK570" s="11"/>
      <c r="CL570" s="11"/>
      <c r="CM570" s="11"/>
      <c r="CN570" s="11"/>
      <c r="CO570" s="11"/>
      <c r="CP570" s="11"/>
      <c r="CQ570" s="11"/>
      <c r="CR570" s="11"/>
      <c r="CS570" s="11"/>
      <c r="CT570" s="11"/>
      <c r="CU570" s="11"/>
      <c r="CV570" s="11"/>
      <c r="CW570" s="11"/>
      <c r="CX570" s="11"/>
      <c r="CY570" s="11"/>
      <c r="CZ570" s="11"/>
      <c r="DA570" s="11"/>
      <c r="DB570" s="11"/>
      <c r="DC570" s="11"/>
    </row>
    <row r="571" spans="1:107" ht="12.75" customHeight="1">
      <c r="A571" s="11"/>
      <c r="B571" s="11"/>
      <c r="C571" s="11"/>
      <c r="D571" s="11"/>
      <c r="E571" s="11"/>
      <c r="F571" s="11"/>
      <c r="G571" s="11"/>
      <c r="H571" s="15"/>
      <c r="I571" s="38"/>
      <c r="J571" s="38"/>
      <c r="K571" s="38"/>
      <c r="L571" s="41"/>
      <c r="M571" s="43"/>
      <c r="N571" s="11"/>
      <c r="O571" s="48"/>
      <c r="P571" s="48"/>
      <c r="Q571" s="48"/>
      <c r="R571" s="38"/>
      <c r="S571" s="38"/>
      <c r="T571" s="52"/>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83"/>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83"/>
      <c r="CK571" s="11"/>
      <c r="CL571" s="11"/>
      <c r="CM571" s="11"/>
      <c r="CN571" s="11"/>
      <c r="CO571" s="11"/>
      <c r="CP571" s="11"/>
      <c r="CQ571" s="11"/>
      <c r="CR571" s="11"/>
      <c r="CS571" s="11"/>
      <c r="CT571" s="11"/>
      <c r="CU571" s="11"/>
      <c r="CV571" s="11"/>
      <c r="CW571" s="11"/>
      <c r="CX571" s="11"/>
      <c r="CY571" s="11"/>
      <c r="CZ571" s="11"/>
      <c r="DA571" s="11"/>
      <c r="DB571" s="11"/>
      <c r="DC571" s="11"/>
    </row>
    <row r="572" spans="1:107" ht="12.75" customHeight="1">
      <c r="A572" s="11"/>
      <c r="B572" s="11"/>
      <c r="C572" s="11"/>
      <c r="D572" s="11"/>
      <c r="E572" s="11"/>
      <c r="F572" s="11"/>
      <c r="G572" s="11"/>
      <c r="H572" s="15"/>
      <c r="I572" s="38"/>
      <c r="J572" s="38"/>
      <c r="K572" s="38"/>
      <c r="L572" s="41"/>
      <c r="M572" s="43"/>
      <c r="N572" s="11"/>
      <c r="O572" s="48"/>
      <c r="P572" s="48"/>
      <c r="Q572" s="48"/>
      <c r="R572" s="38"/>
      <c r="S572" s="38"/>
      <c r="T572" s="52"/>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83"/>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83"/>
      <c r="CK572" s="11"/>
      <c r="CL572" s="11"/>
      <c r="CM572" s="11"/>
      <c r="CN572" s="11"/>
      <c r="CO572" s="11"/>
      <c r="CP572" s="11"/>
      <c r="CQ572" s="11"/>
      <c r="CR572" s="11"/>
      <c r="CS572" s="11"/>
      <c r="CT572" s="11"/>
      <c r="CU572" s="11"/>
      <c r="CV572" s="11"/>
      <c r="CW572" s="11"/>
      <c r="CX572" s="11"/>
      <c r="CY572" s="11"/>
      <c r="CZ572" s="11"/>
      <c r="DA572" s="11"/>
      <c r="DB572" s="11"/>
      <c r="DC572" s="11"/>
    </row>
    <row r="573" spans="1:107" ht="12.75" customHeight="1">
      <c r="A573" s="11"/>
      <c r="B573" s="11"/>
      <c r="C573" s="11"/>
      <c r="D573" s="11"/>
      <c r="E573" s="11"/>
      <c r="F573" s="11"/>
      <c r="G573" s="11"/>
      <c r="H573" s="15"/>
      <c r="I573" s="38"/>
      <c r="J573" s="38"/>
      <c r="K573" s="38"/>
      <c r="L573" s="41"/>
      <c r="M573" s="43"/>
      <c r="N573" s="11"/>
      <c r="O573" s="48"/>
      <c r="P573" s="48"/>
      <c r="Q573" s="48"/>
      <c r="R573" s="38"/>
      <c r="S573" s="38"/>
      <c r="T573" s="52"/>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83"/>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c r="CJ573" s="183"/>
      <c r="CK573" s="11"/>
      <c r="CL573" s="11"/>
      <c r="CM573" s="11"/>
      <c r="CN573" s="11"/>
      <c r="CO573" s="11"/>
      <c r="CP573" s="11"/>
      <c r="CQ573" s="11"/>
      <c r="CR573" s="11"/>
      <c r="CS573" s="11"/>
      <c r="CT573" s="11"/>
      <c r="CU573" s="11"/>
      <c r="CV573" s="11"/>
      <c r="CW573" s="11"/>
      <c r="CX573" s="11"/>
      <c r="CY573" s="11"/>
      <c r="CZ573" s="11"/>
      <c r="DA573" s="11"/>
      <c r="DB573" s="11"/>
      <c r="DC573" s="11"/>
    </row>
    <row r="574" spans="1:107" ht="12.75" customHeight="1">
      <c r="A574" s="11"/>
      <c r="B574" s="11"/>
      <c r="C574" s="11"/>
      <c r="D574" s="11"/>
      <c r="E574" s="11"/>
      <c r="F574" s="11"/>
      <c r="G574" s="11"/>
      <c r="H574" s="15"/>
      <c r="I574" s="38"/>
      <c r="J574" s="38"/>
      <c r="K574" s="38"/>
      <c r="L574" s="41"/>
      <c r="M574" s="43"/>
      <c r="N574" s="11"/>
      <c r="O574" s="48"/>
      <c r="P574" s="48"/>
      <c r="Q574" s="48"/>
      <c r="R574" s="38"/>
      <c r="S574" s="38"/>
      <c r="T574" s="52"/>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83"/>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83"/>
      <c r="CK574" s="11"/>
      <c r="CL574" s="11"/>
      <c r="CM574" s="11"/>
      <c r="CN574" s="11"/>
      <c r="CO574" s="11"/>
      <c r="CP574" s="11"/>
      <c r="CQ574" s="11"/>
      <c r="CR574" s="11"/>
      <c r="CS574" s="11"/>
      <c r="CT574" s="11"/>
      <c r="CU574" s="11"/>
      <c r="CV574" s="11"/>
      <c r="CW574" s="11"/>
      <c r="CX574" s="11"/>
      <c r="CY574" s="11"/>
      <c r="CZ574" s="11"/>
      <c r="DA574" s="11"/>
      <c r="DB574" s="11"/>
      <c r="DC574" s="11"/>
    </row>
    <row r="575" spans="1:107" ht="12.75" customHeight="1">
      <c r="A575" s="11"/>
      <c r="B575" s="11"/>
      <c r="C575" s="11"/>
      <c r="D575" s="11"/>
      <c r="E575" s="11"/>
      <c r="F575" s="11"/>
      <c r="G575" s="11"/>
      <c r="H575" s="15"/>
      <c r="I575" s="38"/>
      <c r="J575" s="38"/>
      <c r="K575" s="38"/>
      <c r="L575" s="41"/>
      <c r="M575" s="43"/>
      <c r="N575" s="11"/>
      <c r="O575" s="48"/>
      <c r="P575" s="48"/>
      <c r="Q575" s="48"/>
      <c r="R575" s="38"/>
      <c r="S575" s="38"/>
      <c r="T575" s="52"/>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83"/>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83"/>
      <c r="CK575" s="11"/>
      <c r="CL575" s="11"/>
      <c r="CM575" s="11"/>
      <c r="CN575" s="11"/>
      <c r="CO575" s="11"/>
      <c r="CP575" s="11"/>
      <c r="CQ575" s="11"/>
      <c r="CR575" s="11"/>
      <c r="CS575" s="11"/>
      <c r="CT575" s="11"/>
      <c r="CU575" s="11"/>
      <c r="CV575" s="11"/>
      <c r="CW575" s="11"/>
      <c r="CX575" s="11"/>
      <c r="CY575" s="11"/>
      <c r="CZ575" s="11"/>
      <c r="DA575" s="11"/>
      <c r="DB575" s="11"/>
      <c r="DC575" s="11"/>
    </row>
    <row r="576" spans="1:107" ht="12.75" customHeight="1">
      <c r="A576" s="11"/>
      <c r="B576" s="11"/>
      <c r="C576" s="11"/>
      <c r="D576" s="11"/>
      <c r="E576" s="11"/>
      <c r="F576" s="11"/>
      <c r="G576" s="11"/>
      <c r="H576" s="15"/>
      <c r="I576" s="38"/>
      <c r="J576" s="38"/>
      <c r="K576" s="38"/>
      <c r="L576" s="41"/>
      <c r="M576" s="43"/>
      <c r="N576" s="11"/>
      <c r="O576" s="48"/>
      <c r="P576" s="48"/>
      <c r="Q576" s="48"/>
      <c r="R576" s="38"/>
      <c r="S576" s="38"/>
      <c r="T576" s="52"/>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83"/>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83"/>
      <c r="CK576" s="11"/>
      <c r="CL576" s="11"/>
      <c r="CM576" s="11"/>
      <c r="CN576" s="11"/>
      <c r="CO576" s="11"/>
      <c r="CP576" s="11"/>
      <c r="CQ576" s="11"/>
      <c r="CR576" s="11"/>
      <c r="CS576" s="11"/>
      <c r="CT576" s="11"/>
      <c r="CU576" s="11"/>
      <c r="CV576" s="11"/>
      <c r="CW576" s="11"/>
      <c r="CX576" s="11"/>
      <c r="CY576" s="11"/>
      <c r="CZ576" s="11"/>
      <c r="DA576" s="11"/>
      <c r="DB576" s="11"/>
      <c r="DC576" s="11"/>
    </row>
    <row r="577" spans="1:107" ht="12.75" customHeight="1">
      <c r="A577" s="11"/>
      <c r="B577" s="11"/>
      <c r="C577" s="11"/>
      <c r="D577" s="11"/>
      <c r="E577" s="11"/>
      <c r="F577" s="11"/>
      <c r="G577" s="11"/>
      <c r="H577" s="15"/>
      <c r="I577" s="38"/>
      <c r="J577" s="38"/>
      <c r="K577" s="38"/>
      <c r="L577" s="41"/>
      <c r="M577" s="43"/>
      <c r="N577" s="11"/>
      <c r="O577" s="48"/>
      <c r="P577" s="48"/>
      <c r="Q577" s="48"/>
      <c r="R577" s="38"/>
      <c r="S577" s="38"/>
      <c r="T577" s="52"/>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83"/>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83"/>
      <c r="CK577" s="11"/>
      <c r="CL577" s="11"/>
      <c r="CM577" s="11"/>
      <c r="CN577" s="11"/>
      <c r="CO577" s="11"/>
      <c r="CP577" s="11"/>
      <c r="CQ577" s="11"/>
      <c r="CR577" s="11"/>
      <c r="CS577" s="11"/>
      <c r="CT577" s="11"/>
      <c r="CU577" s="11"/>
      <c r="CV577" s="11"/>
      <c r="CW577" s="11"/>
      <c r="CX577" s="11"/>
      <c r="CY577" s="11"/>
      <c r="CZ577" s="11"/>
      <c r="DA577" s="11"/>
      <c r="DB577" s="11"/>
      <c r="DC577" s="11"/>
    </row>
    <row r="578" spans="1:107" ht="12.75" customHeight="1">
      <c r="A578" s="11"/>
      <c r="B578" s="11"/>
      <c r="C578" s="11"/>
      <c r="D578" s="11"/>
      <c r="E578" s="11"/>
      <c r="F578" s="11"/>
      <c r="G578" s="11"/>
      <c r="H578" s="15"/>
      <c r="I578" s="38"/>
      <c r="J578" s="38"/>
      <c r="K578" s="38"/>
      <c r="L578" s="41"/>
      <c r="M578" s="43"/>
      <c r="N578" s="11"/>
      <c r="O578" s="48"/>
      <c r="P578" s="48"/>
      <c r="Q578" s="48"/>
      <c r="R578" s="38"/>
      <c r="S578" s="38"/>
      <c r="T578" s="52"/>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83"/>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83"/>
      <c r="CK578" s="11"/>
      <c r="CL578" s="11"/>
      <c r="CM578" s="11"/>
      <c r="CN578" s="11"/>
      <c r="CO578" s="11"/>
      <c r="CP578" s="11"/>
      <c r="CQ578" s="11"/>
      <c r="CR578" s="11"/>
      <c r="CS578" s="11"/>
      <c r="CT578" s="11"/>
      <c r="CU578" s="11"/>
      <c r="CV578" s="11"/>
      <c r="CW578" s="11"/>
      <c r="CX578" s="11"/>
      <c r="CY578" s="11"/>
      <c r="CZ578" s="11"/>
      <c r="DA578" s="11"/>
      <c r="DB578" s="11"/>
      <c r="DC578" s="11"/>
    </row>
    <row r="579" spans="1:107" ht="12.75" customHeight="1">
      <c r="A579" s="11"/>
      <c r="B579" s="11"/>
      <c r="C579" s="11"/>
      <c r="D579" s="11"/>
      <c r="E579" s="11"/>
      <c r="F579" s="11"/>
      <c r="G579" s="11"/>
      <c r="H579" s="15"/>
      <c r="I579" s="38"/>
      <c r="J579" s="38"/>
      <c r="K579" s="38"/>
      <c r="L579" s="41"/>
      <c r="M579" s="43"/>
      <c r="N579" s="11"/>
      <c r="O579" s="48"/>
      <c r="P579" s="48"/>
      <c r="Q579" s="48"/>
      <c r="R579" s="38"/>
      <c r="S579" s="38"/>
      <c r="T579" s="52"/>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83"/>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83"/>
      <c r="CK579" s="11"/>
      <c r="CL579" s="11"/>
      <c r="CM579" s="11"/>
      <c r="CN579" s="11"/>
      <c r="CO579" s="11"/>
      <c r="CP579" s="11"/>
      <c r="CQ579" s="11"/>
      <c r="CR579" s="11"/>
      <c r="CS579" s="11"/>
      <c r="CT579" s="11"/>
      <c r="CU579" s="11"/>
      <c r="CV579" s="11"/>
      <c r="CW579" s="11"/>
      <c r="CX579" s="11"/>
      <c r="CY579" s="11"/>
      <c r="CZ579" s="11"/>
      <c r="DA579" s="11"/>
      <c r="DB579" s="11"/>
      <c r="DC579" s="11"/>
    </row>
    <row r="580" spans="1:107" ht="12.75" customHeight="1">
      <c r="A580" s="11"/>
      <c r="B580" s="11"/>
      <c r="C580" s="11"/>
      <c r="D580" s="11"/>
      <c r="E580" s="11"/>
      <c r="F580" s="11"/>
      <c r="G580" s="11"/>
      <c r="H580" s="15"/>
      <c r="I580" s="38"/>
      <c r="J580" s="38"/>
      <c r="K580" s="38"/>
      <c r="L580" s="41"/>
      <c r="M580" s="43"/>
      <c r="N580" s="11"/>
      <c r="O580" s="48"/>
      <c r="P580" s="48"/>
      <c r="Q580" s="48"/>
      <c r="R580" s="38"/>
      <c r="S580" s="38"/>
      <c r="T580" s="52"/>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83"/>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83"/>
      <c r="CK580" s="11"/>
      <c r="CL580" s="11"/>
      <c r="CM580" s="11"/>
      <c r="CN580" s="11"/>
      <c r="CO580" s="11"/>
      <c r="CP580" s="11"/>
      <c r="CQ580" s="11"/>
      <c r="CR580" s="11"/>
      <c r="CS580" s="11"/>
      <c r="CT580" s="11"/>
      <c r="CU580" s="11"/>
      <c r="CV580" s="11"/>
      <c r="CW580" s="11"/>
      <c r="CX580" s="11"/>
      <c r="CY580" s="11"/>
      <c r="CZ580" s="11"/>
      <c r="DA580" s="11"/>
      <c r="DB580" s="11"/>
      <c r="DC580" s="11"/>
    </row>
    <row r="581" spans="1:107" ht="12.75" customHeight="1">
      <c r="A581" s="11"/>
      <c r="B581" s="11"/>
      <c r="C581" s="11"/>
      <c r="D581" s="11"/>
      <c r="E581" s="11"/>
      <c r="F581" s="11"/>
      <c r="G581" s="11"/>
      <c r="H581" s="15"/>
      <c r="I581" s="38"/>
      <c r="J581" s="38"/>
      <c r="K581" s="38"/>
      <c r="L581" s="41"/>
      <c r="M581" s="43"/>
      <c r="N581" s="11"/>
      <c r="O581" s="48"/>
      <c r="P581" s="48"/>
      <c r="Q581" s="48"/>
      <c r="R581" s="38"/>
      <c r="S581" s="38"/>
      <c r="T581" s="52"/>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83"/>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83"/>
      <c r="CK581" s="11"/>
      <c r="CL581" s="11"/>
      <c r="CM581" s="11"/>
      <c r="CN581" s="11"/>
      <c r="CO581" s="11"/>
      <c r="CP581" s="11"/>
      <c r="CQ581" s="11"/>
      <c r="CR581" s="11"/>
      <c r="CS581" s="11"/>
      <c r="CT581" s="11"/>
      <c r="CU581" s="11"/>
      <c r="CV581" s="11"/>
      <c r="CW581" s="11"/>
      <c r="CX581" s="11"/>
      <c r="CY581" s="11"/>
      <c r="CZ581" s="11"/>
      <c r="DA581" s="11"/>
      <c r="DB581" s="11"/>
      <c r="DC581" s="11"/>
    </row>
    <row r="582" spans="1:107" ht="12.75" customHeight="1">
      <c r="A582" s="11"/>
      <c r="B582" s="11"/>
      <c r="C582" s="11"/>
      <c r="D582" s="11"/>
      <c r="E582" s="11"/>
      <c r="F582" s="11"/>
      <c r="G582" s="11"/>
      <c r="H582" s="15"/>
      <c r="I582" s="38"/>
      <c r="J582" s="38"/>
      <c r="K582" s="38"/>
      <c r="L582" s="41"/>
      <c r="M582" s="43"/>
      <c r="N582" s="11"/>
      <c r="O582" s="48"/>
      <c r="P582" s="48"/>
      <c r="Q582" s="48"/>
      <c r="R582" s="38"/>
      <c r="S582" s="38"/>
      <c r="T582" s="52"/>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83"/>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83"/>
      <c r="CK582" s="11"/>
      <c r="CL582" s="11"/>
      <c r="CM582" s="11"/>
      <c r="CN582" s="11"/>
      <c r="CO582" s="11"/>
      <c r="CP582" s="11"/>
      <c r="CQ582" s="11"/>
      <c r="CR582" s="11"/>
      <c r="CS582" s="11"/>
      <c r="CT582" s="11"/>
      <c r="CU582" s="11"/>
      <c r="CV582" s="11"/>
      <c r="CW582" s="11"/>
      <c r="CX582" s="11"/>
      <c r="CY582" s="11"/>
      <c r="CZ582" s="11"/>
      <c r="DA582" s="11"/>
      <c r="DB582" s="11"/>
      <c r="DC582" s="11"/>
    </row>
    <row r="583" spans="1:107" ht="12.75" customHeight="1">
      <c r="A583" s="11"/>
      <c r="B583" s="11"/>
      <c r="C583" s="11"/>
      <c r="D583" s="11"/>
      <c r="E583" s="11"/>
      <c r="F583" s="11"/>
      <c r="G583" s="11"/>
      <c r="H583" s="15"/>
      <c r="I583" s="38"/>
      <c r="J583" s="38"/>
      <c r="K583" s="38"/>
      <c r="L583" s="41"/>
      <c r="M583" s="43"/>
      <c r="N583" s="11"/>
      <c r="O583" s="48"/>
      <c r="P583" s="48"/>
      <c r="Q583" s="48"/>
      <c r="R583" s="38"/>
      <c r="S583" s="38"/>
      <c r="T583" s="52"/>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83"/>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83"/>
      <c r="CK583" s="11"/>
      <c r="CL583" s="11"/>
      <c r="CM583" s="11"/>
      <c r="CN583" s="11"/>
      <c r="CO583" s="11"/>
      <c r="CP583" s="11"/>
      <c r="CQ583" s="11"/>
      <c r="CR583" s="11"/>
      <c r="CS583" s="11"/>
      <c r="CT583" s="11"/>
      <c r="CU583" s="11"/>
      <c r="CV583" s="11"/>
      <c r="CW583" s="11"/>
      <c r="CX583" s="11"/>
      <c r="CY583" s="11"/>
      <c r="CZ583" s="11"/>
      <c r="DA583" s="11"/>
      <c r="DB583" s="11"/>
      <c r="DC583" s="11"/>
    </row>
    <row r="584" spans="1:107" ht="12.75" customHeight="1">
      <c r="A584" s="11"/>
      <c r="B584" s="11"/>
      <c r="C584" s="11"/>
      <c r="D584" s="11"/>
      <c r="E584" s="11"/>
      <c r="F584" s="11"/>
      <c r="G584" s="11"/>
      <c r="H584" s="15"/>
      <c r="I584" s="38"/>
      <c r="J584" s="38"/>
      <c r="K584" s="38"/>
      <c r="L584" s="41"/>
      <c r="M584" s="43"/>
      <c r="N584" s="11"/>
      <c r="O584" s="48"/>
      <c r="P584" s="48"/>
      <c r="Q584" s="48"/>
      <c r="R584" s="38"/>
      <c r="S584" s="38"/>
      <c r="T584" s="52"/>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83"/>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83"/>
      <c r="CK584" s="11"/>
      <c r="CL584" s="11"/>
      <c r="CM584" s="11"/>
      <c r="CN584" s="11"/>
      <c r="CO584" s="11"/>
      <c r="CP584" s="11"/>
      <c r="CQ584" s="11"/>
      <c r="CR584" s="11"/>
      <c r="CS584" s="11"/>
      <c r="CT584" s="11"/>
      <c r="CU584" s="11"/>
      <c r="CV584" s="11"/>
      <c r="CW584" s="11"/>
      <c r="CX584" s="11"/>
      <c r="CY584" s="11"/>
      <c r="CZ584" s="11"/>
      <c r="DA584" s="11"/>
      <c r="DB584" s="11"/>
      <c r="DC584" s="11"/>
    </row>
    <row r="585" spans="1:107" ht="12.75" customHeight="1">
      <c r="A585" s="11"/>
      <c r="B585" s="11"/>
      <c r="C585" s="11"/>
      <c r="D585" s="11"/>
      <c r="E585" s="11"/>
      <c r="F585" s="11"/>
      <c r="G585" s="11"/>
      <c r="H585" s="15"/>
      <c r="I585" s="38"/>
      <c r="J585" s="38"/>
      <c r="K585" s="38"/>
      <c r="L585" s="41"/>
      <c r="M585" s="43"/>
      <c r="N585" s="11"/>
      <c r="O585" s="48"/>
      <c r="P585" s="48"/>
      <c r="Q585" s="48"/>
      <c r="R585" s="38"/>
      <c r="S585" s="38"/>
      <c r="T585" s="52"/>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83"/>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83"/>
      <c r="CK585" s="11"/>
      <c r="CL585" s="11"/>
      <c r="CM585" s="11"/>
      <c r="CN585" s="11"/>
      <c r="CO585" s="11"/>
      <c r="CP585" s="11"/>
      <c r="CQ585" s="11"/>
      <c r="CR585" s="11"/>
      <c r="CS585" s="11"/>
      <c r="CT585" s="11"/>
      <c r="CU585" s="11"/>
      <c r="CV585" s="11"/>
      <c r="CW585" s="11"/>
      <c r="CX585" s="11"/>
      <c r="CY585" s="11"/>
      <c r="CZ585" s="11"/>
      <c r="DA585" s="11"/>
      <c r="DB585" s="11"/>
      <c r="DC585" s="11"/>
    </row>
    <row r="586" spans="1:107" ht="12.75" customHeight="1">
      <c r="A586" s="11"/>
      <c r="B586" s="11"/>
      <c r="C586" s="11"/>
      <c r="D586" s="11"/>
      <c r="E586" s="11"/>
      <c r="F586" s="11"/>
      <c r="G586" s="11"/>
      <c r="H586" s="15"/>
      <c r="I586" s="38"/>
      <c r="J586" s="38"/>
      <c r="K586" s="38"/>
      <c r="L586" s="41"/>
      <c r="M586" s="43"/>
      <c r="N586" s="11"/>
      <c r="O586" s="48"/>
      <c r="P586" s="48"/>
      <c r="Q586" s="48"/>
      <c r="R586" s="38"/>
      <c r="S586" s="38"/>
      <c r="T586" s="52"/>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83"/>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83"/>
      <c r="CK586" s="11"/>
      <c r="CL586" s="11"/>
      <c r="CM586" s="11"/>
      <c r="CN586" s="11"/>
      <c r="CO586" s="11"/>
      <c r="CP586" s="11"/>
      <c r="CQ586" s="11"/>
      <c r="CR586" s="11"/>
      <c r="CS586" s="11"/>
      <c r="CT586" s="11"/>
      <c r="CU586" s="11"/>
      <c r="CV586" s="11"/>
      <c r="CW586" s="11"/>
      <c r="CX586" s="11"/>
      <c r="CY586" s="11"/>
      <c r="CZ586" s="11"/>
      <c r="DA586" s="11"/>
      <c r="DB586" s="11"/>
      <c r="DC586" s="11"/>
    </row>
    <row r="587" spans="1:107" ht="12.75" customHeight="1">
      <c r="A587" s="11"/>
      <c r="B587" s="11"/>
      <c r="C587" s="11"/>
      <c r="D587" s="11"/>
      <c r="E587" s="11"/>
      <c r="F587" s="11"/>
      <c r="G587" s="11"/>
      <c r="H587" s="15"/>
      <c r="I587" s="38"/>
      <c r="J587" s="38"/>
      <c r="K587" s="38"/>
      <c r="L587" s="41"/>
      <c r="M587" s="43"/>
      <c r="N587" s="11"/>
      <c r="O587" s="48"/>
      <c r="P587" s="48"/>
      <c r="Q587" s="48"/>
      <c r="R587" s="38"/>
      <c r="S587" s="38"/>
      <c r="T587" s="52"/>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83"/>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83"/>
      <c r="CK587" s="11"/>
      <c r="CL587" s="11"/>
      <c r="CM587" s="11"/>
      <c r="CN587" s="11"/>
      <c r="CO587" s="11"/>
      <c r="CP587" s="11"/>
      <c r="CQ587" s="11"/>
      <c r="CR587" s="11"/>
      <c r="CS587" s="11"/>
      <c r="CT587" s="11"/>
      <c r="CU587" s="11"/>
      <c r="CV587" s="11"/>
      <c r="CW587" s="11"/>
      <c r="CX587" s="11"/>
      <c r="CY587" s="11"/>
      <c r="CZ587" s="11"/>
      <c r="DA587" s="11"/>
      <c r="DB587" s="11"/>
      <c r="DC587" s="11"/>
    </row>
    <row r="588" spans="1:107" ht="12.75" customHeight="1">
      <c r="A588" s="11"/>
      <c r="B588" s="11"/>
      <c r="C588" s="11"/>
      <c r="D588" s="11"/>
      <c r="E588" s="11"/>
      <c r="F588" s="11"/>
      <c r="G588" s="11"/>
      <c r="H588" s="15"/>
      <c r="I588" s="38"/>
      <c r="J588" s="38"/>
      <c r="K588" s="38"/>
      <c r="L588" s="41"/>
      <c r="M588" s="43"/>
      <c r="N588" s="11"/>
      <c r="O588" s="48"/>
      <c r="P588" s="48"/>
      <c r="Q588" s="48"/>
      <c r="R588" s="38"/>
      <c r="S588" s="38"/>
      <c r="T588" s="52"/>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83"/>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83"/>
      <c r="CK588" s="11"/>
      <c r="CL588" s="11"/>
      <c r="CM588" s="11"/>
      <c r="CN588" s="11"/>
      <c r="CO588" s="11"/>
      <c r="CP588" s="11"/>
      <c r="CQ588" s="11"/>
      <c r="CR588" s="11"/>
      <c r="CS588" s="11"/>
      <c r="CT588" s="11"/>
      <c r="CU588" s="11"/>
      <c r="CV588" s="11"/>
      <c r="CW588" s="11"/>
      <c r="CX588" s="11"/>
      <c r="CY588" s="11"/>
      <c r="CZ588" s="11"/>
      <c r="DA588" s="11"/>
      <c r="DB588" s="11"/>
      <c r="DC588" s="11"/>
    </row>
    <row r="589" spans="1:107" ht="12.75" customHeight="1">
      <c r="A589" s="11"/>
      <c r="B589" s="11"/>
      <c r="C589" s="11"/>
      <c r="D589" s="11"/>
      <c r="E589" s="11"/>
      <c r="F589" s="11"/>
      <c r="G589" s="11"/>
      <c r="H589" s="15"/>
      <c r="I589" s="38"/>
      <c r="J589" s="38"/>
      <c r="K589" s="38"/>
      <c r="L589" s="41"/>
      <c r="M589" s="43"/>
      <c r="N589" s="11"/>
      <c r="O589" s="48"/>
      <c r="P589" s="48"/>
      <c r="Q589" s="48"/>
      <c r="R589" s="38"/>
      <c r="S589" s="38"/>
      <c r="T589" s="52"/>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83"/>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83"/>
      <c r="CK589" s="11"/>
      <c r="CL589" s="11"/>
      <c r="CM589" s="11"/>
      <c r="CN589" s="11"/>
      <c r="CO589" s="11"/>
      <c r="CP589" s="11"/>
      <c r="CQ589" s="11"/>
      <c r="CR589" s="11"/>
      <c r="CS589" s="11"/>
      <c r="CT589" s="11"/>
      <c r="CU589" s="11"/>
      <c r="CV589" s="11"/>
      <c r="CW589" s="11"/>
      <c r="CX589" s="11"/>
      <c r="CY589" s="11"/>
      <c r="CZ589" s="11"/>
      <c r="DA589" s="11"/>
      <c r="DB589" s="11"/>
      <c r="DC589" s="11"/>
    </row>
    <row r="590" spans="1:107" ht="12.75" customHeight="1">
      <c r="A590" s="11"/>
      <c r="B590" s="11"/>
      <c r="C590" s="11"/>
      <c r="D590" s="11"/>
      <c r="E590" s="11"/>
      <c r="F590" s="11"/>
      <c r="G590" s="11"/>
      <c r="H590" s="15"/>
      <c r="I590" s="38"/>
      <c r="J590" s="38"/>
      <c r="K590" s="38"/>
      <c r="L590" s="41"/>
      <c r="M590" s="43"/>
      <c r="N590" s="11"/>
      <c r="O590" s="48"/>
      <c r="P590" s="48"/>
      <c r="Q590" s="48"/>
      <c r="R590" s="38"/>
      <c r="S590" s="38"/>
      <c r="T590" s="52"/>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83"/>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83"/>
      <c r="CK590" s="11"/>
      <c r="CL590" s="11"/>
      <c r="CM590" s="11"/>
      <c r="CN590" s="11"/>
      <c r="CO590" s="11"/>
      <c r="CP590" s="11"/>
      <c r="CQ590" s="11"/>
      <c r="CR590" s="11"/>
      <c r="CS590" s="11"/>
      <c r="CT590" s="11"/>
      <c r="CU590" s="11"/>
      <c r="CV590" s="11"/>
      <c r="CW590" s="11"/>
      <c r="CX590" s="11"/>
      <c r="CY590" s="11"/>
      <c r="CZ590" s="11"/>
      <c r="DA590" s="11"/>
      <c r="DB590" s="11"/>
      <c r="DC590" s="11"/>
    </row>
    <row r="591" spans="1:107" ht="12.75" customHeight="1">
      <c r="A591" s="11"/>
      <c r="B591" s="11"/>
      <c r="C591" s="11"/>
      <c r="D591" s="11"/>
      <c r="E591" s="11"/>
      <c r="F591" s="11"/>
      <c r="G591" s="11"/>
      <c r="H591" s="15"/>
      <c r="I591" s="38"/>
      <c r="J591" s="38"/>
      <c r="K591" s="38"/>
      <c r="L591" s="41"/>
      <c r="M591" s="43"/>
      <c r="N591" s="11"/>
      <c r="O591" s="48"/>
      <c r="P591" s="48"/>
      <c r="Q591" s="48"/>
      <c r="R591" s="38"/>
      <c r="S591" s="38"/>
      <c r="T591" s="52"/>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83"/>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83"/>
      <c r="CK591" s="11"/>
      <c r="CL591" s="11"/>
      <c r="CM591" s="11"/>
      <c r="CN591" s="11"/>
      <c r="CO591" s="11"/>
      <c r="CP591" s="11"/>
      <c r="CQ591" s="11"/>
      <c r="CR591" s="11"/>
      <c r="CS591" s="11"/>
      <c r="CT591" s="11"/>
      <c r="CU591" s="11"/>
      <c r="CV591" s="11"/>
      <c r="CW591" s="11"/>
      <c r="CX591" s="11"/>
      <c r="CY591" s="11"/>
      <c r="CZ591" s="11"/>
      <c r="DA591" s="11"/>
      <c r="DB591" s="11"/>
      <c r="DC591" s="11"/>
    </row>
    <row r="592" spans="1:107" ht="12.75" customHeight="1">
      <c r="A592" s="11"/>
      <c r="B592" s="11"/>
      <c r="C592" s="11"/>
      <c r="D592" s="11"/>
      <c r="E592" s="11"/>
      <c r="F592" s="11"/>
      <c r="G592" s="11"/>
      <c r="H592" s="15"/>
      <c r="I592" s="38"/>
      <c r="J592" s="38"/>
      <c r="K592" s="38"/>
      <c r="L592" s="41"/>
      <c r="M592" s="43"/>
      <c r="N592" s="11"/>
      <c r="O592" s="48"/>
      <c r="P592" s="48"/>
      <c r="Q592" s="48"/>
      <c r="R592" s="38"/>
      <c r="S592" s="38"/>
      <c r="T592" s="52"/>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83"/>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83"/>
      <c r="CK592" s="11"/>
      <c r="CL592" s="11"/>
      <c r="CM592" s="11"/>
      <c r="CN592" s="11"/>
      <c r="CO592" s="11"/>
      <c r="CP592" s="11"/>
      <c r="CQ592" s="11"/>
      <c r="CR592" s="11"/>
      <c r="CS592" s="11"/>
      <c r="CT592" s="11"/>
      <c r="CU592" s="11"/>
      <c r="CV592" s="11"/>
      <c r="CW592" s="11"/>
      <c r="CX592" s="11"/>
      <c r="CY592" s="11"/>
      <c r="CZ592" s="11"/>
      <c r="DA592" s="11"/>
      <c r="DB592" s="11"/>
      <c r="DC592" s="11"/>
    </row>
    <row r="593" spans="1:107" ht="12.75" customHeight="1">
      <c r="A593" s="11"/>
      <c r="B593" s="11"/>
      <c r="C593" s="11"/>
      <c r="D593" s="11"/>
      <c r="E593" s="11"/>
      <c r="F593" s="11"/>
      <c r="G593" s="11"/>
      <c r="H593" s="15"/>
      <c r="I593" s="38"/>
      <c r="J593" s="38"/>
      <c r="K593" s="38"/>
      <c r="L593" s="41"/>
      <c r="M593" s="43"/>
      <c r="N593" s="11"/>
      <c r="O593" s="48"/>
      <c r="P593" s="48"/>
      <c r="Q593" s="48"/>
      <c r="R593" s="38"/>
      <c r="S593" s="38"/>
      <c r="T593" s="52"/>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83"/>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83"/>
      <c r="CK593" s="11"/>
      <c r="CL593" s="11"/>
      <c r="CM593" s="11"/>
      <c r="CN593" s="11"/>
      <c r="CO593" s="11"/>
      <c r="CP593" s="11"/>
      <c r="CQ593" s="11"/>
      <c r="CR593" s="11"/>
      <c r="CS593" s="11"/>
      <c r="CT593" s="11"/>
      <c r="CU593" s="11"/>
      <c r="CV593" s="11"/>
      <c r="CW593" s="11"/>
      <c r="CX593" s="11"/>
      <c r="CY593" s="11"/>
      <c r="CZ593" s="11"/>
      <c r="DA593" s="11"/>
      <c r="DB593" s="11"/>
      <c r="DC593" s="11"/>
    </row>
    <row r="594" spans="1:107" ht="12.75" customHeight="1">
      <c r="A594" s="11"/>
      <c r="B594" s="11"/>
      <c r="C594" s="11"/>
      <c r="D594" s="11"/>
      <c r="E594" s="11"/>
      <c r="F594" s="11"/>
      <c r="G594" s="11"/>
      <c r="H594" s="15"/>
      <c r="I594" s="38"/>
      <c r="J594" s="38"/>
      <c r="K594" s="38"/>
      <c r="L594" s="41"/>
      <c r="M594" s="43"/>
      <c r="N594" s="11"/>
      <c r="O594" s="48"/>
      <c r="P594" s="48"/>
      <c r="Q594" s="48"/>
      <c r="R594" s="38"/>
      <c r="S594" s="38"/>
      <c r="T594" s="52"/>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83"/>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c r="CD594" s="11"/>
      <c r="CE594" s="11"/>
      <c r="CF594" s="11"/>
      <c r="CG594" s="11"/>
      <c r="CH594" s="11"/>
      <c r="CI594" s="11"/>
      <c r="CJ594" s="183"/>
      <c r="CK594" s="11"/>
      <c r="CL594" s="11"/>
      <c r="CM594" s="11"/>
      <c r="CN594" s="11"/>
      <c r="CO594" s="11"/>
      <c r="CP594" s="11"/>
      <c r="CQ594" s="11"/>
      <c r="CR594" s="11"/>
      <c r="CS594" s="11"/>
      <c r="CT594" s="11"/>
      <c r="CU594" s="11"/>
      <c r="CV594" s="11"/>
      <c r="CW594" s="11"/>
      <c r="CX594" s="11"/>
      <c r="CY594" s="11"/>
      <c r="CZ594" s="11"/>
      <c r="DA594" s="11"/>
      <c r="DB594" s="11"/>
      <c r="DC594" s="11"/>
    </row>
    <row r="595" spans="1:107" ht="12.75" customHeight="1">
      <c r="A595" s="11"/>
      <c r="B595" s="11"/>
      <c r="C595" s="11"/>
      <c r="D595" s="11"/>
      <c r="E595" s="11"/>
      <c r="F595" s="11"/>
      <c r="G595" s="11"/>
      <c r="H595" s="15"/>
      <c r="I595" s="38"/>
      <c r="J595" s="38"/>
      <c r="K595" s="38"/>
      <c r="L595" s="41"/>
      <c r="M595" s="43"/>
      <c r="N595" s="11"/>
      <c r="O595" s="48"/>
      <c r="P595" s="48"/>
      <c r="Q595" s="48"/>
      <c r="R595" s="38"/>
      <c r="S595" s="38"/>
      <c r="T595" s="52"/>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83"/>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c r="BX595" s="11"/>
      <c r="BY595" s="11"/>
      <c r="BZ595" s="11"/>
      <c r="CA595" s="11"/>
      <c r="CB595" s="11"/>
      <c r="CC595" s="11"/>
      <c r="CD595" s="11"/>
      <c r="CE595" s="11"/>
      <c r="CF595" s="11"/>
      <c r="CG595" s="11"/>
      <c r="CH595" s="11"/>
      <c r="CI595" s="11"/>
      <c r="CJ595" s="183"/>
      <c r="CK595" s="11"/>
      <c r="CL595" s="11"/>
      <c r="CM595" s="11"/>
      <c r="CN595" s="11"/>
      <c r="CO595" s="11"/>
      <c r="CP595" s="11"/>
      <c r="CQ595" s="11"/>
      <c r="CR595" s="11"/>
      <c r="CS595" s="11"/>
      <c r="CT595" s="11"/>
      <c r="CU595" s="11"/>
      <c r="CV595" s="11"/>
      <c r="CW595" s="11"/>
      <c r="CX595" s="11"/>
      <c r="CY595" s="11"/>
      <c r="CZ595" s="11"/>
      <c r="DA595" s="11"/>
      <c r="DB595" s="11"/>
      <c r="DC595" s="11"/>
    </row>
    <row r="596" spans="1:107" ht="12.75" customHeight="1">
      <c r="A596" s="11"/>
      <c r="B596" s="11"/>
      <c r="C596" s="11"/>
      <c r="D596" s="11"/>
      <c r="E596" s="11"/>
      <c r="F596" s="11"/>
      <c r="G596" s="11"/>
      <c r="H596" s="15"/>
      <c r="I596" s="38"/>
      <c r="J596" s="38"/>
      <c r="K596" s="38"/>
      <c r="L596" s="41"/>
      <c r="M596" s="43"/>
      <c r="N596" s="11"/>
      <c r="O596" s="48"/>
      <c r="P596" s="48"/>
      <c r="Q596" s="48"/>
      <c r="R596" s="38"/>
      <c r="S596" s="38"/>
      <c r="T596" s="52"/>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83"/>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c r="BX596" s="11"/>
      <c r="BY596" s="11"/>
      <c r="BZ596" s="11"/>
      <c r="CA596" s="11"/>
      <c r="CB596" s="11"/>
      <c r="CC596" s="11"/>
      <c r="CD596" s="11"/>
      <c r="CE596" s="11"/>
      <c r="CF596" s="11"/>
      <c r="CG596" s="11"/>
      <c r="CH596" s="11"/>
      <c r="CI596" s="11"/>
      <c r="CJ596" s="183"/>
      <c r="CK596" s="11"/>
      <c r="CL596" s="11"/>
      <c r="CM596" s="11"/>
      <c r="CN596" s="11"/>
      <c r="CO596" s="11"/>
      <c r="CP596" s="11"/>
      <c r="CQ596" s="11"/>
      <c r="CR596" s="11"/>
      <c r="CS596" s="11"/>
      <c r="CT596" s="11"/>
      <c r="CU596" s="11"/>
      <c r="CV596" s="11"/>
      <c r="CW596" s="11"/>
      <c r="CX596" s="11"/>
      <c r="CY596" s="11"/>
      <c r="CZ596" s="11"/>
      <c r="DA596" s="11"/>
      <c r="DB596" s="11"/>
      <c r="DC596" s="11"/>
    </row>
    <row r="597" spans="1:107" ht="12.75" customHeight="1">
      <c r="A597" s="11"/>
      <c r="B597" s="11"/>
      <c r="C597" s="11"/>
      <c r="D597" s="11"/>
      <c r="E597" s="11"/>
      <c r="F597" s="11"/>
      <c r="G597" s="11"/>
      <c r="H597" s="15"/>
      <c r="I597" s="38"/>
      <c r="J597" s="38"/>
      <c r="K597" s="38"/>
      <c r="L597" s="41"/>
      <c r="M597" s="43"/>
      <c r="N597" s="11"/>
      <c r="O597" s="48"/>
      <c r="P597" s="48"/>
      <c r="Q597" s="48"/>
      <c r="R597" s="38"/>
      <c r="S597" s="38"/>
      <c r="T597" s="52"/>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83"/>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83"/>
      <c r="CK597" s="11"/>
      <c r="CL597" s="11"/>
      <c r="CM597" s="11"/>
      <c r="CN597" s="11"/>
      <c r="CO597" s="11"/>
      <c r="CP597" s="11"/>
      <c r="CQ597" s="11"/>
      <c r="CR597" s="11"/>
      <c r="CS597" s="11"/>
      <c r="CT597" s="11"/>
      <c r="CU597" s="11"/>
      <c r="CV597" s="11"/>
      <c r="CW597" s="11"/>
      <c r="CX597" s="11"/>
      <c r="CY597" s="11"/>
      <c r="CZ597" s="11"/>
      <c r="DA597" s="11"/>
      <c r="DB597" s="11"/>
      <c r="DC597" s="11"/>
    </row>
    <row r="598" spans="1:107" ht="12.75" customHeight="1">
      <c r="A598" s="11"/>
      <c r="B598" s="11"/>
      <c r="C598" s="11"/>
      <c r="D598" s="11"/>
      <c r="E598" s="11"/>
      <c r="F598" s="11"/>
      <c r="G598" s="11"/>
      <c r="H598" s="15"/>
      <c r="I598" s="38"/>
      <c r="J598" s="38"/>
      <c r="K598" s="38"/>
      <c r="L598" s="41"/>
      <c r="M598" s="43"/>
      <c r="N598" s="11"/>
      <c r="O598" s="48"/>
      <c r="P598" s="48"/>
      <c r="Q598" s="48"/>
      <c r="R598" s="38"/>
      <c r="S598" s="38"/>
      <c r="T598" s="52"/>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83"/>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83"/>
      <c r="CK598" s="11"/>
      <c r="CL598" s="11"/>
      <c r="CM598" s="11"/>
      <c r="CN598" s="11"/>
      <c r="CO598" s="11"/>
      <c r="CP598" s="11"/>
      <c r="CQ598" s="11"/>
      <c r="CR598" s="11"/>
      <c r="CS598" s="11"/>
      <c r="CT598" s="11"/>
      <c r="CU598" s="11"/>
      <c r="CV598" s="11"/>
      <c r="CW598" s="11"/>
      <c r="CX598" s="11"/>
      <c r="CY598" s="11"/>
      <c r="CZ598" s="11"/>
      <c r="DA598" s="11"/>
      <c r="DB598" s="11"/>
      <c r="DC598" s="11"/>
    </row>
    <row r="599" spans="1:107" ht="12.75" customHeight="1">
      <c r="A599" s="11"/>
      <c r="B599" s="11"/>
      <c r="C599" s="11"/>
      <c r="D599" s="11"/>
      <c r="E599" s="11"/>
      <c r="F599" s="11"/>
      <c r="G599" s="11"/>
      <c r="H599" s="15"/>
      <c r="I599" s="38"/>
      <c r="J599" s="38"/>
      <c r="K599" s="38"/>
      <c r="L599" s="41"/>
      <c r="M599" s="43"/>
      <c r="N599" s="11"/>
      <c r="O599" s="48"/>
      <c r="P599" s="48"/>
      <c r="Q599" s="48"/>
      <c r="R599" s="38"/>
      <c r="S599" s="38"/>
      <c r="T599" s="52"/>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83"/>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83"/>
      <c r="CK599" s="11"/>
      <c r="CL599" s="11"/>
      <c r="CM599" s="11"/>
      <c r="CN599" s="11"/>
      <c r="CO599" s="11"/>
      <c r="CP599" s="11"/>
      <c r="CQ599" s="11"/>
      <c r="CR599" s="11"/>
      <c r="CS599" s="11"/>
      <c r="CT599" s="11"/>
      <c r="CU599" s="11"/>
      <c r="CV599" s="11"/>
      <c r="CW599" s="11"/>
      <c r="CX599" s="11"/>
      <c r="CY599" s="11"/>
      <c r="CZ599" s="11"/>
      <c r="DA599" s="11"/>
      <c r="DB599" s="11"/>
      <c r="DC599" s="11"/>
    </row>
    <row r="600" spans="1:107" ht="12.75" customHeight="1">
      <c r="A600" s="11"/>
      <c r="B600" s="11"/>
      <c r="C600" s="11"/>
      <c r="D600" s="11"/>
      <c r="E600" s="11"/>
      <c r="F600" s="11"/>
      <c r="G600" s="11"/>
      <c r="H600" s="15"/>
      <c r="I600" s="38"/>
      <c r="J600" s="38"/>
      <c r="K600" s="38"/>
      <c r="L600" s="41"/>
      <c r="M600" s="43"/>
      <c r="N600" s="11"/>
      <c r="O600" s="48"/>
      <c r="P600" s="48"/>
      <c r="Q600" s="48"/>
      <c r="R600" s="38"/>
      <c r="S600" s="38"/>
      <c r="T600" s="52"/>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83"/>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83"/>
      <c r="CK600" s="11"/>
      <c r="CL600" s="11"/>
      <c r="CM600" s="11"/>
      <c r="CN600" s="11"/>
      <c r="CO600" s="11"/>
      <c r="CP600" s="11"/>
      <c r="CQ600" s="11"/>
      <c r="CR600" s="11"/>
      <c r="CS600" s="11"/>
      <c r="CT600" s="11"/>
      <c r="CU600" s="11"/>
      <c r="CV600" s="11"/>
      <c r="CW600" s="11"/>
      <c r="CX600" s="11"/>
      <c r="CY600" s="11"/>
      <c r="CZ600" s="11"/>
      <c r="DA600" s="11"/>
      <c r="DB600" s="11"/>
      <c r="DC600" s="11"/>
    </row>
    <row r="601" spans="1:107" ht="12.75" customHeight="1">
      <c r="A601" s="11"/>
      <c r="B601" s="11"/>
      <c r="C601" s="11"/>
      <c r="D601" s="11"/>
      <c r="E601" s="11"/>
      <c r="F601" s="11"/>
      <c r="G601" s="11"/>
      <c r="H601" s="15"/>
      <c r="I601" s="38"/>
      <c r="J601" s="38"/>
      <c r="K601" s="38"/>
      <c r="L601" s="41"/>
      <c r="M601" s="43"/>
      <c r="N601" s="11"/>
      <c r="O601" s="48"/>
      <c r="P601" s="48"/>
      <c r="Q601" s="48"/>
      <c r="R601" s="38"/>
      <c r="S601" s="38"/>
      <c r="T601" s="52"/>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83"/>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83"/>
      <c r="CK601" s="11"/>
      <c r="CL601" s="11"/>
      <c r="CM601" s="11"/>
      <c r="CN601" s="11"/>
      <c r="CO601" s="11"/>
      <c r="CP601" s="11"/>
      <c r="CQ601" s="11"/>
      <c r="CR601" s="11"/>
      <c r="CS601" s="11"/>
      <c r="CT601" s="11"/>
      <c r="CU601" s="11"/>
      <c r="CV601" s="11"/>
      <c r="CW601" s="11"/>
      <c r="CX601" s="11"/>
      <c r="CY601" s="11"/>
      <c r="CZ601" s="11"/>
      <c r="DA601" s="11"/>
      <c r="DB601" s="11"/>
      <c r="DC601" s="11"/>
    </row>
    <row r="602" spans="1:107" ht="12.75" customHeight="1">
      <c r="A602" s="11"/>
      <c r="B602" s="11"/>
      <c r="C602" s="11"/>
      <c r="D602" s="11"/>
      <c r="E602" s="11"/>
      <c r="F602" s="11"/>
      <c r="G602" s="11"/>
      <c r="H602" s="15"/>
      <c r="I602" s="38"/>
      <c r="J602" s="38"/>
      <c r="K602" s="38"/>
      <c r="L602" s="41"/>
      <c r="M602" s="43"/>
      <c r="N602" s="11"/>
      <c r="O602" s="48"/>
      <c r="P602" s="48"/>
      <c r="Q602" s="48"/>
      <c r="R602" s="38"/>
      <c r="S602" s="38"/>
      <c r="T602" s="52"/>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83"/>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83"/>
      <c r="CK602" s="11"/>
      <c r="CL602" s="11"/>
      <c r="CM602" s="11"/>
      <c r="CN602" s="11"/>
      <c r="CO602" s="11"/>
      <c r="CP602" s="11"/>
      <c r="CQ602" s="11"/>
      <c r="CR602" s="11"/>
      <c r="CS602" s="11"/>
      <c r="CT602" s="11"/>
      <c r="CU602" s="11"/>
      <c r="CV602" s="11"/>
      <c r="CW602" s="11"/>
      <c r="CX602" s="11"/>
      <c r="CY602" s="11"/>
      <c r="CZ602" s="11"/>
      <c r="DA602" s="11"/>
      <c r="DB602" s="11"/>
      <c r="DC602" s="11"/>
    </row>
    <row r="603" spans="1:107" ht="12.75" customHeight="1">
      <c r="A603" s="11"/>
      <c r="B603" s="11"/>
      <c r="C603" s="11"/>
      <c r="D603" s="11"/>
      <c r="E603" s="11"/>
      <c r="F603" s="11"/>
      <c r="G603" s="11"/>
      <c r="H603" s="15"/>
      <c r="I603" s="38"/>
      <c r="J603" s="38"/>
      <c r="K603" s="38"/>
      <c r="L603" s="41"/>
      <c r="M603" s="43"/>
      <c r="N603" s="11"/>
      <c r="O603" s="48"/>
      <c r="P603" s="48"/>
      <c r="Q603" s="48"/>
      <c r="R603" s="38"/>
      <c r="S603" s="38"/>
      <c r="T603" s="52"/>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83"/>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83"/>
      <c r="CK603" s="11"/>
      <c r="CL603" s="11"/>
      <c r="CM603" s="11"/>
      <c r="CN603" s="11"/>
      <c r="CO603" s="11"/>
      <c r="CP603" s="11"/>
      <c r="CQ603" s="11"/>
      <c r="CR603" s="11"/>
      <c r="CS603" s="11"/>
      <c r="CT603" s="11"/>
      <c r="CU603" s="11"/>
      <c r="CV603" s="11"/>
      <c r="CW603" s="11"/>
      <c r="CX603" s="11"/>
      <c r="CY603" s="11"/>
      <c r="CZ603" s="11"/>
      <c r="DA603" s="11"/>
      <c r="DB603" s="11"/>
      <c r="DC603" s="11"/>
    </row>
    <row r="604" spans="1:107" ht="12.75" customHeight="1">
      <c r="A604" s="11"/>
      <c r="B604" s="11"/>
      <c r="C604" s="11"/>
      <c r="D604" s="11"/>
      <c r="E604" s="11"/>
      <c r="F604" s="11"/>
      <c r="G604" s="11"/>
      <c r="H604" s="15"/>
      <c r="I604" s="38"/>
      <c r="J604" s="38"/>
      <c r="K604" s="38"/>
      <c r="L604" s="41"/>
      <c r="M604" s="43"/>
      <c r="N604" s="11"/>
      <c r="O604" s="48"/>
      <c r="P604" s="48"/>
      <c r="Q604" s="48"/>
      <c r="R604" s="38"/>
      <c r="S604" s="38"/>
      <c r="T604" s="52"/>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83"/>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83"/>
      <c r="CK604" s="11"/>
      <c r="CL604" s="11"/>
      <c r="CM604" s="11"/>
      <c r="CN604" s="11"/>
      <c r="CO604" s="11"/>
      <c r="CP604" s="11"/>
      <c r="CQ604" s="11"/>
      <c r="CR604" s="11"/>
      <c r="CS604" s="11"/>
      <c r="CT604" s="11"/>
      <c r="CU604" s="11"/>
      <c r="CV604" s="11"/>
      <c r="CW604" s="11"/>
      <c r="CX604" s="11"/>
      <c r="CY604" s="11"/>
      <c r="CZ604" s="11"/>
      <c r="DA604" s="11"/>
      <c r="DB604" s="11"/>
      <c r="DC604" s="11"/>
    </row>
    <row r="605" spans="1:107" ht="12.75" customHeight="1">
      <c r="A605" s="11"/>
      <c r="B605" s="11"/>
      <c r="C605" s="11"/>
      <c r="D605" s="11"/>
      <c r="E605" s="11"/>
      <c r="F605" s="11"/>
      <c r="G605" s="11"/>
      <c r="H605" s="15"/>
      <c r="I605" s="38"/>
      <c r="J605" s="38"/>
      <c r="K605" s="38"/>
      <c r="L605" s="41"/>
      <c r="M605" s="43"/>
      <c r="N605" s="11"/>
      <c r="O605" s="48"/>
      <c r="P605" s="48"/>
      <c r="Q605" s="48"/>
      <c r="R605" s="38"/>
      <c r="S605" s="38"/>
      <c r="T605" s="52"/>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83"/>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83"/>
      <c r="CK605" s="11"/>
      <c r="CL605" s="11"/>
      <c r="CM605" s="11"/>
      <c r="CN605" s="11"/>
      <c r="CO605" s="11"/>
      <c r="CP605" s="11"/>
      <c r="CQ605" s="11"/>
      <c r="CR605" s="11"/>
      <c r="CS605" s="11"/>
      <c r="CT605" s="11"/>
      <c r="CU605" s="11"/>
      <c r="CV605" s="11"/>
      <c r="CW605" s="11"/>
      <c r="CX605" s="11"/>
      <c r="CY605" s="11"/>
      <c r="CZ605" s="11"/>
      <c r="DA605" s="11"/>
      <c r="DB605" s="11"/>
      <c r="DC605" s="11"/>
    </row>
    <row r="606" spans="1:107" ht="12.75" customHeight="1">
      <c r="A606" s="11"/>
      <c r="B606" s="11"/>
      <c r="C606" s="11"/>
      <c r="D606" s="11"/>
      <c r="E606" s="11"/>
      <c r="F606" s="11"/>
      <c r="G606" s="11"/>
      <c r="H606" s="15"/>
      <c r="I606" s="38"/>
      <c r="J606" s="38"/>
      <c r="K606" s="38"/>
      <c r="L606" s="41"/>
      <c r="M606" s="43"/>
      <c r="N606" s="11"/>
      <c r="O606" s="48"/>
      <c r="P606" s="48"/>
      <c r="Q606" s="48"/>
      <c r="R606" s="38"/>
      <c r="S606" s="38"/>
      <c r="T606" s="52"/>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83"/>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83"/>
      <c r="CK606" s="11"/>
      <c r="CL606" s="11"/>
      <c r="CM606" s="11"/>
      <c r="CN606" s="11"/>
      <c r="CO606" s="11"/>
      <c r="CP606" s="11"/>
      <c r="CQ606" s="11"/>
      <c r="CR606" s="11"/>
      <c r="CS606" s="11"/>
      <c r="CT606" s="11"/>
      <c r="CU606" s="11"/>
      <c r="CV606" s="11"/>
      <c r="CW606" s="11"/>
      <c r="CX606" s="11"/>
      <c r="CY606" s="11"/>
      <c r="CZ606" s="11"/>
      <c r="DA606" s="11"/>
      <c r="DB606" s="11"/>
      <c r="DC606" s="11"/>
    </row>
    <row r="607" spans="1:107" ht="12.75" customHeight="1">
      <c r="A607" s="11"/>
      <c r="B607" s="11"/>
      <c r="C607" s="11"/>
      <c r="D607" s="11"/>
      <c r="E607" s="11"/>
      <c r="F607" s="11"/>
      <c r="G607" s="11"/>
      <c r="H607" s="15"/>
      <c r="I607" s="38"/>
      <c r="J607" s="38"/>
      <c r="K607" s="38"/>
      <c r="L607" s="41"/>
      <c r="M607" s="43"/>
      <c r="N607" s="11"/>
      <c r="O607" s="48"/>
      <c r="P607" s="48"/>
      <c r="Q607" s="48"/>
      <c r="R607" s="38"/>
      <c r="S607" s="38"/>
      <c r="T607" s="52"/>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83"/>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83"/>
      <c r="CK607" s="11"/>
      <c r="CL607" s="11"/>
      <c r="CM607" s="11"/>
      <c r="CN607" s="11"/>
      <c r="CO607" s="11"/>
      <c r="CP607" s="11"/>
      <c r="CQ607" s="11"/>
      <c r="CR607" s="11"/>
      <c r="CS607" s="11"/>
      <c r="CT607" s="11"/>
      <c r="CU607" s="11"/>
      <c r="CV607" s="11"/>
      <c r="CW607" s="11"/>
      <c r="CX607" s="11"/>
      <c r="CY607" s="11"/>
      <c r="CZ607" s="11"/>
      <c r="DA607" s="11"/>
      <c r="DB607" s="11"/>
      <c r="DC607" s="11"/>
    </row>
    <row r="608" spans="1:107" ht="12.75" customHeight="1">
      <c r="A608" s="11"/>
      <c r="B608" s="11"/>
      <c r="C608" s="11"/>
      <c r="D608" s="11"/>
      <c r="E608" s="11"/>
      <c r="F608" s="11"/>
      <c r="G608" s="11"/>
      <c r="H608" s="15"/>
      <c r="I608" s="38"/>
      <c r="J608" s="38"/>
      <c r="K608" s="38"/>
      <c r="L608" s="41"/>
      <c r="M608" s="43"/>
      <c r="N608" s="11"/>
      <c r="O608" s="48"/>
      <c r="P608" s="48"/>
      <c r="Q608" s="48"/>
      <c r="R608" s="38"/>
      <c r="S608" s="38"/>
      <c r="T608" s="52"/>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83"/>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83"/>
      <c r="CK608" s="11"/>
      <c r="CL608" s="11"/>
      <c r="CM608" s="11"/>
      <c r="CN608" s="11"/>
      <c r="CO608" s="11"/>
      <c r="CP608" s="11"/>
      <c r="CQ608" s="11"/>
      <c r="CR608" s="11"/>
      <c r="CS608" s="11"/>
      <c r="CT608" s="11"/>
      <c r="CU608" s="11"/>
      <c r="CV608" s="11"/>
      <c r="CW608" s="11"/>
      <c r="CX608" s="11"/>
      <c r="CY608" s="11"/>
      <c r="CZ608" s="11"/>
      <c r="DA608" s="11"/>
      <c r="DB608" s="11"/>
      <c r="DC608" s="11"/>
    </row>
    <row r="609" spans="1:107" ht="12.75" customHeight="1">
      <c r="A609" s="11"/>
      <c r="B609" s="11"/>
      <c r="C609" s="11"/>
      <c r="D609" s="11"/>
      <c r="E609" s="11"/>
      <c r="F609" s="11"/>
      <c r="G609" s="11"/>
      <c r="H609" s="15"/>
      <c r="I609" s="38"/>
      <c r="J609" s="38"/>
      <c r="K609" s="38"/>
      <c r="L609" s="41"/>
      <c r="M609" s="43"/>
      <c r="N609" s="11"/>
      <c r="O609" s="48"/>
      <c r="P609" s="48"/>
      <c r="Q609" s="48"/>
      <c r="R609" s="38"/>
      <c r="S609" s="38"/>
      <c r="T609" s="52"/>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83"/>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83"/>
      <c r="CK609" s="11"/>
      <c r="CL609" s="11"/>
      <c r="CM609" s="11"/>
      <c r="CN609" s="11"/>
      <c r="CO609" s="11"/>
      <c r="CP609" s="11"/>
      <c r="CQ609" s="11"/>
      <c r="CR609" s="11"/>
      <c r="CS609" s="11"/>
      <c r="CT609" s="11"/>
      <c r="CU609" s="11"/>
      <c r="CV609" s="11"/>
      <c r="CW609" s="11"/>
      <c r="CX609" s="11"/>
      <c r="CY609" s="11"/>
      <c r="CZ609" s="11"/>
      <c r="DA609" s="11"/>
      <c r="DB609" s="11"/>
      <c r="DC609" s="11"/>
    </row>
    <row r="610" spans="1:107" ht="12.75" customHeight="1">
      <c r="A610" s="11"/>
      <c r="B610" s="11"/>
      <c r="C610" s="11"/>
      <c r="D610" s="11"/>
      <c r="E610" s="11"/>
      <c r="F610" s="11"/>
      <c r="G610" s="11"/>
      <c r="H610" s="15"/>
      <c r="I610" s="38"/>
      <c r="J610" s="38"/>
      <c r="K610" s="38"/>
      <c r="L610" s="41"/>
      <c r="M610" s="43"/>
      <c r="N610" s="11"/>
      <c r="O610" s="48"/>
      <c r="P610" s="48"/>
      <c r="Q610" s="48"/>
      <c r="R610" s="38"/>
      <c r="S610" s="38"/>
      <c r="T610" s="52"/>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83"/>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83"/>
      <c r="CK610" s="11"/>
      <c r="CL610" s="11"/>
      <c r="CM610" s="11"/>
      <c r="CN610" s="11"/>
      <c r="CO610" s="11"/>
      <c r="CP610" s="11"/>
      <c r="CQ610" s="11"/>
      <c r="CR610" s="11"/>
      <c r="CS610" s="11"/>
      <c r="CT610" s="11"/>
      <c r="CU610" s="11"/>
      <c r="CV610" s="11"/>
      <c r="CW610" s="11"/>
      <c r="CX610" s="11"/>
      <c r="CY610" s="11"/>
      <c r="CZ610" s="11"/>
      <c r="DA610" s="11"/>
      <c r="DB610" s="11"/>
      <c r="DC610" s="11"/>
    </row>
    <row r="611" spans="1:107" ht="12.75" customHeight="1">
      <c r="A611" s="11"/>
      <c r="B611" s="11"/>
      <c r="C611" s="11"/>
      <c r="D611" s="11"/>
      <c r="E611" s="11"/>
      <c r="F611" s="11"/>
      <c r="G611" s="11"/>
      <c r="H611" s="15"/>
      <c r="I611" s="38"/>
      <c r="J611" s="38"/>
      <c r="K611" s="38"/>
      <c r="L611" s="41"/>
      <c r="M611" s="43"/>
      <c r="N611" s="11"/>
      <c r="O611" s="48"/>
      <c r="P611" s="48"/>
      <c r="Q611" s="48"/>
      <c r="R611" s="38"/>
      <c r="S611" s="38"/>
      <c r="T611" s="52"/>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83"/>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83"/>
      <c r="CK611" s="11"/>
      <c r="CL611" s="11"/>
      <c r="CM611" s="11"/>
      <c r="CN611" s="11"/>
      <c r="CO611" s="11"/>
      <c r="CP611" s="11"/>
      <c r="CQ611" s="11"/>
      <c r="CR611" s="11"/>
      <c r="CS611" s="11"/>
      <c r="CT611" s="11"/>
      <c r="CU611" s="11"/>
      <c r="CV611" s="11"/>
      <c r="CW611" s="11"/>
      <c r="CX611" s="11"/>
      <c r="CY611" s="11"/>
      <c r="CZ611" s="11"/>
      <c r="DA611" s="11"/>
      <c r="DB611" s="11"/>
      <c r="DC611" s="11"/>
    </row>
    <row r="612" spans="1:107" ht="12.75" customHeight="1">
      <c r="A612" s="11"/>
      <c r="B612" s="11"/>
      <c r="C612" s="11"/>
      <c r="D612" s="11"/>
      <c r="E612" s="11"/>
      <c r="F612" s="11"/>
      <c r="G612" s="11"/>
      <c r="H612" s="15"/>
      <c r="I612" s="38"/>
      <c r="J612" s="38"/>
      <c r="K612" s="38"/>
      <c r="L612" s="41"/>
      <c r="M612" s="43"/>
      <c r="N612" s="11"/>
      <c r="O612" s="48"/>
      <c r="P612" s="48"/>
      <c r="Q612" s="48"/>
      <c r="R612" s="38"/>
      <c r="S612" s="38"/>
      <c r="T612" s="52"/>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83"/>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83"/>
      <c r="CK612" s="11"/>
      <c r="CL612" s="11"/>
      <c r="CM612" s="11"/>
      <c r="CN612" s="11"/>
      <c r="CO612" s="11"/>
      <c r="CP612" s="11"/>
      <c r="CQ612" s="11"/>
      <c r="CR612" s="11"/>
      <c r="CS612" s="11"/>
      <c r="CT612" s="11"/>
      <c r="CU612" s="11"/>
      <c r="CV612" s="11"/>
      <c r="CW612" s="11"/>
      <c r="CX612" s="11"/>
      <c r="CY612" s="11"/>
      <c r="CZ612" s="11"/>
      <c r="DA612" s="11"/>
      <c r="DB612" s="11"/>
      <c r="DC612" s="11"/>
    </row>
    <row r="613" spans="1:107" ht="12.75" customHeight="1">
      <c r="A613" s="11"/>
      <c r="B613" s="11"/>
      <c r="C613" s="11"/>
      <c r="D613" s="11"/>
      <c r="E613" s="11"/>
      <c r="F613" s="11"/>
      <c r="G613" s="11"/>
      <c r="H613" s="15"/>
      <c r="I613" s="38"/>
      <c r="J613" s="38"/>
      <c r="K613" s="38"/>
      <c r="L613" s="41"/>
      <c r="M613" s="43"/>
      <c r="N613" s="11"/>
      <c r="O613" s="48"/>
      <c r="P613" s="48"/>
      <c r="Q613" s="48"/>
      <c r="R613" s="38"/>
      <c r="S613" s="38"/>
      <c r="T613" s="52"/>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83"/>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83"/>
      <c r="CK613" s="11"/>
      <c r="CL613" s="11"/>
      <c r="CM613" s="11"/>
      <c r="CN613" s="11"/>
      <c r="CO613" s="11"/>
      <c r="CP613" s="11"/>
      <c r="CQ613" s="11"/>
      <c r="CR613" s="11"/>
      <c r="CS613" s="11"/>
      <c r="CT613" s="11"/>
      <c r="CU613" s="11"/>
      <c r="CV613" s="11"/>
      <c r="CW613" s="11"/>
      <c r="CX613" s="11"/>
      <c r="CY613" s="11"/>
      <c r="CZ613" s="11"/>
      <c r="DA613" s="11"/>
      <c r="DB613" s="11"/>
      <c r="DC613" s="11"/>
    </row>
    <row r="614" spans="1:107" ht="12.75" customHeight="1">
      <c r="A614" s="11"/>
      <c r="B614" s="11"/>
      <c r="C614" s="11"/>
      <c r="D614" s="11"/>
      <c r="E614" s="11"/>
      <c r="F614" s="11"/>
      <c r="G614" s="11"/>
      <c r="H614" s="15"/>
      <c r="I614" s="38"/>
      <c r="J614" s="38"/>
      <c r="K614" s="38"/>
      <c r="L614" s="41"/>
      <c r="M614" s="43"/>
      <c r="N614" s="11"/>
      <c r="O614" s="48"/>
      <c r="P614" s="48"/>
      <c r="Q614" s="48"/>
      <c r="R614" s="38"/>
      <c r="S614" s="38"/>
      <c r="T614" s="52"/>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83"/>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83"/>
      <c r="CK614" s="11"/>
      <c r="CL614" s="11"/>
      <c r="CM614" s="11"/>
      <c r="CN614" s="11"/>
      <c r="CO614" s="11"/>
      <c r="CP614" s="11"/>
      <c r="CQ614" s="11"/>
      <c r="CR614" s="11"/>
      <c r="CS614" s="11"/>
      <c r="CT614" s="11"/>
      <c r="CU614" s="11"/>
      <c r="CV614" s="11"/>
      <c r="CW614" s="11"/>
      <c r="CX614" s="11"/>
      <c r="CY614" s="11"/>
      <c r="CZ614" s="11"/>
      <c r="DA614" s="11"/>
      <c r="DB614" s="11"/>
      <c r="DC614" s="11"/>
    </row>
    <row r="615" spans="1:107" ht="12.75" customHeight="1">
      <c r="A615" s="11"/>
      <c r="B615" s="11"/>
      <c r="C615" s="11"/>
      <c r="D615" s="11"/>
      <c r="E615" s="11"/>
      <c r="F615" s="11"/>
      <c r="G615" s="11"/>
      <c r="H615" s="15"/>
      <c r="I615" s="38"/>
      <c r="J615" s="38"/>
      <c r="K615" s="38"/>
      <c r="L615" s="41"/>
      <c r="M615" s="43"/>
      <c r="N615" s="11"/>
      <c r="O615" s="48"/>
      <c r="P615" s="48"/>
      <c r="Q615" s="48"/>
      <c r="R615" s="38"/>
      <c r="S615" s="38"/>
      <c r="T615" s="52"/>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83"/>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83"/>
      <c r="CK615" s="11"/>
      <c r="CL615" s="11"/>
      <c r="CM615" s="11"/>
      <c r="CN615" s="11"/>
      <c r="CO615" s="11"/>
      <c r="CP615" s="11"/>
      <c r="CQ615" s="11"/>
      <c r="CR615" s="11"/>
      <c r="CS615" s="11"/>
      <c r="CT615" s="11"/>
      <c r="CU615" s="11"/>
      <c r="CV615" s="11"/>
      <c r="CW615" s="11"/>
      <c r="CX615" s="11"/>
      <c r="CY615" s="11"/>
      <c r="CZ615" s="11"/>
      <c r="DA615" s="11"/>
      <c r="DB615" s="11"/>
      <c r="DC615" s="11"/>
    </row>
    <row r="616" spans="1:107" ht="12.75" customHeight="1">
      <c r="A616" s="11"/>
      <c r="B616" s="11"/>
      <c r="C616" s="11"/>
      <c r="D616" s="11"/>
      <c r="E616" s="11"/>
      <c r="F616" s="11"/>
      <c r="G616" s="11"/>
      <c r="H616" s="15"/>
      <c r="I616" s="38"/>
      <c r="J616" s="38"/>
      <c r="K616" s="38"/>
      <c r="L616" s="41"/>
      <c r="M616" s="43"/>
      <c r="N616" s="11"/>
      <c r="O616" s="48"/>
      <c r="P616" s="48"/>
      <c r="Q616" s="48"/>
      <c r="R616" s="38"/>
      <c r="S616" s="38"/>
      <c r="T616" s="52"/>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83"/>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83"/>
      <c r="CK616" s="11"/>
      <c r="CL616" s="11"/>
      <c r="CM616" s="11"/>
      <c r="CN616" s="11"/>
      <c r="CO616" s="11"/>
      <c r="CP616" s="11"/>
      <c r="CQ616" s="11"/>
      <c r="CR616" s="11"/>
      <c r="CS616" s="11"/>
      <c r="CT616" s="11"/>
      <c r="CU616" s="11"/>
      <c r="CV616" s="11"/>
      <c r="CW616" s="11"/>
      <c r="CX616" s="11"/>
      <c r="CY616" s="11"/>
      <c r="CZ616" s="11"/>
      <c r="DA616" s="11"/>
      <c r="DB616" s="11"/>
      <c r="DC616" s="11"/>
    </row>
    <row r="617" spans="1:107" ht="12.75" customHeight="1">
      <c r="A617" s="11"/>
      <c r="B617" s="11"/>
      <c r="C617" s="11"/>
      <c r="D617" s="11"/>
      <c r="E617" s="11"/>
      <c r="F617" s="11"/>
      <c r="G617" s="11"/>
      <c r="H617" s="15"/>
      <c r="I617" s="38"/>
      <c r="J617" s="38"/>
      <c r="K617" s="38"/>
      <c r="L617" s="41"/>
      <c r="M617" s="43"/>
      <c r="N617" s="11"/>
      <c r="O617" s="48"/>
      <c r="P617" s="48"/>
      <c r="Q617" s="48"/>
      <c r="R617" s="38"/>
      <c r="S617" s="38"/>
      <c r="T617" s="52"/>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83"/>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83"/>
      <c r="CK617" s="11"/>
      <c r="CL617" s="11"/>
      <c r="CM617" s="11"/>
      <c r="CN617" s="11"/>
      <c r="CO617" s="11"/>
      <c r="CP617" s="11"/>
      <c r="CQ617" s="11"/>
      <c r="CR617" s="11"/>
      <c r="CS617" s="11"/>
      <c r="CT617" s="11"/>
      <c r="CU617" s="11"/>
      <c r="CV617" s="11"/>
      <c r="CW617" s="11"/>
      <c r="CX617" s="11"/>
      <c r="CY617" s="11"/>
      <c r="CZ617" s="11"/>
      <c r="DA617" s="11"/>
      <c r="DB617" s="11"/>
      <c r="DC617" s="11"/>
    </row>
    <row r="618" spans="1:107" ht="12.75" customHeight="1">
      <c r="A618" s="11"/>
      <c r="B618" s="11"/>
      <c r="C618" s="11"/>
      <c r="D618" s="11"/>
      <c r="E618" s="11"/>
      <c r="F618" s="11"/>
      <c r="G618" s="11"/>
      <c r="H618" s="15"/>
      <c r="I618" s="38"/>
      <c r="J618" s="38"/>
      <c r="K618" s="38"/>
      <c r="L618" s="41"/>
      <c r="M618" s="43"/>
      <c r="N618" s="11"/>
      <c r="O618" s="48"/>
      <c r="P618" s="48"/>
      <c r="Q618" s="48"/>
      <c r="R618" s="38"/>
      <c r="S618" s="38"/>
      <c r="T618" s="52"/>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83"/>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83"/>
      <c r="CK618" s="11"/>
      <c r="CL618" s="11"/>
      <c r="CM618" s="11"/>
      <c r="CN618" s="11"/>
      <c r="CO618" s="11"/>
      <c r="CP618" s="11"/>
      <c r="CQ618" s="11"/>
      <c r="CR618" s="11"/>
      <c r="CS618" s="11"/>
      <c r="CT618" s="11"/>
      <c r="CU618" s="11"/>
      <c r="CV618" s="11"/>
      <c r="CW618" s="11"/>
      <c r="CX618" s="11"/>
      <c r="CY618" s="11"/>
      <c r="CZ618" s="11"/>
      <c r="DA618" s="11"/>
      <c r="DB618" s="11"/>
      <c r="DC618" s="11"/>
    </row>
    <row r="619" spans="1:107" ht="12.75" customHeight="1">
      <c r="A619" s="11"/>
      <c r="B619" s="11"/>
      <c r="C619" s="11"/>
      <c r="D619" s="11"/>
      <c r="E619" s="11"/>
      <c r="F619" s="11"/>
      <c r="G619" s="11"/>
      <c r="H619" s="15"/>
      <c r="I619" s="38"/>
      <c r="J619" s="38"/>
      <c r="K619" s="38"/>
      <c r="L619" s="41"/>
      <c r="M619" s="43"/>
      <c r="N619" s="11"/>
      <c r="O619" s="48"/>
      <c r="P619" s="48"/>
      <c r="Q619" s="48"/>
      <c r="R619" s="38"/>
      <c r="S619" s="38"/>
      <c r="T619" s="52"/>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83"/>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83"/>
      <c r="CK619" s="11"/>
      <c r="CL619" s="11"/>
      <c r="CM619" s="11"/>
      <c r="CN619" s="11"/>
      <c r="CO619" s="11"/>
      <c r="CP619" s="11"/>
      <c r="CQ619" s="11"/>
      <c r="CR619" s="11"/>
      <c r="CS619" s="11"/>
      <c r="CT619" s="11"/>
      <c r="CU619" s="11"/>
      <c r="CV619" s="11"/>
      <c r="CW619" s="11"/>
      <c r="CX619" s="11"/>
      <c r="CY619" s="11"/>
      <c r="CZ619" s="11"/>
      <c r="DA619" s="11"/>
      <c r="DB619" s="11"/>
      <c r="DC619" s="11"/>
    </row>
    <row r="620" spans="1:107" ht="12.75" customHeight="1">
      <c r="A620" s="11"/>
      <c r="B620" s="11"/>
      <c r="C620" s="11"/>
      <c r="D620" s="11"/>
      <c r="E620" s="11"/>
      <c r="F620" s="11"/>
      <c r="G620" s="11"/>
      <c r="H620" s="15"/>
      <c r="I620" s="38"/>
      <c r="J620" s="38"/>
      <c r="K620" s="38"/>
      <c r="L620" s="41"/>
      <c r="M620" s="43"/>
      <c r="N620" s="11"/>
      <c r="O620" s="48"/>
      <c r="P620" s="48"/>
      <c r="Q620" s="48"/>
      <c r="R620" s="38"/>
      <c r="S620" s="38"/>
      <c r="T620" s="52"/>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83"/>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83"/>
      <c r="CK620" s="11"/>
      <c r="CL620" s="11"/>
      <c r="CM620" s="11"/>
      <c r="CN620" s="11"/>
      <c r="CO620" s="11"/>
      <c r="CP620" s="11"/>
      <c r="CQ620" s="11"/>
      <c r="CR620" s="11"/>
      <c r="CS620" s="11"/>
      <c r="CT620" s="11"/>
      <c r="CU620" s="11"/>
      <c r="CV620" s="11"/>
      <c r="CW620" s="11"/>
      <c r="CX620" s="11"/>
      <c r="CY620" s="11"/>
      <c r="CZ620" s="11"/>
      <c r="DA620" s="11"/>
      <c r="DB620" s="11"/>
      <c r="DC620" s="11"/>
    </row>
    <row r="621" spans="1:107" ht="12.75" customHeight="1">
      <c r="A621" s="11"/>
      <c r="B621" s="11"/>
      <c r="C621" s="11"/>
      <c r="D621" s="11"/>
      <c r="E621" s="11"/>
      <c r="F621" s="11"/>
      <c r="G621" s="11"/>
      <c r="H621" s="15"/>
      <c r="I621" s="38"/>
      <c r="J621" s="38"/>
      <c r="K621" s="38"/>
      <c r="L621" s="41"/>
      <c r="M621" s="43"/>
      <c r="N621" s="11"/>
      <c r="O621" s="48"/>
      <c r="P621" s="48"/>
      <c r="Q621" s="48"/>
      <c r="R621" s="38"/>
      <c r="S621" s="38"/>
      <c r="T621" s="52"/>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83"/>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83"/>
      <c r="CK621" s="11"/>
      <c r="CL621" s="11"/>
      <c r="CM621" s="11"/>
      <c r="CN621" s="11"/>
      <c r="CO621" s="11"/>
      <c r="CP621" s="11"/>
      <c r="CQ621" s="11"/>
      <c r="CR621" s="11"/>
      <c r="CS621" s="11"/>
      <c r="CT621" s="11"/>
      <c r="CU621" s="11"/>
      <c r="CV621" s="11"/>
      <c r="CW621" s="11"/>
      <c r="CX621" s="11"/>
      <c r="CY621" s="11"/>
      <c r="CZ621" s="11"/>
      <c r="DA621" s="11"/>
      <c r="DB621" s="11"/>
      <c r="DC621" s="11"/>
    </row>
    <row r="622" spans="1:107" ht="12.75" customHeight="1">
      <c r="A622" s="11"/>
      <c r="B622" s="11"/>
      <c r="C622" s="11"/>
      <c r="D622" s="11"/>
      <c r="E622" s="11"/>
      <c r="F622" s="11"/>
      <c r="G622" s="11"/>
      <c r="H622" s="15"/>
      <c r="I622" s="38"/>
      <c r="J622" s="38"/>
      <c r="K622" s="38"/>
      <c r="L622" s="41"/>
      <c r="M622" s="43"/>
      <c r="N622" s="11"/>
      <c r="O622" s="48"/>
      <c r="P622" s="48"/>
      <c r="Q622" s="48"/>
      <c r="R622" s="38"/>
      <c r="S622" s="38"/>
      <c r="T622" s="52"/>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83"/>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83"/>
      <c r="CK622" s="11"/>
      <c r="CL622" s="11"/>
      <c r="CM622" s="11"/>
      <c r="CN622" s="11"/>
      <c r="CO622" s="11"/>
      <c r="CP622" s="11"/>
      <c r="CQ622" s="11"/>
      <c r="CR622" s="11"/>
      <c r="CS622" s="11"/>
      <c r="CT622" s="11"/>
      <c r="CU622" s="11"/>
      <c r="CV622" s="11"/>
      <c r="CW622" s="11"/>
      <c r="CX622" s="11"/>
      <c r="CY622" s="11"/>
      <c r="CZ622" s="11"/>
      <c r="DA622" s="11"/>
      <c r="DB622" s="11"/>
      <c r="DC622" s="11"/>
    </row>
    <row r="623" spans="1:107" ht="12.75" customHeight="1">
      <c r="A623" s="11"/>
      <c r="B623" s="11"/>
      <c r="C623" s="11"/>
      <c r="D623" s="11"/>
      <c r="E623" s="11"/>
      <c r="F623" s="11"/>
      <c r="G623" s="11"/>
      <c r="H623" s="15"/>
      <c r="I623" s="38"/>
      <c r="J623" s="38"/>
      <c r="K623" s="38"/>
      <c r="L623" s="41"/>
      <c r="M623" s="43"/>
      <c r="N623" s="11"/>
      <c r="O623" s="48"/>
      <c r="P623" s="48"/>
      <c r="Q623" s="48"/>
      <c r="R623" s="38"/>
      <c r="S623" s="38"/>
      <c r="T623" s="52"/>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83"/>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83"/>
      <c r="CK623" s="11"/>
      <c r="CL623" s="11"/>
      <c r="CM623" s="11"/>
      <c r="CN623" s="11"/>
      <c r="CO623" s="11"/>
      <c r="CP623" s="11"/>
      <c r="CQ623" s="11"/>
      <c r="CR623" s="11"/>
      <c r="CS623" s="11"/>
      <c r="CT623" s="11"/>
      <c r="CU623" s="11"/>
      <c r="CV623" s="11"/>
      <c r="CW623" s="11"/>
      <c r="CX623" s="11"/>
      <c r="CY623" s="11"/>
      <c r="CZ623" s="11"/>
      <c r="DA623" s="11"/>
      <c r="DB623" s="11"/>
      <c r="DC623" s="11"/>
    </row>
    <row r="624" spans="1:107" ht="12.75" customHeight="1">
      <c r="A624" s="11"/>
      <c r="B624" s="11"/>
      <c r="C624" s="11"/>
      <c r="D624" s="11"/>
      <c r="E624" s="11"/>
      <c r="F624" s="11"/>
      <c r="G624" s="11"/>
      <c r="H624" s="15"/>
      <c r="I624" s="38"/>
      <c r="J624" s="38"/>
      <c r="K624" s="38"/>
      <c r="L624" s="41"/>
      <c r="M624" s="43"/>
      <c r="N624" s="11"/>
      <c r="O624" s="48"/>
      <c r="P624" s="48"/>
      <c r="Q624" s="48"/>
      <c r="R624" s="38"/>
      <c r="S624" s="38"/>
      <c r="T624" s="52"/>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83"/>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83"/>
      <c r="CK624" s="11"/>
      <c r="CL624" s="11"/>
      <c r="CM624" s="11"/>
      <c r="CN624" s="11"/>
      <c r="CO624" s="11"/>
      <c r="CP624" s="11"/>
      <c r="CQ624" s="11"/>
      <c r="CR624" s="11"/>
      <c r="CS624" s="11"/>
      <c r="CT624" s="11"/>
      <c r="CU624" s="11"/>
      <c r="CV624" s="11"/>
      <c r="CW624" s="11"/>
      <c r="CX624" s="11"/>
      <c r="CY624" s="11"/>
      <c r="CZ624" s="11"/>
      <c r="DA624" s="11"/>
      <c r="DB624" s="11"/>
      <c r="DC624" s="11"/>
    </row>
    <row r="625" spans="1:107" ht="12.75" customHeight="1">
      <c r="A625" s="11"/>
      <c r="B625" s="11"/>
      <c r="C625" s="11"/>
      <c r="D625" s="11"/>
      <c r="E625" s="11"/>
      <c r="F625" s="11"/>
      <c r="G625" s="11"/>
      <c r="H625" s="15"/>
      <c r="I625" s="38"/>
      <c r="J625" s="38"/>
      <c r="K625" s="38"/>
      <c r="L625" s="41"/>
      <c r="M625" s="43"/>
      <c r="N625" s="11"/>
      <c r="O625" s="48"/>
      <c r="P625" s="48"/>
      <c r="Q625" s="48"/>
      <c r="R625" s="38"/>
      <c r="S625" s="38"/>
      <c r="T625" s="52"/>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83"/>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83"/>
      <c r="CK625" s="11"/>
      <c r="CL625" s="11"/>
      <c r="CM625" s="11"/>
      <c r="CN625" s="11"/>
      <c r="CO625" s="11"/>
      <c r="CP625" s="11"/>
      <c r="CQ625" s="11"/>
      <c r="CR625" s="11"/>
      <c r="CS625" s="11"/>
      <c r="CT625" s="11"/>
      <c r="CU625" s="11"/>
      <c r="CV625" s="11"/>
      <c r="CW625" s="11"/>
      <c r="CX625" s="11"/>
      <c r="CY625" s="11"/>
      <c r="CZ625" s="11"/>
      <c r="DA625" s="11"/>
      <c r="DB625" s="11"/>
      <c r="DC625" s="11"/>
    </row>
    <row r="626" spans="1:107" ht="12.75" customHeight="1">
      <c r="A626" s="11"/>
      <c r="B626" s="11"/>
      <c r="C626" s="11"/>
      <c r="D626" s="11"/>
      <c r="E626" s="11"/>
      <c r="F626" s="11"/>
      <c r="G626" s="11"/>
      <c r="H626" s="15"/>
      <c r="I626" s="38"/>
      <c r="J626" s="38"/>
      <c r="K626" s="38"/>
      <c r="L626" s="41"/>
      <c r="M626" s="43"/>
      <c r="N626" s="11"/>
      <c r="O626" s="48"/>
      <c r="P626" s="48"/>
      <c r="Q626" s="48"/>
      <c r="R626" s="38"/>
      <c r="S626" s="38"/>
      <c r="T626" s="52"/>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83"/>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83"/>
      <c r="CK626" s="11"/>
      <c r="CL626" s="11"/>
      <c r="CM626" s="11"/>
      <c r="CN626" s="11"/>
      <c r="CO626" s="11"/>
      <c r="CP626" s="11"/>
      <c r="CQ626" s="11"/>
      <c r="CR626" s="11"/>
      <c r="CS626" s="11"/>
      <c r="CT626" s="11"/>
      <c r="CU626" s="11"/>
      <c r="CV626" s="11"/>
      <c r="CW626" s="11"/>
      <c r="CX626" s="11"/>
      <c r="CY626" s="11"/>
      <c r="CZ626" s="11"/>
      <c r="DA626" s="11"/>
      <c r="DB626" s="11"/>
      <c r="DC626" s="11"/>
    </row>
    <row r="627" spans="1:107" ht="12.75" customHeight="1">
      <c r="A627" s="11"/>
      <c r="B627" s="11"/>
      <c r="C627" s="11"/>
      <c r="D627" s="11"/>
      <c r="E627" s="11"/>
      <c r="F627" s="11"/>
      <c r="G627" s="11"/>
      <c r="H627" s="15"/>
      <c r="I627" s="38"/>
      <c r="J627" s="38"/>
      <c r="K627" s="38"/>
      <c r="L627" s="41"/>
      <c r="M627" s="43"/>
      <c r="N627" s="11"/>
      <c r="O627" s="48"/>
      <c r="P627" s="48"/>
      <c r="Q627" s="48"/>
      <c r="R627" s="38"/>
      <c r="S627" s="38"/>
      <c r="T627" s="52"/>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83"/>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83"/>
      <c r="CK627" s="11"/>
      <c r="CL627" s="11"/>
      <c r="CM627" s="11"/>
      <c r="CN627" s="11"/>
      <c r="CO627" s="11"/>
      <c r="CP627" s="11"/>
      <c r="CQ627" s="11"/>
      <c r="CR627" s="11"/>
      <c r="CS627" s="11"/>
      <c r="CT627" s="11"/>
      <c r="CU627" s="11"/>
      <c r="CV627" s="11"/>
      <c r="CW627" s="11"/>
      <c r="CX627" s="11"/>
      <c r="CY627" s="11"/>
      <c r="CZ627" s="11"/>
      <c r="DA627" s="11"/>
      <c r="DB627" s="11"/>
      <c r="DC627" s="11"/>
    </row>
    <row r="628" spans="1:107" ht="12.75" customHeight="1">
      <c r="A628" s="11"/>
      <c r="B628" s="11"/>
      <c r="C628" s="11"/>
      <c r="D628" s="11"/>
      <c r="E628" s="11"/>
      <c r="F628" s="11"/>
      <c r="G628" s="11"/>
      <c r="H628" s="15"/>
      <c r="I628" s="38"/>
      <c r="J628" s="38"/>
      <c r="K628" s="38"/>
      <c r="L628" s="41"/>
      <c r="M628" s="43"/>
      <c r="N628" s="11"/>
      <c r="O628" s="48"/>
      <c r="P628" s="48"/>
      <c r="Q628" s="48"/>
      <c r="R628" s="38"/>
      <c r="S628" s="38"/>
      <c r="T628" s="52"/>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83"/>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83"/>
      <c r="CK628" s="11"/>
      <c r="CL628" s="11"/>
      <c r="CM628" s="11"/>
      <c r="CN628" s="11"/>
      <c r="CO628" s="11"/>
      <c r="CP628" s="11"/>
      <c r="CQ628" s="11"/>
      <c r="CR628" s="11"/>
      <c r="CS628" s="11"/>
      <c r="CT628" s="11"/>
      <c r="CU628" s="11"/>
      <c r="CV628" s="11"/>
      <c r="CW628" s="11"/>
      <c r="CX628" s="11"/>
      <c r="CY628" s="11"/>
      <c r="CZ628" s="11"/>
      <c r="DA628" s="11"/>
      <c r="DB628" s="11"/>
      <c r="DC628" s="11"/>
    </row>
    <row r="629" spans="1:107" ht="12.75" customHeight="1">
      <c r="A629" s="11"/>
      <c r="B629" s="11"/>
      <c r="C629" s="11"/>
      <c r="D629" s="11"/>
      <c r="E629" s="11"/>
      <c r="F629" s="11"/>
      <c r="G629" s="11"/>
      <c r="H629" s="15"/>
      <c r="I629" s="38"/>
      <c r="J629" s="38"/>
      <c r="K629" s="38"/>
      <c r="L629" s="41"/>
      <c r="M629" s="43"/>
      <c r="N629" s="11"/>
      <c r="O629" s="48"/>
      <c r="P629" s="48"/>
      <c r="Q629" s="48"/>
      <c r="R629" s="38"/>
      <c r="S629" s="38"/>
      <c r="T629" s="52"/>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83"/>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83"/>
      <c r="CK629" s="11"/>
      <c r="CL629" s="11"/>
      <c r="CM629" s="11"/>
      <c r="CN629" s="11"/>
      <c r="CO629" s="11"/>
      <c r="CP629" s="11"/>
      <c r="CQ629" s="11"/>
      <c r="CR629" s="11"/>
      <c r="CS629" s="11"/>
      <c r="CT629" s="11"/>
      <c r="CU629" s="11"/>
      <c r="CV629" s="11"/>
      <c r="CW629" s="11"/>
      <c r="CX629" s="11"/>
      <c r="CY629" s="11"/>
      <c r="CZ629" s="11"/>
      <c r="DA629" s="11"/>
      <c r="DB629" s="11"/>
      <c r="DC629" s="11"/>
    </row>
    <row r="630" spans="1:107" ht="12.75" customHeight="1">
      <c r="A630" s="11"/>
      <c r="B630" s="11"/>
      <c r="C630" s="11"/>
      <c r="D630" s="11"/>
      <c r="E630" s="11"/>
      <c r="F630" s="11"/>
      <c r="G630" s="11"/>
      <c r="H630" s="15"/>
      <c r="I630" s="38"/>
      <c r="J630" s="38"/>
      <c r="K630" s="38"/>
      <c r="L630" s="41"/>
      <c r="M630" s="43"/>
      <c r="N630" s="11"/>
      <c r="O630" s="48"/>
      <c r="P630" s="48"/>
      <c r="Q630" s="48"/>
      <c r="R630" s="38"/>
      <c r="S630" s="38"/>
      <c r="T630" s="52"/>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83"/>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83"/>
      <c r="CK630" s="11"/>
      <c r="CL630" s="11"/>
      <c r="CM630" s="11"/>
      <c r="CN630" s="11"/>
      <c r="CO630" s="11"/>
      <c r="CP630" s="11"/>
      <c r="CQ630" s="11"/>
      <c r="CR630" s="11"/>
      <c r="CS630" s="11"/>
      <c r="CT630" s="11"/>
      <c r="CU630" s="11"/>
      <c r="CV630" s="11"/>
      <c r="CW630" s="11"/>
      <c r="CX630" s="11"/>
      <c r="CY630" s="11"/>
      <c r="CZ630" s="11"/>
      <c r="DA630" s="11"/>
      <c r="DB630" s="11"/>
      <c r="DC630" s="11"/>
    </row>
    <row r="631" spans="1:107" ht="12.75" customHeight="1">
      <c r="A631" s="11"/>
      <c r="B631" s="11"/>
      <c r="C631" s="11"/>
      <c r="D631" s="11"/>
      <c r="E631" s="11"/>
      <c r="F631" s="11"/>
      <c r="G631" s="11"/>
      <c r="H631" s="15"/>
      <c r="I631" s="38"/>
      <c r="J631" s="38"/>
      <c r="K631" s="38"/>
      <c r="L631" s="41"/>
      <c r="M631" s="43"/>
      <c r="N631" s="11"/>
      <c r="O631" s="48"/>
      <c r="P631" s="48"/>
      <c r="Q631" s="48"/>
      <c r="R631" s="38"/>
      <c r="S631" s="38"/>
      <c r="T631" s="52"/>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83"/>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83"/>
      <c r="CK631" s="11"/>
      <c r="CL631" s="11"/>
      <c r="CM631" s="11"/>
      <c r="CN631" s="11"/>
      <c r="CO631" s="11"/>
      <c r="CP631" s="11"/>
      <c r="CQ631" s="11"/>
      <c r="CR631" s="11"/>
      <c r="CS631" s="11"/>
      <c r="CT631" s="11"/>
      <c r="CU631" s="11"/>
      <c r="CV631" s="11"/>
      <c r="CW631" s="11"/>
      <c r="CX631" s="11"/>
      <c r="CY631" s="11"/>
      <c r="CZ631" s="11"/>
      <c r="DA631" s="11"/>
      <c r="DB631" s="11"/>
      <c r="DC631" s="11"/>
    </row>
    <row r="632" spans="1:107" ht="12.75" customHeight="1">
      <c r="A632" s="11"/>
      <c r="B632" s="11"/>
      <c r="C632" s="11"/>
      <c r="D632" s="11"/>
      <c r="E632" s="11"/>
      <c r="F632" s="11"/>
      <c r="G632" s="11"/>
      <c r="H632" s="15"/>
      <c r="I632" s="38"/>
      <c r="J632" s="38"/>
      <c r="K632" s="38"/>
      <c r="L632" s="41"/>
      <c r="M632" s="43"/>
      <c r="N632" s="11"/>
      <c r="O632" s="48"/>
      <c r="P632" s="48"/>
      <c r="Q632" s="48"/>
      <c r="R632" s="38"/>
      <c r="S632" s="38"/>
      <c r="T632" s="52"/>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83"/>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83"/>
      <c r="CK632" s="11"/>
      <c r="CL632" s="11"/>
      <c r="CM632" s="11"/>
      <c r="CN632" s="11"/>
      <c r="CO632" s="11"/>
      <c r="CP632" s="11"/>
      <c r="CQ632" s="11"/>
      <c r="CR632" s="11"/>
      <c r="CS632" s="11"/>
      <c r="CT632" s="11"/>
      <c r="CU632" s="11"/>
      <c r="CV632" s="11"/>
      <c r="CW632" s="11"/>
      <c r="CX632" s="11"/>
      <c r="CY632" s="11"/>
      <c r="CZ632" s="11"/>
      <c r="DA632" s="11"/>
      <c r="DB632" s="11"/>
      <c r="DC632" s="11"/>
    </row>
    <row r="633" spans="1:107" ht="12.75" customHeight="1">
      <c r="A633" s="11"/>
      <c r="B633" s="11"/>
      <c r="C633" s="11"/>
      <c r="D633" s="11"/>
      <c r="E633" s="11"/>
      <c r="F633" s="11"/>
      <c r="G633" s="11"/>
      <c r="H633" s="15"/>
      <c r="I633" s="38"/>
      <c r="J633" s="38"/>
      <c r="K633" s="38"/>
      <c r="L633" s="41"/>
      <c r="M633" s="43"/>
      <c r="N633" s="11"/>
      <c r="O633" s="48"/>
      <c r="P633" s="48"/>
      <c r="Q633" s="48"/>
      <c r="R633" s="38"/>
      <c r="S633" s="38"/>
      <c r="T633" s="52"/>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83"/>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83"/>
      <c r="CK633" s="11"/>
      <c r="CL633" s="11"/>
      <c r="CM633" s="11"/>
      <c r="CN633" s="11"/>
      <c r="CO633" s="11"/>
      <c r="CP633" s="11"/>
      <c r="CQ633" s="11"/>
      <c r="CR633" s="11"/>
      <c r="CS633" s="11"/>
      <c r="CT633" s="11"/>
      <c r="CU633" s="11"/>
      <c r="CV633" s="11"/>
      <c r="CW633" s="11"/>
      <c r="CX633" s="11"/>
      <c r="CY633" s="11"/>
      <c r="CZ633" s="11"/>
      <c r="DA633" s="11"/>
      <c r="DB633" s="11"/>
      <c r="DC633" s="11"/>
    </row>
    <row r="634" spans="1:107" ht="12.75" customHeight="1">
      <c r="A634" s="11"/>
      <c r="B634" s="11"/>
      <c r="C634" s="11"/>
      <c r="D634" s="11"/>
      <c r="E634" s="11"/>
      <c r="F634" s="11"/>
      <c r="G634" s="11"/>
      <c r="H634" s="15"/>
      <c r="I634" s="38"/>
      <c r="J634" s="38"/>
      <c r="K634" s="38"/>
      <c r="L634" s="41"/>
      <c r="M634" s="43"/>
      <c r="N634" s="11"/>
      <c r="O634" s="48"/>
      <c r="P634" s="48"/>
      <c r="Q634" s="48"/>
      <c r="R634" s="38"/>
      <c r="S634" s="38"/>
      <c r="T634" s="52"/>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83"/>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83"/>
      <c r="CK634" s="11"/>
      <c r="CL634" s="11"/>
      <c r="CM634" s="11"/>
      <c r="CN634" s="11"/>
      <c r="CO634" s="11"/>
      <c r="CP634" s="11"/>
      <c r="CQ634" s="11"/>
      <c r="CR634" s="11"/>
      <c r="CS634" s="11"/>
      <c r="CT634" s="11"/>
      <c r="CU634" s="11"/>
      <c r="CV634" s="11"/>
      <c r="CW634" s="11"/>
      <c r="CX634" s="11"/>
      <c r="CY634" s="11"/>
      <c r="CZ634" s="11"/>
      <c r="DA634" s="11"/>
      <c r="DB634" s="11"/>
      <c r="DC634" s="11"/>
    </row>
    <row r="635" spans="1:107" ht="12.75" customHeight="1">
      <c r="A635" s="11"/>
      <c r="B635" s="11"/>
      <c r="C635" s="11"/>
      <c r="D635" s="11"/>
      <c r="E635" s="11"/>
      <c r="F635" s="11"/>
      <c r="G635" s="11"/>
      <c r="H635" s="15"/>
      <c r="I635" s="38"/>
      <c r="J635" s="38"/>
      <c r="K635" s="38"/>
      <c r="L635" s="41"/>
      <c r="M635" s="43"/>
      <c r="N635" s="11"/>
      <c r="O635" s="48"/>
      <c r="P635" s="48"/>
      <c r="Q635" s="48"/>
      <c r="R635" s="38"/>
      <c r="S635" s="38"/>
      <c r="T635" s="52"/>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83"/>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83"/>
      <c r="CK635" s="11"/>
      <c r="CL635" s="11"/>
      <c r="CM635" s="11"/>
      <c r="CN635" s="11"/>
      <c r="CO635" s="11"/>
      <c r="CP635" s="11"/>
      <c r="CQ635" s="11"/>
      <c r="CR635" s="11"/>
      <c r="CS635" s="11"/>
      <c r="CT635" s="11"/>
      <c r="CU635" s="11"/>
      <c r="CV635" s="11"/>
      <c r="CW635" s="11"/>
      <c r="CX635" s="11"/>
      <c r="CY635" s="11"/>
      <c r="CZ635" s="11"/>
      <c r="DA635" s="11"/>
      <c r="DB635" s="11"/>
      <c r="DC635" s="11"/>
    </row>
    <row r="636" spans="1:107" ht="12.75" customHeight="1">
      <c r="A636" s="11"/>
      <c r="B636" s="11"/>
      <c r="C636" s="11"/>
      <c r="D636" s="11"/>
      <c r="E636" s="11"/>
      <c r="F636" s="11"/>
      <c r="G636" s="11"/>
      <c r="H636" s="15"/>
      <c r="I636" s="38"/>
      <c r="J636" s="38"/>
      <c r="K636" s="38"/>
      <c r="L636" s="41"/>
      <c r="M636" s="43"/>
      <c r="N636" s="11"/>
      <c r="O636" s="48"/>
      <c r="P636" s="48"/>
      <c r="Q636" s="48"/>
      <c r="R636" s="38"/>
      <c r="S636" s="38"/>
      <c r="T636" s="52"/>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83"/>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83"/>
      <c r="CK636" s="11"/>
      <c r="CL636" s="11"/>
      <c r="CM636" s="11"/>
      <c r="CN636" s="11"/>
      <c r="CO636" s="11"/>
      <c r="CP636" s="11"/>
      <c r="CQ636" s="11"/>
      <c r="CR636" s="11"/>
      <c r="CS636" s="11"/>
      <c r="CT636" s="11"/>
      <c r="CU636" s="11"/>
      <c r="CV636" s="11"/>
      <c r="CW636" s="11"/>
      <c r="CX636" s="11"/>
      <c r="CY636" s="11"/>
      <c r="CZ636" s="11"/>
      <c r="DA636" s="11"/>
      <c r="DB636" s="11"/>
      <c r="DC636" s="11"/>
    </row>
    <row r="637" spans="1:107" ht="12.75" customHeight="1">
      <c r="A637" s="11"/>
      <c r="B637" s="11"/>
      <c r="C637" s="11"/>
      <c r="D637" s="11"/>
      <c r="E637" s="11"/>
      <c r="F637" s="11"/>
      <c r="G637" s="11"/>
      <c r="H637" s="15"/>
      <c r="I637" s="38"/>
      <c r="J637" s="38"/>
      <c r="K637" s="38"/>
      <c r="L637" s="41"/>
      <c r="M637" s="43"/>
      <c r="N637" s="11"/>
      <c r="O637" s="48"/>
      <c r="P637" s="48"/>
      <c r="Q637" s="48"/>
      <c r="R637" s="38"/>
      <c r="S637" s="38"/>
      <c r="T637" s="52"/>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83"/>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83"/>
      <c r="CK637" s="11"/>
      <c r="CL637" s="11"/>
      <c r="CM637" s="11"/>
      <c r="CN637" s="11"/>
      <c r="CO637" s="11"/>
      <c r="CP637" s="11"/>
      <c r="CQ637" s="11"/>
      <c r="CR637" s="11"/>
      <c r="CS637" s="11"/>
      <c r="CT637" s="11"/>
      <c r="CU637" s="11"/>
      <c r="CV637" s="11"/>
      <c r="CW637" s="11"/>
      <c r="CX637" s="11"/>
      <c r="CY637" s="11"/>
      <c r="CZ637" s="11"/>
      <c r="DA637" s="11"/>
      <c r="DB637" s="11"/>
      <c r="DC637" s="11"/>
    </row>
    <row r="638" spans="1:107" ht="12.75" customHeight="1">
      <c r="A638" s="11"/>
      <c r="B638" s="11"/>
      <c r="C638" s="11"/>
      <c r="D638" s="11"/>
      <c r="E638" s="11"/>
      <c r="F638" s="11"/>
      <c r="G638" s="11"/>
      <c r="H638" s="15"/>
      <c r="I638" s="38"/>
      <c r="J638" s="38"/>
      <c r="K638" s="38"/>
      <c r="L638" s="41"/>
      <c r="M638" s="43"/>
      <c r="N638" s="11"/>
      <c r="O638" s="48"/>
      <c r="P638" s="48"/>
      <c r="Q638" s="48"/>
      <c r="R638" s="38"/>
      <c r="S638" s="38"/>
      <c r="T638" s="52"/>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83"/>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83"/>
      <c r="CK638" s="11"/>
      <c r="CL638" s="11"/>
      <c r="CM638" s="11"/>
      <c r="CN638" s="11"/>
      <c r="CO638" s="11"/>
      <c r="CP638" s="11"/>
      <c r="CQ638" s="11"/>
      <c r="CR638" s="11"/>
      <c r="CS638" s="11"/>
      <c r="CT638" s="11"/>
      <c r="CU638" s="11"/>
      <c r="CV638" s="11"/>
      <c r="CW638" s="11"/>
      <c r="CX638" s="11"/>
      <c r="CY638" s="11"/>
      <c r="CZ638" s="11"/>
      <c r="DA638" s="11"/>
      <c r="DB638" s="11"/>
      <c r="DC638" s="11"/>
    </row>
    <row r="639" spans="1:107" ht="12.75" customHeight="1">
      <c r="A639" s="11"/>
      <c r="B639" s="11"/>
      <c r="C639" s="11"/>
      <c r="D639" s="11"/>
      <c r="E639" s="11"/>
      <c r="F639" s="11"/>
      <c r="G639" s="11"/>
      <c r="H639" s="15"/>
      <c r="I639" s="38"/>
      <c r="J639" s="38"/>
      <c r="K639" s="38"/>
      <c r="L639" s="41"/>
      <c r="M639" s="43"/>
      <c r="N639" s="11"/>
      <c r="O639" s="48"/>
      <c r="P639" s="48"/>
      <c r="Q639" s="48"/>
      <c r="R639" s="38"/>
      <c r="S639" s="38"/>
      <c r="T639" s="52"/>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83"/>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83"/>
      <c r="CK639" s="11"/>
      <c r="CL639" s="11"/>
      <c r="CM639" s="11"/>
      <c r="CN639" s="11"/>
      <c r="CO639" s="11"/>
      <c r="CP639" s="11"/>
      <c r="CQ639" s="11"/>
      <c r="CR639" s="11"/>
      <c r="CS639" s="11"/>
      <c r="CT639" s="11"/>
      <c r="CU639" s="11"/>
      <c r="CV639" s="11"/>
      <c r="CW639" s="11"/>
      <c r="CX639" s="11"/>
      <c r="CY639" s="11"/>
      <c r="CZ639" s="11"/>
      <c r="DA639" s="11"/>
      <c r="DB639" s="11"/>
      <c r="DC639" s="11"/>
    </row>
    <row r="640" spans="1:107" ht="12.75" customHeight="1">
      <c r="A640" s="11"/>
      <c r="B640" s="11"/>
      <c r="C640" s="11"/>
      <c r="D640" s="11"/>
      <c r="E640" s="11"/>
      <c r="F640" s="11"/>
      <c r="G640" s="11"/>
      <c r="H640" s="15"/>
      <c r="I640" s="38"/>
      <c r="J640" s="38"/>
      <c r="K640" s="38"/>
      <c r="L640" s="41"/>
      <c r="M640" s="43"/>
      <c r="N640" s="11"/>
      <c r="O640" s="48"/>
      <c r="P640" s="48"/>
      <c r="Q640" s="48"/>
      <c r="R640" s="38"/>
      <c r="S640" s="38"/>
      <c r="T640" s="52"/>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83"/>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83"/>
      <c r="CK640" s="11"/>
      <c r="CL640" s="11"/>
      <c r="CM640" s="11"/>
      <c r="CN640" s="11"/>
      <c r="CO640" s="11"/>
      <c r="CP640" s="11"/>
      <c r="CQ640" s="11"/>
      <c r="CR640" s="11"/>
      <c r="CS640" s="11"/>
      <c r="CT640" s="11"/>
      <c r="CU640" s="11"/>
      <c r="CV640" s="11"/>
      <c r="CW640" s="11"/>
      <c r="CX640" s="11"/>
      <c r="CY640" s="11"/>
      <c r="CZ640" s="11"/>
      <c r="DA640" s="11"/>
      <c r="DB640" s="11"/>
      <c r="DC640" s="11"/>
    </row>
    <row r="641" spans="1:107" ht="12.75" customHeight="1">
      <c r="A641" s="11"/>
      <c r="B641" s="11"/>
      <c r="C641" s="11"/>
      <c r="D641" s="11"/>
      <c r="E641" s="11"/>
      <c r="F641" s="11"/>
      <c r="G641" s="11"/>
      <c r="H641" s="15"/>
      <c r="I641" s="38"/>
      <c r="J641" s="38"/>
      <c r="K641" s="38"/>
      <c r="L641" s="41"/>
      <c r="M641" s="43"/>
      <c r="N641" s="11"/>
      <c r="O641" s="48"/>
      <c r="P641" s="48"/>
      <c r="Q641" s="48"/>
      <c r="R641" s="38"/>
      <c r="S641" s="38"/>
      <c r="T641" s="52"/>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83"/>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83"/>
      <c r="CK641" s="11"/>
      <c r="CL641" s="11"/>
      <c r="CM641" s="11"/>
      <c r="CN641" s="11"/>
      <c r="CO641" s="11"/>
      <c r="CP641" s="11"/>
      <c r="CQ641" s="11"/>
      <c r="CR641" s="11"/>
      <c r="CS641" s="11"/>
      <c r="CT641" s="11"/>
      <c r="CU641" s="11"/>
      <c r="CV641" s="11"/>
      <c r="CW641" s="11"/>
      <c r="CX641" s="11"/>
      <c r="CY641" s="11"/>
      <c r="CZ641" s="11"/>
      <c r="DA641" s="11"/>
      <c r="DB641" s="11"/>
      <c r="DC641" s="11"/>
    </row>
    <row r="642" spans="1:107" ht="12.75" customHeight="1">
      <c r="A642" s="11"/>
      <c r="B642" s="11"/>
      <c r="C642" s="11"/>
      <c r="D642" s="11"/>
      <c r="E642" s="11"/>
      <c r="F642" s="11"/>
      <c r="G642" s="11"/>
      <c r="H642" s="15"/>
      <c r="I642" s="38"/>
      <c r="J642" s="38"/>
      <c r="K642" s="38"/>
      <c r="L642" s="41"/>
      <c r="M642" s="43"/>
      <c r="N642" s="11"/>
      <c r="O642" s="48"/>
      <c r="P642" s="48"/>
      <c r="Q642" s="48"/>
      <c r="R642" s="38"/>
      <c r="S642" s="38"/>
      <c r="T642" s="52"/>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83"/>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83"/>
      <c r="CK642" s="11"/>
      <c r="CL642" s="11"/>
      <c r="CM642" s="11"/>
      <c r="CN642" s="11"/>
      <c r="CO642" s="11"/>
      <c r="CP642" s="11"/>
      <c r="CQ642" s="11"/>
      <c r="CR642" s="11"/>
      <c r="CS642" s="11"/>
      <c r="CT642" s="11"/>
      <c r="CU642" s="11"/>
      <c r="CV642" s="11"/>
      <c r="CW642" s="11"/>
      <c r="CX642" s="11"/>
      <c r="CY642" s="11"/>
      <c r="CZ642" s="11"/>
      <c r="DA642" s="11"/>
      <c r="DB642" s="11"/>
      <c r="DC642" s="11"/>
    </row>
    <row r="643" spans="1:107" ht="12.75" customHeight="1">
      <c r="A643" s="11"/>
      <c r="B643" s="11"/>
      <c r="C643" s="11"/>
      <c r="D643" s="11"/>
      <c r="E643" s="11"/>
      <c r="F643" s="11"/>
      <c r="G643" s="11"/>
      <c r="H643" s="15"/>
      <c r="I643" s="38"/>
      <c r="J643" s="38"/>
      <c r="K643" s="38"/>
      <c r="L643" s="41"/>
      <c r="M643" s="43"/>
      <c r="N643" s="11"/>
      <c r="O643" s="48"/>
      <c r="P643" s="48"/>
      <c r="Q643" s="48"/>
      <c r="R643" s="38"/>
      <c r="S643" s="38"/>
      <c r="T643" s="52"/>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83"/>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83"/>
      <c r="CK643" s="11"/>
      <c r="CL643" s="11"/>
      <c r="CM643" s="11"/>
      <c r="CN643" s="11"/>
      <c r="CO643" s="11"/>
      <c r="CP643" s="11"/>
      <c r="CQ643" s="11"/>
      <c r="CR643" s="11"/>
      <c r="CS643" s="11"/>
      <c r="CT643" s="11"/>
      <c r="CU643" s="11"/>
      <c r="CV643" s="11"/>
      <c r="CW643" s="11"/>
      <c r="CX643" s="11"/>
      <c r="CY643" s="11"/>
      <c r="CZ643" s="11"/>
      <c r="DA643" s="11"/>
      <c r="DB643" s="11"/>
      <c r="DC643" s="11"/>
    </row>
    <row r="644" spans="1:107" ht="12.75" customHeight="1">
      <c r="A644" s="11"/>
      <c r="B644" s="11"/>
      <c r="C644" s="11"/>
      <c r="D644" s="11"/>
      <c r="E644" s="11"/>
      <c r="F644" s="11"/>
      <c r="G644" s="11"/>
      <c r="H644" s="15"/>
      <c r="I644" s="38"/>
      <c r="J644" s="38"/>
      <c r="K644" s="38"/>
      <c r="L644" s="41"/>
      <c r="M644" s="43"/>
      <c r="N644" s="11"/>
      <c r="O644" s="48"/>
      <c r="P644" s="48"/>
      <c r="Q644" s="48"/>
      <c r="R644" s="38"/>
      <c r="S644" s="38"/>
      <c r="T644" s="52"/>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83"/>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83"/>
      <c r="CK644" s="11"/>
      <c r="CL644" s="11"/>
      <c r="CM644" s="11"/>
      <c r="CN644" s="11"/>
      <c r="CO644" s="11"/>
      <c r="CP644" s="11"/>
      <c r="CQ644" s="11"/>
      <c r="CR644" s="11"/>
      <c r="CS644" s="11"/>
      <c r="CT644" s="11"/>
      <c r="CU644" s="11"/>
      <c r="CV644" s="11"/>
      <c r="CW644" s="11"/>
      <c r="CX644" s="11"/>
      <c r="CY644" s="11"/>
      <c r="CZ644" s="11"/>
      <c r="DA644" s="11"/>
      <c r="DB644" s="11"/>
      <c r="DC644" s="11"/>
    </row>
    <row r="645" spans="1:107" ht="12.75" customHeight="1">
      <c r="A645" s="11"/>
      <c r="B645" s="11"/>
      <c r="C645" s="11"/>
      <c r="D645" s="11"/>
      <c r="E645" s="11"/>
      <c r="F645" s="11"/>
      <c r="G645" s="11"/>
      <c r="H645" s="15"/>
      <c r="I645" s="38"/>
      <c r="J645" s="38"/>
      <c r="K645" s="38"/>
      <c r="L645" s="41"/>
      <c r="M645" s="43"/>
      <c r="N645" s="11"/>
      <c r="O645" s="48"/>
      <c r="P645" s="48"/>
      <c r="Q645" s="48"/>
      <c r="R645" s="38"/>
      <c r="S645" s="38"/>
      <c r="T645" s="52"/>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83"/>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83"/>
      <c r="CK645" s="11"/>
      <c r="CL645" s="11"/>
      <c r="CM645" s="11"/>
      <c r="CN645" s="11"/>
      <c r="CO645" s="11"/>
      <c r="CP645" s="11"/>
      <c r="CQ645" s="11"/>
      <c r="CR645" s="11"/>
      <c r="CS645" s="11"/>
      <c r="CT645" s="11"/>
      <c r="CU645" s="11"/>
      <c r="CV645" s="11"/>
      <c r="CW645" s="11"/>
      <c r="CX645" s="11"/>
      <c r="CY645" s="11"/>
      <c r="CZ645" s="11"/>
      <c r="DA645" s="11"/>
      <c r="DB645" s="11"/>
      <c r="DC645" s="11"/>
    </row>
    <row r="646" spans="1:107" ht="12.75" customHeight="1">
      <c r="A646" s="11"/>
      <c r="B646" s="11"/>
      <c r="C646" s="11"/>
      <c r="D646" s="11"/>
      <c r="E646" s="11"/>
      <c r="F646" s="11"/>
      <c r="G646" s="11"/>
      <c r="H646" s="15"/>
      <c r="I646" s="38"/>
      <c r="J646" s="38"/>
      <c r="K646" s="38"/>
      <c r="L646" s="41"/>
      <c r="M646" s="43"/>
      <c r="N646" s="11"/>
      <c r="O646" s="48"/>
      <c r="P646" s="48"/>
      <c r="Q646" s="48"/>
      <c r="R646" s="38"/>
      <c r="S646" s="38"/>
      <c r="T646" s="52"/>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83"/>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83"/>
      <c r="CK646" s="11"/>
      <c r="CL646" s="11"/>
      <c r="CM646" s="11"/>
      <c r="CN646" s="11"/>
      <c r="CO646" s="11"/>
      <c r="CP646" s="11"/>
      <c r="CQ646" s="11"/>
      <c r="CR646" s="11"/>
      <c r="CS646" s="11"/>
      <c r="CT646" s="11"/>
      <c r="CU646" s="11"/>
      <c r="CV646" s="11"/>
      <c r="CW646" s="11"/>
      <c r="CX646" s="11"/>
      <c r="CY646" s="11"/>
      <c r="CZ646" s="11"/>
      <c r="DA646" s="11"/>
      <c r="DB646" s="11"/>
      <c r="DC646" s="11"/>
    </row>
    <row r="647" spans="1:107" ht="12.75" customHeight="1">
      <c r="A647" s="11"/>
      <c r="B647" s="11"/>
      <c r="C647" s="11"/>
      <c r="D647" s="11"/>
      <c r="E647" s="11"/>
      <c r="F647" s="11"/>
      <c r="G647" s="11"/>
      <c r="H647" s="15"/>
      <c r="I647" s="38"/>
      <c r="J647" s="38"/>
      <c r="K647" s="38"/>
      <c r="L647" s="41"/>
      <c r="M647" s="43"/>
      <c r="N647" s="11"/>
      <c r="O647" s="48"/>
      <c r="P647" s="48"/>
      <c r="Q647" s="48"/>
      <c r="R647" s="38"/>
      <c r="S647" s="38"/>
      <c r="T647" s="52"/>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83"/>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83"/>
      <c r="CK647" s="11"/>
      <c r="CL647" s="11"/>
      <c r="CM647" s="11"/>
      <c r="CN647" s="11"/>
      <c r="CO647" s="11"/>
      <c r="CP647" s="11"/>
      <c r="CQ647" s="11"/>
      <c r="CR647" s="11"/>
      <c r="CS647" s="11"/>
      <c r="CT647" s="11"/>
      <c r="CU647" s="11"/>
      <c r="CV647" s="11"/>
      <c r="CW647" s="11"/>
      <c r="CX647" s="11"/>
      <c r="CY647" s="11"/>
      <c r="CZ647" s="11"/>
      <c r="DA647" s="11"/>
      <c r="DB647" s="11"/>
      <c r="DC647" s="11"/>
    </row>
    <row r="648" spans="1:107" ht="12.75" customHeight="1">
      <c r="A648" s="11"/>
      <c r="B648" s="11"/>
      <c r="C648" s="11"/>
      <c r="D648" s="11"/>
      <c r="E648" s="11"/>
      <c r="F648" s="11"/>
      <c r="G648" s="11"/>
      <c r="H648" s="15"/>
      <c r="I648" s="38"/>
      <c r="J648" s="38"/>
      <c r="K648" s="38"/>
      <c r="L648" s="41"/>
      <c r="M648" s="43"/>
      <c r="N648" s="11"/>
      <c r="O648" s="48"/>
      <c r="P648" s="48"/>
      <c r="Q648" s="48"/>
      <c r="R648" s="38"/>
      <c r="S648" s="38"/>
      <c r="T648" s="52"/>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83"/>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83"/>
      <c r="CK648" s="11"/>
      <c r="CL648" s="11"/>
      <c r="CM648" s="11"/>
      <c r="CN648" s="11"/>
      <c r="CO648" s="11"/>
      <c r="CP648" s="11"/>
      <c r="CQ648" s="11"/>
      <c r="CR648" s="11"/>
      <c r="CS648" s="11"/>
      <c r="CT648" s="11"/>
      <c r="CU648" s="11"/>
      <c r="CV648" s="11"/>
      <c r="CW648" s="11"/>
      <c r="CX648" s="11"/>
      <c r="CY648" s="11"/>
      <c r="CZ648" s="11"/>
      <c r="DA648" s="11"/>
      <c r="DB648" s="11"/>
      <c r="DC648" s="11"/>
    </row>
    <row r="649" spans="1:107" ht="12.75" customHeight="1">
      <c r="A649" s="11"/>
      <c r="B649" s="11"/>
      <c r="C649" s="11"/>
      <c r="D649" s="11"/>
      <c r="E649" s="11"/>
      <c r="F649" s="11"/>
      <c r="G649" s="11"/>
      <c r="H649" s="15"/>
      <c r="I649" s="38"/>
      <c r="J649" s="38"/>
      <c r="K649" s="38"/>
      <c r="L649" s="41"/>
      <c r="M649" s="43"/>
      <c r="N649" s="11"/>
      <c r="O649" s="48"/>
      <c r="P649" s="48"/>
      <c r="Q649" s="48"/>
      <c r="R649" s="38"/>
      <c r="S649" s="38"/>
      <c r="T649" s="52"/>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83"/>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83"/>
      <c r="CK649" s="11"/>
      <c r="CL649" s="11"/>
      <c r="CM649" s="11"/>
      <c r="CN649" s="11"/>
      <c r="CO649" s="11"/>
      <c r="CP649" s="11"/>
      <c r="CQ649" s="11"/>
      <c r="CR649" s="11"/>
      <c r="CS649" s="11"/>
      <c r="CT649" s="11"/>
      <c r="CU649" s="11"/>
      <c r="CV649" s="11"/>
      <c r="CW649" s="11"/>
      <c r="CX649" s="11"/>
      <c r="CY649" s="11"/>
      <c r="CZ649" s="11"/>
      <c r="DA649" s="11"/>
      <c r="DB649" s="11"/>
      <c r="DC649" s="11"/>
    </row>
    <row r="650" spans="1:107" ht="12.75" customHeight="1">
      <c r="A650" s="11"/>
      <c r="B650" s="11"/>
      <c r="C650" s="11"/>
      <c r="D650" s="11"/>
      <c r="E650" s="11"/>
      <c r="F650" s="11"/>
      <c r="G650" s="11"/>
      <c r="H650" s="15"/>
      <c r="I650" s="38"/>
      <c r="J650" s="38"/>
      <c r="K650" s="38"/>
      <c r="L650" s="41"/>
      <c r="M650" s="43"/>
      <c r="N650" s="11"/>
      <c r="O650" s="48"/>
      <c r="P650" s="48"/>
      <c r="Q650" s="48"/>
      <c r="R650" s="38"/>
      <c r="S650" s="38"/>
      <c r="T650" s="52"/>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83"/>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83"/>
      <c r="CK650" s="11"/>
      <c r="CL650" s="11"/>
      <c r="CM650" s="11"/>
      <c r="CN650" s="11"/>
      <c r="CO650" s="11"/>
      <c r="CP650" s="11"/>
      <c r="CQ650" s="11"/>
      <c r="CR650" s="11"/>
      <c r="CS650" s="11"/>
      <c r="CT650" s="11"/>
      <c r="CU650" s="11"/>
      <c r="CV650" s="11"/>
      <c r="CW650" s="11"/>
      <c r="CX650" s="11"/>
      <c r="CY650" s="11"/>
      <c r="CZ650" s="11"/>
      <c r="DA650" s="11"/>
      <c r="DB650" s="11"/>
      <c r="DC650" s="11"/>
    </row>
    <row r="651" spans="1:107" ht="12.75" customHeight="1">
      <c r="A651" s="11"/>
      <c r="B651" s="11"/>
      <c r="C651" s="11"/>
      <c r="D651" s="11"/>
      <c r="E651" s="11"/>
      <c r="F651" s="11"/>
      <c r="G651" s="11"/>
      <c r="H651" s="15"/>
      <c r="I651" s="38"/>
      <c r="J651" s="38"/>
      <c r="K651" s="38"/>
      <c r="L651" s="41"/>
      <c r="M651" s="43"/>
      <c r="N651" s="11"/>
      <c r="O651" s="48"/>
      <c r="P651" s="48"/>
      <c r="Q651" s="48"/>
      <c r="R651" s="38"/>
      <c r="S651" s="38"/>
      <c r="T651" s="52"/>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83"/>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83"/>
      <c r="CK651" s="11"/>
      <c r="CL651" s="11"/>
      <c r="CM651" s="11"/>
      <c r="CN651" s="11"/>
      <c r="CO651" s="11"/>
      <c r="CP651" s="11"/>
      <c r="CQ651" s="11"/>
      <c r="CR651" s="11"/>
      <c r="CS651" s="11"/>
      <c r="CT651" s="11"/>
      <c r="CU651" s="11"/>
      <c r="CV651" s="11"/>
      <c r="CW651" s="11"/>
      <c r="CX651" s="11"/>
      <c r="CY651" s="11"/>
      <c r="CZ651" s="11"/>
      <c r="DA651" s="11"/>
      <c r="DB651" s="11"/>
      <c r="DC651" s="11"/>
    </row>
    <row r="652" spans="1:107" ht="12.75" customHeight="1">
      <c r="A652" s="11"/>
      <c r="B652" s="11"/>
      <c r="C652" s="11"/>
      <c r="D652" s="11"/>
      <c r="E652" s="11"/>
      <c r="F652" s="11"/>
      <c r="G652" s="11"/>
      <c r="H652" s="15"/>
      <c r="I652" s="38"/>
      <c r="J652" s="38"/>
      <c r="K652" s="38"/>
      <c r="L652" s="41"/>
      <c r="M652" s="43"/>
      <c r="N652" s="11"/>
      <c r="O652" s="48"/>
      <c r="P652" s="48"/>
      <c r="Q652" s="48"/>
      <c r="R652" s="38"/>
      <c r="S652" s="38"/>
      <c r="T652" s="52"/>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83"/>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83"/>
      <c r="CK652" s="11"/>
      <c r="CL652" s="11"/>
      <c r="CM652" s="11"/>
      <c r="CN652" s="11"/>
      <c r="CO652" s="11"/>
      <c r="CP652" s="11"/>
      <c r="CQ652" s="11"/>
      <c r="CR652" s="11"/>
      <c r="CS652" s="11"/>
      <c r="CT652" s="11"/>
      <c r="CU652" s="11"/>
      <c r="CV652" s="11"/>
      <c r="CW652" s="11"/>
      <c r="CX652" s="11"/>
      <c r="CY652" s="11"/>
      <c r="CZ652" s="11"/>
      <c r="DA652" s="11"/>
      <c r="DB652" s="11"/>
      <c r="DC652" s="11"/>
    </row>
    <row r="653" spans="1:107" ht="12.75" customHeight="1">
      <c r="A653" s="11"/>
      <c r="B653" s="11"/>
      <c r="C653" s="11"/>
      <c r="D653" s="11"/>
      <c r="E653" s="11"/>
      <c r="F653" s="11"/>
      <c r="G653" s="11"/>
      <c r="H653" s="15"/>
      <c r="I653" s="38"/>
      <c r="J653" s="38"/>
      <c r="K653" s="38"/>
      <c r="L653" s="41"/>
      <c r="M653" s="43"/>
      <c r="N653" s="11"/>
      <c r="O653" s="48"/>
      <c r="P653" s="48"/>
      <c r="Q653" s="48"/>
      <c r="R653" s="38"/>
      <c r="S653" s="38"/>
      <c r="T653" s="52"/>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83"/>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83"/>
      <c r="CK653" s="11"/>
      <c r="CL653" s="11"/>
      <c r="CM653" s="11"/>
      <c r="CN653" s="11"/>
      <c r="CO653" s="11"/>
      <c r="CP653" s="11"/>
      <c r="CQ653" s="11"/>
      <c r="CR653" s="11"/>
      <c r="CS653" s="11"/>
      <c r="CT653" s="11"/>
      <c r="CU653" s="11"/>
      <c r="CV653" s="11"/>
      <c r="CW653" s="11"/>
      <c r="CX653" s="11"/>
      <c r="CY653" s="11"/>
      <c r="CZ653" s="11"/>
      <c r="DA653" s="11"/>
      <c r="DB653" s="11"/>
      <c r="DC653" s="11"/>
    </row>
    <row r="654" spans="1:107" ht="12.75" customHeight="1">
      <c r="A654" s="11"/>
      <c r="B654" s="11"/>
      <c r="C654" s="11"/>
      <c r="D654" s="11"/>
      <c r="E654" s="11"/>
      <c r="F654" s="11"/>
      <c r="G654" s="11"/>
      <c r="H654" s="15"/>
      <c r="I654" s="38"/>
      <c r="J654" s="38"/>
      <c r="K654" s="38"/>
      <c r="L654" s="41"/>
      <c r="M654" s="43"/>
      <c r="N654" s="11"/>
      <c r="O654" s="48"/>
      <c r="P654" s="48"/>
      <c r="Q654" s="48"/>
      <c r="R654" s="38"/>
      <c r="S654" s="38"/>
      <c r="T654" s="52"/>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83"/>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83"/>
      <c r="CK654" s="11"/>
      <c r="CL654" s="11"/>
      <c r="CM654" s="11"/>
      <c r="CN654" s="11"/>
      <c r="CO654" s="11"/>
      <c r="CP654" s="11"/>
      <c r="CQ654" s="11"/>
      <c r="CR654" s="11"/>
      <c r="CS654" s="11"/>
      <c r="CT654" s="11"/>
      <c r="CU654" s="11"/>
      <c r="CV654" s="11"/>
      <c r="CW654" s="11"/>
      <c r="CX654" s="11"/>
      <c r="CY654" s="11"/>
      <c r="CZ654" s="11"/>
      <c r="DA654" s="11"/>
      <c r="DB654" s="11"/>
      <c r="DC654" s="11"/>
    </row>
    <row r="655" spans="1:107" ht="12.75" customHeight="1">
      <c r="A655" s="11"/>
      <c r="B655" s="11"/>
      <c r="C655" s="11"/>
      <c r="D655" s="11"/>
      <c r="E655" s="11"/>
      <c r="F655" s="11"/>
      <c r="G655" s="11"/>
      <c r="H655" s="15"/>
      <c r="I655" s="38"/>
      <c r="J655" s="38"/>
      <c r="K655" s="38"/>
      <c r="L655" s="41"/>
      <c r="M655" s="43"/>
      <c r="N655" s="11"/>
      <c r="O655" s="48"/>
      <c r="P655" s="48"/>
      <c r="Q655" s="48"/>
      <c r="R655" s="38"/>
      <c r="S655" s="38"/>
      <c r="T655" s="52"/>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83"/>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83"/>
      <c r="CK655" s="11"/>
      <c r="CL655" s="11"/>
      <c r="CM655" s="11"/>
      <c r="CN655" s="11"/>
      <c r="CO655" s="11"/>
      <c r="CP655" s="11"/>
      <c r="CQ655" s="11"/>
      <c r="CR655" s="11"/>
      <c r="CS655" s="11"/>
      <c r="CT655" s="11"/>
      <c r="CU655" s="11"/>
      <c r="CV655" s="11"/>
      <c r="CW655" s="11"/>
      <c r="CX655" s="11"/>
      <c r="CY655" s="11"/>
      <c r="CZ655" s="11"/>
      <c r="DA655" s="11"/>
      <c r="DB655" s="11"/>
      <c r="DC655" s="11"/>
    </row>
    <row r="656" spans="1:107" ht="12.75" customHeight="1">
      <c r="A656" s="11"/>
      <c r="B656" s="11"/>
      <c r="C656" s="11"/>
      <c r="D656" s="11"/>
      <c r="E656" s="11"/>
      <c r="F656" s="11"/>
      <c r="G656" s="11"/>
      <c r="H656" s="15"/>
      <c r="I656" s="38"/>
      <c r="J656" s="38"/>
      <c r="K656" s="38"/>
      <c r="L656" s="41"/>
      <c r="M656" s="43"/>
      <c r="N656" s="11"/>
      <c r="O656" s="48"/>
      <c r="P656" s="48"/>
      <c r="Q656" s="48"/>
      <c r="R656" s="38"/>
      <c r="S656" s="38"/>
      <c r="T656" s="52"/>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83"/>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83"/>
      <c r="CK656" s="11"/>
      <c r="CL656" s="11"/>
      <c r="CM656" s="11"/>
      <c r="CN656" s="11"/>
      <c r="CO656" s="11"/>
      <c r="CP656" s="11"/>
      <c r="CQ656" s="11"/>
      <c r="CR656" s="11"/>
      <c r="CS656" s="11"/>
      <c r="CT656" s="11"/>
      <c r="CU656" s="11"/>
      <c r="CV656" s="11"/>
      <c r="CW656" s="11"/>
      <c r="CX656" s="11"/>
      <c r="CY656" s="11"/>
      <c r="CZ656" s="11"/>
      <c r="DA656" s="11"/>
      <c r="DB656" s="11"/>
      <c r="DC656" s="11"/>
    </row>
    <row r="657" spans="1:107" ht="12.75" customHeight="1">
      <c r="A657" s="11"/>
      <c r="B657" s="11"/>
      <c r="C657" s="11"/>
      <c r="D657" s="11"/>
      <c r="E657" s="11"/>
      <c r="F657" s="11"/>
      <c r="G657" s="11"/>
      <c r="H657" s="15"/>
      <c r="I657" s="38"/>
      <c r="J657" s="38"/>
      <c r="K657" s="38"/>
      <c r="L657" s="41"/>
      <c r="M657" s="43"/>
      <c r="N657" s="11"/>
      <c r="O657" s="48"/>
      <c r="P657" s="48"/>
      <c r="Q657" s="48"/>
      <c r="R657" s="38"/>
      <c r="S657" s="38"/>
      <c r="T657" s="52"/>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83"/>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83"/>
      <c r="CK657" s="11"/>
      <c r="CL657" s="11"/>
      <c r="CM657" s="11"/>
      <c r="CN657" s="11"/>
      <c r="CO657" s="11"/>
      <c r="CP657" s="11"/>
      <c r="CQ657" s="11"/>
      <c r="CR657" s="11"/>
      <c r="CS657" s="11"/>
      <c r="CT657" s="11"/>
      <c r="CU657" s="11"/>
      <c r="CV657" s="11"/>
      <c r="CW657" s="11"/>
      <c r="CX657" s="11"/>
      <c r="CY657" s="11"/>
      <c r="CZ657" s="11"/>
      <c r="DA657" s="11"/>
      <c r="DB657" s="11"/>
      <c r="DC657" s="11"/>
    </row>
    <row r="658" spans="1:107" ht="12.75" customHeight="1">
      <c r="A658" s="11"/>
      <c r="B658" s="11"/>
      <c r="C658" s="11"/>
      <c r="D658" s="11"/>
      <c r="E658" s="11"/>
      <c r="F658" s="11"/>
      <c r="G658" s="11"/>
      <c r="H658" s="15"/>
      <c r="I658" s="38"/>
      <c r="J658" s="38"/>
      <c r="K658" s="38"/>
      <c r="L658" s="41"/>
      <c r="M658" s="43"/>
      <c r="N658" s="11"/>
      <c r="O658" s="48"/>
      <c r="P658" s="48"/>
      <c r="Q658" s="48"/>
      <c r="R658" s="38"/>
      <c r="S658" s="38"/>
      <c r="T658" s="52"/>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83"/>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83"/>
      <c r="CK658" s="11"/>
      <c r="CL658" s="11"/>
      <c r="CM658" s="11"/>
      <c r="CN658" s="11"/>
      <c r="CO658" s="11"/>
      <c r="CP658" s="11"/>
      <c r="CQ658" s="11"/>
      <c r="CR658" s="11"/>
      <c r="CS658" s="11"/>
      <c r="CT658" s="11"/>
      <c r="CU658" s="11"/>
      <c r="CV658" s="11"/>
      <c r="CW658" s="11"/>
      <c r="CX658" s="11"/>
      <c r="CY658" s="11"/>
      <c r="CZ658" s="11"/>
      <c r="DA658" s="11"/>
      <c r="DB658" s="11"/>
      <c r="DC658" s="11"/>
    </row>
    <row r="659" spans="1:107" ht="12.75" customHeight="1">
      <c r="A659" s="11"/>
      <c r="B659" s="11"/>
      <c r="C659" s="11"/>
      <c r="D659" s="11"/>
      <c r="E659" s="11"/>
      <c r="F659" s="11"/>
      <c r="G659" s="11"/>
      <c r="H659" s="15"/>
      <c r="I659" s="38"/>
      <c r="J659" s="38"/>
      <c r="K659" s="38"/>
      <c r="L659" s="41"/>
      <c r="M659" s="43"/>
      <c r="N659" s="11"/>
      <c r="O659" s="48"/>
      <c r="P659" s="48"/>
      <c r="Q659" s="48"/>
      <c r="R659" s="38"/>
      <c r="S659" s="38"/>
      <c r="T659" s="52"/>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83"/>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83"/>
      <c r="CK659" s="11"/>
      <c r="CL659" s="11"/>
      <c r="CM659" s="11"/>
      <c r="CN659" s="11"/>
      <c r="CO659" s="11"/>
      <c r="CP659" s="11"/>
      <c r="CQ659" s="11"/>
      <c r="CR659" s="11"/>
      <c r="CS659" s="11"/>
      <c r="CT659" s="11"/>
      <c r="CU659" s="11"/>
      <c r="CV659" s="11"/>
      <c r="CW659" s="11"/>
      <c r="CX659" s="11"/>
      <c r="CY659" s="11"/>
      <c r="CZ659" s="11"/>
      <c r="DA659" s="11"/>
      <c r="DB659" s="11"/>
      <c r="DC659" s="11"/>
    </row>
    <row r="660" spans="1:107" ht="12.75" customHeight="1">
      <c r="A660" s="11"/>
      <c r="B660" s="11"/>
      <c r="C660" s="11"/>
      <c r="D660" s="11"/>
      <c r="E660" s="11"/>
      <c r="F660" s="11"/>
      <c r="G660" s="11"/>
      <c r="H660" s="15"/>
      <c r="I660" s="38"/>
      <c r="J660" s="38"/>
      <c r="K660" s="38"/>
      <c r="L660" s="41"/>
      <c r="M660" s="43"/>
      <c r="N660" s="11"/>
      <c r="O660" s="48"/>
      <c r="P660" s="48"/>
      <c r="Q660" s="48"/>
      <c r="R660" s="38"/>
      <c r="S660" s="38"/>
      <c r="T660" s="52"/>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83"/>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83"/>
      <c r="CK660" s="11"/>
      <c r="CL660" s="11"/>
      <c r="CM660" s="11"/>
      <c r="CN660" s="11"/>
      <c r="CO660" s="11"/>
      <c r="CP660" s="11"/>
      <c r="CQ660" s="11"/>
      <c r="CR660" s="11"/>
      <c r="CS660" s="11"/>
      <c r="CT660" s="11"/>
      <c r="CU660" s="11"/>
      <c r="CV660" s="11"/>
      <c r="CW660" s="11"/>
      <c r="CX660" s="11"/>
      <c r="CY660" s="11"/>
      <c r="CZ660" s="11"/>
      <c r="DA660" s="11"/>
      <c r="DB660" s="11"/>
      <c r="DC660" s="11"/>
    </row>
    <row r="661" spans="1:107" ht="12.75" customHeight="1">
      <c r="A661" s="11"/>
      <c r="B661" s="11"/>
      <c r="C661" s="11"/>
      <c r="D661" s="11"/>
      <c r="E661" s="11"/>
      <c r="F661" s="11"/>
      <c r="G661" s="11"/>
      <c r="H661" s="15"/>
      <c r="I661" s="38"/>
      <c r="J661" s="38"/>
      <c r="K661" s="38"/>
      <c r="L661" s="41"/>
      <c r="M661" s="43"/>
      <c r="N661" s="11"/>
      <c r="O661" s="48"/>
      <c r="P661" s="48"/>
      <c r="Q661" s="48"/>
      <c r="R661" s="38"/>
      <c r="S661" s="38"/>
      <c r="T661" s="52"/>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83"/>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83"/>
      <c r="CK661" s="11"/>
      <c r="CL661" s="11"/>
      <c r="CM661" s="11"/>
      <c r="CN661" s="11"/>
      <c r="CO661" s="11"/>
      <c r="CP661" s="11"/>
      <c r="CQ661" s="11"/>
      <c r="CR661" s="11"/>
      <c r="CS661" s="11"/>
      <c r="CT661" s="11"/>
      <c r="CU661" s="11"/>
      <c r="CV661" s="11"/>
      <c r="CW661" s="11"/>
      <c r="CX661" s="11"/>
      <c r="CY661" s="11"/>
      <c r="CZ661" s="11"/>
      <c r="DA661" s="11"/>
      <c r="DB661" s="11"/>
      <c r="DC661" s="11"/>
    </row>
    <row r="662" spans="1:107" ht="12.75" customHeight="1">
      <c r="A662" s="11"/>
      <c r="B662" s="11"/>
      <c r="C662" s="11"/>
      <c r="D662" s="11"/>
      <c r="E662" s="11"/>
      <c r="F662" s="11"/>
      <c r="G662" s="11"/>
      <c r="H662" s="15"/>
      <c r="I662" s="38"/>
      <c r="J662" s="38"/>
      <c r="K662" s="38"/>
      <c r="L662" s="41"/>
      <c r="M662" s="43"/>
      <c r="N662" s="11"/>
      <c r="O662" s="48"/>
      <c r="P662" s="48"/>
      <c r="Q662" s="48"/>
      <c r="R662" s="38"/>
      <c r="S662" s="38"/>
      <c r="T662" s="52"/>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83"/>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83"/>
      <c r="CK662" s="11"/>
      <c r="CL662" s="11"/>
      <c r="CM662" s="11"/>
      <c r="CN662" s="11"/>
      <c r="CO662" s="11"/>
      <c r="CP662" s="11"/>
      <c r="CQ662" s="11"/>
      <c r="CR662" s="11"/>
      <c r="CS662" s="11"/>
      <c r="CT662" s="11"/>
      <c r="CU662" s="11"/>
      <c r="CV662" s="11"/>
      <c r="CW662" s="11"/>
      <c r="CX662" s="11"/>
      <c r="CY662" s="11"/>
      <c r="CZ662" s="11"/>
      <c r="DA662" s="11"/>
      <c r="DB662" s="11"/>
      <c r="DC662" s="11"/>
    </row>
    <row r="663" spans="1:107" ht="12.75" customHeight="1">
      <c r="A663" s="11"/>
      <c r="B663" s="11"/>
      <c r="C663" s="11"/>
      <c r="D663" s="11"/>
      <c r="E663" s="11"/>
      <c r="F663" s="11"/>
      <c r="G663" s="11"/>
      <c r="H663" s="15"/>
      <c r="I663" s="38"/>
      <c r="J663" s="38"/>
      <c r="K663" s="38"/>
      <c r="L663" s="41"/>
      <c r="M663" s="43"/>
      <c r="N663" s="11"/>
      <c r="O663" s="48"/>
      <c r="P663" s="48"/>
      <c r="Q663" s="48"/>
      <c r="R663" s="38"/>
      <c r="S663" s="38"/>
      <c r="T663" s="52"/>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83"/>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83"/>
      <c r="CK663" s="11"/>
      <c r="CL663" s="11"/>
      <c r="CM663" s="11"/>
      <c r="CN663" s="11"/>
      <c r="CO663" s="11"/>
      <c r="CP663" s="11"/>
      <c r="CQ663" s="11"/>
      <c r="CR663" s="11"/>
      <c r="CS663" s="11"/>
      <c r="CT663" s="11"/>
      <c r="CU663" s="11"/>
      <c r="CV663" s="11"/>
      <c r="CW663" s="11"/>
      <c r="CX663" s="11"/>
      <c r="CY663" s="11"/>
      <c r="CZ663" s="11"/>
      <c r="DA663" s="11"/>
      <c r="DB663" s="11"/>
      <c r="DC663" s="11"/>
    </row>
    <row r="664" spans="1:107" ht="12.75" customHeight="1">
      <c r="A664" s="11"/>
      <c r="B664" s="11"/>
      <c r="C664" s="11"/>
      <c r="D664" s="11"/>
      <c r="E664" s="11"/>
      <c r="F664" s="11"/>
      <c r="G664" s="11"/>
      <c r="H664" s="15"/>
      <c r="I664" s="38"/>
      <c r="J664" s="38"/>
      <c r="K664" s="38"/>
      <c r="L664" s="41"/>
      <c r="M664" s="43"/>
      <c r="N664" s="11"/>
      <c r="O664" s="48"/>
      <c r="P664" s="48"/>
      <c r="Q664" s="48"/>
      <c r="R664" s="38"/>
      <c r="S664" s="38"/>
      <c r="T664" s="52"/>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83"/>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83"/>
      <c r="CK664" s="11"/>
      <c r="CL664" s="11"/>
      <c r="CM664" s="11"/>
      <c r="CN664" s="11"/>
      <c r="CO664" s="11"/>
      <c r="CP664" s="11"/>
      <c r="CQ664" s="11"/>
      <c r="CR664" s="11"/>
      <c r="CS664" s="11"/>
      <c r="CT664" s="11"/>
      <c r="CU664" s="11"/>
      <c r="CV664" s="11"/>
      <c r="CW664" s="11"/>
      <c r="CX664" s="11"/>
      <c r="CY664" s="11"/>
      <c r="CZ664" s="11"/>
      <c r="DA664" s="11"/>
      <c r="DB664" s="11"/>
      <c r="DC664" s="11"/>
    </row>
    <row r="665" spans="1:107" ht="12.75" customHeight="1">
      <c r="A665" s="11"/>
      <c r="B665" s="11"/>
      <c r="C665" s="11"/>
      <c r="D665" s="11"/>
      <c r="E665" s="11"/>
      <c r="F665" s="11"/>
      <c r="G665" s="11"/>
      <c r="H665" s="15"/>
      <c r="I665" s="38"/>
      <c r="J665" s="38"/>
      <c r="K665" s="38"/>
      <c r="L665" s="41"/>
      <c r="M665" s="43"/>
      <c r="N665" s="11"/>
      <c r="O665" s="48"/>
      <c r="P665" s="48"/>
      <c r="Q665" s="48"/>
      <c r="R665" s="38"/>
      <c r="S665" s="38"/>
      <c r="T665" s="52"/>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83"/>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83"/>
      <c r="CK665" s="11"/>
      <c r="CL665" s="11"/>
      <c r="CM665" s="11"/>
      <c r="CN665" s="11"/>
      <c r="CO665" s="11"/>
      <c r="CP665" s="11"/>
      <c r="CQ665" s="11"/>
      <c r="CR665" s="11"/>
      <c r="CS665" s="11"/>
      <c r="CT665" s="11"/>
      <c r="CU665" s="11"/>
      <c r="CV665" s="11"/>
      <c r="CW665" s="11"/>
      <c r="CX665" s="11"/>
      <c r="CY665" s="11"/>
      <c r="CZ665" s="11"/>
      <c r="DA665" s="11"/>
      <c r="DB665" s="11"/>
      <c r="DC665" s="11"/>
    </row>
    <row r="666" spans="1:107" ht="12.75" customHeight="1">
      <c r="A666" s="11"/>
      <c r="B666" s="11"/>
      <c r="C666" s="11"/>
      <c r="D666" s="11"/>
      <c r="E666" s="11"/>
      <c r="F666" s="11"/>
      <c r="G666" s="11"/>
      <c r="H666" s="15"/>
      <c r="I666" s="38"/>
      <c r="J666" s="38"/>
      <c r="K666" s="38"/>
      <c r="L666" s="41"/>
      <c r="M666" s="43"/>
      <c r="N666" s="11"/>
      <c r="O666" s="48"/>
      <c r="P666" s="48"/>
      <c r="Q666" s="48"/>
      <c r="R666" s="38"/>
      <c r="S666" s="38"/>
      <c r="T666" s="52"/>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83"/>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83"/>
      <c r="CK666" s="11"/>
      <c r="CL666" s="11"/>
      <c r="CM666" s="11"/>
      <c r="CN666" s="11"/>
      <c r="CO666" s="11"/>
      <c r="CP666" s="11"/>
      <c r="CQ666" s="11"/>
      <c r="CR666" s="11"/>
      <c r="CS666" s="11"/>
      <c r="CT666" s="11"/>
      <c r="CU666" s="11"/>
      <c r="CV666" s="11"/>
      <c r="CW666" s="11"/>
      <c r="CX666" s="11"/>
      <c r="CY666" s="11"/>
      <c r="CZ666" s="11"/>
      <c r="DA666" s="11"/>
      <c r="DB666" s="11"/>
      <c r="DC666" s="11"/>
    </row>
    <row r="667" spans="1:107" ht="12.75" customHeight="1">
      <c r="A667" s="11"/>
      <c r="B667" s="11"/>
      <c r="C667" s="11"/>
      <c r="D667" s="11"/>
      <c r="E667" s="11"/>
      <c r="F667" s="11"/>
      <c r="G667" s="11"/>
      <c r="H667" s="15"/>
      <c r="I667" s="38"/>
      <c r="J667" s="38"/>
      <c r="K667" s="38"/>
      <c r="L667" s="41"/>
      <c r="M667" s="43"/>
      <c r="N667" s="11"/>
      <c r="O667" s="48"/>
      <c r="P667" s="48"/>
      <c r="Q667" s="48"/>
      <c r="R667" s="38"/>
      <c r="S667" s="38"/>
      <c r="T667" s="52"/>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83"/>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83"/>
      <c r="CK667" s="11"/>
      <c r="CL667" s="11"/>
      <c r="CM667" s="11"/>
      <c r="CN667" s="11"/>
      <c r="CO667" s="11"/>
      <c r="CP667" s="11"/>
      <c r="CQ667" s="11"/>
      <c r="CR667" s="11"/>
      <c r="CS667" s="11"/>
      <c r="CT667" s="11"/>
      <c r="CU667" s="11"/>
      <c r="CV667" s="11"/>
      <c r="CW667" s="11"/>
      <c r="CX667" s="11"/>
      <c r="CY667" s="11"/>
      <c r="CZ667" s="11"/>
      <c r="DA667" s="11"/>
      <c r="DB667" s="11"/>
      <c r="DC667" s="11"/>
    </row>
    <row r="668" spans="1:107" ht="12.75" customHeight="1">
      <c r="A668" s="11"/>
      <c r="B668" s="11"/>
      <c r="C668" s="11"/>
      <c r="D668" s="11"/>
      <c r="E668" s="11"/>
      <c r="F668" s="11"/>
      <c r="G668" s="11"/>
      <c r="H668" s="15"/>
      <c r="I668" s="38"/>
      <c r="J668" s="38"/>
      <c r="K668" s="38"/>
      <c r="L668" s="41"/>
      <c r="M668" s="43"/>
      <c r="N668" s="11"/>
      <c r="O668" s="48"/>
      <c r="P668" s="48"/>
      <c r="Q668" s="48"/>
      <c r="R668" s="38"/>
      <c r="S668" s="38"/>
      <c r="T668" s="52"/>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83"/>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83"/>
      <c r="CK668" s="11"/>
      <c r="CL668" s="11"/>
      <c r="CM668" s="11"/>
      <c r="CN668" s="11"/>
      <c r="CO668" s="11"/>
      <c r="CP668" s="11"/>
      <c r="CQ668" s="11"/>
      <c r="CR668" s="11"/>
      <c r="CS668" s="11"/>
      <c r="CT668" s="11"/>
      <c r="CU668" s="11"/>
      <c r="CV668" s="11"/>
      <c r="CW668" s="11"/>
      <c r="CX668" s="11"/>
      <c r="CY668" s="11"/>
      <c r="CZ668" s="11"/>
      <c r="DA668" s="11"/>
      <c r="DB668" s="11"/>
      <c r="DC668" s="11"/>
    </row>
    <row r="669" spans="1:107" ht="12.75" customHeight="1">
      <c r="A669" s="11"/>
      <c r="B669" s="11"/>
      <c r="C669" s="11"/>
      <c r="D669" s="11"/>
      <c r="E669" s="11"/>
      <c r="F669" s="11"/>
      <c r="G669" s="11"/>
      <c r="H669" s="15"/>
      <c r="I669" s="38"/>
      <c r="J669" s="38"/>
      <c r="K669" s="38"/>
      <c r="L669" s="41"/>
      <c r="M669" s="43"/>
      <c r="N669" s="11"/>
      <c r="O669" s="48"/>
      <c r="P669" s="48"/>
      <c r="Q669" s="48"/>
      <c r="R669" s="38"/>
      <c r="S669" s="38"/>
      <c r="T669" s="52"/>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83"/>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83"/>
      <c r="CK669" s="11"/>
      <c r="CL669" s="11"/>
      <c r="CM669" s="11"/>
      <c r="CN669" s="11"/>
      <c r="CO669" s="11"/>
      <c r="CP669" s="11"/>
      <c r="CQ669" s="11"/>
      <c r="CR669" s="11"/>
      <c r="CS669" s="11"/>
      <c r="CT669" s="11"/>
      <c r="CU669" s="11"/>
      <c r="CV669" s="11"/>
      <c r="CW669" s="11"/>
      <c r="CX669" s="11"/>
      <c r="CY669" s="11"/>
      <c r="CZ669" s="11"/>
      <c r="DA669" s="11"/>
      <c r="DB669" s="11"/>
      <c r="DC669" s="11"/>
    </row>
    <row r="670" spans="1:107" ht="12.75" customHeight="1">
      <c r="A670" s="11"/>
      <c r="B670" s="11"/>
      <c r="C670" s="11"/>
      <c r="D670" s="11"/>
      <c r="E670" s="11"/>
      <c r="F670" s="11"/>
      <c r="G670" s="11"/>
      <c r="H670" s="15"/>
      <c r="I670" s="38"/>
      <c r="J670" s="38"/>
      <c r="K670" s="38"/>
      <c r="L670" s="41"/>
      <c r="M670" s="43"/>
      <c r="N670" s="11"/>
      <c r="O670" s="48"/>
      <c r="P670" s="48"/>
      <c r="Q670" s="48"/>
      <c r="R670" s="38"/>
      <c r="S670" s="38"/>
      <c r="T670" s="52"/>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83"/>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83"/>
      <c r="CK670" s="11"/>
      <c r="CL670" s="11"/>
      <c r="CM670" s="11"/>
      <c r="CN670" s="11"/>
      <c r="CO670" s="11"/>
      <c r="CP670" s="11"/>
      <c r="CQ670" s="11"/>
      <c r="CR670" s="11"/>
      <c r="CS670" s="11"/>
      <c r="CT670" s="11"/>
      <c r="CU670" s="11"/>
      <c r="CV670" s="11"/>
      <c r="CW670" s="11"/>
      <c r="CX670" s="11"/>
      <c r="CY670" s="11"/>
      <c r="CZ670" s="11"/>
      <c r="DA670" s="11"/>
      <c r="DB670" s="11"/>
      <c r="DC670" s="11"/>
    </row>
    <row r="671" spans="1:107" ht="12.75" customHeight="1">
      <c r="A671" s="11"/>
      <c r="B671" s="11"/>
      <c r="C671" s="11"/>
      <c r="D671" s="11"/>
      <c r="E671" s="11"/>
      <c r="F671" s="11"/>
      <c r="G671" s="11"/>
      <c r="H671" s="15"/>
      <c r="I671" s="38"/>
      <c r="J671" s="38"/>
      <c r="K671" s="38"/>
      <c r="L671" s="41"/>
      <c r="M671" s="43"/>
      <c r="N671" s="11"/>
      <c r="O671" s="48"/>
      <c r="P671" s="48"/>
      <c r="Q671" s="48"/>
      <c r="R671" s="38"/>
      <c r="S671" s="38"/>
      <c r="T671" s="52"/>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83"/>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83"/>
      <c r="CK671" s="11"/>
      <c r="CL671" s="11"/>
      <c r="CM671" s="11"/>
      <c r="CN671" s="11"/>
      <c r="CO671" s="11"/>
      <c r="CP671" s="11"/>
      <c r="CQ671" s="11"/>
      <c r="CR671" s="11"/>
      <c r="CS671" s="11"/>
      <c r="CT671" s="11"/>
      <c r="CU671" s="11"/>
      <c r="CV671" s="11"/>
      <c r="CW671" s="11"/>
      <c r="CX671" s="11"/>
      <c r="CY671" s="11"/>
      <c r="CZ671" s="11"/>
      <c r="DA671" s="11"/>
      <c r="DB671" s="11"/>
      <c r="DC671" s="11"/>
    </row>
    <row r="672" spans="1:107" ht="12.75" customHeight="1">
      <c r="A672" s="11"/>
      <c r="B672" s="11"/>
      <c r="C672" s="11"/>
      <c r="D672" s="11"/>
      <c r="E672" s="11"/>
      <c r="F672" s="11"/>
      <c r="G672" s="11"/>
      <c r="H672" s="15"/>
      <c r="I672" s="38"/>
      <c r="J672" s="38"/>
      <c r="K672" s="38"/>
      <c r="L672" s="41"/>
      <c r="M672" s="43"/>
      <c r="N672" s="11"/>
      <c r="O672" s="48"/>
      <c r="P672" s="48"/>
      <c r="Q672" s="48"/>
      <c r="R672" s="38"/>
      <c r="S672" s="38"/>
      <c r="T672" s="52"/>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83"/>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83"/>
      <c r="CK672" s="11"/>
      <c r="CL672" s="11"/>
      <c r="CM672" s="11"/>
      <c r="CN672" s="11"/>
      <c r="CO672" s="11"/>
      <c r="CP672" s="11"/>
      <c r="CQ672" s="11"/>
      <c r="CR672" s="11"/>
      <c r="CS672" s="11"/>
      <c r="CT672" s="11"/>
      <c r="CU672" s="11"/>
      <c r="CV672" s="11"/>
      <c r="CW672" s="11"/>
      <c r="CX672" s="11"/>
      <c r="CY672" s="11"/>
      <c r="CZ672" s="11"/>
      <c r="DA672" s="11"/>
      <c r="DB672" s="11"/>
      <c r="DC672" s="11"/>
    </row>
    <row r="673" spans="1:107" ht="12.75" customHeight="1">
      <c r="A673" s="11"/>
      <c r="B673" s="11"/>
      <c r="C673" s="11"/>
      <c r="D673" s="11"/>
      <c r="E673" s="11"/>
      <c r="F673" s="11"/>
      <c r="G673" s="11"/>
      <c r="H673" s="15"/>
      <c r="I673" s="38"/>
      <c r="J673" s="38"/>
      <c r="K673" s="38"/>
      <c r="L673" s="41"/>
      <c r="M673" s="43"/>
      <c r="N673" s="11"/>
      <c r="O673" s="48"/>
      <c r="P673" s="48"/>
      <c r="Q673" s="48"/>
      <c r="R673" s="38"/>
      <c r="S673" s="38"/>
      <c r="T673" s="52"/>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83"/>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83"/>
      <c r="CK673" s="11"/>
      <c r="CL673" s="11"/>
      <c r="CM673" s="11"/>
      <c r="CN673" s="11"/>
      <c r="CO673" s="11"/>
      <c r="CP673" s="11"/>
      <c r="CQ673" s="11"/>
      <c r="CR673" s="11"/>
      <c r="CS673" s="11"/>
      <c r="CT673" s="11"/>
      <c r="CU673" s="11"/>
      <c r="CV673" s="11"/>
      <c r="CW673" s="11"/>
      <c r="CX673" s="11"/>
      <c r="CY673" s="11"/>
      <c r="CZ673" s="11"/>
      <c r="DA673" s="11"/>
      <c r="DB673" s="11"/>
      <c r="DC673" s="11"/>
    </row>
    <row r="674" spans="1:107" ht="12.75" customHeight="1">
      <c r="A674" s="11"/>
      <c r="B674" s="11"/>
      <c r="C674" s="11"/>
      <c r="D674" s="11"/>
      <c r="E674" s="11"/>
      <c r="F674" s="11"/>
      <c r="G674" s="11"/>
      <c r="H674" s="15"/>
      <c r="I674" s="38"/>
      <c r="J674" s="38"/>
      <c r="K674" s="38"/>
      <c r="L674" s="41"/>
      <c r="M674" s="43"/>
      <c r="N674" s="11"/>
      <c r="O674" s="48"/>
      <c r="P674" s="48"/>
      <c r="Q674" s="48"/>
      <c r="R674" s="38"/>
      <c r="S674" s="38"/>
      <c r="T674" s="52"/>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83"/>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83"/>
      <c r="CK674" s="11"/>
      <c r="CL674" s="11"/>
      <c r="CM674" s="11"/>
      <c r="CN674" s="11"/>
      <c r="CO674" s="11"/>
      <c r="CP674" s="11"/>
      <c r="CQ674" s="11"/>
      <c r="CR674" s="11"/>
      <c r="CS674" s="11"/>
      <c r="CT674" s="11"/>
      <c r="CU674" s="11"/>
      <c r="CV674" s="11"/>
      <c r="CW674" s="11"/>
      <c r="CX674" s="11"/>
      <c r="CY674" s="11"/>
      <c r="CZ674" s="11"/>
      <c r="DA674" s="11"/>
      <c r="DB674" s="11"/>
      <c r="DC674" s="11"/>
    </row>
    <row r="675" spans="1:107" ht="12.75" customHeight="1">
      <c r="A675" s="11"/>
      <c r="B675" s="11"/>
      <c r="C675" s="11"/>
      <c r="D675" s="11"/>
      <c r="E675" s="11"/>
      <c r="F675" s="11"/>
      <c r="G675" s="11"/>
      <c r="H675" s="15"/>
      <c r="I675" s="38"/>
      <c r="J675" s="38"/>
      <c r="K675" s="38"/>
      <c r="L675" s="41"/>
      <c r="M675" s="43"/>
      <c r="N675" s="11"/>
      <c r="O675" s="48"/>
      <c r="P675" s="48"/>
      <c r="Q675" s="48"/>
      <c r="R675" s="38"/>
      <c r="S675" s="38"/>
      <c r="T675" s="52"/>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83"/>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83"/>
      <c r="CK675" s="11"/>
      <c r="CL675" s="11"/>
      <c r="CM675" s="11"/>
      <c r="CN675" s="11"/>
      <c r="CO675" s="11"/>
      <c r="CP675" s="11"/>
      <c r="CQ675" s="11"/>
      <c r="CR675" s="11"/>
      <c r="CS675" s="11"/>
      <c r="CT675" s="11"/>
      <c r="CU675" s="11"/>
      <c r="CV675" s="11"/>
      <c r="CW675" s="11"/>
      <c r="CX675" s="11"/>
      <c r="CY675" s="11"/>
      <c r="CZ675" s="11"/>
      <c r="DA675" s="11"/>
      <c r="DB675" s="11"/>
      <c r="DC675" s="11"/>
    </row>
    <row r="676" spans="1:107" ht="12.75" customHeight="1">
      <c r="A676" s="11"/>
      <c r="B676" s="11"/>
      <c r="C676" s="11"/>
      <c r="D676" s="11"/>
      <c r="E676" s="11"/>
      <c r="F676" s="11"/>
      <c r="G676" s="11"/>
      <c r="H676" s="15"/>
      <c r="I676" s="38"/>
      <c r="J676" s="38"/>
      <c r="K676" s="38"/>
      <c r="L676" s="41"/>
      <c r="M676" s="43"/>
      <c r="N676" s="11"/>
      <c r="O676" s="48"/>
      <c r="P676" s="48"/>
      <c r="Q676" s="48"/>
      <c r="R676" s="38"/>
      <c r="S676" s="38"/>
      <c r="T676" s="52"/>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83"/>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83"/>
      <c r="CK676" s="11"/>
      <c r="CL676" s="11"/>
      <c r="CM676" s="11"/>
      <c r="CN676" s="11"/>
      <c r="CO676" s="11"/>
      <c r="CP676" s="11"/>
      <c r="CQ676" s="11"/>
      <c r="CR676" s="11"/>
      <c r="CS676" s="11"/>
      <c r="CT676" s="11"/>
      <c r="CU676" s="11"/>
      <c r="CV676" s="11"/>
      <c r="CW676" s="11"/>
      <c r="CX676" s="11"/>
      <c r="CY676" s="11"/>
      <c r="CZ676" s="11"/>
      <c r="DA676" s="11"/>
      <c r="DB676" s="11"/>
      <c r="DC676" s="11"/>
    </row>
    <row r="677" spans="1:107" ht="12.75" customHeight="1">
      <c r="A677" s="11"/>
      <c r="B677" s="11"/>
      <c r="C677" s="11"/>
      <c r="D677" s="11"/>
      <c r="E677" s="11"/>
      <c r="F677" s="11"/>
      <c r="G677" s="11"/>
      <c r="H677" s="15"/>
      <c r="I677" s="38"/>
      <c r="J677" s="38"/>
      <c r="K677" s="38"/>
      <c r="L677" s="41"/>
      <c r="M677" s="43"/>
      <c r="N677" s="11"/>
      <c r="O677" s="48"/>
      <c r="P677" s="48"/>
      <c r="Q677" s="48"/>
      <c r="R677" s="38"/>
      <c r="S677" s="38"/>
      <c r="T677" s="52"/>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83"/>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83"/>
      <c r="CK677" s="11"/>
      <c r="CL677" s="11"/>
      <c r="CM677" s="11"/>
      <c r="CN677" s="11"/>
      <c r="CO677" s="11"/>
      <c r="CP677" s="11"/>
      <c r="CQ677" s="11"/>
      <c r="CR677" s="11"/>
      <c r="CS677" s="11"/>
      <c r="CT677" s="11"/>
      <c r="CU677" s="11"/>
      <c r="CV677" s="11"/>
      <c r="CW677" s="11"/>
      <c r="CX677" s="11"/>
      <c r="CY677" s="11"/>
      <c r="CZ677" s="11"/>
      <c r="DA677" s="11"/>
      <c r="DB677" s="11"/>
      <c r="DC677" s="11"/>
    </row>
    <row r="678" spans="1:107" ht="12.75" customHeight="1">
      <c r="A678" s="11"/>
      <c r="B678" s="11"/>
      <c r="C678" s="11"/>
      <c r="D678" s="11"/>
      <c r="E678" s="11"/>
      <c r="F678" s="11"/>
      <c r="G678" s="11"/>
      <c r="H678" s="15"/>
      <c r="I678" s="38"/>
      <c r="J678" s="38"/>
      <c r="K678" s="38"/>
      <c r="L678" s="41"/>
      <c r="M678" s="43"/>
      <c r="N678" s="11"/>
      <c r="O678" s="48"/>
      <c r="P678" s="48"/>
      <c r="Q678" s="48"/>
      <c r="R678" s="38"/>
      <c r="S678" s="38"/>
      <c r="T678" s="52"/>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83"/>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83"/>
      <c r="CK678" s="11"/>
      <c r="CL678" s="11"/>
      <c r="CM678" s="11"/>
      <c r="CN678" s="11"/>
      <c r="CO678" s="11"/>
      <c r="CP678" s="11"/>
      <c r="CQ678" s="11"/>
      <c r="CR678" s="11"/>
      <c r="CS678" s="11"/>
      <c r="CT678" s="11"/>
      <c r="CU678" s="11"/>
      <c r="CV678" s="11"/>
      <c r="CW678" s="11"/>
      <c r="CX678" s="11"/>
      <c r="CY678" s="11"/>
      <c r="CZ678" s="11"/>
      <c r="DA678" s="11"/>
      <c r="DB678" s="11"/>
      <c r="DC678" s="11"/>
    </row>
    <row r="679" spans="1:107" ht="12.75" customHeight="1">
      <c r="A679" s="11"/>
      <c r="B679" s="11"/>
      <c r="C679" s="11"/>
      <c r="D679" s="11"/>
      <c r="E679" s="11"/>
      <c r="F679" s="11"/>
      <c r="G679" s="11"/>
      <c r="H679" s="15"/>
      <c r="I679" s="38"/>
      <c r="J679" s="38"/>
      <c r="K679" s="38"/>
      <c r="L679" s="41"/>
      <c r="M679" s="43"/>
      <c r="N679" s="11"/>
      <c r="O679" s="48"/>
      <c r="P679" s="48"/>
      <c r="Q679" s="48"/>
      <c r="R679" s="38"/>
      <c r="S679" s="38"/>
      <c r="T679" s="52"/>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83"/>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83"/>
      <c r="CK679" s="11"/>
      <c r="CL679" s="11"/>
      <c r="CM679" s="11"/>
      <c r="CN679" s="11"/>
      <c r="CO679" s="11"/>
      <c r="CP679" s="11"/>
      <c r="CQ679" s="11"/>
      <c r="CR679" s="11"/>
      <c r="CS679" s="11"/>
      <c r="CT679" s="11"/>
      <c r="CU679" s="11"/>
      <c r="CV679" s="11"/>
      <c r="CW679" s="11"/>
      <c r="CX679" s="11"/>
      <c r="CY679" s="11"/>
      <c r="CZ679" s="11"/>
      <c r="DA679" s="11"/>
      <c r="DB679" s="11"/>
      <c r="DC679" s="11"/>
    </row>
    <row r="680" spans="1:107" ht="12.75" customHeight="1">
      <c r="A680" s="11"/>
      <c r="B680" s="11"/>
      <c r="C680" s="11"/>
      <c r="D680" s="11"/>
      <c r="E680" s="11"/>
      <c r="F680" s="11"/>
      <c r="G680" s="11"/>
      <c r="H680" s="15"/>
      <c r="I680" s="38"/>
      <c r="J680" s="38"/>
      <c r="K680" s="38"/>
      <c r="L680" s="41"/>
      <c r="M680" s="43"/>
      <c r="N680" s="11"/>
      <c r="O680" s="48"/>
      <c r="P680" s="48"/>
      <c r="Q680" s="48"/>
      <c r="R680" s="38"/>
      <c r="S680" s="38"/>
      <c r="T680" s="52"/>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83"/>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83"/>
      <c r="CK680" s="11"/>
      <c r="CL680" s="11"/>
      <c r="CM680" s="11"/>
      <c r="CN680" s="11"/>
      <c r="CO680" s="11"/>
      <c r="CP680" s="11"/>
      <c r="CQ680" s="11"/>
      <c r="CR680" s="11"/>
      <c r="CS680" s="11"/>
      <c r="CT680" s="11"/>
      <c r="CU680" s="11"/>
      <c r="CV680" s="11"/>
      <c r="CW680" s="11"/>
      <c r="CX680" s="11"/>
      <c r="CY680" s="11"/>
      <c r="CZ680" s="11"/>
      <c r="DA680" s="11"/>
      <c r="DB680" s="11"/>
      <c r="DC680" s="11"/>
    </row>
    <row r="681" spans="1:107" ht="12.75" customHeight="1">
      <c r="A681" s="11"/>
      <c r="B681" s="11"/>
      <c r="C681" s="11"/>
      <c r="D681" s="11"/>
      <c r="E681" s="11"/>
      <c r="F681" s="11"/>
      <c r="G681" s="11"/>
      <c r="H681" s="15"/>
      <c r="I681" s="38"/>
      <c r="J681" s="38"/>
      <c r="K681" s="38"/>
      <c r="L681" s="41"/>
      <c r="M681" s="43"/>
      <c r="N681" s="11"/>
      <c r="O681" s="48"/>
      <c r="P681" s="48"/>
      <c r="Q681" s="48"/>
      <c r="R681" s="38"/>
      <c r="S681" s="38"/>
      <c r="T681" s="52"/>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83"/>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83"/>
      <c r="CK681" s="11"/>
      <c r="CL681" s="11"/>
      <c r="CM681" s="11"/>
      <c r="CN681" s="11"/>
      <c r="CO681" s="11"/>
      <c r="CP681" s="11"/>
      <c r="CQ681" s="11"/>
      <c r="CR681" s="11"/>
      <c r="CS681" s="11"/>
      <c r="CT681" s="11"/>
      <c r="CU681" s="11"/>
      <c r="CV681" s="11"/>
      <c r="CW681" s="11"/>
      <c r="CX681" s="11"/>
      <c r="CY681" s="11"/>
      <c r="CZ681" s="11"/>
      <c r="DA681" s="11"/>
      <c r="DB681" s="11"/>
      <c r="DC681" s="11"/>
    </row>
    <row r="682" spans="1:107" ht="12.75" customHeight="1">
      <c r="A682" s="11"/>
      <c r="B682" s="11"/>
      <c r="C682" s="11"/>
      <c r="D682" s="11"/>
      <c r="E682" s="11"/>
      <c r="F682" s="11"/>
      <c r="G682" s="11"/>
      <c r="H682" s="15"/>
      <c r="I682" s="38"/>
      <c r="J682" s="38"/>
      <c r="K682" s="38"/>
      <c r="L682" s="41"/>
      <c r="M682" s="43"/>
      <c r="N682" s="11"/>
      <c r="O682" s="48"/>
      <c r="P682" s="48"/>
      <c r="Q682" s="48"/>
      <c r="R682" s="38"/>
      <c r="S682" s="38"/>
      <c r="T682" s="52"/>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83"/>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83"/>
      <c r="CK682" s="11"/>
      <c r="CL682" s="11"/>
      <c r="CM682" s="11"/>
      <c r="CN682" s="11"/>
      <c r="CO682" s="11"/>
      <c r="CP682" s="11"/>
      <c r="CQ682" s="11"/>
      <c r="CR682" s="11"/>
      <c r="CS682" s="11"/>
      <c r="CT682" s="11"/>
      <c r="CU682" s="11"/>
      <c r="CV682" s="11"/>
      <c r="CW682" s="11"/>
      <c r="CX682" s="11"/>
      <c r="CY682" s="11"/>
      <c r="CZ682" s="11"/>
      <c r="DA682" s="11"/>
      <c r="DB682" s="11"/>
      <c r="DC682" s="11"/>
    </row>
    <row r="683" spans="1:107" ht="12.75" customHeight="1">
      <c r="A683" s="11"/>
      <c r="B683" s="11"/>
      <c r="C683" s="11"/>
      <c r="D683" s="11"/>
      <c r="E683" s="11"/>
      <c r="F683" s="11"/>
      <c r="G683" s="11"/>
      <c r="H683" s="15"/>
      <c r="I683" s="38"/>
      <c r="J683" s="38"/>
      <c r="K683" s="38"/>
      <c r="L683" s="41"/>
      <c r="M683" s="43"/>
      <c r="N683" s="11"/>
      <c r="O683" s="48"/>
      <c r="P683" s="48"/>
      <c r="Q683" s="48"/>
      <c r="R683" s="38"/>
      <c r="S683" s="38"/>
      <c r="T683" s="52"/>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83"/>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83"/>
      <c r="CK683" s="11"/>
      <c r="CL683" s="11"/>
      <c r="CM683" s="11"/>
      <c r="CN683" s="11"/>
      <c r="CO683" s="11"/>
      <c r="CP683" s="11"/>
      <c r="CQ683" s="11"/>
      <c r="CR683" s="11"/>
      <c r="CS683" s="11"/>
      <c r="CT683" s="11"/>
      <c r="CU683" s="11"/>
      <c r="CV683" s="11"/>
      <c r="CW683" s="11"/>
      <c r="CX683" s="11"/>
      <c r="CY683" s="11"/>
      <c r="CZ683" s="11"/>
      <c r="DA683" s="11"/>
      <c r="DB683" s="11"/>
      <c r="DC683" s="11"/>
    </row>
    <row r="684" spans="1:107" ht="12.75" customHeight="1">
      <c r="A684" s="11"/>
      <c r="B684" s="11"/>
      <c r="C684" s="11"/>
      <c r="D684" s="11"/>
      <c r="E684" s="11"/>
      <c r="F684" s="11"/>
      <c r="G684" s="11"/>
      <c r="H684" s="15"/>
      <c r="I684" s="38"/>
      <c r="J684" s="38"/>
      <c r="K684" s="38"/>
      <c r="L684" s="41"/>
      <c r="M684" s="43"/>
      <c r="N684" s="11"/>
      <c r="O684" s="48"/>
      <c r="P684" s="48"/>
      <c r="Q684" s="48"/>
      <c r="R684" s="38"/>
      <c r="S684" s="38"/>
      <c r="T684" s="52"/>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83"/>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83"/>
      <c r="CK684" s="11"/>
      <c r="CL684" s="11"/>
      <c r="CM684" s="11"/>
      <c r="CN684" s="11"/>
      <c r="CO684" s="11"/>
      <c r="CP684" s="11"/>
      <c r="CQ684" s="11"/>
      <c r="CR684" s="11"/>
      <c r="CS684" s="11"/>
      <c r="CT684" s="11"/>
      <c r="CU684" s="11"/>
      <c r="CV684" s="11"/>
      <c r="CW684" s="11"/>
      <c r="CX684" s="11"/>
      <c r="CY684" s="11"/>
      <c r="CZ684" s="11"/>
      <c r="DA684" s="11"/>
      <c r="DB684" s="11"/>
      <c r="DC684" s="11"/>
    </row>
    <row r="685" spans="1:107" ht="12.75" customHeight="1">
      <c r="A685" s="11"/>
      <c r="B685" s="11"/>
      <c r="C685" s="11"/>
      <c r="D685" s="11"/>
      <c r="E685" s="11"/>
      <c r="F685" s="11"/>
      <c r="G685" s="11"/>
      <c r="H685" s="15"/>
      <c r="I685" s="38"/>
      <c r="J685" s="38"/>
      <c r="K685" s="38"/>
      <c r="L685" s="41"/>
      <c r="M685" s="43"/>
      <c r="N685" s="11"/>
      <c r="O685" s="48"/>
      <c r="P685" s="48"/>
      <c r="Q685" s="48"/>
      <c r="R685" s="38"/>
      <c r="S685" s="38"/>
      <c r="T685" s="52"/>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83"/>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83"/>
      <c r="CK685" s="11"/>
      <c r="CL685" s="11"/>
      <c r="CM685" s="11"/>
      <c r="CN685" s="11"/>
      <c r="CO685" s="11"/>
      <c r="CP685" s="11"/>
      <c r="CQ685" s="11"/>
      <c r="CR685" s="11"/>
      <c r="CS685" s="11"/>
      <c r="CT685" s="11"/>
      <c r="CU685" s="11"/>
      <c r="CV685" s="11"/>
      <c r="CW685" s="11"/>
      <c r="CX685" s="11"/>
      <c r="CY685" s="11"/>
      <c r="CZ685" s="11"/>
      <c r="DA685" s="11"/>
      <c r="DB685" s="11"/>
      <c r="DC685" s="11"/>
    </row>
    <row r="686" spans="1:107" ht="12.75" customHeight="1">
      <c r="A686" s="11"/>
      <c r="B686" s="11"/>
      <c r="C686" s="11"/>
      <c r="D686" s="11"/>
      <c r="E686" s="11"/>
      <c r="F686" s="11"/>
      <c r="G686" s="11"/>
      <c r="H686" s="15"/>
      <c r="I686" s="38"/>
      <c r="J686" s="38"/>
      <c r="K686" s="38"/>
      <c r="L686" s="41"/>
      <c r="M686" s="43"/>
      <c r="N686" s="11"/>
      <c r="O686" s="48"/>
      <c r="P686" s="48"/>
      <c r="Q686" s="48"/>
      <c r="R686" s="38"/>
      <c r="S686" s="38"/>
      <c r="T686" s="52"/>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83"/>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83"/>
      <c r="CK686" s="11"/>
      <c r="CL686" s="11"/>
      <c r="CM686" s="11"/>
      <c r="CN686" s="11"/>
      <c r="CO686" s="11"/>
      <c r="CP686" s="11"/>
      <c r="CQ686" s="11"/>
      <c r="CR686" s="11"/>
      <c r="CS686" s="11"/>
      <c r="CT686" s="11"/>
      <c r="CU686" s="11"/>
      <c r="CV686" s="11"/>
      <c r="CW686" s="11"/>
      <c r="CX686" s="11"/>
      <c r="CY686" s="11"/>
      <c r="CZ686" s="11"/>
      <c r="DA686" s="11"/>
      <c r="DB686" s="11"/>
      <c r="DC686" s="11"/>
    </row>
    <row r="687" spans="1:107" ht="12.75" customHeight="1">
      <c r="A687" s="11"/>
      <c r="B687" s="11"/>
      <c r="C687" s="11"/>
      <c r="D687" s="11"/>
      <c r="E687" s="11"/>
      <c r="F687" s="11"/>
      <c r="G687" s="11"/>
      <c r="H687" s="15"/>
      <c r="I687" s="38"/>
      <c r="J687" s="38"/>
      <c r="K687" s="38"/>
      <c r="L687" s="41"/>
      <c r="M687" s="43"/>
      <c r="N687" s="11"/>
      <c r="O687" s="48"/>
      <c r="P687" s="48"/>
      <c r="Q687" s="48"/>
      <c r="R687" s="38"/>
      <c r="S687" s="38"/>
      <c r="T687" s="52"/>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83"/>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c r="CF687" s="11"/>
      <c r="CG687" s="11"/>
      <c r="CH687" s="11"/>
      <c r="CI687" s="11"/>
      <c r="CJ687" s="183"/>
      <c r="CK687" s="11"/>
      <c r="CL687" s="11"/>
      <c r="CM687" s="11"/>
      <c r="CN687" s="11"/>
      <c r="CO687" s="11"/>
      <c r="CP687" s="11"/>
      <c r="CQ687" s="11"/>
      <c r="CR687" s="11"/>
      <c r="CS687" s="11"/>
      <c r="CT687" s="11"/>
      <c r="CU687" s="11"/>
      <c r="CV687" s="11"/>
      <c r="CW687" s="11"/>
      <c r="CX687" s="11"/>
      <c r="CY687" s="11"/>
      <c r="CZ687" s="11"/>
      <c r="DA687" s="11"/>
      <c r="DB687" s="11"/>
      <c r="DC687" s="11"/>
    </row>
    <row r="688" spans="1:107" ht="12.75" customHeight="1">
      <c r="A688" s="11"/>
      <c r="B688" s="11"/>
      <c r="C688" s="11"/>
      <c r="D688" s="11"/>
      <c r="E688" s="11"/>
      <c r="F688" s="11"/>
      <c r="G688" s="11"/>
      <c r="H688" s="15"/>
      <c r="I688" s="38"/>
      <c r="J688" s="38"/>
      <c r="K688" s="38"/>
      <c r="L688" s="41"/>
      <c r="M688" s="43"/>
      <c r="N688" s="11"/>
      <c r="O688" s="48"/>
      <c r="P688" s="48"/>
      <c r="Q688" s="48"/>
      <c r="R688" s="38"/>
      <c r="S688" s="38"/>
      <c r="T688" s="52"/>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83"/>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83"/>
      <c r="CK688" s="11"/>
      <c r="CL688" s="11"/>
      <c r="CM688" s="11"/>
      <c r="CN688" s="11"/>
      <c r="CO688" s="11"/>
      <c r="CP688" s="11"/>
      <c r="CQ688" s="11"/>
      <c r="CR688" s="11"/>
      <c r="CS688" s="11"/>
      <c r="CT688" s="11"/>
      <c r="CU688" s="11"/>
      <c r="CV688" s="11"/>
      <c r="CW688" s="11"/>
      <c r="CX688" s="11"/>
      <c r="CY688" s="11"/>
      <c r="CZ688" s="11"/>
      <c r="DA688" s="11"/>
      <c r="DB688" s="11"/>
      <c r="DC688" s="11"/>
    </row>
    <row r="689" spans="1:107" ht="12.75" customHeight="1">
      <c r="A689" s="11"/>
      <c r="B689" s="11"/>
      <c r="C689" s="11"/>
      <c r="D689" s="11"/>
      <c r="E689" s="11"/>
      <c r="F689" s="11"/>
      <c r="G689" s="11"/>
      <c r="H689" s="15"/>
      <c r="I689" s="38"/>
      <c r="J689" s="38"/>
      <c r="K689" s="38"/>
      <c r="L689" s="41"/>
      <c r="M689" s="43"/>
      <c r="N689" s="11"/>
      <c r="O689" s="48"/>
      <c r="P689" s="48"/>
      <c r="Q689" s="48"/>
      <c r="R689" s="38"/>
      <c r="S689" s="38"/>
      <c r="T689" s="52"/>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83"/>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83"/>
      <c r="CK689" s="11"/>
      <c r="CL689" s="11"/>
      <c r="CM689" s="11"/>
      <c r="CN689" s="11"/>
      <c r="CO689" s="11"/>
      <c r="CP689" s="11"/>
      <c r="CQ689" s="11"/>
      <c r="CR689" s="11"/>
      <c r="CS689" s="11"/>
      <c r="CT689" s="11"/>
      <c r="CU689" s="11"/>
      <c r="CV689" s="11"/>
      <c r="CW689" s="11"/>
      <c r="CX689" s="11"/>
      <c r="CY689" s="11"/>
      <c r="CZ689" s="11"/>
      <c r="DA689" s="11"/>
      <c r="DB689" s="11"/>
      <c r="DC689" s="11"/>
    </row>
    <row r="690" spans="1:107" ht="12.75" customHeight="1">
      <c r="A690" s="11"/>
      <c r="B690" s="11"/>
      <c r="C690" s="11"/>
      <c r="D690" s="11"/>
      <c r="E690" s="11"/>
      <c r="F690" s="11"/>
      <c r="G690" s="11"/>
      <c r="H690" s="15"/>
      <c r="I690" s="38"/>
      <c r="J690" s="38"/>
      <c r="K690" s="38"/>
      <c r="L690" s="41"/>
      <c r="M690" s="43"/>
      <c r="N690" s="11"/>
      <c r="O690" s="48"/>
      <c r="P690" s="48"/>
      <c r="Q690" s="48"/>
      <c r="R690" s="38"/>
      <c r="S690" s="38"/>
      <c r="T690" s="52"/>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83"/>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83"/>
      <c r="CK690" s="11"/>
      <c r="CL690" s="11"/>
      <c r="CM690" s="11"/>
      <c r="CN690" s="11"/>
      <c r="CO690" s="11"/>
      <c r="CP690" s="11"/>
      <c r="CQ690" s="11"/>
      <c r="CR690" s="11"/>
      <c r="CS690" s="11"/>
      <c r="CT690" s="11"/>
      <c r="CU690" s="11"/>
      <c r="CV690" s="11"/>
      <c r="CW690" s="11"/>
      <c r="CX690" s="11"/>
      <c r="CY690" s="11"/>
      <c r="CZ690" s="11"/>
      <c r="DA690" s="11"/>
      <c r="DB690" s="11"/>
      <c r="DC690" s="11"/>
    </row>
    <row r="691" spans="1:107" ht="12.75" customHeight="1">
      <c r="A691" s="11"/>
      <c r="B691" s="11"/>
      <c r="C691" s="11"/>
      <c r="D691" s="11"/>
      <c r="E691" s="11"/>
      <c r="F691" s="11"/>
      <c r="G691" s="11"/>
      <c r="H691" s="15"/>
      <c r="I691" s="38"/>
      <c r="J691" s="38"/>
      <c r="K691" s="38"/>
      <c r="L691" s="41"/>
      <c r="M691" s="43"/>
      <c r="N691" s="11"/>
      <c r="O691" s="48"/>
      <c r="P691" s="48"/>
      <c r="Q691" s="48"/>
      <c r="R691" s="38"/>
      <c r="S691" s="38"/>
      <c r="T691" s="52"/>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83"/>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83"/>
      <c r="CK691" s="11"/>
      <c r="CL691" s="11"/>
      <c r="CM691" s="11"/>
      <c r="CN691" s="11"/>
      <c r="CO691" s="11"/>
      <c r="CP691" s="11"/>
      <c r="CQ691" s="11"/>
      <c r="CR691" s="11"/>
      <c r="CS691" s="11"/>
      <c r="CT691" s="11"/>
      <c r="CU691" s="11"/>
      <c r="CV691" s="11"/>
      <c r="CW691" s="11"/>
      <c r="CX691" s="11"/>
      <c r="CY691" s="11"/>
      <c r="CZ691" s="11"/>
      <c r="DA691" s="11"/>
      <c r="DB691" s="11"/>
      <c r="DC691" s="11"/>
    </row>
    <row r="692" spans="1:107" ht="12.75" customHeight="1">
      <c r="A692" s="11"/>
      <c r="B692" s="11"/>
      <c r="C692" s="11"/>
      <c r="D692" s="11"/>
      <c r="E692" s="11"/>
      <c r="F692" s="11"/>
      <c r="G692" s="11"/>
      <c r="H692" s="15"/>
      <c r="I692" s="38"/>
      <c r="J692" s="38"/>
      <c r="K692" s="38"/>
      <c r="L692" s="41"/>
      <c r="M692" s="43"/>
      <c r="N692" s="11"/>
      <c r="O692" s="48"/>
      <c r="P692" s="48"/>
      <c r="Q692" s="48"/>
      <c r="R692" s="38"/>
      <c r="S692" s="38"/>
      <c r="T692" s="52"/>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83"/>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83"/>
      <c r="CK692" s="11"/>
      <c r="CL692" s="11"/>
      <c r="CM692" s="11"/>
      <c r="CN692" s="11"/>
      <c r="CO692" s="11"/>
      <c r="CP692" s="11"/>
      <c r="CQ692" s="11"/>
      <c r="CR692" s="11"/>
      <c r="CS692" s="11"/>
      <c r="CT692" s="11"/>
      <c r="CU692" s="11"/>
      <c r="CV692" s="11"/>
      <c r="CW692" s="11"/>
      <c r="CX692" s="11"/>
      <c r="CY692" s="11"/>
      <c r="CZ692" s="11"/>
      <c r="DA692" s="11"/>
      <c r="DB692" s="11"/>
      <c r="DC692" s="11"/>
    </row>
    <row r="693" spans="1:107" ht="12.75" customHeight="1">
      <c r="A693" s="11"/>
      <c r="B693" s="11"/>
      <c r="C693" s="11"/>
      <c r="D693" s="11"/>
      <c r="E693" s="11"/>
      <c r="F693" s="11"/>
      <c r="G693" s="11"/>
      <c r="H693" s="15"/>
      <c r="I693" s="38"/>
      <c r="J693" s="38"/>
      <c r="K693" s="38"/>
      <c r="L693" s="41"/>
      <c r="M693" s="43"/>
      <c r="N693" s="11"/>
      <c r="O693" s="48"/>
      <c r="P693" s="48"/>
      <c r="Q693" s="48"/>
      <c r="R693" s="38"/>
      <c r="S693" s="38"/>
      <c r="T693" s="52"/>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83"/>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83"/>
      <c r="CK693" s="11"/>
      <c r="CL693" s="11"/>
      <c r="CM693" s="11"/>
      <c r="CN693" s="11"/>
      <c r="CO693" s="11"/>
      <c r="CP693" s="11"/>
      <c r="CQ693" s="11"/>
      <c r="CR693" s="11"/>
      <c r="CS693" s="11"/>
      <c r="CT693" s="11"/>
      <c r="CU693" s="11"/>
      <c r="CV693" s="11"/>
      <c r="CW693" s="11"/>
      <c r="CX693" s="11"/>
      <c r="CY693" s="11"/>
      <c r="CZ693" s="11"/>
      <c r="DA693" s="11"/>
      <c r="DB693" s="11"/>
      <c r="DC693" s="11"/>
    </row>
    <row r="694" spans="1:107" ht="12.75" customHeight="1">
      <c r="A694" s="11"/>
      <c r="B694" s="11"/>
      <c r="C694" s="11"/>
      <c r="D694" s="11"/>
      <c r="E694" s="11"/>
      <c r="F694" s="11"/>
      <c r="G694" s="11"/>
      <c r="H694" s="15"/>
      <c r="I694" s="38"/>
      <c r="J694" s="38"/>
      <c r="K694" s="38"/>
      <c r="L694" s="41"/>
      <c r="M694" s="43"/>
      <c r="N694" s="11"/>
      <c r="O694" s="48"/>
      <c r="P694" s="48"/>
      <c r="Q694" s="48"/>
      <c r="R694" s="38"/>
      <c r="S694" s="38"/>
      <c r="T694" s="52"/>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83"/>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83"/>
      <c r="CK694" s="11"/>
      <c r="CL694" s="11"/>
      <c r="CM694" s="11"/>
      <c r="CN694" s="11"/>
      <c r="CO694" s="11"/>
      <c r="CP694" s="11"/>
      <c r="CQ694" s="11"/>
      <c r="CR694" s="11"/>
      <c r="CS694" s="11"/>
      <c r="CT694" s="11"/>
      <c r="CU694" s="11"/>
      <c r="CV694" s="11"/>
      <c r="CW694" s="11"/>
      <c r="CX694" s="11"/>
      <c r="CY694" s="11"/>
      <c r="CZ694" s="11"/>
      <c r="DA694" s="11"/>
      <c r="DB694" s="11"/>
      <c r="DC694" s="11"/>
    </row>
    <row r="695" spans="1:107" ht="12.75" customHeight="1">
      <c r="A695" s="11"/>
      <c r="B695" s="11"/>
      <c r="C695" s="11"/>
      <c r="D695" s="11"/>
      <c r="E695" s="11"/>
      <c r="F695" s="11"/>
      <c r="G695" s="11"/>
      <c r="H695" s="15"/>
      <c r="I695" s="38"/>
      <c r="J695" s="38"/>
      <c r="K695" s="38"/>
      <c r="L695" s="41"/>
      <c r="M695" s="43"/>
      <c r="N695" s="11"/>
      <c r="O695" s="48"/>
      <c r="P695" s="48"/>
      <c r="Q695" s="48"/>
      <c r="R695" s="38"/>
      <c r="S695" s="38"/>
      <c r="T695" s="52"/>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83"/>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83"/>
      <c r="CK695" s="11"/>
      <c r="CL695" s="11"/>
      <c r="CM695" s="11"/>
      <c r="CN695" s="11"/>
      <c r="CO695" s="11"/>
      <c r="CP695" s="11"/>
      <c r="CQ695" s="11"/>
      <c r="CR695" s="11"/>
      <c r="CS695" s="11"/>
      <c r="CT695" s="11"/>
      <c r="CU695" s="11"/>
      <c r="CV695" s="11"/>
      <c r="CW695" s="11"/>
      <c r="CX695" s="11"/>
      <c r="CY695" s="11"/>
      <c r="CZ695" s="11"/>
      <c r="DA695" s="11"/>
      <c r="DB695" s="11"/>
      <c r="DC695" s="11"/>
    </row>
    <row r="696" spans="1:107" ht="12.75" customHeight="1">
      <c r="A696" s="11"/>
      <c r="B696" s="11"/>
      <c r="C696" s="11"/>
      <c r="D696" s="11"/>
      <c r="E696" s="11"/>
      <c r="F696" s="11"/>
      <c r="G696" s="11"/>
      <c r="H696" s="15"/>
      <c r="I696" s="38"/>
      <c r="J696" s="38"/>
      <c r="K696" s="38"/>
      <c r="L696" s="41"/>
      <c r="M696" s="43"/>
      <c r="N696" s="11"/>
      <c r="O696" s="48"/>
      <c r="P696" s="48"/>
      <c r="Q696" s="48"/>
      <c r="R696" s="38"/>
      <c r="S696" s="38"/>
      <c r="T696" s="52"/>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83"/>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83"/>
      <c r="CK696" s="11"/>
      <c r="CL696" s="11"/>
      <c r="CM696" s="11"/>
      <c r="CN696" s="11"/>
      <c r="CO696" s="11"/>
      <c r="CP696" s="11"/>
      <c r="CQ696" s="11"/>
      <c r="CR696" s="11"/>
      <c r="CS696" s="11"/>
      <c r="CT696" s="11"/>
      <c r="CU696" s="11"/>
      <c r="CV696" s="11"/>
      <c r="CW696" s="11"/>
      <c r="CX696" s="11"/>
      <c r="CY696" s="11"/>
      <c r="CZ696" s="11"/>
      <c r="DA696" s="11"/>
      <c r="DB696" s="11"/>
      <c r="DC696" s="11"/>
    </row>
    <row r="697" spans="1:107" ht="12.75" customHeight="1">
      <c r="A697" s="11"/>
      <c r="B697" s="11"/>
      <c r="C697" s="11"/>
      <c r="D697" s="11"/>
      <c r="E697" s="11"/>
      <c r="F697" s="11"/>
      <c r="G697" s="11"/>
      <c r="H697" s="15"/>
      <c r="I697" s="38"/>
      <c r="J697" s="38"/>
      <c r="K697" s="38"/>
      <c r="L697" s="41"/>
      <c r="M697" s="43"/>
      <c r="N697" s="11"/>
      <c r="O697" s="48"/>
      <c r="P697" s="48"/>
      <c r="Q697" s="48"/>
      <c r="R697" s="38"/>
      <c r="S697" s="38"/>
      <c r="T697" s="52"/>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83"/>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83"/>
      <c r="CK697" s="11"/>
      <c r="CL697" s="11"/>
      <c r="CM697" s="11"/>
      <c r="CN697" s="11"/>
      <c r="CO697" s="11"/>
      <c r="CP697" s="11"/>
      <c r="CQ697" s="11"/>
      <c r="CR697" s="11"/>
      <c r="CS697" s="11"/>
      <c r="CT697" s="11"/>
      <c r="CU697" s="11"/>
      <c r="CV697" s="11"/>
      <c r="CW697" s="11"/>
      <c r="CX697" s="11"/>
      <c r="CY697" s="11"/>
      <c r="CZ697" s="11"/>
      <c r="DA697" s="11"/>
      <c r="DB697" s="11"/>
      <c r="DC697" s="11"/>
    </row>
    <row r="698" spans="1:107" ht="12.75" customHeight="1">
      <c r="A698" s="11"/>
      <c r="B698" s="11"/>
      <c r="C698" s="11"/>
      <c r="D698" s="11"/>
      <c r="E698" s="11"/>
      <c r="F698" s="11"/>
      <c r="G698" s="11"/>
      <c r="H698" s="15"/>
      <c r="I698" s="38"/>
      <c r="J698" s="38"/>
      <c r="K698" s="38"/>
      <c r="L698" s="41"/>
      <c r="M698" s="43"/>
      <c r="N698" s="11"/>
      <c r="O698" s="48"/>
      <c r="P698" s="48"/>
      <c r="Q698" s="48"/>
      <c r="R698" s="38"/>
      <c r="S698" s="38"/>
      <c r="T698" s="52"/>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83"/>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83"/>
      <c r="CK698" s="11"/>
      <c r="CL698" s="11"/>
      <c r="CM698" s="11"/>
      <c r="CN698" s="11"/>
      <c r="CO698" s="11"/>
      <c r="CP698" s="11"/>
      <c r="CQ698" s="11"/>
      <c r="CR698" s="11"/>
      <c r="CS698" s="11"/>
      <c r="CT698" s="11"/>
      <c r="CU698" s="11"/>
      <c r="CV698" s="11"/>
      <c r="CW698" s="11"/>
      <c r="CX698" s="11"/>
      <c r="CY698" s="11"/>
      <c r="CZ698" s="11"/>
      <c r="DA698" s="11"/>
      <c r="DB698" s="11"/>
      <c r="DC698" s="11"/>
    </row>
    <row r="699" spans="1:107" ht="12.75" customHeight="1">
      <c r="A699" s="11"/>
      <c r="B699" s="11"/>
      <c r="C699" s="11"/>
      <c r="D699" s="11"/>
      <c r="E699" s="11"/>
      <c r="F699" s="11"/>
      <c r="G699" s="11"/>
      <c r="H699" s="15"/>
      <c r="I699" s="38"/>
      <c r="J699" s="38"/>
      <c r="K699" s="38"/>
      <c r="L699" s="41"/>
      <c r="M699" s="43"/>
      <c r="N699" s="11"/>
      <c r="O699" s="48"/>
      <c r="P699" s="48"/>
      <c r="Q699" s="48"/>
      <c r="R699" s="38"/>
      <c r="S699" s="38"/>
      <c r="T699" s="52"/>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83"/>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83"/>
      <c r="CK699" s="11"/>
      <c r="CL699" s="11"/>
      <c r="CM699" s="11"/>
      <c r="CN699" s="11"/>
      <c r="CO699" s="11"/>
      <c r="CP699" s="11"/>
      <c r="CQ699" s="11"/>
      <c r="CR699" s="11"/>
      <c r="CS699" s="11"/>
      <c r="CT699" s="11"/>
      <c r="CU699" s="11"/>
      <c r="CV699" s="11"/>
      <c r="CW699" s="11"/>
      <c r="CX699" s="11"/>
      <c r="CY699" s="11"/>
      <c r="CZ699" s="11"/>
      <c r="DA699" s="11"/>
      <c r="DB699" s="11"/>
      <c r="DC699" s="11"/>
    </row>
    <row r="700" spans="1:107" ht="12.75" customHeight="1">
      <c r="A700" s="11"/>
      <c r="B700" s="11"/>
      <c r="C700" s="11"/>
      <c r="D700" s="11"/>
      <c r="E700" s="11"/>
      <c r="F700" s="11"/>
      <c r="G700" s="11"/>
      <c r="H700" s="15"/>
      <c r="I700" s="38"/>
      <c r="J700" s="38"/>
      <c r="K700" s="38"/>
      <c r="L700" s="41"/>
      <c r="M700" s="43"/>
      <c r="N700" s="11"/>
      <c r="O700" s="48"/>
      <c r="P700" s="48"/>
      <c r="Q700" s="48"/>
      <c r="R700" s="38"/>
      <c r="S700" s="38"/>
      <c r="T700" s="52"/>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83"/>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83"/>
      <c r="CK700" s="11"/>
      <c r="CL700" s="11"/>
      <c r="CM700" s="11"/>
      <c r="CN700" s="11"/>
      <c r="CO700" s="11"/>
      <c r="CP700" s="11"/>
      <c r="CQ700" s="11"/>
      <c r="CR700" s="11"/>
      <c r="CS700" s="11"/>
      <c r="CT700" s="11"/>
      <c r="CU700" s="11"/>
      <c r="CV700" s="11"/>
      <c r="CW700" s="11"/>
      <c r="CX700" s="11"/>
      <c r="CY700" s="11"/>
      <c r="CZ700" s="11"/>
      <c r="DA700" s="11"/>
      <c r="DB700" s="11"/>
      <c r="DC700" s="11"/>
    </row>
    <row r="701" spans="1:107" ht="12.75" customHeight="1">
      <c r="A701" s="11"/>
      <c r="B701" s="11"/>
      <c r="C701" s="11"/>
      <c r="D701" s="11"/>
      <c r="E701" s="11"/>
      <c r="F701" s="11"/>
      <c r="G701" s="11"/>
      <c r="H701" s="15"/>
      <c r="I701" s="38"/>
      <c r="J701" s="38"/>
      <c r="K701" s="38"/>
      <c r="L701" s="41"/>
      <c r="M701" s="43"/>
      <c r="N701" s="11"/>
      <c r="O701" s="48"/>
      <c r="P701" s="48"/>
      <c r="Q701" s="48"/>
      <c r="R701" s="38"/>
      <c r="S701" s="38"/>
      <c r="T701" s="52"/>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83"/>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83"/>
      <c r="CK701" s="11"/>
      <c r="CL701" s="11"/>
      <c r="CM701" s="11"/>
      <c r="CN701" s="11"/>
      <c r="CO701" s="11"/>
      <c r="CP701" s="11"/>
      <c r="CQ701" s="11"/>
      <c r="CR701" s="11"/>
      <c r="CS701" s="11"/>
      <c r="CT701" s="11"/>
      <c r="CU701" s="11"/>
      <c r="CV701" s="11"/>
      <c r="CW701" s="11"/>
      <c r="CX701" s="11"/>
      <c r="CY701" s="11"/>
      <c r="CZ701" s="11"/>
      <c r="DA701" s="11"/>
      <c r="DB701" s="11"/>
      <c r="DC701" s="11"/>
    </row>
    <row r="702" spans="1:107" ht="12.75" customHeight="1">
      <c r="A702" s="11"/>
      <c r="B702" s="11"/>
      <c r="C702" s="11"/>
      <c r="D702" s="11"/>
      <c r="E702" s="11"/>
      <c r="F702" s="11"/>
      <c r="G702" s="11"/>
      <c r="H702" s="15"/>
      <c r="I702" s="38"/>
      <c r="J702" s="38"/>
      <c r="K702" s="38"/>
      <c r="L702" s="41"/>
      <c r="M702" s="43"/>
      <c r="N702" s="11"/>
      <c r="O702" s="48"/>
      <c r="P702" s="48"/>
      <c r="Q702" s="48"/>
      <c r="R702" s="38"/>
      <c r="S702" s="38"/>
      <c r="T702" s="52"/>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83"/>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83"/>
      <c r="CK702" s="11"/>
      <c r="CL702" s="11"/>
      <c r="CM702" s="11"/>
      <c r="CN702" s="11"/>
      <c r="CO702" s="11"/>
      <c r="CP702" s="11"/>
      <c r="CQ702" s="11"/>
      <c r="CR702" s="11"/>
      <c r="CS702" s="11"/>
      <c r="CT702" s="11"/>
      <c r="CU702" s="11"/>
      <c r="CV702" s="11"/>
      <c r="CW702" s="11"/>
      <c r="CX702" s="11"/>
      <c r="CY702" s="11"/>
      <c r="CZ702" s="11"/>
      <c r="DA702" s="11"/>
      <c r="DB702" s="11"/>
      <c r="DC702" s="11"/>
    </row>
    <row r="703" spans="1:107" ht="12.75" customHeight="1">
      <c r="A703" s="11"/>
      <c r="B703" s="11"/>
      <c r="C703" s="11"/>
      <c r="D703" s="11"/>
      <c r="E703" s="11"/>
      <c r="F703" s="11"/>
      <c r="G703" s="11"/>
      <c r="H703" s="15"/>
      <c r="I703" s="38"/>
      <c r="J703" s="38"/>
      <c r="K703" s="38"/>
      <c r="L703" s="41"/>
      <c r="M703" s="43"/>
      <c r="N703" s="11"/>
      <c r="O703" s="48"/>
      <c r="P703" s="48"/>
      <c r="Q703" s="48"/>
      <c r="R703" s="38"/>
      <c r="S703" s="38"/>
      <c r="T703" s="52"/>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83"/>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83"/>
      <c r="CK703" s="11"/>
      <c r="CL703" s="11"/>
      <c r="CM703" s="11"/>
      <c r="CN703" s="11"/>
      <c r="CO703" s="11"/>
      <c r="CP703" s="11"/>
      <c r="CQ703" s="11"/>
      <c r="CR703" s="11"/>
      <c r="CS703" s="11"/>
      <c r="CT703" s="11"/>
      <c r="CU703" s="11"/>
      <c r="CV703" s="11"/>
      <c r="CW703" s="11"/>
      <c r="CX703" s="11"/>
      <c r="CY703" s="11"/>
      <c r="CZ703" s="11"/>
      <c r="DA703" s="11"/>
      <c r="DB703" s="11"/>
      <c r="DC703" s="11"/>
    </row>
    <row r="704" spans="1:107" ht="12.75" customHeight="1">
      <c r="A704" s="11"/>
      <c r="B704" s="11"/>
      <c r="C704" s="11"/>
      <c r="D704" s="11"/>
      <c r="E704" s="11"/>
      <c r="F704" s="11"/>
      <c r="G704" s="11"/>
      <c r="H704" s="15"/>
      <c r="I704" s="38"/>
      <c r="J704" s="38"/>
      <c r="K704" s="38"/>
      <c r="L704" s="41"/>
      <c r="M704" s="43"/>
      <c r="N704" s="11"/>
      <c r="O704" s="48"/>
      <c r="P704" s="48"/>
      <c r="Q704" s="48"/>
      <c r="R704" s="38"/>
      <c r="S704" s="38"/>
      <c r="T704" s="52"/>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83"/>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83"/>
      <c r="CK704" s="11"/>
      <c r="CL704" s="11"/>
      <c r="CM704" s="11"/>
      <c r="CN704" s="11"/>
      <c r="CO704" s="11"/>
      <c r="CP704" s="11"/>
      <c r="CQ704" s="11"/>
      <c r="CR704" s="11"/>
      <c r="CS704" s="11"/>
      <c r="CT704" s="11"/>
      <c r="CU704" s="11"/>
      <c r="CV704" s="11"/>
      <c r="CW704" s="11"/>
      <c r="CX704" s="11"/>
      <c r="CY704" s="11"/>
      <c r="CZ704" s="11"/>
      <c r="DA704" s="11"/>
      <c r="DB704" s="11"/>
      <c r="DC704" s="11"/>
    </row>
    <row r="705" spans="1:107" ht="12.75" customHeight="1">
      <c r="A705" s="11"/>
      <c r="B705" s="11"/>
      <c r="C705" s="11"/>
      <c r="D705" s="11"/>
      <c r="E705" s="11"/>
      <c r="F705" s="11"/>
      <c r="G705" s="11"/>
      <c r="H705" s="15"/>
      <c r="I705" s="38"/>
      <c r="J705" s="38"/>
      <c r="K705" s="38"/>
      <c r="L705" s="41"/>
      <c r="M705" s="43"/>
      <c r="N705" s="11"/>
      <c r="O705" s="48"/>
      <c r="P705" s="48"/>
      <c r="Q705" s="48"/>
      <c r="R705" s="38"/>
      <c r="S705" s="38"/>
      <c r="T705" s="52"/>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83"/>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83"/>
      <c r="CK705" s="11"/>
      <c r="CL705" s="11"/>
      <c r="CM705" s="11"/>
      <c r="CN705" s="11"/>
      <c r="CO705" s="11"/>
      <c r="CP705" s="11"/>
      <c r="CQ705" s="11"/>
      <c r="CR705" s="11"/>
      <c r="CS705" s="11"/>
      <c r="CT705" s="11"/>
      <c r="CU705" s="11"/>
      <c r="CV705" s="11"/>
      <c r="CW705" s="11"/>
      <c r="CX705" s="11"/>
      <c r="CY705" s="11"/>
      <c r="CZ705" s="11"/>
      <c r="DA705" s="11"/>
      <c r="DB705" s="11"/>
      <c r="DC705" s="11"/>
    </row>
    <row r="706" spans="1:107" ht="12.75" customHeight="1">
      <c r="A706" s="11"/>
      <c r="B706" s="11"/>
      <c r="C706" s="11"/>
      <c r="D706" s="11"/>
      <c r="E706" s="11"/>
      <c r="F706" s="11"/>
      <c r="G706" s="11"/>
      <c r="H706" s="15"/>
      <c r="I706" s="38"/>
      <c r="J706" s="38"/>
      <c r="K706" s="38"/>
      <c r="L706" s="41"/>
      <c r="M706" s="43"/>
      <c r="N706" s="11"/>
      <c r="O706" s="48"/>
      <c r="P706" s="48"/>
      <c r="Q706" s="48"/>
      <c r="R706" s="38"/>
      <c r="S706" s="38"/>
      <c r="T706" s="52"/>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83"/>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83"/>
      <c r="CK706" s="11"/>
      <c r="CL706" s="11"/>
      <c r="CM706" s="11"/>
      <c r="CN706" s="11"/>
      <c r="CO706" s="11"/>
      <c r="CP706" s="11"/>
      <c r="CQ706" s="11"/>
      <c r="CR706" s="11"/>
      <c r="CS706" s="11"/>
      <c r="CT706" s="11"/>
      <c r="CU706" s="11"/>
      <c r="CV706" s="11"/>
      <c r="CW706" s="11"/>
      <c r="CX706" s="11"/>
      <c r="CY706" s="11"/>
      <c r="CZ706" s="11"/>
      <c r="DA706" s="11"/>
      <c r="DB706" s="11"/>
      <c r="DC706" s="11"/>
    </row>
    <row r="707" spans="1:107" ht="12.75" customHeight="1">
      <c r="A707" s="11"/>
      <c r="B707" s="11"/>
      <c r="C707" s="11"/>
      <c r="D707" s="11"/>
      <c r="E707" s="11"/>
      <c r="F707" s="11"/>
      <c r="G707" s="11"/>
      <c r="H707" s="15"/>
      <c r="I707" s="38"/>
      <c r="J707" s="38"/>
      <c r="K707" s="38"/>
      <c r="L707" s="41"/>
      <c r="M707" s="43"/>
      <c r="N707" s="11"/>
      <c r="O707" s="48"/>
      <c r="P707" s="48"/>
      <c r="Q707" s="48"/>
      <c r="R707" s="38"/>
      <c r="S707" s="38"/>
      <c r="T707" s="52"/>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83"/>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83"/>
      <c r="CK707" s="11"/>
      <c r="CL707" s="11"/>
      <c r="CM707" s="11"/>
      <c r="CN707" s="11"/>
      <c r="CO707" s="11"/>
      <c r="CP707" s="11"/>
      <c r="CQ707" s="11"/>
      <c r="CR707" s="11"/>
      <c r="CS707" s="11"/>
      <c r="CT707" s="11"/>
      <c r="CU707" s="11"/>
      <c r="CV707" s="11"/>
      <c r="CW707" s="11"/>
      <c r="CX707" s="11"/>
      <c r="CY707" s="11"/>
      <c r="CZ707" s="11"/>
      <c r="DA707" s="11"/>
      <c r="DB707" s="11"/>
      <c r="DC707" s="11"/>
    </row>
    <row r="708" spans="1:107" ht="12.75" customHeight="1">
      <c r="A708" s="11"/>
      <c r="B708" s="11"/>
      <c r="C708" s="11"/>
      <c r="D708" s="11"/>
      <c r="E708" s="11"/>
      <c r="F708" s="11"/>
      <c r="G708" s="11"/>
      <c r="H708" s="15"/>
      <c r="I708" s="38"/>
      <c r="J708" s="38"/>
      <c r="K708" s="38"/>
      <c r="L708" s="41"/>
      <c r="M708" s="43"/>
      <c r="N708" s="11"/>
      <c r="O708" s="48"/>
      <c r="P708" s="48"/>
      <c r="Q708" s="48"/>
      <c r="R708" s="38"/>
      <c r="S708" s="38"/>
      <c r="T708" s="52"/>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83"/>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83"/>
      <c r="CK708" s="11"/>
      <c r="CL708" s="11"/>
      <c r="CM708" s="11"/>
      <c r="CN708" s="11"/>
      <c r="CO708" s="11"/>
      <c r="CP708" s="11"/>
      <c r="CQ708" s="11"/>
      <c r="CR708" s="11"/>
      <c r="CS708" s="11"/>
      <c r="CT708" s="11"/>
      <c r="CU708" s="11"/>
      <c r="CV708" s="11"/>
      <c r="CW708" s="11"/>
      <c r="CX708" s="11"/>
      <c r="CY708" s="11"/>
      <c r="CZ708" s="11"/>
      <c r="DA708" s="11"/>
      <c r="DB708" s="11"/>
      <c r="DC708" s="11"/>
    </row>
    <row r="709" spans="1:107" ht="12.75" customHeight="1">
      <c r="A709" s="11"/>
      <c r="B709" s="11"/>
      <c r="C709" s="11"/>
      <c r="D709" s="11"/>
      <c r="E709" s="11"/>
      <c r="F709" s="11"/>
      <c r="G709" s="11"/>
      <c r="H709" s="15"/>
      <c r="I709" s="38"/>
      <c r="J709" s="38"/>
      <c r="K709" s="38"/>
      <c r="L709" s="41"/>
      <c r="M709" s="43"/>
      <c r="N709" s="11"/>
      <c r="O709" s="48"/>
      <c r="P709" s="48"/>
      <c r="Q709" s="48"/>
      <c r="R709" s="38"/>
      <c r="S709" s="38"/>
      <c r="T709" s="52"/>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83"/>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83"/>
      <c r="CK709" s="11"/>
      <c r="CL709" s="11"/>
      <c r="CM709" s="11"/>
      <c r="CN709" s="11"/>
      <c r="CO709" s="11"/>
      <c r="CP709" s="11"/>
      <c r="CQ709" s="11"/>
      <c r="CR709" s="11"/>
      <c r="CS709" s="11"/>
      <c r="CT709" s="11"/>
      <c r="CU709" s="11"/>
      <c r="CV709" s="11"/>
      <c r="CW709" s="11"/>
      <c r="CX709" s="11"/>
      <c r="CY709" s="11"/>
      <c r="CZ709" s="11"/>
      <c r="DA709" s="11"/>
      <c r="DB709" s="11"/>
      <c r="DC709" s="11"/>
    </row>
    <row r="710" spans="1:107" ht="12.75" customHeight="1">
      <c r="A710" s="11"/>
      <c r="B710" s="11"/>
      <c r="C710" s="11"/>
      <c r="D710" s="11"/>
      <c r="E710" s="11"/>
      <c r="F710" s="11"/>
      <c r="G710" s="11"/>
      <c r="H710" s="15"/>
      <c r="I710" s="38"/>
      <c r="J710" s="38"/>
      <c r="K710" s="38"/>
      <c r="L710" s="41"/>
      <c r="M710" s="43"/>
      <c r="N710" s="11"/>
      <c r="O710" s="48"/>
      <c r="P710" s="48"/>
      <c r="Q710" s="48"/>
      <c r="R710" s="38"/>
      <c r="S710" s="38"/>
      <c r="T710" s="52"/>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83"/>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83"/>
      <c r="CK710" s="11"/>
      <c r="CL710" s="11"/>
      <c r="CM710" s="11"/>
      <c r="CN710" s="11"/>
      <c r="CO710" s="11"/>
      <c r="CP710" s="11"/>
      <c r="CQ710" s="11"/>
      <c r="CR710" s="11"/>
      <c r="CS710" s="11"/>
      <c r="CT710" s="11"/>
      <c r="CU710" s="11"/>
      <c r="CV710" s="11"/>
      <c r="CW710" s="11"/>
      <c r="CX710" s="11"/>
      <c r="CY710" s="11"/>
      <c r="CZ710" s="11"/>
      <c r="DA710" s="11"/>
      <c r="DB710" s="11"/>
      <c r="DC710" s="11"/>
    </row>
    <row r="711" spans="1:107" ht="12.75" customHeight="1">
      <c r="A711" s="11"/>
      <c r="B711" s="11"/>
      <c r="C711" s="11"/>
      <c r="D711" s="11"/>
      <c r="E711" s="11"/>
      <c r="F711" s="11"/>
      <c r="G711" s="11"/>
      <c r="H711" s="15"/>
      <c r="I711" s="38"/>
      <c r="J711" s="38"/>
      <c r="K711" s="38"/>
      <c r="L711" s="41"/>
      <c r="M711" s="43"/>
      <c r="N711" s="11"/>
      <c r="O711" s="48"/>
      <c r="P711" s="48"/>
      <c r="Q711" s="48"/>
      <c r="R711" s="38"/>
      <c r="S711" s="38"/>
      <c r="T711" s="52"/>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83"/>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83"/>
      <c r="CK711" s="11"/>
      <c r="CL711" s="11"/>
      <c r="CM711" s="11"/>
      <c r="CN711" s="11"/>
      <c r="CO711" s="11"/>
      <c r="CP711" s="11"/>
      <c r="CQ711" s="11"/>
      <c r="CR711" s="11"/>
      <c r="CS711" s="11"/>
      <c r="CT711" s="11"/>
      <c r="CU711" s="11"/>
      <c r="CV711" s="11"/>
      <c r="CW711" s="11"/>
      <c r="CX711" s="11"/>
      <c r="CY711" s="11"/>
      <c r="CZ711" s="11"/>
      <c r="DA711" s="11"/>
      <c r="DB711" s="11"/>
      <c r="DC711" s="11"/>
    </row>
    <row r="712" spans="1:107" ht="12.75" customHeight="1">
      <c r="A712" s="11"/>
      <c r="B712" s="11"/>
      <c r="C712" s="11"/>
      <c r="D712" s="11"/>
      <c r="E712" s="11"/>
      <c r="F712" s="11"/>
      <c r="G712" s="11"/>
      <c r="H712" s="15"/>
      <c r="I712" s="38"/>
      <c r="J712" s="38"/>
      <c r="K712" s="38"/>
      <c r="L712" s="41"/>
      <c r="M712" s="43"/>
      <c r="N712" s="11"/>
      <c r="O712" s="48"/>
      <c r="P712" s="48"/>
      <c r="Q712" s="48"/>
      <c r="R712" s="38"/>
      <c r="S712" s="38"/>
      <c r="T712" s="52"/>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83"/>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c r="CD712" s="11"/>
      <c r="CE712" s="11"/>
      <c r="CF712" s="11"/>
      <c r="CG712" s="11"/>
      <c r="CH712" s="11"/>
      <c r="CI712" s="11"/>
      <c r="CJ712" s="183"/>
      <c r="CK712" s="11"/>
      <c r="CL712" s="11"/>
      <c r="CM712" s="11"/>
      <c r="CN712" s="11"/>
      <c r="CO712" s="11"/>
      <c r="CP712" s="11"/>
      <c r="CQ712" s="11"/>
      <c r="CR712" s="11"/>
      <c r="CS712" s="11"/>
      <c r="CT712" s="11"/>
      <c r="CU712" s="11"/>
      <c r="CV712" s="11"/>
      <c r="CW712" s="11"/>
      <c r="CX712" s="11"/>
      <c r="CY712" s="11"/>
      <c r="CZ712" s="11"/>
      <c r="DA712" s="11"/>
      <c r="DB712" s="11"/>
      <c r="DC712" s="11"/>
    </row>
    <row r="713" spans="1:107" ht="12.75" customHeight="1">
      <c r="A713" s="11"/>
      <c r="B713" s="11"/>
      <c r="C713" s="11"/>
      <c r="D713" s="11"/>
      <c r="E713" s="11"/>
      <c r="F713" s="11"/>
      <c r="G713" s="11"/>
      <c r="H713" s="15"/>
      <c r="I713" s="38"/>
      <c r="J713" s="38"/>
      <c r="K713" s="38"/>
      <c r="L713" s="41"/>
      <c r="M713" s="43"/>
      <c r="N713" s="11"/>
      <c r="O713" s="48"/>
      <c r="P713" s="48"/>
      <c r="Q713" s="48"/>
      <c r="R713" s="38"/>
      <c r="S713" s="38"/>
      <c r="T713" s="52"/>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83"/>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83"/>
      <c r="CK713" s="11"/>
      <c r="CL713" s="11"/>
      <c r="CM713" s="11"/>
      <c r="CN713" s="11"/>
      <c r="CO713" s="11"/>
      <c r="CP713" s="11"/>
      <c r="CQ713" s="11"/>
      <c r="CR713" s="11"/>
      <c r="CS713" s="11"/>
      <c r="CT713" s="11"/>
      <c r="CU713" s="11"/>
      <c r="CV713" s="11"/>
      <c r="CW713" s="11"/>
      <c r="CX713" s="11"/>
      <c r="CY713" s="11"/>
      <c r="CZ713" s="11"/>
      <c r="DA713" s="11"/>
      <c r="DB713" s="11"/>
      <c r="DC713" s="11"/>
    </row>
    <row r="714" spans="1:107" ht="12.75" customHeight="1">
      <c r="A714" s="11"/>
      <c r="B714" s="11"/>
      <c r="C714" s="11"/>
      <c r="D714" s="11"/>
      <c r="E714" s="11"/>
      <c r="F714" s="11"/>
      <c r="G714" s="11"/>
      <c r="H714" s="15"/>
      <c r="I714" s="38"/>
      <c r="J714" s="38"/>
      <c r="K714" s="38"/>
      <c r="L714" s="41"/>
      <c r="M714" s="43"/>
      <c r="N714" s="11"/>
      <c r="O714" s="48"/>
      <c r="P714" s="48"/>
      <c r="Q714" s="48"/>
      <c r="R714" s="38"/>
      <c r="S714" s="38"/>
      <c r="T714" s="52"/>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83"/>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83"/>
      <c r="CK714" s="11"/>
      <c r="CL714" s="11"/>
      <c r="CM714" s="11"/>
      <c r="CN714" s="11"/>
      <c r="CO714" s="11"/>
      <c r="CP714" s="11"/>
      <c r="CQ714" s="11"/>
      <c r="CR714" s="11"/>
      <c r="CS714" s="11"/>
      <c r="CT714" s="11"/>
      <c r="CU714" s="11"/>
      <c r="CV714" s="11"/>
      <c r="CW714" s="11"/>
      <c r="CX714" s="11"/>
      <c r="CY714" s="11"/>
      <c r="CZ714" s="11"/>
      <c r="DA714" s="11"/>
      <c r="DB714" s="11"/>
      <c r="DC714" s="11"/>
    </row>
    <row r="715" spans="1:107" ht="12.75" customHeight="1">
      <c r="A715" s="11"/>
      <c r="B715" s="11"/>
      <c r="C715" s="11"/>
      <c r="D715" s="11"/>
      <c r="E715" s="11"/>
      <c r="F715" s="11"/>
      <c r="G715" s="11"/>
      <c r="H715" s="15"/>
      <c r="I715" s="38"/>
      <c r="J715" s="38"/>
      <c r="K715" s="38"/>
      <c r="L715" s="41"/>
      <c r="M715" s="43"/>
      <c r="N715" s="11"/>
      <c r="O715" s="48"/>
      <c r="P715" s="48"/>
      <c r="Q715" s="48"/>
      <c r="R715" s="38"/>
      <c r="S715" s="38"/>
      <c r="T715" s="52"/>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83"/>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83"/>
      <c r="CK715" s="11"/>
      <c r="CL715" s="11"/>
      <c r="CM715" s="11"/>
      <c r="CN715" s="11"/>
      <c r="CO715" s="11"/>
      <c r="CP715" s="11"/>
      <c r="CQ715" s="11"/>
      <c r="CR715" s="11"/>
      <c r="CS715" s="11"/>
      <c r="CT715" s="11"/>
      <c r="CU715" s="11"/>
      <c r="CV715" s="11"/>
      <c r="CW715" s="11"/>
      <c r="CX715" s="11"/>
      <c r="CY715" s="11"/>
      <c r="CZ715" s="11"/>
      <c r="DA715" s="11"/>
      <c r="DB715" s="11"/>
      <c r="DC715" s="11"/>
    </row>
    <row r="716" spans="1:107" ht="12.75" customHeight="1">
      <c r="A716" s="11"/>
      <c r="B716" s="11"/>
      <c r="C716" s="11"/>
      <c r="D716" s="11"/>
      <c r="E716" s="11"/>
      <c r="F716" s="11"/>
      <c r="G716" s="11"/>
      <c r="H716" s="15"/>
      <c r="I716" s="38"/>
      <c r="J716" s="38"/>
      <c r="K716" s="38"/>
      <c r="L716" s="41"/>
      <c r="M716" s="43"/>
      <c r="N716" s="11"/>
      <c r="O716" s="48"/>
      <c r="P716" s="48"/>
      <c r="Q716" s="48"/>
      <c r="R716" s="38"/>
      <c r="S716" s="38"/>
      <c r="T716" s="52"/>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83"/>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83"/>
      <c r="CK716" s="11"/>
      <c r="CL716" s="11"/>
      <c r="CM716" s="11"/>
      <c r="CN716" s="11"/>
      <c r="CO716" s="11"/>
      <c r="CP716" s="11"/>
      <c r="CQ716" s="11"/>
      <c r="CR716" s="11"/>
      <c r="CS716" s="11"/>
      <c r="CT716" s="11"/>
      <c r="CU716" s="11"/>
      <c r="CV716" s="11"/>
      <c r="CW716" s="11"/>
      <c r="CX716" s="11"/>
      <c r="CY716" s="11"/>
      <c r="CZ716" s="11"/>
      <c r="DA716" s="11"/>
      <c r="DB716" s="11"/>
      <c r="DC716" s="11"/>
    </row>
    <row r="717" spans="1:107" ht="12.75" customHeight="1">
      <c r="A717" s="11"/>
      <c r="B717" s="11"/>
      <c r="C717" s="11"/>
      <c r="D717" s="11"/>
      <c r="E717" s="11"/>
      <c r="F717" s="11"/>
      <c r="G717" s="11"/>
      <c r="H717" s="15"/>
      <c r="I717" s="38"/>
      <c r="J717" s="38"/>
      <c r="K717" s="38"/>
      <c r="L717" s="41"/>
      <c r="M717" s="43"/>
      <c r="N717" s="11"/>
      <c r="O717" s="48"/>
      <c r="P717" s="48"/>
      <c r="Q717" s="48"/>
      <c r="R717" s="38"/>
      <c r="S717" s="38"/>
      <c r="T717" s="52"/>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83"/>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83"/>
      <c r="CK717" s="11"/>
      <c r="CL717" s="11"/>
      <c r="CM717" s="11"/>
      <c r="CN717" s="11"/>
      <c r="CO717" s="11"/>
      <c r="CP717" s="11"/>
      <c r="CQ717" s="11"/>
      <c r="CR717" s="11"/>
      <c r="CS717" s="11"/>
      <c r="CT717" s="11"/>
      <c r="CU717" s="11"/>
      <c r="CV717" s="11"/>
      <c r="CW717" s="11"/>
      <c r="CX717" s="11"/>
      <c r="CY717" s="11"/>
      <c r="CZ717" s="11"/>
      <c r="DA717" s="11"/>
      <c r="DB717" s="11"/>
      <c r="DC717" s="11"/>
    </row>
    <row r="718" spans="1:107" ht="12.75" customHeight="1">
      <c r="A718" s="11"/>
      <c r="B718" s="11"/>
      <c r="C718" s="11"/>
      <c r="D718" s="11"/>
      <c r="E718" s="11"/>
      <c r="F718" s="11"/>
      <c r="G718" s="11"/>
      <c r="H718" s="15"/>
      <c r="I718" s="38"/>
      <c r="J718" s="38"/>
      <c r="K718" s="38"/>
      <c r="L718" s="41"/>
      <c r="M718" s="43"/>
      <c r="N718" s="11"/>
      <c r="O718" s="48"/>
      <c r="P718" s="48"/>
      <c r="Q718" s="48"/>
      <c r="R718" s="38"/>
      <c r="S718" s="38"/>
      <c r="T718" s="52"/>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83"/>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83"/>
      <c r="CK718" s="11"/>
      <c r="CL718" s="11"/>
      <c r="CM718" s="11"/>
      <c r="CN718" s="11"/>
      <c r="CO718" s="11"/>
      <c r="CP718" s="11"/>
      <c r="CQ718" s="11"/>
      <c r="CR718" s="11"/>
      <c r="CS718" s="11"/>
      <c r="CT718" s="11"/>
      <c r="CU718" s="11"/>
      <c r="CV718" s="11"/>
      <c r="CW718" s="11"/>
      <c r="CX718" s="11"/>
      <c r="CY718" s="11"/>
      <c r="CZ718" s="11"/>
      <c r="DA718" s="11"/>
      <c r="DB718" s="11"/>
      <c r="DC718" s="11"/>
    </row>
    <row r="719" spans="1:107" ht="12.75" customHeight="1">
      <c r="A719" s="11"/>
      <c r="B719" s="11"/>
      <c r="C719" s="11"/>
      <c r="D719" s="11"/>
      <c r="E719" s="11"/>
      <c r="F719" s="11"/>
      <c r="G719" s="11"/>
      <c r="H719" s="15"/>
      <c r="I719" s="38"/>
      <c r="J719" s="38"/>
      <c r="K719" s="38"/>
      <c r="L719" s="41"/>
      <c r="M719" s="43"/>
      <c r="N719" s="11"/>
      <c r="O719" s="48"/>
      <c r="P719" s="48"/>
      <c r="Q719" s="48"/>
      <c r="R719" s="38"/>
      <c r="S719" s="38"/>
      <c r="T719" s="52"/>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83"/>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83"/>
      <c r="CK719" s="11"/>
      <c r="CL719" s="11"/>
      <c r="CM719" s="11"/>
      <c r="CN719" s="11"/>
      <c r="CO719" s="11"/>
      <c r="CP719" s="11"/>
      <c r="CQ719" s="11"/>
      <c r="CR719" s="11"/>
      <c r="CS719" s="11"/>
      <c r="CT719" s="11"/>
      <c r="CU719" s="11"/>
      <c r="CV719" s="11"/>
      <c r="CW719" s="11"/>
      <c r="CX719" s="11"/>
      <c r="CY719" s="11"/>
      <c r="CZ719" s="11"/>
      <c r="DA719" s="11"/>
      <c r="DB719" s="11"/>
      <c r="DC719" s="11"/>
    </row>
    <row r="720" spans="1:107" ht="12.75" customHeight="1">
      <c r="A720" s="11"/>
      <c r="B720" s="11"/>
      <c r="C720" s="11"/>
      <c r="D720" s="11"/>
      <c r="E720" s="11"/>
      <c r="F720" s="11"/>
      <c r="G720" s="11"/>
      <c r="H720" s="15"/>
      <c r="I720" s="38"/>
      <c r="J720" s="38"/>
      <c r="K720" s="38"/>
      <c r="L720" s="41"/>
      <c r="M720" s="43"/>
      <c r="N720" s="11"/>
      <c r="O720" s="48"/>
      <c r="P720" s="48"/>
      <c r="Q720" s="48"/>
      <c r="R720" s="38"/>
      <c r="S720" s="38"/>
      <c r="T720" s="52"/>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83"/>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83"/>
      <c r="CK720" s="11"/>
      <c r="CL720" s="11"/>
      <c r="CM720" s="11"/>
      <c r="CN720" s="11"/>
      <c r="CO720" s="11"/>
      <c r="CP720" s="11"/>
      <c r="CQ720" s="11"/>
      <c r="CR720" s="11"/>
      <c r="CS720" s="11"/>
      <c r="CT720" s="11"/>
      <c r="CU720" s="11"/>
      <c r="CV720" s="11"/>
      <c r="CW720" s="11"/>
      <c r="CX720" s="11"/>
      <c r="CY720" s="11"/>
      <c r="CZ720" s="11"/>
      <c r="DA720" s="11"/>
      <c r="DB720" s="11"/>
      <c r="DC720" s="11"/>
    </row>
    <row r="721" spans="1:107" ht="12.75" customHeight="1">
      <c r="A721" s="11"/>
      <c r="B721" s="11"/>
      <c r="C721" s="11"/>
      <c r="D721" s="11"/>
      <c r="E721" s="11"/>
      <c r="F721" s="11"/>
      <c r="G721" s="11"/>
      <c r="H721" s="15"/>
      <c r="I721" s="38"/>
      <c r="J721" s="38"/>
      <c r="K721" s="38"/>
      <c r="L721" s="41"/>
      <c r="M721" s="43"/>
      <c r="N721" s="11"/>
      <c r="O721" s="48"/>
      <c r="P721" s="48"/>
      <c r="Q721" s="48"/>
      <c r="R721" s="38"/>
      <c r="S721" s="38"/>
      <c r="T721" s="52"/>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83"/>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83"/>
      <c r="CK721" s="11"/>
      <c r="CL721" s="11"/>
      <c r="CM721" s="11"/>
      <c r="CN721" s="11"/>
      <c r="CO721" s="11"/>
      <c r="CP721" s="11"/>
      <c r="CQ721" s="11"/>
      <c r="CR721" s="11"/>
      <c r="CS721" s="11"/>
      <c r="CT721" s="11"/>
      <c r="CU721" s="11"/>
      <c r="CV721" s="11"/>
      <c r="CW721" s="11"/>
      <c r="CX721" s="11"/>
      <c r="CY721" s="11"/>
      <c r="CZ721" s="11"/>
      <c r="DA721" s="11"/>
      <c r="DB721" s="11"/>
      <c r="DC721" s="11"/>
    </row>
    <row r="722" spans="1:107" ht="12.75" customHeight="1">
      <c r="A722" s="11"/>
      <c r="B722" s="11"/>
      <c r="C722" s="11"/>
      <c r="D722" s="11"/>
      <c r="E722" s="11"/>
      <c r="F722" s="11"/>
      <c r="G722" s="11"/>
      <c r="H722" s="15"/>
      <c r="I722" s="38"/>
      <c r="J722" s="38"/>
      <c r="K722" s="38"/>
      <c r="L722" s="41"/>
      <c r="M722" s="43"/>
      <c r="N722" s="11"/>
      <c r="O722" s="48"/>
      <c r="P722" s="48"/>
      <c r="Q722" s="48"/>
      <c r="R722" s="38"/>
      <c r="S722" s="38"/>
      <c r="T722" s="52"/>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83"/>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83"/>
      <c r="CK722" s="11"/>
      <c r="CL722" s="11"/>
      <c r="CM722" s="11"/>
      <c r="CN722" s="11"/>
      <c r="CO722" s="11"/>
      <c r="CP722" s="11"/>
      <c r="CQ722" s="11"/>
      <c r="CR722" s="11"/>
      <c r="CS722" s="11"/>
      <c r="CT722" s="11"/>
      <c r="CU722" s="11"/>
      <c r="CV722" s="11"/>
      <c r="CW722" s="11"/>
      <c r="CX722" s="11"/>
      <c r="CY722" s="11"/>
      <c r="CZ722" s="11"/>
      <c r="DA722" s="11"/>
      <c r="DB722" s="11"/>
      <c r="DC722" s="11"/>
    </row>
    <row r="723" spans="1:107" ht="12.75" customHeight="1">
      <c r="A723" s="11"/>
      <c r="B723" s="11"/>
      <c r="C723" s="11"/>
      <c r="D723" s="11"/>
      <c r="E723" s="11"/>
      <c r="F723" s="11"/>
      <c r="G723" s="11"/>
      <c r="H723" s="15"/>
      <c r="I723" s="38"/>
      <c r="J723" s="38"/>
      <c r="K723" s="38"/>
      <c r="L723" s="41"/>
      <c r="M723" s="43"/>
      <c r="N723" s="11"/>
      <c r="O723" s="48"/>
      <c r="P723" s="48"/>
      <c r="Q723" s="48"/>
      <c r="R723" s="38"/>
      <c r="S723" s="38"/>
      <c r="T723" s="52"/>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83"/>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83"/>
      <c r="CK723" s="11"/>
      <c r="CL723" s="11"/>
      <c r="CM723" s="11"/>
      <c r="CN723" s="11"/>
      <c r="CO723" s="11"/>
      <c r="CP723" s="11"/>
      <c r="CQ723" s="11"/>
      <c r="CR723" s="11"/>
      <c r="CS723" s="11"/>
      <c r="CT723" s="11"/>
      <c r="CU723" s="11"/>
      <c r="CV723" s="11"/>
      <c r="CW723" s="11"/>
      <c r="CX723" s="11"/>
      <c r="CY723" s="11"/>
      <c r="CZ723" s="11"/>
      <c r="DA723" s="11"/>
      <c r="DB723" s="11"/>
      <c r="DC723" s="11"/>
    </row>
    <row r="724" spans="1:107" ht="12.75" customHeight="1">
      <c r="A724" s="11"/>
      <c r="B724" s="11"/>
      <c r="C724" s="11"/>
      <c r="D724" s="11"/>
      <c r="E724" s="11"/>
      <c r="F724" s="11"/>
      <c r="G724" s="11"/>
      <c r="H724" s="15"/>
      <c r="I724" s="38"/>
      <c r="J724" s="38"/>
      <c r="K724" s="38"/>
      <c r="L724" s="41"/>
      <c r="M724" s="43"/>
      <c r="N724" s="11"/>
      <c r="O724" s="48"/>
      <c r="P724" s="48"/>
      <c r="Q724" s="48"/>
      <c r="R724" s="38"/>
      <c r="S724" s="38"/>
      <c r="T724" s="52"/>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83"/>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83"/>
      <c r="CK724" s="11"/>
      <c r="CL724" s="11"/>
      <c r="CM724" s="11"/>
      <c r="CN724" s="11"/>
      <c r="CO724" s="11"/>
      <c r="CP724" s="11"/>
      <c r="CQ724" s="11"/>
      <c r="CR724" s="11"/>
      <c r="CS724" s="11"/>
      <c r="CT724" s="11"/>
      <c r="CU724" s="11"/>
      <c r="CV724" s="11"/>
      <c r="CW724" s="11"/>
      <c r="CX724" s="11"/>
      <c r="CY724" s="11"/>
      <c r="CZ724" s="11"/>
      <c r="DA724" s="11"/>
      <c r="DB724" s="11"/>
      <c r="DC724" s="11"/>
    </row>
    <row r="725" spans="1:107" ht="12.75" customHeight="1">
      <c r="A725" s="11"/>
      <c r="B725" s="11"/>
      <c r="C725" s="11"/>
      <c r="D725" s="11"/>
      <c r="E725" s="11"/>
      <c r="F725" s="11"/>
      <c r="G725" s="11"/>
      <c r="H725" s="15"/>
      <c r="I725" s="38"/>
      <c r="J725" s="38"/>
      <c r="K725" s="38"/>
      <c r="L725" s="41"/>
      <c r="M725" s="43"/>
      <c r="N725" s="11"/>
      <c r="O725" s="48"/>
      <c r="P725" s="48"/>
      <c r="Q725" s="48"/>
      <c r="R725" s="38"/>
      <c r="S725" s="38"/>
      <c r="T725" s="52"/>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83"/>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83"/>
      <c r="CK725" s="11"/>
      <c r="CL725" s="11"/>
      <c r="CM725" s="11"/>
      <c r="CN725" s="11"/>
      <c r="CO725" s="11"/>
      <c r="CP725" s="11"/>
      <c r="CQ725" s="11"/>
      <c r="CR725" s="11"/>
      <c r="CS725" s="11"/>
      <c r="CT725" s="11"/>
      <c r="CU725" s="11"/>
      <c r="CV725" s="11"/>
      <c r="CW725" s="11"/>
      <c r="CX725" s="11"/>
      <c r="CY725" s="11"/>
      <c r="CZ725" s="11"/>
      <c r="DA725" s="11"/>
      <c r="DB725" s="11"/>
      <c r="DC725" s="11"/>
    </row>
    <row r="726" spans="1:107" ht="12.75" customHeight="1">
      <c r="A726" s="11"/>
      <c r="B726" s="11"/>
      <c r="C726" s="11"/>
      <c r="D726" s="11"/>
      <c r="E726" s="11"/>
      <c r="F726" s="11"/>
      <c r="G726" s="11"/>
      <c r="H726" s="15"/>
      <c r="I726" s="38"/>
      <c r="J726" s="38"/>
      <c r="K726" s="38"/>
      <c r="L726" s="41"/>
      <c r="M726" s="43"/>
      <c r="N726" s="11"/>
      <c r="O726" s="48"/>
      <c r="P726" s="48"/>
      <c r="Q726" s="48"/>
      <c r="R726" s="38"/>
      <c r="S726" s="38"/>
      <c r="T726" s="52"/>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83"/>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83"/>
      <c r="CK726" s="11"/>
      <c r="CL726" s="11"/>
      <c r="CM726" s="11"/>
      <c r="CN726" s="11"/>
      <c r="CO726" s="11"/>
      <c r="CP726" s="11"/>
      <c r="CQ726" s="11"/>
      <c r="CR726" s="11"/>
      <c r="CS726" s="11"/>
      <c r="CT726" s="11"/>
      <c r="CU726" s="11"/>
      <c r="CV726" s="11"/>
      <c r="CW726" s="11"/>
      <c r="CX726" s="11"/>
      <c r="CY726" s="11"/>
      <c r="CZ726" s="11"/>
      <c r="DA726" s="11"/>
      <c r="DB726" s="11"/>
      <c r="DC726" s="11"/>
    </row>
    <row r="727" spans="1:107" ht="12.75" customHeight="1">
      <c r="A727" s="11"/>
      <c r="B727" s="11"/>
      <c r="C727" s="11"/>
      <c r="D727" s="11"/>
      <c r="E727" s="11"/>
      <c r="F727" s="11"/>
      <c r="G727" s="11"/>
      <c r="H727" s="15"/>
      <c r="I727" s="38"/>
      <c r="J727" s="38"/>
      <c r="K727" s="38"/>
      <c r="L727" s="41"/>
      <c r="M727" s="43"/>
      <c r="N727" s="11"/>
      <c r="O727" s="48"/>
      <c r="P727" s="48"/>
      <c r="Q727" s="48"/>
      <c r="R727" s="38"/>
      <c r="S727" s="38"/>
      <c r="T727" s="52"/>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83"/>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83"/>
      <c r="CK727" s="11"/>
      <c r="CL727" s="11"/>
      <c r="CM727" s="11"/>
      <c r="CN727" s="11"/>
      <c r="CO727" s="11"/>
      <c r="CP727" s="11"/>
      <c r="CQ727" s="11"/>
      <c r="CR727" s="11"/>
      <c r="CS727" s="11"/>
      <c r="CT727" s="11"/>
      <c r="CU727" s="11"/>
      <c r="CV727" s="11"/>
      <c r="CW727" s="11"/>
      <c r="CX727" s="11"/>
      <c r="CY727" s="11"/>
      <c r="CZ727" s="11"/>
      <c r="DA727" s="11"/>
      <c r="DB727" s="11"/>
      <c r="DC727" s="11"/>
    </row>
    <row r="728" spans="1:107" ht="12.75" customHeight="1">
      <c r="A728" s="11"/>
      <c r="B728" s="11"/>
      <c r="C728" s="11"/>
      <c r="D728" s="11"/>
      <c r="E728" s="11"/>
      <c r="F728" s="11"/>
      <c r="G728" s="11"/>
      <c r="H728" s="15"/>
      <c r="I728" s="38"/>
      <c r="J728" s="38"/>
      <c r="K728" s="38"/>
      <c r="L728" s="41"/>
      <c r="M728" s="43"/>
      <c r="N728" s="11"/>
      <c r="O728" s="48"/>
      <c r="P728" s="48"/>
      <c r="Q728" s="48"/>
      <c r="R728" s="38"/>
      <c r="S728" s="38"/>
      <c r="T728" s="52"/>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83"/>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83"/>
      <c r="CK728" s="11"/>
      <c r="CL728" s="11"/>
      <c r="CM728" s="11"/>
      <c r="CN728" s="11"/>
      <c r="CO728" s="11"/>
      <c r="CP728" s="11"/>
      <c r="CQ728" s="11"/>
      <c r="CR728" s="11"/>
      <c r="CS728" s="11"/>
      <c r="CT728" s="11"/>
      <c r="CU728" s="11"/>
      <c r="CV728" s="11"/>
      <c r="CW728" s="11"/>
      <c r="CX728" s="11"/>
      <c r="CY728" s="11"/>
      <c r="CZ728" s="11"/>
      <c r="DA728" s="11"/>
      <c r="DB728" s="11"/>
      <c r="DC728" s="11"/>
    </row>
    <row r="729" spans="1:107" ht="12.75" customHeight="1">
      <c r="A729" s="11"/>
      <c r="B729" s="11"/>
      <c r="C729" s="11"/>
      <c r="D729" s="11"/>
      <c r="E729" s="11"/>
      <c r="F729" s="11"/>
      <c r="G729" s="11"/>
      <c r="H729" s="15"/>
      <c r="I729" s="38"/>
      <c r="J729" s="38"/>
      <c r="K729" s="38"/>
      <c r="L729" s="41"/>
      <c r="M729" s="43"/>
      <c r="N729" s="11"/>
      <c r="O729" s="48"/>
      <c r="P729" s="48"/>
      <c r="Q729" s="48"/>
      <c r="R729" s="38"/>
      <c r="S729" s="38"/>
      <c r="T729" s="52"/>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83"/>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83"/>
      <c r="CK729" s="11"/>
      <c r="CL729" s="11"/>
      <c r="CM729" s="11"/>
      <c r="CN729" s="11"/>
      <c r="CO729" s="11"/>
      <c r="CP729" s="11"/>
      <c r="CQ729" s="11"/>
      <c r="CR729" s="11"/>
      <c r="CS729" s="11"/>
      <c r="CT729" s="11"/>
      <c r="CU729" s="11"/>
      <c r="CV729" s="11"/>
      <c r="CW729" s="11"/>
      <c r="CX729" s="11"/>
      <c r="CY729" s="11"/>
      <c r="CZ729" s="11"/>
      <c r="DA729" s="11"/>
      <c r="DB729" s="11"/>
      <c r="DC729" s="11"/>
    </row>
    <row r="730" spans="1:107" ht="12.75" customHeight="1">
      <c r="A730" s="11"/>
      <c r="B730" s="11"/>
      <c r="C730" s="11"/>
      <c r="D730" s="11"/>
      <c r="E730" s="11"/>
      <c r="F730" s="11"/>
      <c r="G730" s="11"/>
      <c r="H730" s="15"/>
      <c r="I730" s="38"/>
      <c r="J730" s="38"/>
      <c r="K730" s="38"/>
      <c r="L730" s="41"/>
      <c r="M730" s="43"/>
      <c r="N730" s="11"/>
      <c r="O730" s="48"/>
      <c r="P730" s="48"/>
      <c r="Q730" s="48"/>
      <c r="R730" s="38"/>
      <c r="S730" s="38"/>
      <c r="T730" s="52"/>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83"/>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83"/>
      <c r="CK730" s="11"/>
      <c r="CL730" s="11"/>
      <c r="CM730" s="11"/>
      <c r="CN730" s="11"/>
      <c r="CO730" s="11"/>
      <c r="CP730" s="11"/>
      <c r="CQ730" s="11"/>
      <c r="CR730" s="11"/>
      <c r="CS730" s="11"/>
      <c r="CT730" s="11"/>
      <c r="CU730" s="11"/>
      <c r="CV730" s="11"/>
      <c r="CW730" s="11"/>
      <c r="CX730" s="11"/>
      <c r="CY730" s="11"/>
      <c r="CZ730" s="11"/>
      <c r="DA730" s="11"/>
      <c r="DB730" s="11"/>
      <c r="DC730" s="11"/>
    </row>
    <row r="731" spans="1:107" ht="12.75" customHeight="1">
      <c r="A731" s="11"/>
      <c r="B731" s="11"/>
      <c r="C731" s="11"/>
      <c r="D731" s="11"/>
      <c r="E731" s="11"/>
      <c r="F731" s="11"/>
      <c r="G731" s="11"/>
      <c r="H731" s="15"/>
      <c r="I731" s="38"/>
      <c r="J731" s="38"/>
      <c r="K731" s="38"/>
      <c r="L731" s="41"/>
      <c r="M731" s="43"/>
      <c r="N731" s="11"/>
      <c r="O731" s="48"/>
      <c r="P731" s="48"/>
      <c r="Q731" s="48"/>
      <c r="R731" s="38"/>
      <c r="S731" s="38"/>
      <c r="T731" s="52"/>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83"/>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83"/>
      <c r="CK731" s="11"/>
      <c r="CL731" s="11"/>
      <c r="CM731" s="11"/>
      <c r="CN731" s="11"/>
      <c r="CO731" s="11"/>
      <c r="CP731" s="11"/>
      <c r="CQ731" s="11"/>
      <c r="CR731" s="11"/>
      <c r="CS731" s="11"/>
      <c r="CT731" s="11"/>
      <c r="CU731" s="11"/>
      <c r="CV731" s="11"/>
      <c r="CW731" s="11"/>
      <c r="CX731" s="11"/>
      <c r="CY731" s="11"/>
      <c r="CZ731" s="11"/>
      <c r="DA731" s="11"/>
      <c r="DB731" s="11"/>
      <c r="DC731" s="11"/>
    </row>
    <row r="732" spans="1:107" ht="12.75" customHeight="1">
      <c r="A732" s="11"/>
      <c r="B732" s="11"/>
      <c r="C732" s="11"/>
      <c r="D732" s="11"/>
      <c r="E732" s="11"/>
      <c r="F732" s="11"/>
      <c r="G732" s="11"/>
      <c r="H732" s="15"/>
      <c r="I732" s="38"/>
      <c r="J732" s="38"/>
      <c r="K732" s="38"/>
      <c r="L732" s="41"/>
      <c r="M732" s="43"/>
      <c r="N732" s="11"/>
      <c r="O732" s="48"/>
      <c r="P732" s="48"/>
      <c r="Q732" s="48"/>
      <c r="R732" s="38"/>
      <c r="S732" s="38"/>
      <c r="T732" s="52"/>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83"/>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c r="CD732" s="11"/>
      <c r="CE732" s="11"/>
      <c r="CF732" s="11"/>
      <c r="CG732" s="11"/>
      <c r="CH732" s="11"/>
      <c r="CI732" s="11"/>
      <c r="CJ732" s="183"/>
      <c r="CK732" s="11"/>
      <c r="CL732" s="11"/>
      <c r="CM732" s="11"/>
      <c r="CN732" s="11"/>
      <c r="CO732" s="11"/>
      <c r="CP732" s="11"/>
      <c r="CQ732" s="11"/>
      <c r="CR732" s="11"/>
      <c r="CS732" s="11"/>
      <c r="CT732" s="11"/>
      <c r="CU732" s="11"/>
      <c r="CV732" s="11"/>
      <c r="CW732" s="11"/>
      <c r="CX732" s="11"/>
      <c r="CY732" s="11"/>
      <c r="CZ732" s="11"/>
      <c r="DA732" s="11"/>
      <c r="DB732" s="11"/>
      <c r="DC732" s="11"/>
    </row>
    <row r="733" spans="1:107" ht="12.75" customHeight="1">
      <c r="A733" s="11"/>
      <c r="B733" s="11"/>
      <c r="C733" s="11"/>
      <c r="D733" s="11"/>
      <c r="E733" s="11"/>
      <c r="F733" s="11"/>
      <c r="G733" s="11"/>
      <c r="H733" s="15"/>
      <c r="I733" s="38"/>
      <c r="J733" s="38"/>
      <c r="K733" s="38"/>
      <c r="L733" s="41"/>
      <c r="M733" s="43"/>
      <c r="N733" s="11"/>
      <c r="O733" s="48"/>
      <c r="P733" s="48"/>
      <c r="Q733" s="48"/>
      <c r="R733" s="38"/>
      <c r="S733" s="38"/>
      <c r="T733" s="52"/>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83"/>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83"/>
      <c r="CK733" s="11"/>
      <c r="CL733" s="11"/>
      <c r="CM733" s="11"/>
      <c r="CN733" s="11"/>
      <c r="CO733" s="11"/>
      <c r="CP733" s="11"/>
      <c r="CQ733" s="11"/>
      <c r="CR733" s="11"/>
      <c r="CS733" s="11"/>
      <c r="CT733" s="11"/>
      <c r="CU733" s="11"/>
      <c r="CV733" s="11"/>
      <c r="CW733" s="11"/>
      <c r="CX733" s="11"/>
      <c r="CY733" s="11"/>
      <c r="CZ733" s="11"/>
      <c r="DA733" s="11"/>
      <c r="DB733" s="11"/>
      <c r="DC733" s="11"/>
    </row>
    <row r="734" spans="1:107" ht="12.75" customHeight="1">
      <c r="A734" s="11"/>
      <c r="B734" s="11"/>
      <c r="C734" s="11"/>
      <c r="D734" s="11"/>
      <c r="E734" s="11"/>
      <c r="F734" s="11"/>
      <c r="G734" s="11"/>
      <c r="H734" s="15"/>
      <c r="I734" s="38"/>
      <c r="J734" s="38"/>
      <c r="K734" s="38"/>
      <c r="L734" s="41"/>
      <c r="M734" s="43"/>
      <c r="N734" s="11"/>
      <c r="O734" s="48"/>
      <c r="P734" s="48"/>
      <c r="Q734" s="48"/>
      <c r="R734" s="38"/>
      <c r="S734" s="38"/>
      <c r="T734" s="52"/>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83"/>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83"/>
      <c r="CK734" s="11"/>
      <c r="CL734" s="11"/>
      <c r="CM734" s="11"/>
      <c r="CN734" s="11"/>
      <c r="CO734" s="11"/>
      <c r="CP734" s="11"/>
      <c r="CQ734" s="11"/>
      <c r="CR734" s="11"/>
      <c r="CS734" s="11"/>
      <c r="CT734" s="11"/>
      <c r="CU734" s="11"/>
      <c r="CV734" s="11"/>
      <c r="CW734" s="11"/>
      <c r="CX734" s="11"/>
      <c r="CY734" s="11"/>
      <c r="CZ734" s="11"/>
      <c r="DA734" s="11"/>
      <c r="DB734" s="11"/>
      <c r="DC734" s="11"/>
    </row>
    <row r="735" spans="1:107" ht="12.75" customHeight="1">
      <c r="A735" s="11"/>
      <c r="B735" s="11"/>
      <c r="C735" s="11"/>
      <c r="D735" s="11"/>
      <c r="E735" s="11"/>
      <c r="F735" s="11"/>
      <c r="G735" s="11"/>
      <c r="H735" s="15"/>
      <c r="I735" s="38"/>
      <c r="J735" s="38"/>
      <c r="K735" s="38"/>
      <c r="L735" s="41"/>
      <c r="M735" s="43"/>
      <c r="N735" s="11"/>
      <c r="O735" s="48"/>
      <c r="P735" s="48"/>
      <c r="Q735" s="48"/>
      <c r="R735" s="38"/>
      <c r="S735" s="38"/>
      <c r="T735" s="52"/>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83"/>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83"/>
      <c r="CK735" s="11"/>
      <c r="CL735" s="11"/>
      <c r="CM735" s="11"/>
      <c r="CN735" s="11"/>
      <c r="CO735" s="11"/>
      <c r="CP735" s="11"/>
      <c r="CQ735" s="11"/>
      <c r="CR735" s="11"/>
      <c r="CS735" s="11"/>
      <c r="CT735" s="11"/>
      <c r="CU735" s="11"/>
      <c r="CV735" s="11"/>
      <c r="CW735" s="11"/>
      <c r="CX735" s="11"/>
      <c r="CY735" s="11"/>
      <c r="CZ735" s="11"/>
      <c r="DA735" s="11"/>
      <c r="DB735" s="11"/>
      <c r="DC735" s="11"/>
    </row>
    <row r="736" spans="1:107" ht="12.75" customHeight="1">
      <c r="A736" s="11"/>
      <c r="B736" s="11"/>
      <c r="C736" s="11"/>
      <c r="D736" s="11"/>
      <c r="E736" s="11"/>
      <c r="F736" s="11"/>
      <c r="G736" s="11"/>
      <c r="H736" s="15"/>
      <c r="I736" s="38"/>
      <c r="J736" s="38"/>
      <c r="K736" s="38"/>
      <c r="L736" s="41"/>
      <c r="M736" s="43"/>
      <c r="N736" s="11"/>
      <c r="O736" s="48"/>
      <c r="P736" s="48"/>
      <c r="Q736" s="48"/>
      <c r="R736" s="38"/>
      <c r="S736" s="38"/>
      <c r="T736" s="52"/>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83"/>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83"/>
      <c r="CK736" s="11"/>
      <c r="CL736" s="11"/>
      <c r="CM736" s="11"/>
      <c r="CN736" s="11"/>
      <c r="CO736" s="11"/>
      <c r="CP736" s="11"/>
      <c r="CQ736" s="11"/>
      <c r="CR736" s="11"/>
      <c r="CS736" s="11"/>
      <c r="CT736" s="11"/>
      <c r="CU736" s="11"/>
      <c r="CV736" s="11"/>
      <c r="CW736" s="11"/>
      <c r="CX736" s="11"/>
      <c r="CY736" s="11"/>
      <c r="CZ736" s="11"/>
      <c r="DA736" s="11"/>
      <c r="DB736" s="11"/>
      <c r="DC736" s="11"/>
    </row>
    <row r="737" spans="1:107" ht="12.75" customHeight="1">
      <c r="A737" s="11"/>
      <c r="B737" s="11"/>
      <c r="C737" s="11"/>
      <c r="D737" s="11"/>
      <c r="E737" s="11"/>
      <c r="F737" s="11"/>
      <c r="G737" s="11"/>
      <c r="H737" s="15"/>
      <c r="I737" s="38"/>
      <c r="J737" s="38"/>
      <c r="K737" s="38"/>
      <c r="L737" s="41"/>
      <c r="M737" s="43"/>
      <c r="N737" s="11"/>
      <c r="O737" s="48"/>
      <c r="P737" s="48"/>
      <c r="Q737" s="48"/>
      <c r="R737" s="38"/>
      <c r="S737" s="38"/>
      <c r="T737" s="52"/>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83"/>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83"/>
      <c r="CK737" s="11"/>
      <c r="CL737" s="11"/>
      <c r="CM737" s="11"/>
      <c r="CN737" s="11"/>
      <c r="CO737" s="11"/>
      <c r="CP737" s="11"/>
      <c r="CQ737" s="11"/>
      <c r="CR737" s="11"/>
      <c r="CS737" s="11"/>
      <c r="CT737" s="11"/>
      <c r="CU737" s="11"/>
      <c r="CV737" s="11"/>
      <c r="CW737" s="11"/>
      <c r="CX737" s="11"/>
      <c r="CY737" s="11"/>
      <c r="CZ737" s="11"/>
      <c r="DA737" s="11"/>
      <c r="DB737" s="11"/>
      <c r="DC737" s="11"/>
    </row>
    <row r="738" spans="1:107" ht="12.75" customHeight="1">
      <c r="A738" s="11"/>
      <c r="B738" s="11"/>
      <c r="C738" s="11"/>
      <c r="D738" s="11"/>
      <c r="E738" s="11"/>
      <c r="F738" s="11"/>
      <c r="G738" s="11"/>
      <c r="H738" s="15"/>
      <c r="I738" s="38"/>
      <c r="J738" s="38"/>
      <c r="K738" s="38"/>
      <c r="L738" s="41"/>
      <c r="M738" s="43"/>
      <c r="N738" s="11"/>
      <c r="O738" s="48"/>
      <c r="P738" s="48"/>
      <c r="Q738" s="48"/>
      <c r="R738" s="38"/>
      <c r="S738" s="38"/>
      <c r="T738" s="52"/>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83"/>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83"/>
      <c r="CK738" s="11"/>
      <c r="CL738" s="11"/>
      <c r="CM738" s="11"/>
      <c r="CN738" s="11"/>
      <c r="CO738" s="11"/>
      <c r="CP738" s="11"/>
      <c r="CQ738" s="11"/>
      <c r="CR738" s="11"/>
      <c r="CS738" s="11"/>
      <c r="CT738" s="11"/>
      <c r="CU738" s="11"/>
      <c r="CV738" s="11"/>
      <c r="CW738" s="11"/>
      <c r="CX738" s="11"/>
      <c r="CY738" s="11"/>
      <c r="CZ738" s="11"/>
      <c r="DA738" s="11"/>
      <c r="DB738" s="11"/>
      <c r="DC738" s="11"/>
    </row>
    <row r="739" spans="1:107" ht="12.75" customHeight="1">
      <c r="A739" s="11"/>
      <c r="B739" s="11"/>
      <c r="C739" s="11"/>
      <c r="D739" s="11"/>
      <c r="E739" s="11"/>
      <c r="F739" s="11"/>
      <c r="G739" s="11"/>
      <c r="H739" s="15"/>
      <c r="I739" s="38"/>
      <c r="J739" s="38"/>
      <c r="K739" s="38"/>
      <c r="L739" s="41"/>
      <c r="M739" s="43"/>
      <c r="N739" s="11"/>
      <c r="O739" s="48"/>
      <c r="P739" s="48"/>
      <c r="Q739" s="48"/>
      <c r="R739" s="38"/>
      <c r="S739" s="38"/>
      <c r="T739" s="52"/>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83"/>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83"/>
      <c r="CK739" s="11"/>
      <c r="CL739" s="11"/>
      <c r="CM739" s="11"/>
      <c r="CN739" s="11"/>
      <c r="CO739" s="11"/>
      <c r="CP739" s="11"/>
      <c r="CQ739" s="11"/>
      <c r="CR739" s="11"/>
      <c r="CS739" s="11"/>
      <c r="CT739" s="11"/>
      <c r="CU739" s="11"/>
      <c r="CV739" s="11"/>
      <c r="CW739" s="11"/>
      <c r="CX739" s="11"/>
      <c r="CY739" s="11"/>
      <c r="CZ739" s="11"/>
      <c r="DA739" s="11"/>
      <c r="DB739" s="11"/>
      <c r="DC739" s="11"/>
    </row>
    <row r="740" spans="1:107" ht="12.75" customHeight="1">
      <c r="A740" s="11"/>
      <c r="B740" s="11"/>
      <c r="C740" s="11"/>
      <c r="D740" s="11"/>
      <c r="E740" s="11"/>
      <c r="F740" s="11"/>
      <c r="G740" s="11"/>
      <c r="H740" s="15"/>
      <c r="I740" s="38"/>
      <c r="J740" s="38"/>
      <c r="K740" s="38"/>
      <c r="L740" s="41"/>
      <c r="M740" s="43"/>
      <c r="N740" s="11"/>
      <c r="O740" s="48"/>
      <c r="P740" s="48"/>
      <c r="Q740" s="48"/>
      <c r="R740" s="38"/>
      <c r="S740" s="38"/>
      <c r="T740" s="52"/>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83"/>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83"/>
      <c r="CK740" s="11"/>
      <c r="CL740" s="11"/>
      <c r="CM740" s="11"/>
      <c r="CN740" s="11"/>
      <c r="CO740" s="11"/>
      <c r="CP740" s="11"/>
      <c r="CQ740" s="11"/>
      <c r="CR740" s="11"/>
      <c r="CS740" s="11"/>
      <c r="CT740" s="11"/>
      <c r="CU740" s="11"/>
      <c r="CV740" s="11"/>
      <c r="CW740" s="11"/>
      <c r="CX740" s="11"/>
      <c r="CY740" s="11"/>
      <c r="CZ740" s="11"/>
      <c r="DA740" s="11"/>
      <c r="DB740" s="11"/>
      <c r="DC740" s="11"/>
    </row>
    <row r="741" spans="1:107" ht="12.75" customHeight="1">
      <c r="A741" s="11"/>
      <c r="B741" s="11"/>
      <c r="C741" s="11"/>
      <c r="D741" s="11"/>
      <c r="E741" s="11"/>
      <c r="F741" s="11"/>
      <c r="G741" s="11"/>
      <c r="H741" s="15"/>
      <c r="I741" s="38"/>
      <c r="J741" s="38"/>
      <c r="K741" s="38"/>
      <c r="L741" s="41"/>
      <c r="M741" s="43"/>
      <c r="N741" s="11"/>
      <c r="O741" s="48"/>
      <c r="P741" s="48"/>
      <c r="Q741" s="48"/>
      <c r="R741" s="38"/>
      <c r="S741" s="38"/>
      <c r="T741" s="52"/>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83"/>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83"/>
      <c r="CK741" s="11"/>
      <c r="CL741" s="11"/>
      <c r="CM741" s="11"/>
      <c r="CN741" s="11"/>
      <c r="CO741" s="11"/>
      <c r="CP741" s="11"/>
      <c r="CQ741" s="11"/>
      <c r="CR741" s="11"/>
      <c r="CS741" s="11"/>
      <c r="CT741" s="11"/>
      <c r="CU741" s="11"/>
      <c r="CV741" s="11"/>
      <c r="CW741" s="11"/>
      <c r="CX741" s="11"/>
      <c r="CY741" s="11"/>
      <c r="CZ741" s="11"/>
      <c r="DA741" s="11"/>
      <c r="DB741" s="11"/>
      <c r="DC741" s="11"/>
    </row>
    <row r="742" spans="1:107" ht="12.75" customHeight="1">
      <c r="A742" s="11"/>
      <c r="B742" s="11"/>
      <c r="C742" s="11"/>
      <c r="D742" s="11"/>
      <c r="E742" s="11"/>
      <c r="F742" s="11"/>
      <c r="G742" s="11"/>
      <c r="H742" s="15"/>
      <c r="I742" s="38"/>
      <c r="J742" s="38"/>
      <c r="K742" s="38"/>
      <c r="L742" s="41"/>
      <c r="M742" s="43"/>
      <c r="N742" s="11"/>
      <c r="O742" s="48"/>
      <c r="P742" s="48"/>
      <c r="Q742" s="48"/>
      <c r="R742" s="38"/>
      <c r="S742" s="38"/>
      <c r="T742" s="52"/>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83"/>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83"/>
      <c r="CK742" s="11"/>
      <c r="CL742" s="11"/>
      <c r="CM742" s="11"/>
      <c r="CN742" s="11"/>
      <c r="CO742" s="11"/>
      <c r="CP742" s="11"/>
      <c r="CQ742" s="11"/>
      <c r="CR742" s="11"/>
      <c r="CS742" s="11"/>
      <c r="CT742" s="11"/>
      <c r="CU742" s="11"/>
      <c r="CV742" s="11"/>
      <c r="CW742" s="11"/>
      <c r="CX742" s="11"/>
      <c r="CY742" s="11"/>
      <c r="CZ742" s="11"/>
      <c r="DA742" s="11"/>
      <c r="DB742" s="11"/>
      <c r="DC742" s="11"/>
    </row>
    <row r="743" spans="1:107" ht="12.75" customHeight="1">
      <c r="A743" s="11"/>
      <c r="B743" s="11"/>
      <c r="C743" s="11"/>
      <c r="D743" s="11"/>
      <c r="E743" s="11"/>
      <c r="F743" s="11"/>
      <c r="G743" s="11"/>
      <c r="H743" s="15"/>
      <c r="I743" s="38"/>
      <c r="J743" s="38"/>
      <c r="K743" s="38"/>
      <c r="L743" s="41"/>
      <c r="M743" s="43"/>
      <c r="N743" s="11"/>
      <c r="O743" s="48"/>
      <c r="P743" s="48"/>
      <c r="Q743" s="48"/>
      <c r="R743" s="38"/>
      <c r="S743" s="38"/>
      <c r="T743" s="52"/>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83"/>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83"/>
      <c r="CK743" s="11"/>
      <c r="CL743" s="11"/>
      <c r="CM743" s="11"/>
      <c r="CN743" s="11"/>
      <c r="CO743" s="11"/>
      <c r="CP743" s="11"/>
      <c r="CQ743" s="11"/>
      <c r="CR743" s="11"/>
      <c r="CS743" s="11"/>
      <c r="CT743" s="11"/>
      <c r="CU743" s="11"/>
      <c r="CV743" s="11"/>
      <c r="CW743" s="11"/>
      <c r="CX743" s="11"/>
      <c r="CY743" s="11"/>
      <c r="CZ743" s="11"/>
      <c r="DA743" s="11"/>
      <c r="DB743" s="11"/>
      <c r="DC743" s="11"/>
    </row>
    <row r="744" spans="1:107" ht="12.75" customHeight="1">
      <c r="A744" s="11"/>
      <c r="B744" s="11"/>
      <c r="C744" s="11"/>
      <c r="D744" s="11"/>
      <c r="E744" s="11"/>
      <c r="F744" s="11"/>
      <c r="G744" s="11"/>
      <c r="H744" s="15"/>
      <c r="I744" s="38"/>
      <c r="J744" s="38"/>
      <c r="K744" s="38"/>
      <c r="L744" s="41"/>
      <c r="M744" s="43"/>
      <c r="N744" s="11"/>
      <c r="O744" s="48"/>
      <c r="P744" s="48"/>
      <c r="Q744" s="48"/>
      <c r="R744" s="38"/>
      <c r="S744" s="38"/>
      <c r="T744" s="52"/>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83"/>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83"/>
      <c r="CK744" s="11"/>
      <c r="CL744" s="11"/>
      <c r="CM744" s="11"/>
      <c r="CN744" s="11"/>
      <c r="CO744" s="11"/>
      <c r="CP744" s="11"/>
      <c r="CQ744" s="11"/>
      <c r="CR744" s="11"/>
      <c r="CS744" s="11"/>
      <c r="CT744" s="11"/>
      <c r="CU744" s="11"/>
      <c r="CV744" s="11"/>
      <c r="CW744" s="11"/>
      <c r="CX744" s="11"/>
      <c r="CY744" s="11"/>
      <c r="CZ744" s="11"/>
      <c r="DA744" s="11"/>
      <c r="DB744" s="11"/>
      <c r="DC744" s="11"/>
    </row>
    <row r="745" spans="1:107" ht="12.75" customHeight="1">
      <c r="A745" s="11"/>
      <c r="B745" s="11"/>
      <c r="C745" s="11"/>
      <c r="D745" s="11"/>
      <c r="E745" s="11"/>
      <c r="F745" s="11"/>
      <c r="G745" s="11"/>
      <c r="H745" s="15"/>
      <c r="I745" s="38"/>
      <c r="J745" s="38"/>
      <c r="K745" s="38"/>
      <c r="L745" s="41"/>
      <c r="M745" s="43"/>
      <c r="N745" s="11"/>
      <c r="O745" s="48"/>
      <c r="P745" s="48"/>
      <c r="Q745" s="48"/>
      <c r="R745" s="38"/>
      <c r="S745" s="38"/>
      <c r="T745" s="52"/>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83"/>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83"/>
      <c r="CK745" s="11"/>
      <c r="CL745" s="11"/>
      <c r="CM745" s="11"/>
      <c r="CN745" s="11"/>
      <c r="CO745" s="11"/>
      <c r="CP745" s="11"/>
      <c r="CQ745" s="11"/>
      <c r="CR745" s="11"/>
      <c r="CS745" s="11"/>
      <c r="CT745" s="11"/>
      <c r="CU745" s="11"/>
      <c r="CV745" s="11"/>
      <c r="CW745" s="11"/>
      <c r="CX745" s="11"/>
      <c r="CY745" s="11"/>
      <c r="CZ745" s="11"/>
      <c r="DA745" s="11"/>
      <c r="DB745" s="11"/>
      <c r="DC745" s="11"/>
    </row>
    <row r="746" spans="1:107" ht="12.75" customHeight="1">
      <c r="A746" s="11"/>
      <c r="B746" s="11"/>
      <c r="C746" s="11"/>
      <c r="D746" s="11"/>
      <c r="E746" s="11"/>
      <c r="F746" s="11"/>
      <c r="G746" s="11"/>
      <c r="H746" s="15"/>
      <c r="I746" s="38"/>
      <c r="J746" s="38"/>
      <c r="K746" s="38"/>
      <c r="L746" s="41"/>
      <c r="M746" s="43"/>
      <c r="N746" s="11"/>
      <c r="O746" s="48"/>
      <c r="P746" s="48"/>
      <c r="Q746" s="48"/>
      <c r="R746" s="38"/>
      <c r="S746" s="38"/>
      <c r="T746" s="52"/>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83"/>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83"/>
      <c r="CK746" s="11"/>
      <c r="CL746" s="11"/>
      <c r="CM746" s="11"/>
      <c r="CN746" s="11"/>
      <c r="CO746" s="11"/>
      <c r="CP746" s="11"/>
      <c r="CQ746" s="11"/>
      <c r="CR746" s="11"/>
      <c r="CS746" s="11"/>
      <c r="CT746" s="11"/>
      <c r="CU746" s="11"/>
      <c r="CV746" s="11"/>
      <c r="CW746" s="11"/>
      <c r="CX746" s="11"/>
      <c r="CY746" s="11"/>
      <c r="CZ746" s="11"/>
      <c r="DA746" s="11"/>
      <c r="DB746" s="11"/>
      <c r="DC746" s="11"/>
    </row>
    <row r="747" spans="1:107" ht="12.75" customHeight="1">
      <c r="A747" s="11"/>
      <c r="B747" s="11"/>
      <c r="C747" s="11"/>
      <c r="D747" s="11"/>
      <c r="E747" s="11"/>
      <c r="F747" s="11"/>
      <c r="G747" s="11"/>
      <c r="H747" s="15"/>
      <c r="I747" s="38"/>
      <c r="J747" s="38"/>
      <c r="K747" s="38"/>
      <c r="L747" s="41"/>
      <c r="M747" s="43"/>
      <c r="N747" s="11"/>
      <c r="O747" s="48"/>
      <c r="P747" s="48"/>
      <c r="Q747" s="48"/>
      <c r="R747" s="38"/>
      <c r="S747" s="38"/>
      <c r="T747" s="52"/>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83"/>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83"/>
      <c r="CK747" s="11"/>
      <c r="CL747" s="11"/>
      <c r="CM747" s="11"/>
      <c r="CN747" s="11"/>
      <c r="CO747" s="11"/>
      <c r="CP747" s="11"/>
      <c r="CQ747" s="11"/>
      <c r="CR747" s="11"/>
      <c r="CS747" s="11"/>
      <c r="CT747" s="11"/>
      <c r="CU747" s="11"/>
      <c r="CV747" s="11"/>
      <c r="CW747" s="11"/>
      <c r="CX747" s="11"/>
      <c r="CY747" s="11"/>
      <c r="CZ747" s="11"/>
      <c r="DA747" s="11"/>
      <c r="DB747" s="11"/>
      <c r="DC747" s="11"/>
    </row>
    <row r="748" spans="1:107" ht="12.75" customHeight="1">
      <c r="A748" s="11"/>
      <c r="B748" s="11"/>
      <c r="C748" s="11"/>
      <c r="D748" s="11"/>
      <c r="E748" s="11"/>
      <c r="F748" s="11"/>
      <c r="G748" s="11"/>
      <c r="H748" s="15"/>
      <c r="I748" s="38"/>
      <c r="J748" s="38"/>
      <c r="K748" s="38"/>
      <c r="L748" s="41"/>
      <c r="M748" s="43"/>
      <c r="N748" s="11"/>
      <c r="O748" s="48"/>
      <c r="P748" s="48"/>
      <c r="Q748" s="48"/>
      <c r="R748" s="38"/>
      <c r="S748" s="38"/>
      <c r="T748" s="52"/>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83"/>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83"/>
      <c r="CK748" s="11"/>
      <c r="CL748" s="11"/>
      <c r="CM748" s="11"/>
      <c r="CN748" s="11"/>
      <c r="CO748" s="11"/>
      <c r="CP748" s="11"/>
      <c r="CQ748" s="11"/>
      <c r="CR748" s="11"/>
      <c r="CS748" s="11"/>
      <c r="CT748" s="11"/>
      <c r="CU748" s="11"/>
      <c r="CV748" s="11"/>
      <c r="CW748" s="11"/>
      <c r="CX748" s="11"/>
      <c r="CY748" s="11"/>
      <c r="CZ748" s="11"/>
      <c r="DA748" s="11"/>
      <c r="DB748" s="11"/>
      <c r="DC748" s="11"/>
    </row>
    <row r="749" spans="1:107" ht="12.75" customHeight="1">
      <c r="A749" s="11"/>
      <c r="B749" s="11"/>
      <c r="C749" s="11"/>
      <c r="D749" s="11"/>
      <c r="E749" s="11"/>
      <c r="F749" s="11"/>
      <c r="G749" s="11"/>
      <c r="H749" s="15"/>
      <c r="I749" s="38"/>
      <c r="J749" s="38"/>
      <c r="K749" s="38"/>
      <c r="L749" s="41"/>
      <c r="M749" s="43"/>
      <c r="N749" s="11"/>
      <c r="O749" s="48"/>
      <c r="P749" s="48"/>
      <c r="Q749" s="48"/>
      <c r="R749" s="38"/>
      <c r="S749" s="38"/>
      <c r="T749" s="52"/>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83"/>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83"/>
      <c r="CK749" s="11"/>
      <c r="CL749" s="11"/>
      <c r="CM749" s="11"/>
      <c r="CN749" s="11"/>
      <c r="CO749" s="11"/>
      <c r="CP749" s="11"/>
      <c r="CQ749" s="11"/>
      <c r="CR749" s="11"/>
      <c r="CS749" s="11"/>
      <c r="CT749" s="11"/>
      <c r="CU749" s="11"/>
      <c r="CV749" s="11"/>
      <c r="CW749" s="11"/>
      <c r="CX749" s="11"/>
      <c r="CY749" s="11"/>
      <c r="CZ749" s="11"/>
      <c r="DA749" s="11"/>
      <c r="DB749" s="11"/>
      <c r="DC749" s="11"/>
    </row>
    <row r="750" spans="1:107" ht="12.75" customHeight="1">
      <c r="A750" s="11"/>
      <c r="B750" s="11"/>
      <c r="C750" s="11"/>
      <c r="D750" s="11"/>
      <c r="E750" s="11"/>
      <c r="F750" s="11"/>
      <c r="G750" s="11"/>
      <c r="H750" s="15"/>
      <c r="I750" s="38"/>
      <c r="J750" s="38"/>
      <c r="K750" s="38"/>
      <c r="L750" s="41"/>
      <c r="M750" s="43"/>
      <c r="N750" s="11"/>
      <c r="O750" s="48"/>
      <c r="P750" s="48"/>
      <c r="Q750" s="48"/>
      <c r="R750" s="38"/>
      <c r="S750" s="38"/>
      <c r="T750" s="52"/>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83"/>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83"/>
      <c r="CK750" s="11"/>
      <c r="CL750" s="11"/>
      <c r="CM750" s="11"/>
      <c r="CN750" s="11"/>
      <c r="CO750" s="11"/>
      <c r="CP750" s="11"/>
      <c r="CQ750" s="11"/>
      <c r="CR750" s="11"/>
      <c r="CS750" s="11"/>
      <c r="CT750" s="11"/>
      <c r="CU750" s="11"/>
      <c r="CV750" s="11"/>
      <c r="CW750" s="11"/>
      <c r="CX750" s="11"/>
      <c r="CY750" s="11"/>
      <c r="CZ750" s="11"/>
      <c r="DA750" s="11"/>
      <c r="DB750" s="11"/>
      <c r="DC750" s="11"/>
    </row>
    <row r="751" spans="1:107" ht="12.75" customHeight="1">
      <c r="A751" s="11"/>
      <c r="B751" s="11"/>
      <c r="C751" s="11"/>
      <c r="D751" s="11"/>
      <c r="E751" s="11"/>
      <c r="F751" s="11"/>
      <c r="G751" s="11"/>
      <c r="H751" s="15"/>
      <c r="I751" s="38"/>
      <c r="J751" s="38"/>
      <c r="K751" s="38"/>
      <c r="L751" s="41"/>
      <c r="M751" s="43"/>
      <c r="N751" s="11"/>
      <c r="O751" s="48"/>
      <c r="P751" s="48"/>
      <c r="Q751" s="48"/>
      <c r="R751" s="38"/>
      <c r="S751" s="38"/>
      <c r="T751" s="52"/>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83"/>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83"/>
      <c r="CK751" s="11"/>
      <c r="CL751" s="11"/>
      <c r="CM751" s="11"/>
      <c r="CN751" s="11"/>
      <c r="CO751" s="11"/>
      <c r="CP751" s="11"/>
      <c r="CQ751" s="11"/>
      <c r="CR751" s="11"/>
      <c r="CS751" s="11"/>
      <c r="CT751" s="11"/>
      <c r="CU751" s="11"/>
      <c r="CV751" s="11"/>
      <c r="CW751" s="11"/>
      <c r="CX751" s="11"/>
      <c r="CY751" s="11"/>
      <c r="CZ751" s="11"/>
      <c r="DA751" s="11"/>
      <c r="DB751" s="11"/>
      <c r="DC751" s="11"/>
    </row>
    <row r="752" spans="1:107" ht="12.75" customHeight="1">
      <c r="A752" s="11"/>
      <c r="B752" s="11"/>
      <c r="C752" s="11"/>
      <c r="D752" s="11"/>
      <c r="E752" s="11"/>
      <c r="F752" s="11"/>
      <c r="G752" s="11"/>
      <c r="H752" s="15"/>
      <c r="I752" s="38"/>
      <c r="J752" s="38"/>
      <c r="K752" s="38"/>
      <c r="L752" s="41"/>
      <c r="M752" s="43"/>
      <c r="N752" s="11"/>
      <c r="O752" s="48"/>
      <c r="P752" s="48"/>
      <c r="Q752" s="48"/>
      <c r="R752" s="38"/>
      <c r="S752" s="38"/>
      <c r="T752" s="52"/>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83"/>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83"/>
      <c r="CK752" s="11"/>
      <c r="CL752" s="11"/>
      <c r="CM752" s="11"/>
      <c r="CN752" s="11"/>
      <c r="CO752" s="11"/>
      <c r="CP752" s="11"/>
      <c r="CQ752" s="11"/>
      <c r="CR752" s="11"/>
      <c r="CS752" s="11"/>
      <c r="CT752" s="11"/>
      <c r="CU752" s="11"/>
      <c r="CV752" s="11"/>
      <c r="CW752" s="11"/>
      <c r="CX752" s="11"/>
      <c r="CY752" s="11"/>
      <c r="CZ752" s="11"/>
      <c r="DA752" s="11"/>
      <c r="DB752" s="11"/>
      <c r="DC752" s="11"/>
    </row>
    <row r="753" spans="1:107" ht="12.75" customHeight="1">
      <c r="A753" s="11"/>
      <c r="B753" s="11"/>
      <c r="C753" s="11"/>
      <c r="D753" s="11"/>
      <c r="E753" s="11"/>
      <c r="F753" s="11"/>
      <c r="G753" s="11"/>
      <c r="H753" s="15"/>
      <c r="I753" s="38"/>
      <c r="J753" s="38"/>
      <c r="K753" s="38"/>
      <c r="L753" s="41"/>
      <c r="M753" s="43"/>
      <c r="N753" s="11"/>
      <c r="O753" s="48"/>
      <c r="P753" s="48"/>
      <c r="Q753" s="48"/>
      <c r="R753" s="38"/>
      <c r="S753" s="38"/>
      <c r="T753" s="52"/>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83"/>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83"/>
      <c r="CK753" s="11"/>
      <c r="CL753" s="11"/>
      <c r="CM753" s="11"/>
      <c r="CN753" s="11"/>
      <c r="CO753" s="11"/>
      <c r="CP753" s="11"/>
      <c r="CQ753" s="11"/>
      <c r="CR753" s="11"/>
      <c r="CS753" s="11"/>
      <c r="CT753" s="11"/>
      <c r="CU753" s="11"/>
      <c r="CV753" s="11"/>
      <c r="CW753" s="11"/>
      <c r="CX753" s="11"/>
      <c r="CY753" s="11"/>
      <c r="CZ753" s="11"/>
      <c r="DA753" s="11"/>
      <c r="DB753" s="11"/>
      <c r="DC753" s="11"/>
    </row>
    <row r="754" spans="1:107" ht="12.75" customHeight="1">
      <c r="A754" s="11"/>
      <c r="B754" s="11"/>
      <c r="C754" s="11"/>
      <c r="D754" s="11"/>
      <c r="E754" s="11"/>
      <c r="F754" s="11"/>
      <c r="G754" s="11"/>
      <c r="H754" s="15"/>
      <c r="I754" s="38"/>
      <c r="J754" s="38"/>
      <c r="K754" s="38"/>
      <c r="L754" s="41"/>
      <c r="M754" s="43"/>
      <c r="N754" s="11"/>
      <c r="O754" s="48"/>
      <c r="P754" s="48"/>
      <c r="Q754" s="48"/>
      <c r="R754" s="38"/>
      <c r="S754" s="38"/>
      <c r="T754" s="52"/>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83"/>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83"/>
      <c r="CK754" s="11"/>
      <c r="CL754" s="11"/>
      <c r="CM754" s="11"/>
      <c r="CN754" s="11"/>
      <c r="CO754" s="11"/>
      <c r="CP754" s="11"/>
      <c r="CQ754" s="11"/>
      <c r="CR754" s="11"/>
      <c r="CS754" s="11"/>
      <c r="CT754" s="11"/>
      <c r="CU754" s="11"/>
      <c r="CV754" s="11"/>
      <c r="CW754" s="11"/>
      <c r="CX754" s="11"/>
      <c r="CY754" s="11"/>
      <c r="CZ754" s="11"/>
      <c r="DA754" s="11"/>
      <c r="DB754" s="11"/>
      <c r="DC754" s="11"/>
    </row>
    <row r="755" spans="1:107" ht="12.75" customHeight="1">
      <c r="A755" s="11"/>
      <c r="B755" s="11"/>
      <c r="C755" s="11"/>
      <c r="D755" s="11"/>
      <c r="E755" s="11"/>
      <c r="F755" s="11"/>
      <c r="G755" s="11"/>
      <c r="H755" s="15"/>
      <c r="I755" s="38"/>
      <c r="J755" s="38"/>
      <c r="K755" s="38"/>
      <c r="L755" s="41"/>
      <c r="M755" s="43"/>
      <c r="N755" s="11"/>
      <c r="O755" s="48"/>
      <c r="P755" s="48"/>
      <c r="Q755" s="48"/>
      <c r="R755" s="38"/>
      <c r="S755" s="38"/>
      <c r="T755" s="52"/>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83"/>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c r="CD755" s="11"/>
      <c r="CE755" s="11"/>
      <c r="CF755" s="11"/>
      <c r="CG755" s="11"/>
      <c r="CH755" s="11"/>
      <c r="CI755" s="11"/>
      <c r="CJ755" s="183"/>
      <c r="CK755" s="11"/>
      <c r="CL755" s="11"/>
      <c r="CM755" s="11"/>
      <c r="CN755" s="11"/>
      <c r="CO755" s="11"/>
      <c r="CP755" s="11"/>
      <c r="CQ755" s="11"/>
      <c r="CR755" s="11"/>
      <c r="CS755" s="11"/>
      <c r="CT755" s="11"/>
      <c r="CU755" s="11"/>
      <c r="CV755" s="11"/>
      <c r="CW755" s="11"/>
      <c r="CX755" s="11"/>
      <c r="CY755" s="11"/>
      <c r="CZ755" s="11"/>
      <c r="DA755" s="11"/>
      <c r="DB755" s="11"/>
      <c r="DC755" s="11"/>
    </row>
    <row r="756" spans="1:107" ht="12.75" customHeight="1">
      <c r="A756" s="11"/>
      <c r="B756" s="11"/>
      <c r="C756" s="11"/>
      <c r="D756" s="11"/>
      <c r="E756" s="11"/>
      <c r="F756" s="11"/>
      <c r="G756" s="11"/>
      <c r="H756" s="15"/>
      <c r="I756" s="38"/>
      <c r="J756" s="38"/>
      <c r="K756" s="38"/>
      <c r="L756" s="41"/>
      <c r="M756" s="43"/>
      <c r="N756" s="11"/>
      <c r="O756" s="48"/>
      <c r="P756" s="48"/>
      <c r="Q756" s="48"/>
      <c r="R756" s="38"/>
      <c r="S756" s="38"/>
      <c r="T756" s="52"/>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83"/>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83"/>
      <c r="CK756" s="11"/>
      <c r="CL756" s="11"/>
      <c r="CM756" s="11"/>
      <c r="CN756" s="11"/>
      <c r="CO756" s="11"/>
      <c r="CP756" s="11"/>
      <c r="CQ756" s="11"/>
      <c r="CR756" s="11"/>
      <c r="CS756" s="11"/>
      <c r="CT756" s="11"/>
      <c r="CU756" s="11"/>
      <c r="CV756" s="11"/>
      <c r="CW756" s="11"/>
      <c r="CX756" s="11"/>
      <c r="CY756" s="11"/>
      <c r="CZ756" s="11"/>
      <c r="DA756" s="11"/>
      <c r="DB756" s="11"/>
      <c r="DC756" s="11"/>
    </row>
    <row r="757" spans="1:107" ht="12.75" customHeight="1">
      <c r="A757" s="11"/>
      <c r="B757" s="11"/>
      <c r="C757" s="11"/>
      <c r="D757" s="11"/>
      <c r="E757" s="11"/>
      <c r="F757" s="11"/>
      <c r="G757" s="11"/>
      <c r="H757" s="15"/>
      <c r="I757" s="38"/>
      <c r="J757" s="38"/>
      <c r="K757" s="38"/>
      <c r="L757" s="41"/>
      <c r="M757" s="43"/>
      <c r="N757" s="11"/>
      <c r="O757" s="48"/>
      <c r="P757" s="48"/>
      <c r="Q757" s="48"/>
      <c r="R757" s="38"/>
      <c r="S757" s="38"/>
      <c r="T757" s="52"/>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83"/>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c r="CF757" s="11"/>
      <c r="CG757" s="11"/>
      <c r="CH757" s="11"/>
      <c r="CI757" s="11"/>
      <c r="CJ757" s="183"/>
      <c r="CK757" s="11"/>
      <c r="CL757" s="11"/>
      <c r="CM757" s="11"/>
      <c r="CN757" s="11"/>
      <c r="CO757" s="11"/>
      <c r="CP757" s="11"/>
      <c r="CQ757" s="11"/>
      <c r="CR757" s="11"/>
      <c r="CS757" s="11"/>
      <c r="CT757" s="11"/>
      <c r="CU757" s="11"/>
      <c r="CV757" s="11"/>
      <c r="CW757" s="11"/>
      <c r="CX757" s="11"/>
      <c r="CY757" s="11"/>
      <c r="CZ757" s="11"/>
      <c r="DA757" s="11"/>
      <c r="DB757" s="11"/>
      <c r="DC757" s="11"/>
    </row>
    <row r="758" spans="1:107" ht="12.75" customHeight="1">
      <c r="A758" s="11"/>
      <c r="B758" s="11"/>
      <c r="C758" s="11"/>
      <c r="D758" s="11"/>
      <c r="E758" s="11"/>
      <c r="F758" s="11"/>
      <c r="G758" s="11"/>
      <c r="H758" s="15"/>
      <c r="I758" s="38"/>
      <c r="J758" s="38"/>
      <c r="K758" s="38"/>
      <c r="L758" s="41"/>
      <c r="M758" s="43"/>
      <c r="N758" s="11"/>
      <c r="O758" s="48"/>
      <c r="P758" s="48"/>
      <c r="Q758" s="48"/>
      <c r="R758" s="38"/>
      <c r="S758" s="38"/>
      <c r="T758" s="52"/>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83"/>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83"/>
      <c r="CK758" s="11"/>
      <c r="CL758" s="11"/>
      <c r="CM758" s="11"/>
      <c r="CN758" s="11"/>
      <c r="CO758" s="11"/>
      <c r="CP758" s="11"/>
      <c r="CQ758" s="11"/>
      <c r="CR758" s="11"/>
      <c r="CS758" s="11"/>
      <c r="CT758" s="11"/>
      <c r="CU758" s="11"/>
      <c r="CV758" s="11"/>
      <c r="CW758" s="11"/>
      <c r="CX758" s="11"/>
      <c r="CY758" s="11"/>
      <c r="CZ758" s="11"/>
      <c r="DA758" s="11"/>
      <c r="DB758" s="11"/>
      <c r="DC758" s="11"/>
    </row>
    <row r="759" spans="1:107" ht="12.75" customHeight="1">
      <c r="A759" s="11"/>
      <c r="B759" s="11"/>
      <c r="C759" s="11"/>
      <c r="D759" s="11"/>
      <c r="E759" s="11"/>
      <c r="F759" s="11"/>
      <c r="G759" s="11"/>
      <c r="H759" s="15"/>
      <c r="I759" s="38"/>
      <c r="J759" s="38"/>
      <c r="K759" s="38"/>
      <c r="L759" s="41"/>
      <c r="M759" s="43"/>
      <c r="N759" s="11"/>
      <c r="O759" s="48"/>
      <c r="P759" s="48"/>
      <c r="Q759" s="48"/>
      <c r="R759" s="38"/>
      <c r="S759" s="38"/>
      <c r="T759" s="52"/>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83"/>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83"/>
      <c r="CK759" s="11"/>
      <c r="CL759" s="11"/>
      <c r="CM759" s="11"/>
      <c r="CN759" s="11"/>
      <c r="CO759" s="11"/>
      <c r="CP759" s="11"/>
      <c r="CQ759" s="11"/>
      <c r="CR759" s="11"/>
      <c r="CS759" s="11"/>
      <c r="CT759" s="11"/>
      <c r="CU759" s="11"/>
      <c r="CV759" s="11"/>
      <c r="CW759" s="11"/>
      <c r="CX759" s="11"/>
      <c r="CY759" s="11"/>
      <c r="CZ759" s="11"/>
      <c r="DA759" s="11"/>
      <c r="DB759" s="11"/>
      <c r="DC759" s="11"/>
    </row>
    <row r="760" spans="1:107" ht="12.75" customHeight="1">
      <c r="A760" s="11"/>
      <c r="B760" s="11"/>
      <c r="C760" s="11"/>
      <c r="D760" s="11"/>
      <c r="E760" s="11"/>
      <c r="F760" s="11"/>
      <c r="G760" s="11"/>
      <c r="H760" s="15"/>
      <c r="I760" s="38"/>
      <c r="J760" s="38"/>
      <c r="K760" s="38"/>
      <c r="L760" s="41"/>
      <c r="M760" s="43"/>
      <c r="N760" s="11"/>
      <c r="O760" s="48"/>
      <c r="P760" s="48"/>
      <c r="Q760" s="48"/>
      <c r="R760" s="38"/>
      <c r="S760" s="38"/>
      <c r="T760" s="52"/>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83"/>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83"/>
      <c r="CK760" s="11"/>
      <c r="CL760" s="11"/>
      <c r="CM760" s="11"/>
      <c r="CN760" s="11"/>
      <c r="CO760" s="11"/>
      <c r="CP760" s="11"/>
      <c r="CQ760" s="11"/>
      <c r="CR760" s="11"/>
      <c r="CS760" s="11"/>
      <c r="CT760" s="11"/>
      <c r="CU760" s="11"/>
      <c r="CV760" s="11"/>
      <c r="CW760" s="11"/>
      <c r="CX760" s="11"/>
      <c r="CY760" s="11"/>
      <c r="CZ760" s="11"/>
      <c r="DA760" s="11"/>
      <c r="DB760" s="11"/>
      <c r="DC760" s="11"/>
    </row>
    <row r="761" spans="1:107" ht="12.75" customHeight="1">
      <c r="A761" s="11"/>
      <c r="B761" s="11"/>
      <c r="C761" s="11"/>
      <c r="D761" s="11"/>
      <c r="E761" s="11"/>
      <c r="F761" s="11"/>
      <c r="G761" s="11"/>
      <c r="H761" s="15"/>
      <c r="I761" s="38"/>
      <c r="J761" s="38"/>
      <c r="K761" s="38"/>
      <c r="L761" s="41"/>
      <c r="M761" s="43"/>
      <c r="N761" s="11"/>
      <c r="O761" s="48"/>
      <c r="P761" s="48"/>
      <c r="Q761" s="48"/>
      <c r="R761" s="38"/>
      <c r="S761" s="38"/>
      <c r="T761" s="52"/>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83"/>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83"/>
      <c r="CK761" s="11"/>
      <c r="CL761" s="11"/>
      <c r="CM761" s="11"/>
      <c r="CN761" s="11"/>
      <c r="CO761" s="11"/>
      <c r="CP761" s="11"/>
      <c r="CQ761" s="11"/>
      <c r="CR761" s="11"/>
      <c r="CS761" s="11"/>
      <c r="CT761" s="11"/>
      <c r="CU761" s="11"/>
      <c r="CV761" s="11"/>
      <c r="CW761" s="11"/>
      <c r="CX761" s="11"/>
      <c r="CY761" s="11"/>
      <c r="CZ761" s="11"/>
      <c r="DA761" s="11"/>
      <c r="DB761" s="11"/>
      <c r="DC761" s="11"/>
    </row>
    <row r="762" spans="1:107" ht="12.75" customHeight="1">
      <c r="A762" s="11"/>
      <c r="B762" s="11"/>
      <c r="C762" s="11"/>
      <c r="D762" s="11"/>
      <c r="E762" s="11"/>
      <c r="F762" s="11"/>
      <c r="G762" s="11"/>
      <c r="H762" s="15"/>
      <c r="I762" s="38"/>
      <c r="J762" s="38"/>
      <c r="K762" s="38"/>
      <c r="L762" s="41"/>
      <c r="M762" s="43"/>
      <c r="N762" s="11"/>
      <c r="O762" s="48"/>
      <c r="P762" s="48"/>
      <c r="Q762" s="48"/>
      <c r="R762" s="38"/>
      <c r="S762" s="38"/>
      <c r="T762" s="52"/>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83"/>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83"/>
      <c r="CK762" s="11"/>
      <c r="CL762" s="11"/>
      <c r="CM762" s="11"/>
      <c r="CN762" s="11"/>
      <c r="CO762" s="11"/>
      <c r="CP762" s="11"/>
      <c r="CQ762" s="11"/>
      <c r="CR762" s="11"/>
      <c r="CS762" s="11"/>
      <c r="CT762" s="11"/>
      <c r="CU762" s="11"/>
      <c r="CV762" s="11"/>
      <c r="CW762" s="11"/>
      <c r="CX762" s="11"/>
      <c r="CY762" s="11"/>
      <c r="CZ762" s="11"/>
      <c r="DA762" s="11"/>
      <c r="DB762" s="11"/>
      <c r="DC762" s="11"/>
    </row>
    <row r="763" spans="1:107" ht="12.75" customHeight="1">
      <c r="A763" s="11"/>
      <c r="B763" s="11"/>
      <c r="C763" s="11"/>
      <c r="D763" s="11"/>
      <c r="E763" s="11"/>
      <c r="F763" s="11"/>
      <c r="G763" s="11"/>
      <c r="H763" s="15"/>
      <c r="I763" s="38"/>
      <c r="J763" s="38"/>
      <c r="K763" s="38"/>
      <c r="L763" s="41"/>
      <c r="M763" s="43"/>
      <c r="N763" s="11"/>
      <c r="O763" s="48"/>
      <c r="P763" s="48"/>
      <c r="Q763" s="48"/>
      <c r="R763" s="38"/>
      <c r="S763" s="38"/>
      <c r="T763" s="52"/>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83"/>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83"/>
      <c r="CK763" s="11"/>
      <c r="CL763" s="11"/>
      <c r="CM763" s="11"/>
      <c r="CN763" s="11"/>
      <c r="CO763" s="11"/>
      <c r="CP763" s="11"/>
      <c r="CQ763" s="11"/>
      <c r="CR763" s="11"/>
      <c r="CS763" s="11"/>
      <c r="CT763" s="11"/>
      <c r="CU763" s="11"/>
      <c r="CV763" s="11"/>
      <c r="CW763" s="11"/>
      <c r="CX763" s="11"/>
      <c r="CY763" s="11"/>
      <c r="CZ763" s="11"/>
      <c r="DA763" s="11"/>
      <c r="DB763" s="11"/>
      <c r="DC763" s="11"/>
    </row>
    <row r="764" spans="1:107" ht="12.75" customHeight="1">
      <c r="A764" s="11"/>
      <c r="B764" s="11"/>
      <c r="C764" s="11"/>
      <c r="D764" s="11"/>
      <c r="E764" s="11"/>
      <c r="F764" s="11"/>
      <c r="G764" s="11"/>
      <c r="H764" s="15"/>
      <c r="I764" s="38"/>
      <c r="J764" s="38"/>
      <c r="K764" s="38"/>
      <c r="L764" s="41"/>
      <c r="M764" s="43"/>
      <c r="N764" s="11"/>
      <c r="O764" s="48"/>
      <c r="P764" s="48"/>
      <c r="Q764" s="48"/>
      <c r="R764" s="38"/>
      <c r="S764" s="38"/>
      <c r="T764" s="52"/>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83"/>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83"/>
      <c r="CK764" s="11"/>
      <c r="CL764" s="11"/>
      <c r="CM764" s="11"/>
      <c r="CN764" s="11"/>
      <c r="CO764" s="11"/>
      <c r="CP764" s="11"/>
      <c r="CQ764" s="11"/>
      <c r="CR764" s="11"/>
      <c r="CS764" s="11"/>
      <c r="CT764" s="11"/>
      <c r="CU764" s="11"/>
      <c r="CV764" s="11"/>
      <c r="CW764" s="11"/>
      <c r="CX764" s="11"/>
      <c r="CY764" s="11"/>
      <c r="CZ764" s="11"/>
      <c r="DA764" s="11"/>
      <c r="DB764" s="11"/>
      <c r="DC764" s="11"/>
    </row>
    <row r="765" spans="1:107" ht="12.75" customHeight="1">
      <c r="A765" s="11"/>
      <c r="B765" s="11"/>
      <c r="C765" s="11"/>
      <c r="D765" s="11"/>
      <c r="E765" s="11"/>
      <c r="F765" s="11"/>
      <c r="G765" s="11"/>
      <c r="H765" s="15"/>
      <c r="I765" s="38"/>
      <c r="J765" s="38"/>
      <c r="K765" s="38"/>
      <c r="L765" s="41"/>
      <c r="M765" s="43"/>
      <c r="N765" s="11"/>
      <c r="O765" s="48"/>
      <c r="P765" s="48"/>
      <c r="Q765" s="48"/>
      <c r="R765" s="38"/>
      <c r="S765" s="38"/>
      <c r="T765" s="52"/>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83"/>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83"/>
      <c r="CK765" s="11"/>
      <c r="CL765" s="11"/>
      <c r="CM765" s="11"/>
      <c r="CN765" s="11"/>
      <c r="CO765" s="11"/>
      <c r="CP765" s="11"/>
      <c r="CQ765" s="11"/>
      <c r="CR765" s="11"/>
      <c r="CS765" s="11"/>
      <c r="CT765" s="11"/>
      <c r="CU765" s="11"/>
      <c r="CV765" s="11"/>
      <c r="CW765" s="11"/>
      <c r="CX765" s="11"/>
      <c r="CY765" s="11"/>
      <c r="CZ765" s="11"/>
      <c r="DA765" s="11"/>
      <c r="DB765" s="11"/>
      <c r="DC765" s="11"/>
    </row>
    <row r="766" spans="1:107" ht="12.75" customHeight="1">
      <c r="A766" s="11"/>
      <c r="B766" s="11"/>
      <c r="C766" s="11"/>
      <c r="D766" s="11"/>
      <c r="E766" s="11"/>
      <c r="F766" s="11"/>
      <c r="G766" s="11"/>
      <c r="H766" s="15"/>
      <c r="I766" s="38"/>
      <c r="J766" s="38"/>
      <c r="K766" s="38"/>
      <c r="L766" s="41"/>
      <c r="M766" s="43"/>
      <c r="N766" s="11"/>
      <c r="O766" s="48"/>
      <c r="P766" s="48"/>
      <c r="Q766" s="48"/>
      <c r="R766" s="38"/>
      <c r="S766" s="38"/>
      <c r="T766" s="52"/>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83"/>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83"/>
      <c r="CK766" s="11"/>
      <c r="CL766" s="11"/>
      <c r="CM766" s="11"/>
      <c r="CN766" s="11"/>
      <c r="CO766" s="11"/>
      <c r="CP766" s="11"/>
      <c r="CQ766" s="11"/>
      <c r="CR766" s="11"/>
      <c r="CS766" s="11"/>
      <c r="CT766" s="11"/>
      <c r="CU766" s="11"/>
      <c r="CV766" s="11"/>
      <c r="CW766" s="11"/>
      <c r="CX766" s="11"/>
      <c r="CY766" s="11"/>
      <c r="CZ766" s="11"/>
      <c r="DA766" s="11"/>
      <c r="DB766" s="11"/>
      <c r="DC766" s="11"/>
    </row>
    <row r="767" spans="1:107" ht="12.75" customHeight="1">
      <c r="A767" s="11"/>
      <c r="B767" s="11"/>
      <c r="C767" s="11"/>
      <c r="D767" s="11"/>
      <c r="E767" s="11"/>
      <c r="F767" s="11"/>
      <c r="G767" s="11"/>
      <c r="H767" s="15"/>
      <c r="I767" s="38"/>
      <c r="J767" s="38"/>
      <c r="K767" s="38"/>
      <c r="L767" s="41"/>
      <c r="M767" s="43"/>
      <c r="N767" s="11"/>
      <c r="O767" s="48"/>
      <c r="P767" s="48"/>
      <c r="Q767" s="48"/>
      <c r="R767" s="38"/>
      <c r="S767" s="38"/>
      <c r="T767" s="52"/>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83"/>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83"/>
      <c r="CK767" s="11"/>
      <c r="CL767" s="11"/>
      <c r="CM767" s="11"/>
      <c r="CN767" s="11"/>
      <c r="CO767" s="11"/>
      <c r="CP767" s="11"/>
      <c r="CQ767" s="11"/>
      <c r="CR767" s="11"/>
      <c r="CS767" s="11"/>
      <c r="CT767" s="11"/>
      <c r="CU767" s="11"/>
      <c r="CV767" s="11"/>
      <c r="CW767" s="11"/>
      <c r="CX767" s="11"/>
      <c r="CY767" s="11"/>
      <c r="CZ767" s="11"/>
      <c r="DA767" s="11"/>
      <c r="DB767" s="11"/>
      <c r="DC767" s="11"/>
    </row>
    <row r="768" spans="1:107" ht="12.75" customHeight="1">
      <c r="A768" s="11"/>
      <c r="B768" s="11"/>
      <c r="C768" s="11"/>
      <c r="D768" s="11"/>
      <c r="E768" s="11"/>
      <c r="F768" s="11"/>
      <c r="G768" s="11"/>
      <c r="H768" s="15"/>
      <c r="I768" s="38"/>
      <c r="J768" s="38"/>
      <c r="K768" s="38"/>
      <c r="L768" s="41"/>
      <c r="M768" s="43"/>
      <c r="N768" s="11"/>
      <c r="O768" s="48"/>
      <c r="P768" s="48"/>
      <c r="Q768" s="48"/>
      <c r="R768" s="38"/>
      <c r="S768" s="38"/>
      <c r="T768" s="52"/>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83"/>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83"/>
      <c r="CK768" s="11"/>
      <c r="CL768" s="11"/>
      <c r="CM768" s="11"/>
      <c r="CN768" s="11"/>
      <c r="CO768" s="11"/>
      <c r="CP768" s="11"/>
      <c r="CQ768" s="11"/>
      <c r="CR768" s="11"/>
      <c r="CS768" s="11"/>
      <c r="CT768" s="11"/>
      <c r="CU768" s="11"/>
      <c r="CV768" s="11"/>
      <c r="CW768" s="11"/>
      <c r="CX768" s="11"/>
      <c r="CY768" s="11"/>
      <c r="CZ768" s="11"/>
      <c r="DA768" s="11"/>
      <c r="DB768" s="11"/>
      <c r="DC768" s="11"/>
    </row>
    <row r="769" spans="1:107" ht="12.75" customHeight="1">
      <c r="A769" s="11"/>
      <c r="B769" s="11"/>
      <c r="C769" s="11"/>
      <c r="D769" s="11"/>
      <c r="E769" s="11"/>
      <c r="F769" s="11"/>
      <c r="G769" s="11"/>
      <c r="H769" s="15"/>
      <c r="I769" s="38"/>
      <c r="J769" s="38"/>
      <c r="K769" s="38"/>
      <c r="L769" s="41"/>
      <c r="M769" s="43"/>
      <c r="N769" s="11"/>
      <c r="O769" s="48"/>
      <c r="P769" s="48"/>
      <c r="Q769" s="48"/>
      <c r="R769" s="38"/>
      <c r="S769" s="38"/>
      <c r="T769" s="52"/>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83"/>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83"/>
      <c r="CK769" s="11"/>
      <c r="CL769" s="11"/>
      <c r="CM769" s="11"/>
      <c r="CN769" s="11"/>
      <c r="CO769" s="11"/>
      <c r="CP769" s="11"/>
      <c r="CQ769" s="11"/>
      <c r="CR769" s="11"/>
      <c r="CS769" s="11"/>
      <c r="CT769" s="11"/>
      <c r="CU769" s="11"/>
      <c r="CV769" s="11"/>
      <c r="CW769" s="11"/>
      <c r="CX769" s="11"/>
      <c r="CY769" s="11"/>
      <c r="CZ769" s="11"/>
      <c r="DA769" s="11"/>
      <c r="DB769" s="11"/>
      <c r="DC769" s="11"/>
    </row>
    <row r="770" spans="1:107" ht="12.75" customHeight="1">
      <c r="A770" s="11"/>
      <c r="B770" s="11"/>
      <c r="C770" s="11"/>
      <c r="D770" s="11"/>
      <c r="E770" s="11"/>
      <c r="F770" s="11"/>
      <c r="G770" s="11"/>
      <c r="H770" s="15"/>
      <c r="I770" s="38"/>
      <c r="J770" s="38"/>
      <c r="K770" s="38"/>
      <c r="L770" s="41"/>
      <c r="M770" s="43"/>
      <c r="N770" s="11"/>
      <c r="O770" s="48"/>
      <c r="P770" s="48"/>
      <c r="Q770" s="48"/>
      <c r="R770" s="38"/>
      <c r="S770" s="38"/>
      <c r="T770" s="52"/>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83"/>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83"/>
      <c r="CK770" s="11"/>
      <c r="CL770" s="11"/>
      <c r="CM770" s="11"/>
      <c r="CN770" s="11"/>
      <c r="CO770" s="11"/>
      <c r="CP770" s="11"/>
      <c r="CQ770" s="11"/>
      <c r="CR770" s="11"/>
      <c r="CS770" s="11"/>
      <c r="CT770" s="11"/>
      <c r="CU770" s="11"/>
      <c r="CV770" s="11"/>
      <c r="CW770" s="11"/>
      <c r="CX770" s="11"/>
      <c r="CY770" s="11"/>
      <c r="CZ770" s="11"/>
      <c r="DA770" s="11"/>
      <c r="DB770" s="11"/>
      <c r="DC770" s="11"/>
    </row>
    <row r="771" spans="1:107" ht="12.75" customHeight="1">
      <c r="A771" s="11"/>
      <c r="B771" s="11"/>
      <c r="C771" s="11"/>
      <c r="D771" s="11"/>
      <c r="E771" s="11"/>
      <c r="F771" s="11"/>
      <c r="G771" s="11"/>
      <c r="H771" s="15"/>
      <c r="I771" s="38"/>
      <c r="J771" s="38"/>
      <c r="K771" s="38"/>
      <c r="L771" s="41"/>
      <c r="M771" s="43"/>
      <c r="N771" s="11"/>
      <c r="O771" s="48"/>
      <c r="P771" s="48"/>
      <c r="Q771" s="48"/>
      <c r="R771" s="38"/>
      <c r="S771" s="38"/>
      <c r="T771" s="52"/>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83"/>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83"/>
      <c r="CK771" s="11"/>
      <c r="CL771" s="11"/>
      <c r="CM771" s="11"/>
      <c r="CN771" s="11"/>
      <c r="CO771" s="11"/>
      <c r="CP771" s="11"/>
      <c r="CQ771" s="11"/>
      <c r="CR771" s="11"/>
      <c r="CS771" s="11"/>
      <c r="CT771" s="11"/>
      <c r="CU771" s="11"/>
      <c r="CV771" s="11"/>
      <c r="CW771" s="11"/>
      <c r="CX771" s="11"/>
      <c r="CY771" s="11"/>
      <c r="CZ771" s="11"/>
      <c r="DA771" s="11"/>
      <c r="DB771" s="11"/>
      <c r="DC771" s="11"/>
    </row>
    <row r="772" spans="1:107" ht="12.75" customHeight="1">
      <c r="A772" s="11"/>
      <c r="B772" s="11"/>
      <c r="C772" s="11"/>
      <c r="D772" s="11"/>
      <c r="E772" s="11"/>
      <c r="F772" s="11"/>
      <c r="G772" s="11"/>
      <c r="H772" s="15"/>
      <c r="I772" s="38"/>
      <c r="J772" s="38"/>
      <c r="K772" s="38"/>
      <c r="L772" s="41"/>
      <c r="M772" s="43"/>
      <c r="N772" s="11"/>
      <c r="O772" s="48"/>
      <c r="P772" s="48"/>
      <c r="Q772" s="48"/>
      <c r="R772" s="38"/>
      <c r="S772" s="38"/>
      <c r="T772" s="52"/>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83"/>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83"/>
      <c r="CK772" s="11"/>
      <c r="CL772" s="11"/>
      <c r="CM772" s="11"/>
      <c r="CN772" s="11"/>
      <c r="CO772" s="11"/>
      <c r="CP772" s="11"/>
      <c r="CQ772" s="11"/>
      <c r="CR772" s="11"/>
      <c r="CS772" s="11"/>
      <c r="CT772" s="11"/>
      <c r="CU772" s="11"/>
      <c r="CV772" s="11"/>
      <c r="CW772" s="11"/>
      <c r="CX772" s="11"/>
      <c r="CY772" s="11"/>
      <c r="CZ772" s="11"/>
      <c r="DA772" s="11"/>
      <c r="DB772" s="11"/>
      <c r="DC772" s="11"/>
    </row>
    <row r="773" spans="1:107" ht="12.75" customHeight="1">
      <c r="A773" s="11"/>
      <c r="B773" s="11"/>
      <c r="C773" s="11"/>
      <c r="D773" s="11"/>
      <c r="E773" s="11"/>
      <c r="F773" s="11"/>
      <c r="G773" s="11"/>
      <c r="H773" s="15"/>
      <c r="I773" s="38"/>
      <c r="J773" s="38"/>
      <c r="K773" s="38"/>
      <c r="L773" s="41"/>
      <c r="M773" s="43"/>
      <c r="N773" s="11"/>
      <c r="O773" s="48"/>
      <c r="P773" s="48"/>
      <c r="Q773" s="48"/>
      <c r="R773" s="38"/>
      <c r="S773" s="38"/>
      <c r="T773" s="52"/>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83"/>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83"/>
      <c r="CK773" s="11"/>
      <c r="CL773" s="11"/>
      <c r="CM773" s="11"/>
      <c r="CN773" s="11"/>
      <c r="CO773" s="11"/>
      <c r="CP773" s="11"/>
      <c r="CQ773" s="11"/>
      <c r="CR773" s="11"/>
      <c r="CS773" s="11"/>
      <c r="CT773" s="11"/>
      <c r="CU773" s="11"/>
      <c r="CV773" s="11"/>
      <c r="CW773" s="11"/>
      <c r="CX773" s="11"/>
      <c r="CY773" s="11"/>
      <c r="CZ773" s="11"/>
      <c r="DA773" s="11"/>
      <c r="DB773" s="11"/>
      <c r="DC773" s="11"/>
    </row>
    <row r="774" spans="1:107" ht="12.75" customHeight="1">
      <c r="A774" s="11"/>
      <c r="B774" s="11"/>
      <c r="C774" s="11"/>
      <c r="D774" s="11"/>
      <c r="E774" s="11"/>
      <c r="F774" s="11"/>
      <c r="G774" s="11"/>
      <c r="H774" s="15"/>
      <c r="I774" s="38"/>
      <c r="J774" s="38"/>
      <c r="K774" s="38"/>
      <c r="L774" s="41"/>
      <c r="M774" s="43"/>
      <c r="N774" s="11"/>
      <c r="O774" s="48"/>
      <c r="P774" s="48"/>
      <c r="Q774" s="48"/>
      <c r="R774" s="38"/>
      <c r="S774" s="38"/>
      <c r="T774" s="52"/>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83"/>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83"/>
      <c r="CK774" s="11"/>
      <c r="CL774" s="11"/>
      <c r="CM774" s="11"/>
      <c r="CN774" s="11"/>
      <c r="CO774" s="11"/>
      <c r="CP774" s="11"/>
      <c r="CQ774" s="11"/>
      <c r="CR774" s="11"/>
      <c r="CS774" s="11"/>
      <c r="CT774" s="11"/>
      <c r="CU774" s="11"/>
      <c r="CV774" s="11"/>
      <c r="CW774" s="11"/>
      <c r="CX774" s="11"/>
      <c r="CY774" s="11"/>
      <c r="CZ774" s="11"/>
      <c r="DA774" s="11"/>
      <c r="DB774" s="11"/>
      <c r="DC774" s="11"/>
    </row>
    <row r="775" spans="1:107" ht="12.75" customHeight="1">
      <c r="A775" s="11"/>
      <c r="B775" s="11"/>
      <c r="C775" s="11"/>
      <c r="D775" s="11"/>
      <c r="E775" s="11"/>
      <c r="F775" s="11"/>
      <c r="G775" s="11"/>
      <c r="H775" s="15"/>
      <c r="I775" s="38"/>
      <c r="J775" s="38"/>
      <c r="K775" s="38"/>
      <c r="L775" s="41"/>
      <c r="M775" s="43"/>
      <c r="N775" s="11"/>
      <c r="O775" s="48"/>
      <c r="P775" s="48"/>
      <c r="Q775" s="48"/>
      <c r="R775" s="38"/>
      <c r="S775" s="38"/>
      <c r="T775" s="52"/>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83"/>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83"/>
      <c r="CK775" s="11"/>
      <c r="CL775" s="11"/>
      <c r="CM775" s="11"/>
      <c r="CN775" s="11"/>
      <c r="CO775" s="11"/>
      <c r="CP775" s="11"/>
      <c r="CQ775" s="11"/>
      <c r="CR775" s="11"/>
      <c r="CS775" s="11"/>
      <c r="CT775" s="11"/>
      <c r="CU775" s="11"/>
      <c r="CV775" s="11"/>
      <c r="CW775" s="11"/>
      <c r="CX775" s="11"/>
      <c r="CY775" s="11"/>
      <c r="CZ775" s="11"/>
      <c r="DA775" s="11"/>
      <c r="DB775" s="11"/>
      <c r="DC775" s="11"/>
    </row>
    <row r="776" spans="1:107" ht="12.75" customHeight="1">
      <c r="A776" s="11"/>
      <c r="B776" s="11"/>
      <c r="C776" s="11"/>
      <c r="D776" s="11"/>
      <c r="E776" s="11"/>
      <c r="F776" s="11"/>
      <c r="G776" s="11"/>
      <c r="H776" s="15"/>
      <c r="I776" s="38"/>
      <c r="J776" s="38"/>
      <c r="K776" s="38"/>
      <c r="L776" s="41"/>
      <c r="M776" s="43"/>
      <c r="N776" s="11"/>
      <c r="O776" s="48"/>
      <c r="P776" s="48"/>
      <c r="Q776" s="48"/>
      <c r="R776" s="38"/>
      <c r="S776" s="38"/>
      <c r="T776" s="52"/>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83"/>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83"/>
      <c r="CK776" s="11"/>
      <c r="CL776" s="11"/>
      <c r="CM776" s="11"/>
      <c r="CN776" s="11"/>
      <c r="CO776" s="11"/>
      <c r="CP776" s="11"/>
      <c r="CQ776" s="11"/>
      <c r="CR776" s="11"/>
      <c r="CS776" s="11"/>
      <c r="CT776" s="11"/>
      <c r="CU776" s="11"/>
      <c r="CV776" s="11"/>
      <c r="CW776" s="11"/>
      <c r="CX776" s="11"/>
      <c r="CY776" s="11"/>
      <c r="CZ776" s="11"/>
      <c r="DA776" s="11"/>
      <c r="DB776" s="11"/>
      <c r="DC776" s="11"/>
    </row>
    <row r="777" spans="1:107" ht="12.75" customHeight="1">
      <c r="A777" s="11"/>
      <c r="B777" s="11"/>
      <c r="C777" s="11"/>
      <c r="D777" s="11"/>
      <c r="E777" s="11"/>
      <c r="F777" s="11"/>
      <c r="G777" s="11"/>
      <c r="H777" s="15"/>
      <c r="I777" s="38"/>
      <c r="J777" s="38"/>
      <c r="K777" s="38"/>
      <c r="L777" s="41"/>
      <c r="M777" s="43"/>
      <c r="N777" s="11"/>
      <c r="O777" s="48"/>
      <c r="P777" s="48"/>
      <c r="Q777" s="48"/>
      <c r="R777" s="38"/>
      <c r="S777" s="38"/>
      <c r="T777" s="52"/>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83"/>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83"/>
      <c r="CK777" s="11"/>
      <c r="CL777" s="11"/>
      <c r="CM777" s="11"/>
      <c r="CN777" s="11"/>
      <c r="CO777" s="11"/>
      <c r="CP777" s="11"/>
      <c r="CQ777" s="11"/>
      <c r="CR777" s="11"/>
      <c r="CS777" s="11"/>
      <c r="CT777" s="11"/>
      <c r="CU777" s="11"/>
      <c r="CV777" s="11"/>
      <c r="CW777" s="11"/>
      <c r="CX777" s="11"/>
      <c r="CY777" s="11"/>
      <c r="CZ777" s="11"/>
      <c r="DA777" s="11"/>
      <c r="DB777" s="11"/>
      <c r="DC777" s="11"/>
    </row>
    <row r="778" spans="1:107" ht="12.75" customHeight="1">
      <c r="A778" s="11"/>
      <c r="B778" s="11"/>
      <c r="C778" s="11"/>
      <c r="D778" s="11"/>
      <c r="E778" s="11"/>
      <c r="F778" s="11"/>
      <c r="G778" s="11"/>
      <c r="H778" s="15"/>
      <c r="I778" s="38"/>
      <c r="J778" s="38"/>
      <c r="K778" s="38"/>
      <c r="L778" s="41"/>
      <c r="M778" s="43"/>
      <c r="N778" s="11"/>
      <c r="O778" s="48"/>
      <c r="P778" s="48"/>
      <c r="Q778" s="48"/>
      <c r="R778" s="38"/>
      <c r="S778" s="38"/>
      <c r="T778" s="52"/>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83"/>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c r="CF778" s="11"/>
      <c r="CG778" s="11"/>
      <c r="CH778" s="11"/>
      <c r="CI778" s="11"/>
      <c r="CJ778" s="183"/>
      <c r="CK778" s="11"/>
      <c r="CL778" s="11"/>
      <c r="CM778" s="11"/>
      <c r="CN778" s="11"/>
      <c r="CO778" s="11"/>
      <c r="CP778" s="11"/>
      <c r="CQ778" s="11"/>
      <c r="CR778" s="11"/>
      <c r="CS778" s="11"/>
      <c r="CT778" s="11"/>
      <c r="CU778" s="11"/>
      <c r="CV778" s="11"/>
      <c r="CW778" s="11"/>
      <c r="CX778" s="11"/>
      <c r="CY778" s="11"/>
      <c r="CZ778" s="11"/>
      <c r="DA778" s="11"/>
      <c r="DB778" s="11"/>
      <c r="DC778" s="11"/>
    </row>
    <row r="779" spans="1:107" ht="12.75" customHeight="1">
      <c r="A779" s="11"/>
      <c r="B779" s="11"/>
      <c r="C779" s="11"/>
      <c r="D779" s="11"/>
      <c r="E779" s="11"/>
      <c r="F779" s="11"/>
      <c r="G779" s="11"/>
      <c r="H779" s="15"/>
      <c r="I779" s="38"/>
      <c r="J779" s="38"/>
      <c r="K779" s="38"/>
      <c r="L779" s="41"/>
      <c r="M779" s="43"/>
      <c r="N779" s="11"/>
      <c r="O779" s="48"/>
      <c r="P779" s="48"/>
      <c r="Q779" s="48"/>
      <c r="R779" s="38"/>
      <c r="S779" s="38"/>
      <c r="T779" s="52"/>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83"/>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c r="CF779" s="11"/>
      <c r="CG779" s="11"/>
      <c r="CH779" s="11"/>
      <c r="CI779" s="11"/>
      <c r="CJ779" s="183"/>
      <c r="CK779" s="11"/>
      <c r="CL779" s="11"/>
      <c r="CM779" s="11"/>
      <c r="CN779" s="11"/>
      <c r="CO779" s="11"/>
      <c r="CP779" s="11"/>
      <c r="CQ779" s="11"/>
      <c r="CR779" s="11"/>
      <c r="CS779" s="11"/>
      <c r="CT779" s="11"/>
      <c r="CU779" s="11"/>
      <c r="CV779" s="11"/>
      <c r="CW779" s="11"/>
      <c r="CX779" s="11"/>
      <c r="CY779" s="11"/>
      <c r="CZ779" s="11"/>
      <c r="DA779" s="11"/>
      <c r="DB779" s="11"/>
      <c r="DC779" s="11"/>
    </row>
    <row r="780" spans="1:107" ht="12.75" customHeight="1">
      <c r="A780" s="11"/>
      <c r="B780" s="11"/>
      <c r="C780" s="11"/>
      <c r="D780" s="11"/>
      <c r="E780" s="11"/>
      <c r="F780" s="11"/>
      <c r="G780" s="11"/>
      <c r="H780" s="15"/>
      <c r="I780" s="38"/>
      <c r="J780" s="38"/>
      <c r="K780" s="38"/>
      <c r="L780" s="41"/>
      <c r="M780" s="43"/>
      <c r="N780" s="11"/>
      <c r="O780" s="48"/>
      <c r="P780" s="48"/>
      <c r="Q780" s="48"/>
      <c r="R780" s="38"/>
      <c r="S780" s="38"/>
      <c r="T780" s="52"/>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83"/>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c r="CD780" s="11"/>
      <c r="CE780" s="11"/>
      <c r="CF780" s="11"/>
      <c r="CG780" s="11"/>
      <c r="CH780" s="11"/>
      <c r="CI780" s="11"/>
      <c r="CJ780" s="183"/>
      <c r="CK780" s="11"/>
      <c r="CL780" s="11"/>
      <c r="CM780" s="11"/>
      <c r="CN780" s="11"/>
      <c r="CO780" s="11"/>
      <c r="CP780" s="11"/>
      <c r="CQ780" s="11"/>
      <c r="CR780" s="11"/>
      <c r="CS780" s="11"/>
      <c r="CT780" s="11"/>
      <c r="CU780" s="11"/>
      <c r="CV780" s="11"/>
      <c r="CW780" s="11"/>
      <c r="CX780" s="11"/>
      <c r="CY780" s="11"/>
      <c r="CZ780" s="11"/>
      <c r="DA780" s="11"/>
      <c r="DB780" s="11"/>
      <c r="DC780" s="11"/>
    </row>
    <row r="781" spans="1:107" ht="12.75" customHeight="1">
      <c r="A781" s="11"/>
      <c r="B781" s="11"/>
      <c r="C781" s="11"/>
      <c r="D781" s="11"/>
      <c r="E781" s="11"/>
      <c r="F781" s="11"/>
      <c r="G781" s="11"/>
      <c r="H781" s="15"/>
      <c r="I781" s="38"/>
      <c r="J781" s="38"/>
      <c r="K781" s="38"/>
      <c r="L781" s="41"/>
      <c r="M781" s="43"/>
      <c r="N781" s="11"/>
      <c r="O781" s="48"/>
      <c r="P781" s="48"/>
      <c r="Q781" s="48"/>
      <c r="R781" s="38"/>
      <c r="S781" s="38"/>
      <c r="T781" s="52"/>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83"/>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83"/>
      <c r="CK781" s="11"/>
      <c r="CL781" s="11"/>
      <c r="CM781" s="11"/>
      <c r="CN781" s="11"/>
      <c r="CO781" s="11"/>
      <c r="CP781" s="11"/>
      <c r="CQ781" s="11"/>
      <c r="CR781" s="11"/>
      <c r="CS781" s="11"/>
      <c r="CT781" s="11"/>
      <c r="CU781" s="11"/>
      <c r="CV781" s="11"/>
      <c r="CW781" s="11"/>
      <c r="CX781" s="11"/>
      <c r="CY781" s="11"/>
      <c r="CZ781" s="11"/>
      <c r="DA781" s="11"/>
      <c r="DB781" s="11"/>
      <c r="DC781" s="11"/>
    </row>
    <row r="782" spans="1:107" ht="12.75" customHeight="1">
      <c r="A782" s="11"/>
      <c r="B782" s="11"/>
      <c r="C782" s="11"/>
      <c r="D782" s="11"/>
      <c r="E782" s="11"/>
      <c r="F782" s="11"/>
      <c r="G782" s="11"/>
      <c r="H782" s="15"/>
      <c r="I782" s="38"/>
      <c r="J782" s="38"/>
      <c r="K782" s="38"/>
      <c r="L782" s="41"/>
      <c r="M782" s="43"/>
      <c r="N782" s="11"/>
      <c r="O782" s="48"/>
      <c r="P782" s="48"/>
      <c r="Q782" s="48"/>
      <c r="R782" s="38"/>
      <c r="S782" s="38"/>
      <c r="T782" s="52"/>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83"/>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83"/>
      <c r="CK782" s="11"/>
      <c r="CL782" s="11"/>
      <c r="CM782" s="11"/>
      <c r="CN782" s="11"/>
      <c r="CO782" s="11"/>
      <c r="CP782" s="11"/>
      <c r="CQ782" s="11"/>
      <c r="CR782" s="11"/>
      <c r="CS782" s="11"/>
      <c r="CT782" s="11"/>
      <c r="CU782" s="11"/>
      <c r="CV782" s="11"/>
      <c r="CW782" s="11"/>
      <c r="CX782" s="11"/>
      <c r="CY782" s="11"/>
      <c r="CZ782" s="11"/>
      <c r="DA782" s="11"/>
      <c r="DB782" s="11"/>
      <c r="DC782" s="11"/>
    </row>
    <row r="783" spans="1:107" ht="12.75" customHeight="1">
      <c r="A783" s="11"/>
      <c r="B783" s="11"/>
      <c r="C783" s="11"/>
      <c r="D783" s="11"/>
      <c r="E783" s="11"/>
      <c r="F783" s="11"/>
      <c r="G783" s="11"/>
      <c r="H783" s="15"/>
      <c r="I783" s="38"/>
      <c r="J783" s="38"/>
      <c r="K783" s="38"/>
      <c r="L783" s="41"/>
      <c r="M783" s="43"/>
      <c r="N783" s="11"/>
      <c r="O783" s="48"/>
      <c r="P783" s="48"/>
      <c r="Q783" s="48"/>
      <c r="R783" s="38"/>
      <c r="S783" s="38"/>
      <c r="T783" s="52"/>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83"/>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83"/>
      <c r="CK783" s="11"/>
      <c r="CL783" s="11"/>
      <c r="CM783" s="11"/>
      <c r="CN783" s="11"/>
      <c r="CO783" s="11"/>
      <c r="CP783" s="11"/>
      <c r="CQ783" s="11"/>
      <c r="CR783" s="11"/>
      <c r="CS783" s="11"/>
      <c r="CT783" s="11"/>
      <c r="CU783" s="11"/>
      <c r="CV783" s="11"/>
      <c r="CW783" s="11"/>
      <c r="CX783" s="11"/>
      <c r="CY783" s="11"/>
      <c r="CZ783" s="11"/>
      <c r="DA783" s="11"/>
      <c r="DB783" s="11"/>
      <c r="DC783" s="11"/>
    </row>
    <row r="784" spans="1:107" ht="12.75" customHeight="1">
      <c r="A784" s="11"/>
      <c r="B784" s="11"/>
      <c r="C784" s="11"/>
      <c r="D784" s="11"/>
      <c r="E784" s="11"/>
      <c r="F784" s="11"/>
      <c r="G784" s="11"/>
      <c r="H784" s="15"/>
      <c r="I784" s="38"/>
      <c r="J784" s="38"/>
      <c r="K784" s="38"/>
      <c r="L784" s="41"/>
      <c r="M784" s="43"/>
      <c r="N784" s="11"/>
      <c r="O784" s="48"/>
      <c r="P784" s="48"/>
      <c r="Q784" s="48"/>
      <c r="R784" s="38"/>
      <c r="S784" s="38"/>
      <c r="T784" s="52"/>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83"/>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83"/>
      <c r="CK784" s="11"/>
      <c r="CL784" s="11"/>
      <c r="CM784" s="11"/>
      <c r="CN784" s="11"/>
      <c r="CO784" s="11"/>
      <c r="CP784" s="11"/>
      <c r="CQ784" s="11"/>
      <c r="CR784" s="11"/>
      <c r="CS784" s="11"/>
      <c r="CT784" s="11"/>
      <c r="CU784" s="11"/>
      <c r="CV784" s="11"/>
      <c r="CW784" s="11"/>
      <c r="CX784" s="11"/>
      <c r="CY784" s="11"/>
      <c r="CZ784" s="11"/>
      <c r="DA784" s="11"/>
      <c r="DB784" s="11"/>
      <c r="DC784" s="11"/>
    </row>
    <row r="785" spans="1:107" ht="12.75" customHeight="1">
      <c r="A785" s="11"/>
      <c r="B785" s="11"/>
      <c r="C785" s="11"/>
      <c r="D785" s="11"/>
      <c r="E785" s="11"/>
      <c r="F785" s="11"/>
      <c r="G785" s="11"/>
      <c r="H785" s="15"/>
      <c r="I785" s="38"/>
      <c r="J785" s="38"/>
      <c r="K785" s="38"/>
      <c r="L785" s="41"/>
      <c r="M785" s="43"/>
      <c r="N785" s="11"/>
      <c r="O785" s="48"/>
      <c r="P785" s="48"/>
      <c r="Q785" s="48"/>
      <c r="R785" s="38"/>
      <c r="S785" s="38"/>
      <c r="T785" s="52"/>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83"/>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83"/>
      <c r="CK785" s="11"/>
      <c r="CL785" s="11"/>
      <c r="CM785" s="11"/>
      <c r="CN785" s="11"/>
      <c r="CO785" s="11"/>
      <c r="CP785" s="11"/>
      <c r="CQ785" s="11"/>
      <c r="CR785" s="11"/>
      <c r="CS785" s="11"/>
      <c r="CT785" s="11"/>
      <c r="CU785" s="11"/>
      <c r="CV785" s="11"/>
      <c r="CW785" s="11"/>
      <c r="CX785" s="11"/>
      <c r="CY785" s="11"/>
      <c r="CZ785" s="11"/>
      <c r="DA785" s="11"/>
      <c r="DB785" s="11"/>
      <c r="DC785" s="11"/>
    </row>
    <row r="786" spans="1:107" ht="12.75" customHeight="1">
      <c r="A786" s="11"/>
      <c r="B786" s="11"/>
      <c r="C786" s="11"/>
      <c r="D786" s="11"/>
      <c r="E786" s="11"/>
      <c r="F786" s="11"/>
      <c r="G786" s="11"/>
      <c r="H786" s="15"/>
      <c r="I786" s="38"/>
      <c r="J786" s="38"/>
      <c r="K786" s="38"/>
      <c r="L786" s="41"/>
      <c r="M786" s="43"/>
      <c r="N786" s="11"/>
      <c r="O786" s="48"/>
      <c r="P786" s="48"/>
      <c r="Q786" s="48"/>
      <c r="R786" s="38"/>
      <c r="S786" s="38"/>
      <c r="T786" s="52"/>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83"/>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83"/>
      <c r="CK786" s="11"/>
      <c r="CL786" s="11"/>
      <c r="CM786" s="11"/>
      <c r="CN786" s="11"/>
      <c r="CO786" s="11"/>
      <c r="CP786" s="11"/>
      <c r="CQ786" s="11"/>
      <c r="CR786" s="11"/>
      <c r="CS786" s="11"/>
      <c r="CT786" s="11"/>
      <c r="CU786" s="11"/>
      <c r="CV786" s="11"/>
      <c r="CW786" s="11"/>
      <c r="CX786" s="11"/>
      <c r="CY786" s="11"/>
      <c r="CZ786" s="11"/>
      <c r="DA786" s="11"/>
      <c r="DB786" s="11"/>
      <c r="DC786" s="11"/>
    </row>
    <row r="787" spans="1:107" ht="12.75" customHeight="1">
      <c r="A787" s="11"/>
      <c r="B787" s="11"/>
      <c r="C787" s="11"/>
      <c r="D787" s="11"/>
      <c r="E787" s="11"/>
      <c r="F787" s="11"/>
      <c r="G787" s="11"/>
      <c r="H787" s="15"/>
      <c r="I787" s="38"/>
      <c r="J787" s="38"/>
      <c r="K787" s="38"/>
      <c r="L787" s="41"/>
      <c r="M787" s="43"/>
      <c r="N787" s="11"/>
      <c r="O787" s="48"/>
      <c r="P787" s="48"/>
      <c r="Q787" s="48"/>
      <c r="R787" s="38"/>
      <c r="S787" s="38"/>
      <c r="T787" s="52"/>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83"/>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83"/>
      <c r="CK787" s="11"/>
      <c r="CL787" s="11"/>
      <c r="CM787" s="11"/>
      <c r="CN787" s="11"/>
      <c r="CO787" s="11"/>
      <c r="CP787" s="11"/>
      <c r="CQ787" s="11"/>
      <c r="CR787" s="11"/>
      <c r="CS787" s="11"/>
      <c r="CT787" s="11"/>
      <c r="CU787" s="11"/>
      <c r="CV787" s="11"/>
      <c r="CW787" s="11"/>
      <c r="CX787" s="11"/>
      <c r="CY787" s="11"/>
      <c r="CZ787" s="11"/>
      <c r="DA787" s="11"/>
      <c r="DB787" s="11"/>
      <c r="DC787" s="11"/>
    </row>
    <row r="788" spans="1:107" ht="12.75" customHeight="1">
      <c r="A788" s="11"/>
      <c r="B788" s="11"/>
      <c r="C788" s="11"/>
      <c r="D788" s="11"/>
      <c r="E788" s="11"/>
      <c r="F788" s="11"/>
      <c r="G788" s="11"/>
      <c r="H788" s="15"/>
      <c r="I788" s="38"/>
      <c r="J788" s="38"/>
      <c r="K788" s="38"/>
      <c r="L788" s="41"/>
      <c r="M788" s="43"/>
      <c r="N788" s="11"/>
      <c r="O788" s="48"/>
      <c r="P788" s="48"/>
      <c r="Q788" s="48"/>
      <c r="R788" s="38"/>
      <c r="S788" s="38"/>
      <c r="T788" s="52"/>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83"/>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83"/>
      <c r="CK788" s="11"/>
      <c r="CL788" s="11"/>
      <c r="CM788" s="11"/>
      <c r="CN788" s="11"/>
      <c r="CO788" s="11"/>
      <c r="CP788" s="11"/>
      <c r="CQ788" s="11"/>
      <c r="CR788" s="11"/>
      <c r="CS788" s="11"/>
      <c r="CT788" s="11"/>
      <c r="CU788" s="11"/>
      <c r="CV788" s="11"/>
      <c r="CW788" s="11"/>
      <c r="CX788" s="11"/>
      <c r="CY788" s="11"/>
      <c r="CZ788" s="11"/>
      <c r="DA788" s="11"/>
      <c r="DB788" s="11"/>
      <c r="DC788" s="11"/>
    </row>
    <row r="789" spans="1:107" ht="12.75" customHeight="1">
      <c r="A789" s="11"/>
      <c r="B789" s="11"/>
      <c r="C789" s="11"/>
      <c r="D789" s="11"/>
      <c r="E789" s="11"/>
      <c r="F789" s="11"/>
      <c r="G789" s="11"/>
      <c r="H789" s="15"/>
      <c r="I789" s="38"/>
      <c r="J789" s="38"/>
      <c r="K789" s="38"/>
      <c r="L789" s="41"/>
      <c r="M789" s="43"/>
      <c r="N789" s="11"/>
      <c r="O789" s="48"/>
      <c r="P789" s="48"/>
      <c r="Q789" s="48"/>
      <c r="R789" s="38"/>
      <c r="S789" s="38"/>
      <c r="T789" s="52"/>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83"/>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83"/>
      <c r="CK789" s="11"/>
      <c r="CL789" s="11"/>
      <c r="CM789" s="11"/>
      <c r="CN789" s="11"/>
      <c r="CO789" s="11"/>
      <c r="CP789" s="11"/>
      <c r="CQ789" s="11"/>
      <c r="CR789" s="11"/>
      <c r="CS789" s="11"/>
      <c r="CT789" s="11"/>
      <c r="CU789" s="11"/>
      <c r="CV789" s="11"/>
      <c r="CW789" s="11"/>
      <c r="CX789" s="11"/>
      <c r="CY789" s="11"/>
      <c r="CZ789" s="11"/>
      <c r="DA789" s="11"/>
      <c r="DB789" s="11"/>
      <c r="DC789" s="11"/>
    </row>
    <row r="790" spans="1:107" ht="12.75" customHeight="1">
      <c r="A790" s="11"/>
      <c r="B790" s="11"/>
      <c r="C790" s="11"/>
      <c r="D790" s="11"/>
      <c r="E790" s="11"/>
      <c r="F790" s="11"/>
      <c r="G790" s="11"/>
      <c r="H790" s="15"/>
      <c r="I790" s="38"/>
      <c r="J790" s="38"/>
      <c r="K790" s="38"/>
      <c r="L790" s="41"/>
      <c r="M790" s="43"/>
      <c r="N790" s="11"/>
      <c r="O790" s="48"/>
      <c r="P790" s="48"/>
      <c r="Q790" s="48"/>
      <c r="R790" s="38"/>
      <c r="S790" s="38"/>
      <c r="T790" s="52"/>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83"/>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83"/>
      <c r="CK790" s="11"/>
      <c r="CL790" s="11"/>
      <c r="CM790" s="11"/>
      <c r="CN790" s="11"/>
      <c r="CO790" s="11"/>
      <c r="CP790" s="11"/>
      <c r="CQ790" s="11"/>
      <c r="CR790" s="11"/>
      <c r="CS790" s="11"/>
      <c r="CT790" s="11"/>
      <c r="CU790" s="11"/>
      <c r="CV790" s="11"/>
      <c r="CW790" s="11"/>
      <c r="CX790" s="11"/>
      <c r="CY790" s="11"/>
      <c r="CZ790" s="11"/>
      <c r="DA790" s="11"/>
      <c r="DB790" s="11"/>
      <c r="DC790" s="11"/>
    </row>
    <row r="791" spans="1:107" ht="12.75" customHeight="1">
      <c r="A791" s="11"/>
      <c r="B791" s="11"/>
      <c r="C791" s="11"/>
      <c r="D791" s="11"/>
      <c r="E791" s="11"/>
      <c r="F791" s="11"/>
      <c r="G791" s="11"/>
      <c r="H791" s="15"/>
      <c r="I791" s="38"/>
      <c r="J791" s="38"/>
      <c r="K791" s="38"/>
      <c r="L791" s="41"/>
      <c r="M791" s="43"/>
      <c r="N791" s="11"/>
      <c r="O791" s="48"/>
      <c r="P791" s="48"/>
      <c r="Q791" s="48"/>
      <c r="R791" s="38"/>
      <c r="S791" s="38"/>
      <c r="T791" s="52"/>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83"/>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83"/>
      <c r="CK791" s="11"/>
      <c r="CL791" s="11"/>
      <c r="CM791" s="11"/>
      <c r="CN791" s="11"/>
      <c r="CO791" s="11"/>
      <c r="CP791" s="11"/>
      <c r="CQ791" s="11"/>
      <c r="CR791" s="11"/>
      <c r="CS791" s="11"/>
      <c r="CT791" s="11"/>
      <c r="CU791" s="11"/>
      <c r="CV791" s="11"/>
      <c r="CW791" s="11"/>
      <c r="CX791" s="11"/>
      <c r="CY791" s="11"/>
      <c r="CZ791" s="11"/>
      <c r="DA791" s="11"/>
      <c r="DB791" s="11"/>
      <c r="DC791" s="11"/>
    </row>
    <row r="792" spans="1:107" ht="12.75" customHeight="1">
      <c r="A792" s="11"/>
      <c r="B792" s="11"/>
      <c r="C792" s="11"/>
      <c r="D792" s="11"/>
      <c r="E792" s="11"/>
      <c r="F792" s="11"/>
      <c r="G792" s="11"/>
      <c r="H792" s="15"/>
      <c r="I792" s="38"/>
      <c r="J792" s="38"/>
      <c r="K792" s="38"/>
      <c r="L792" s="41"/>
      <c r="M792" s="43"/>
      <c r="N792" s="11"/>
      <c r="O792" s="48"/>
      <c r="P792" s="48"/>
      <c r="Q792" s="48"/>
      <c r="R792" s="38"/>
      <c r="S792" s="38"/>
      <c r="T792" s="52"/>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83"/>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83"/>
      <c r="CK792" s="11"/>
      <c r="CL792" s="11"/>
      <c r="CM792" s="11"/>
      <c r="CN792" s="11"/>
      <c r="CO792" s="11"/>
      <c r="CP792" s="11"/>
      <c r="CQ792" s="11"/>
      <c r="CR792" s="11"/>
      <c r="CS792" s="11"/>
      <c r="CT792" s="11"/>
      <c r="CU792" s="11"/>
      <c r="CV792" s="11"/>
      <c r="CW792" s="11"/>
      <c r="CX792" s="11"/>
      <c r="CY792" s="11"/>
      <c r="CZ792" s="11"/>
      <c r="DA792" s="11"/>
      <c r="DB792" s="11"/>
      <c r="DC792" s="11"/>
    </row>
    <row r="793" spans="1:107" ht="12.75" customHeight="1">
      <c r="A793" s="11"/>
      <c r="B793" s="11"/>
      <c r="C793" s="11"/>
      <c r="D793" s="11"/>
      <c r="E793" s="11"/>
      <c r="F793" s="11"/>
      <c r="G793" s="11"/>
      <c r="H793" s="15"/>
      <c r="I793" s="38"/>
      <c r="J793" s="38"/>
      <c r="K793" s="38"/>
      <c r="L793" s="41"/>
      <c r="M793" s="43"/>
      <c r="N793" s="11"/>
      <c r="O793" s="48"/>
      <c r="P793" s="48"/>
      <c r="Q793" s="48"/>
      <c r="R793" s="38"/>
      <c r="S793" s="38"/>
      <c r="T793" s="52"/>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83"/>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83"/>
      <c r="CK793" s="11"/>
      <c r="CL793" s="11"/>
      <c r="CM793" s="11"/>
      <c r="CN793" s="11"/>
      <c r="CO793" s="11"/>
      <c r="CP793" s="11"/>
      <c r="CQ793" s="11"/>
      <c r="CR793" s="11"/>
      <c r="CS793" s="11"/>
      <c r="CT793" s="11"/>
      <c r="CU793" s="11"/>
      <c r="CV793" s="11"/>
      <c r="CW793" s="11"/>
      <c r="CX793" s="11"/>
      <c r="CY793" s="11"/>
      <c r="CZ793" s="11"/>
      <c r="DA793" s="11"/>
      <c r="DB793" s="11"/>
      <c r="DC793" s="11"/>
    </row>
    <row r="794" spans="1:107" ht="12.75" customHeight="1">
      <c r="A794" s="11"/>
      <c r="B794" s="11"/>
      <c r="C794" s="11"/>
      <c r="D794" s="11"/>
      <c r="E794" s="11"/>
      <c r="F794" s="11"/>
      <c r="G794" s="11"/>
      <c r="H794" s="15"/>
      <c r="I794" s="38"/>
      <c r="J794" s="38"/>
      <c r="K794" s="38"/>
      <c r="L794" s="41"/>
      <c r="M794" s="43"/>
      <c r="N794" s="11"/>
      <c r="O794" s="48"/>
      <c r="P794" s="48"/>
      <c r="Q794" s="48"/>
      <c r="R794" s="38"/>
      <c r="S794" s="38"/>
      <c r="T794" s="52"/>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83"/>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83"/>
      <c r="CK794" s="11"/>
      <c r="CL794" s="11"/>
      <c r="CM794" s="11"/>
      <c r="CN794" s="11"/>
      <c r="CO794" s="11"/>
      <c r="CP794" s="11"/>
      <c r="CQ794" s="11"/>
      <c r="CR794" s="11"/>
      <c r="CS794" s="11"/>
      <c r="CT794" s="11"/>
      <c r="CU794" s="11"/>
      <c r="CV794" s="11"/>
      <c r="CW794" s="11"/>
      <c r="CX794" s="11"/>
      <c r="CY794" s="11"/>
      <c r="CZ794" s="11"/>
      <c r="DA794" s="11"/>
      <c r="DB794" s="11"/>
      <c r="DC794" s="11"/>
    </row>
    <row r="795" spans="1:107" ht="12.75" customHeight="1">
      <c r="A795" s="11"/>
      <c r="B795" s="11"/>
      <c r="C795" s="11"/>
      <c r="D795" s="11"/>
      <c r="E795" s="11"/>
      <c r="F795" s="11"/>
      <c r="G795" s="11"/>
      <c r="H795" s="15"/>
      <c r="I795" s="38"/>
      <c r="J795" s="38"/>
      <c r="K795" s="38"/>
      <c r="L795" s="41"/>
      <c r="M795" s="43"/>
      <c r="N795" s="11"/>
      <c r="O795" s="48"/>
      <c r="P795" s="48"/>
      <c r="Q795" s="48"/>
      <c r="R795" s="38"/>
      <c r="S795" s="38"/>
      <c r="T795" s="52"/>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83"/>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83"/>
      <c r="CK795" s="11"/>
      <c r="CL795" s="11"/>
      <c r="CM795" s="11"/>
      <c r="CN795" s="11"/>
      <c r="CO795" s="11"/>
      <c r="CP795" s="11"/>
      <c r="CQ795" s="11"/>
      <c r="CR795" s="11"/>
      <c r="CS795" s="11"/>
      <c r="CT795" s="11"/>
      <c r="CU795" s="11"/>
      <c r="CV795" s="11"/>
      <c r="CW795" s="11"/>
      <c r="CX795" s="11"/>
      <c r="CY795" s="11"/>
      <c r="CZ795" s="11"/>
      <c r="DA795" s="11"/>
      <c r="DB795" s="11"/>
      <c r="DC795" s="11"/>
    </row>
    <row r="796" spans="1:107" ht="12.75" customHeight="1">
      <c r="A796" s="11"/>
      <c r="B796" s="11"/>
      <c r="C796" s="11"/>
      <c r="D796" s="11"/>
      <c r="E796" s="11"/>
      <c r="F796" s="11"/>
      <c r="G796" s="11"/>
      <c r="H796" s="15"/>
      <c r="I796" s="38"/>
      <c r="J796" s="38"/>
      <c r="K796" s="38"/>
      <c r="L796" s="41"/>
      <c r="M796" s="43"/>
      <c r="N796" s="11"/>
      <c r="O796" s="48"/>
      <c r="P796" s="48"/>
      <c r="Q796" s="48"/>
      <c r="R796" s="38"/>
      <c r="S796" s="38"/>
      <c r="T796" s="52"/>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83"/>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83"/>
      <c r="CK796" s="11"/>
      <c r="CL796" s="11"/>
      <c r="CM796" s="11"/>
      <c r="CN796" s="11"/>
      <c r="CO796" s="11"/>
      <c r="CP796" s="11"/>
      <c r="CQ796" s="11"/>
      <c r="CR796" s="11"/>
      <c r="CS796" s="11"/>
      <c r="CT796" s="11"/>
      <c r="CU796" s="11"/>
      <c r="CV796" s="11"/>
      <c r="CW796" s="11"/>
      <c r="CX796" s="11"/>
      <c r="CY796" s="11"/>
      <c r="CZ796" s="11"/>
      <c r="DA796" s="11"/>
      <c r="DB796" s="11"/>
      <c r="DC796" s="11"/>
    </row>
    <row r="797" spans="1:107" ht="12.75" customHeight="1">
      <c r="A797" s="11"/>
      <c r="B797" s="11"/>
      <c r="C797" s="11"/>
      <c r="D797" s="11"/>
      <c r="E797" s="11"/>
      <c r="F797" s="11"/>
      <c r="G797" s="11"/>
      <c r="H797" s="15"/>
      <c r="I797" s="38"/>
      <c r="J797" s="38"/>
      <c r="K797" s="38"/>
      <c r="L797" s="41"/>
      <c r="M797" s="43"/>
      <c r="N797" s="11"/>
      <c r="O797" s="48"/>
      <c r="P797" s="48"/>
      <c r="Q797" s="48"/>
      <c r="R797" s="38"/>
      <c r="S797" s="38"/>
      <c r="T797" s="52"/>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83"/>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83"/>
      <c r="CK797" s="11"/>
      <c r="CL797" s="11"/>
      <c r="CM797" s="11"/>
      <c r="CN797" s="11"/>
      <c r="CO797" s="11"/>
      <c r="CP797" s="11"/>
      <c r="CQ797" s="11"/>
      <c r="CR797" s="11"/>
      <c r="CS797" s="11"/>
      <c r="CT797" s="11"/>
      <c r="CU797" s="11"/>
      <c r="CV797" s="11"/>
      <c r="CW797" s="11"/>
      <c r="CX797" s="11"/>
      <c r="CY797" s="11"/>
      <c r="CZ797" s="11"/>
      <c r="DA797" s="11"/>
      <c r="DB797" s="11"/>
      <c r="DC797" s="11"/>
    </row>
    <row r="798" spans="1:107" ht="12.75" customHeight="1">
      <c r="A798" s="11"/>
      <c r="B798" s="11"/>
      <c r="C798" s="11"/>
      <c r="D798" s="11"/>
      <c r="E798" s="11"/>
      <c r="F798" s="11"/>
      <c r="G798" s="11"/>
      <c r="H798" s="15"/>
      <c r="I798" s="38"/>
      <c r="J798" s="38"/>
      <c r="K798" s="38"/>
      <c r="L798" s="41"/>
      <c r="M798" s="43"/>
      <c r="N798" s="11"/>
      <c r="O798" s="48"/>
      <c r="P798" s="48"/>
      <c r="Q798" s="48"/>
      <c r="R798" s="38"/>
      <c r="S798" s="38"/>
      <c r="T798" s="52"/>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83"/>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83"/>
      <c r="CK798" s="11"/>
      <c r="CL798" s="11"/>
      <c r="CM798" s="11"/>
      <c r="CN798" s="11"/>
      <c r="CO798" s="11"/>
      <c r="CP798" s="11"/>
      <c r="CQ798" s="11"/>
      <c r="CR798" s="11"/>
      <c r="CS798" s="11"/>
      <c r="CT798" s="11"/>
      <c r="CU798" s="11"/>
      <c r="CV798" s="11"/>
      <c r="CW798" s="11"/>
      <c r="CX798" s="11"/>
      <c r="CY798" s="11"/>
      <c r="CZ798" s="11"/>
      <c r="DA798" s="11"/>
      <c r="DB798" s="11"/>
      <c r="DC798" s="11"/>
    </row>
    <row r="799" spans="1:107" ht="12.75" customHeight="1">
      <c r="A799" s="11"/>
      <c r="B799" s="11"/>
      <c r="C799" s="11"/>
      <c r="D799" s="11"/>
      <c r="E799" s="11"/>
      <c r="F799" s="11"/>
      <c r="G799" s="11"/>
      <c r="H799" s="15"/>
      <c r="I799" s="38"/>
      <c r="J799" s="38"/>
      <c r="K799" s="38"/>
      <c r="L799" s="41"/>
      <c r="M799" s="43"/>
      <c r="N799" s="11"/>
      <c r="O799" s="48"/>
      <c r="P799" s="48"/>
      <c r="Q799" s="48"/>
      <c r="R799" s="38"/>
      <c r="S799" s="38"/>
      <c r="T799" s="52"/>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83"/>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83"/>
      <c r="CK799" s="11"/>
      <c r="CL799" s="11"/>
      <c r="CM799" s="11"/>
      <c r="CN799" s="11"/>
      <c r="CO799" s="11"/>
      <c r="CP799" s="11"/>
      <c r="CQ799" s="11"/>
      <c r="CR799" s="11"/>
      <c r="CS799" s="11"/>
      <c r="CT799" s="11"/>
      <c r="CU799" s="11"/>
      <c r="CV799" s="11"/>
      <c r="CW799" s="11"/>
      <c r="CX799" s="11"/>
      <c r="CY799" s="11"/>
      <c r="CZ799" s="11"/>
      <c r="DA799" s="11"/>
      <c r="DB799" s="11"/>
      <c r="DC799" s="11"/>
    </row>
    <row r="800" spans="1:107" ht="12.75" customHeight="1">
      <c r="A800" s="11"/>
      <c r="B800" s="11"/>
      <c r="C800" s="11"/>
      <c r="D800" s="11"/>
      <c r="E800" s="11"/>
      <c r="F800" s="11"/>
      <c r="G800" s="11"/>
      <c r="H800" s="15"/>
      <c r="I800" s="38"/>
      <c r="J800" s="38"/>
      <c r="K800" s="38"/>
      <c r="L800" s="41"/>
      <c r="M800" s="43"/>
      <c r="N800" s="11"/>
      <c r="O800" s="48"/>
      <c r="P800" s="48"/>
      <c r="Q800" s="48"/>
      <c r="R800" s="38"/>
      <c r="S800" s="38"/>
      <c r="T800" s="52"/>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83"/>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83"/>
      <c r="CK800" s="11"/>
      <c r="CL800" s="11"/>
      <c r="CM800" s="11"/>
      <c r="CN800" s="11"/>
      <c r="CO800" s="11"/>
      <c r="CP800" s="11"/>
      <c r="CQ800" s="11"/>
      <c r="CR800" s="11"/>
      <c r="CS800" s="11"/>
      <c r="CT800" s="11"/>
      <c r="CU800" s="11"/>
      <c r="CV800" s="11"/>
      <c r="CW800" s="11"/>
      <c r="CX800" s="11"/>
      <c r="CY800" s="11"/>
      <c r="CZ800" s="11"/>
      <c r="DA800" s="11"/>
      <c r="DB800" s="11"/>
      <c r="DC800" s="11"/>
    </row>
    <row r="801" spans="1:107" ht="12.75" customHeight="1">
      <c r="A801" s="11"/>
      <c r="B801" s="11"/>
      <c r="C801" s="11"/>
      <c r="D801" s="11"/>
      <c r="E801" s="11"/>
      <c r="F801" s="11"/>
      <c r="G801" s="11"/>
      <c r="H801" s="15"/>
      <c r="I801" s="38"/>
      <c r="J801" s="38"/>
      <c r="K801" s="38"/>
      <c r="L801" s="41"/>
      <c r="M801" s="43"/>
      <c r="N801" s="11"/>
      <c r="O801" s="48"/>
      <c r="P801" s="48"/>
      <c r="Q801" s="48"/>
      <c r="R801" s="38"/>
      <c r="S801" s="38"/>
      <c r="T801" s="52"/>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83"/>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83"/>
      <c r="CK801" s="11"/>
      <c r="CL801" s="11"/>
      <c r="CM801" s="11"/>
      <c r="CN801" s="11"/>
      <c r="CO801" s="11"/>
      <c r="CP801" s="11"/>
      <c r="CQ801" s="11"/>
      <c r="CR801" s="11"/>
      <c r="CS801" s="11"/>
      <c r="CT801" s="11"/>
      <c r="CU801" s="11"/>
      <c r="CV801" s="11"/>
      <c r="CW801" s="11"/>
      <c r="CX801" s="11"/>
      <c r="CY801" s="11"/>
      <c r="CZ801" s="11"/>
      <c r="DA801" s="11"/>
      <c r="DB801" s="11"/>
      <c r="DC801" s="11"/>
    </row>
    <row r="802" spans="1:107" ht="12.75" customHeight="1">
      <c r="A802" s="11"/>
      <c r="B802" s="11"/>
      <c r="C802" s="11"/>
      <c r="D802" s="11"/>
      <c r="E802" s="11"/>
      <c r="F802" s="11"/>
      <c r="G802" s="11"/>
      <c r="H802" s="15"/>
      <c r="I802" s="38"/>
      <c r="J802" s="38"/>
      <c r="K802" s="38"/>
      <c r="L802" s="41"/>
      <c r="M802" s="43"/>
      <c r="N802" s="11"/>
      <c r="O802" s="48"/>
      <c r="P802" s="48"/>
      <c r="Q802" s="48"/>
      <c r="R802" s="38"/>
      <c r="S802" s="38"/>
      <c r="T802" s="52"/>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83"/>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83"/>
      <c r="CK802" s="11"/>
      <c r="CL802" s="11"/>
      <c r="CM802" s="11"/>
      <c r="CN802" s="11"/>
      <c r="CO802" s="11"/>
      <c r="CP802" s="11"/>
      <c r="CQ802" s="11"/>
      <c r="CR802" s="11"/>
      <c r="CS802" s="11"/>
      <c r="CT802" s="11"/>
      <c r="CU802" s="11"/>
      <c r="CV802" s="11"/>
      <c r="CW802" s="11"/>
      <c r="CX802" s="11"/>
      <c r="CY802" s="11"/>
      <c r="CZ802" s="11"/>
      <c r="DA802" s="11"/>
      <c r="DB802" s="11"/>
      <c r="DC802" s="11"/>
    </row>
    <row r="803" spans="1:107" ht="12.75" customHeight="1">
      <c r="A803" s="11"/>
      <c r="B803" s="11"/>
      <c r="C803" s="11"/>
      <c r="D803" s="11"/>
      <c r="E803" s="11"/>
      <c r="F803" s="11"/>
      <c r="G803" s="11"/>
      <c r="H803" s="15"/>
      <c r="I803" s="38"/>
      <c r="J803" s="38"/>
      <c r="K803" s="38"/>
      <c r="L803" s="41"/>
      <c r="M803" s="43"/>
      <c r="N803" s="11"/>
      <c r="O803" s="48"/>
      <c r="P803" s="48"/>
      <c r="Q803" s="48"/>
      <c r="R803" s="38"/>
      <c r="S803" s="38"/>
      <c r="T803" s="52"/>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83"/>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83"/>
      <c r="CK803" s="11"/>
      <c r="CL803" s="11"/>
      <c r="CM803" s="11"/>
      <c r="CN803" s="11"/>
      <c r="CO803" s="11"/>
      <c r="CP803" s="11"/>
      <c r="CQ803" s="11"/>
      <c r="CR803" s="11"/>
      <c r="CS803" s="11"/>
      <c r="CT803" s="11"/>
      <c r="CU803" s="11"/>
      <c r="CV803" s="11"/>
      <c r="CW803" s="11"/>
      <c r="CX803" s="11"/>
      <c r="CY803" s="11"/>
      <c r="CZ803" s="11"/>
      <c r="DA803" s="11"/>
      <c r="DB803" s="11"/>
      <c r="DC803" s="11"/>
    </row>
    <row r="804" spans="1:107" ht="12.75" customHeight="1">
      <c r="A804" s="11"/>
      <c r="B804" s="11"/>
      <c r="C804" s="11"/>
      <c r="D804" s="11"/>
      <c r="E804" s="11"/>
      <c r="F804" s="11"/>
      <c r="G804" s="11"/>
      <c r="H804" s="15"/>
      <c r="I804" s="38"/>
      <c r="J804" s="38"/>
      <c r="K804" s="38"/>
      <c r="L804" s="41"/>
      <c r="M804" s="43"/>
      <c r="N804" s="11"/>
      <c r="O804" s="48"/>
      <c r="P804" s="48"/>
      <c r="Q804" s="48"/>
      <c r="R804" s="38"/>
      <c r="S804" s="38"/>
      <c r="T804" s="52"/>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83"/>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83"/>
      <c r="CK804" s="11"/>
      <c r="CL804" s="11"/>
      <c r="CM804" s="11"/>
      <c r="CN804" s="11"/>
      <c r="CO804" s="11"/>
      <c r="CP804" s="11"/>
      <c r="CQ804" s="11"/>
      <c r="CR804" s="11"/>
      <c r="CS804" s="11"/>
      <c r="CT804" s="11"/>
      <c r="CU804" s="11"/>
      <c r="CV804" s="11"/>
      <c r="CW804" s="11"/>
      <c r="CX804" s="11"/>
      <c r="CY804" s="11"/>
      <c r="CZ804" s="11"/>
      <c r="DA804" s="11"/>
      <c r="DB804" s="11"/>
      <c r="DC804" s="11"/>
    </row>
    <row r="805" spans="1:107" ht="12.75" customHeight="1">
      <c r="A805" s="11"/>
      <c r="B805" s="11"/>
      <c r="C805" s="11"/>
      <c r="D805" s="11"/>
      <c r="E805" s="11"/>
      <c r="F805" s="11"/>
      <c r="G805" s="11"/>
      <c r="H805" s="15"/>
      <c r="I805" s="38"/>
      <c r="J805" s="38"/>
      <c r="K805" s="38"/>
      <c r="L805" s="41"/>
      <c r="M805" s="43"/>
      <c r="N805" s="11"/>
      <c r="O805" s="48"/>
      <c r="P805" s="48"/>
      <c r="Q805" s="48"/>
      <c r="R805" s="38"/>
      <c r="S805" s="38"/>
      <c r="T805" s="52"/>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83"/>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83"/>
      <c r="CK805" s="11"/>
      <c r="CL805" s="11"/>
      <c r="CM805" s="11"/>
      <c r="CN805" s="11"/>
      <c r="CO805" s="11"/>
      <c r="CP805" s="11"/>
      <c r="CQ805" s="11"/>
      <c r="CR805" s="11"/>
      <c r="CS805" s="11"/>
      <c r="CT805" s="11"/>
      <c r="CU805" s="11"/>
      <c r="CV805" s="11"/>
      <c r="CW805" s="11"/>
      <c r="CX805" s="11"/>
      <c r="CY805" s="11"/>
      <c r="CZ805" s="11"/>
      <c r="DA805" s="11"/>
      <c r="DB805" s="11"/>
      <c r="DC805" s="11"/>
    </row>
    <row r="806" spans="1:107" ht="12.75" customHeight="1">
      <c r="A806" s="11"/>
      <c r="B806" s="11"/>
      <c r="C806" s="11"/>
      <c r="D806" s="11"/>
      <c r="E806" s="11"/>
      <c r="F806" s="11"/>
      <c r="G806" s="11"/>
      <c r="H806" s="15"/>
      <c r="I806" s="38"/>
      <c r="J806" s="38"/>
      <c r="K806" s="38"/>
      <c r="L806" s="41"/>
      <c r="M806" s="43"/>
      <c r="N806" s="11"/>
      <c r="O806" s="48"/>
      <c r="P806" s="48"/>
      <c r="Q806" s="48"/>
      <c r="R806" s="38"/>
      <c r="S806" s="38"/>
      <c r="T806" s="52"/>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83"/>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83"/>
      <c r="CK806" s="11"/>
      <c r="CL806" s="11"/>
      <c r="CM806" s="11"/>
      <c r="CN806" s="11"/>
      <c r="CO806" s="11"/>
      <c r="CP806" s="11"/>
      <c r="CQ806" s="11"/>
      <c r="CR806" s="11"/>
      <c r="CS806" s="11"/>
      <c r="CT806" s="11"/>
      <c r="CU806" s="11"/>
      <c r="CV806" s="11"/>
      <c r="CW806" s="11"/>
      <c r="CX806" s="11"/>
      <c r="CY806" s="11"/>
      <c r="CZ806" s="11"/>
      <c r="DA806" s="11"/>
      <c r="DB806" s="11"/>
      <c r="DC806" s="11"/>
    </row>
    <row r="807" spans="1:107" ht="12.75" customHeight="1">
      <c r="A807" s="11"/>
      <c r="B807" s="11"/>
      <c r="C807" s="11"/>
      <c r="D807" s="11"/>
      <c r="E807" s="11"/>
      <c r="F807" s="11"/>
      <c r="G807" s="11"/>
      <c r="H807" s="15"/>
      <c r="I807" s="38"/>
      <c r="J807" s="38"/>
      <c r="K807" s="38"/>
      <c r="L807" s="41"/>
      <c r="M807" s="43"/>
      <c r="N807" s="11"/>
      <c r="O807" s="48"/>
      <c r="P807" s="48"/>
      <c r="Q807" s="48"/>
      <c r="R807" s="38"/>
      <c r="S807" s="38"/>
      <c r="T807" s="52"/>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83"/>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83"/>
      <c r="CK807" s="11"/>
      <c r="CL807" s="11"/>
      <c r="CM807" s="11"/>
      <c r="CN807" s="11"/>
      <c r="CO807" s="11"/>
      <c r="CP807" s="11"/>
      <c r="CQ807" s="11"/>
      <c r="CR807" s="11"/>
      <c r="CS807" s="11"/>
      <c r="CT807" s="11"/>
      <c r="CU807" s="11"/>
      <c r="CV807" s="11"/>
      <c r="CW807" s="11"/>
      <c r="CX807" s="11"/>
      <c r="CY807" s="11"/>
      <c r="CZ807" s="11"/>
      <c r="DA807" s="11"/>
      <c r="DB807" s="11"/>
      <c r="DC807" s="11"/>
    </row>
    <row r="808" spans="1:107" ht="12.75" customHeight="1">
      <c r="A808" s="11"/>
      <c r="B808" s="11"/>
      <c r="C808" s="11"/>
      <c r="D808" s="11"/>
      <c r="E808" s="11"/>
      <c r="F808" s="11"/>
      <c r="G808" s="11"/>
      <c r="H808" s="15"/>
      <c r="I808" s="38"/>
      <c r="J808" s="38"/>
      <c r="K808" s="38"/>
      <c r="L808" s="41"/>
      <c r="M808" s="43"/>
      <c r="N808" s="11"/>
      <c r="O808" s="48"/>
      <c r="P808" s="48"/>
      <c r="Q808" s="48"/>
      <c r="R808" s="38"/>
      <c r="S808" s="38"/>
      <c r="T808" s="52"/>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83"/>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83"/>
      <c r="CK808" s="11"/>
      <c r="CL808" s="11"/>
      <c r="CM808" s="11"/>
      <c r="CN808" s="11"/>
      <c r="CO808" s="11"/>
      <c r="CP808" s="11"/>
      <c r="CQ808" s="11"/>
      <c r="CR808" s="11"/>
      <c r="CS808" s="11"/>
      <c r="CT808" s="11"/>
      <c r="CU808" s="11"/>
      <c r="CV808" s="11"/>
      <c r="CW808" s="11"/>
      <c r="CX808" s="11"/>
      <c r="CY808" s="11"/>
      <c r="CZ808" s="11"/>
      <c r="DA808" s="11"/>
      <c r="DB808" s="11"/>
      <c r="DC808" s="11"/>
    </row>
    <row r="809" spans="1:107" ht="12.75" customHeight="1">
      <c r="A809" s="11"/>
      <c r="B809" s="11"/>
      <c r="C809" s="11"/>
      <c r="D809" s="11"/>
      <c r="E809" s="11"/>
      <c r="F809" s="11"/>
      <c r="G809" s="11"/>
      <c r="H809" s="15"/>
      <c r="I809" s="38"/>
      <c r="J809" s="38"/>
      <c r="K809" s="38"/>
      <c r="L809" s="41"/>
      <c r="M809" s="43"/>
      <c r="N809" s="11"/>
      <c r="O809" s="48"/>
      <c r="P809" s="48"/>
      <c r="Q809" s="48"/>
      <c r="R809" s="38"/>
      <c r="S809" s="38"/>
      <c r="T809" s="52"/>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83"/>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83"/>
      <c r="CK809" s="11"/>
      <c r="CL809" s="11"/>
      <c r="CM809" s="11"/>
      <c r="CN809" s="11"/>
      <c r="CO809" s="11"/>
      <c r="CP809" s="11"/>
      <c r="CQ809" s="11"/>
      <c r="CR809" s="11"/>
      <c r="CS809" s="11"/>
      <c r="CT809" s="11"/>
      <c r="CU809" s="11"/>
      <c r="CV809" s="11"/>
      <c r="CW809" s="11"/>
      <c r="CX809" s="11"/>
      <c r="CY809" s="11"/>
      <c r="CZ809" s="11"/>
      <c r="DA809" s="11"/>
      <c r="DB809" s="11"/>
      <c r="DC809" s="11"/>
    </row>
    <row r="810" spans="1:107" ht="12.75" customHeight="1">
      <c r="A810" s="11"/>
      <c r="B810" s="11"/>
      <c r="C810" s="11"/>
      <c r="D810" s="11"/>
      <c r="E810" s="11"/>
      <c r="F810" s="11"/>
      <c r="G810" s="11"/>
      <c r="H810" s="15"/>
      <c r="I810" s="38"/>
      <c r="J810" s="38"/>
      <c r="K810" s="38"/>
      <c r="L810" s="41"/>
      <c r="M810" s="43"/>
      <c r="N810" s="11"/>
      <c r="O810" s="48"/>
      <c r="P810" s="48"/>
      <c r="Q810" s="48"/>
      <c r="R810" s="38"/>
      <c r="S810" s="38"/>
      <c r="T810" s="52"/>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83"/>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83"/>
      <c r="CK810" s="11"/>
      <c r="CL810" s="11"/>
      <c r="CM810" s="11"/>
      <c r="CN810" s="11"/>
      <c r="CO810" s="11"/>
      <c r="CP810" s="11"/>
      <c r="CQ810" s="11"/>
      <c r="CR810" s="11"/>
      <c r="CS810" s="11"/>
      <c r="CT810" s="11"/>
      <c r="CU810" s="11"/>
      <c r="CV810" s="11"/>
      <c r="CW810" s="11"/>
      <c r="CX810" s="11"/>
      <c r="CY810" s="11"/>
      <c r="CZ810" s="11"/>
      <c r="DA810" s="11"/>
      <c r="DB810" s="11"/>
      <c r="DC810" s="11"/>
    </row>
    <row r="811" spans="1:107" ht="12.75" customHeight="1">
      <c r="A811" s="11"/>
      <c r="B811" s="11"/>
      <c r="C811" s="11"/>
      <c r="D811" s="11"/>
      <c r="E811" s="11"/>
      <c r="F811" s="11"/>
      <c r="G811" s="11"/>
      <c r="H811" s="15"/>
      <c r="I811" s="38"/>
      <c r="J811" s="38"/>
      <c r="K811" s="38"/>
      <c r="L811" s="41"/>
      <c r="M811" s="43"/>
      <c r="N811" s="11"/>
      <c r="O811" s="48"/>
      <c r="P811" s="48"/>
      <c r="Q811" s="48"/>
      <c r="R811" s="38"/>
      <c r="S811" s="38"/>
      <c r="T811" s="52"/>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83"/>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83"/>
      <c r="CK811" s="11"/>
      <c r="CL811" s="11"/>
      <c r="CM811" s="11"/>
      <c r="CN811" s="11"/>
      <c r="CO811" s="11"/>
      <c r="CP811" s="11"/>
      <c r="CQ811" s="11"/>
      <c r="CR811" s="11"/>
      <c r="CS811" s="11"/>
      <c r="CT811" s="11"/>
      <c r="CU811" s="11"/>
      <c r="CV811" s="11"/>
      <c r="CW811" s="11"/>
      <c r="CX811" s="11"/>
      <c r="CY811" s="11"/>
      <c r="CZ811" s="11"/>
      <c r="DA811" s="11"/>
      <c r="DB811" s="11"/>
      <c r="DC811" s="11"/>
    </row>
    <row r="812" spans="1:107" ht="12.75" customHeight="1">
      <c r="A812" s="11"/>
      <c r="B812" s="11"/>
      <c r="C812" s="11"/>
      <c r="D812" s="11"/>
      <c r="E812" s="11"/>
      <c r="F812" s="11"/>
      <c r="G812" s="11"/>
      <c r="H812" s="15"/>
      <c r="I812" s="38"/>
      <c r="J812" s="38"/>
      <c r="K812" s="38"/>
      <c r="L812" s="41"/>
      <c r="M812" s="43"/>
      <c r="N812" s="11"/>
      <c r="O812" s="48"/>
      <c r="P812" s="48"/>
      <c r="Q812" s="48"/>
      <c r="R812" s="38"/>
      <c r="S812" s="38"/>
      <c r="T812" s="52"/>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83"/>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83"/>
      <c r="CK812" s="11"/>
      <c r="CL812" s="11"/>
      <c r="CM812" s="11"/>
      <c r="CN812" s="11"/>
      <c r="CO812" s="11"/>
      <c r="CP812" s="11"/>
      <c r="CQ812" s="11"/>
      <c r="CR812" s="11"/>
      <c r="CS812" s="11"/>
      <c r="CT812" s="11"/>
      <c r="CU812" s="11"/>
      <c r="CV812" s="11"/>
      <c r="CW812" s="11"/>
      <c r="CX812" s="11"/>
      <c r="CY812" s="11"/>
      <c r="CZ812" s="11"/>
      <c r="DA812" s="11"/>
      <c r="DB812" s="11"/>
      <c r="DC812" s="11"/>
    </row>
    <row r="813" spans="1:107" ht="12.75" customHeight="1">
      <c r="A813" s="11"/>
      <c r="B813" s="11"/>
      <c r="C813" s="11"/>
      <c r="D813" s="11"/>
      <c r="E813" s="11"/>
      <c r="F813" s="11"/>
      <c r="G813" s="11"/>
      <c r="H813" s="15"/>
      <c r="I813" s="38"/>
      <c r="J813" s="38"/>
      <c r="K813" s="38"/>
      <c r="L813" s="41"/>
      <c r="M813" s="43"/>
      <c r="N813" s="11"/>
      <c r="O813" s="48"/>
      <c r="P813" s="48"/>
      <c r="Q813" s="48"/>
      <c r="R813" s="38"/>
      <c r="S813" s="38"/>
      <c r="T813" s="52"/>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83"/>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83"/>
      <c r="CK813" s="11"/>
      <c r="CL813" s="11"/>
      <c r="CM813" s="11"/>
      <c r="CN813" s="11"/>
      <c r="CO813" s="11"/>
      <c r="CP813" s="11"/>
      <c r="CQ813" s="11"/>
      <c r="CR813" s="11"/>
      <c r="CS813" s="11"/>
      <c r="CT813" s="11"/>
      <c r="CU813" s="11"/>
      <c r="CV813" s="11"/>
      <c r="CW813" s="11"/>
      <c r="CX813" s="11"/>
      <c r="CY813" s="11"/>
      <c r="CZ813" s="11"/>
      <c r="DA813" s="11"/>
      <c r="DB813" s="11"/>
      <c r="DC813" s="11"/>
    </row>
    <row r="814" spans="1:107" ht="12.75" customHeight="1">
      <c r="A814" s="11"/>
      <c r="B814" s="11"/>
      <c r="C814" s="11"/>
      <c r="D814" s="11"/>
      <c r="E814" s="11"/>
      <c r="F814" s="11"/>
      <c r="G814" s="11"/>
      <c r="H814" s="15"/>
      <c r="I814" s="38"/>
      <c r="J814" s="38"/>
      <c r="K814" s="38"/>
      <c r="L814" s="41"/>
      <c r="M814" s="43"/>
      <c r="N814" s="11"/>
      <c r="O814" s="48"/>
      <c r="P814" s="48"/>
      <c r="Q814" s="48"/>
      <c r="R814" s="38"/>
      <c r="S814" s="38"/>
      <c r="T814" s="52"/>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83"/>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83"/>
      <c r="CK814" s="11"/>
      <c r="CL814" s="11"/>
      <c r="CM814" s="11"/>
      <c r="CN814" s="11"/>
      <c r="CO814" s="11"/>
      <c r="CP814" s="11"/>
      <c r="CQ814" s="11"/>
      <c r="CR814" s="11"/>
      <c r="CS814" s="11"/>
      <c r="CT814" s="11"/>
      <c r="CU814" s="11"/>
      <c r="CV814" s="11"/>
      <c r="CW814" s="11"/>
      <c r="CX814" s="11"/>
      <c r="CY814" s="11"/>
      <c r="CZ814" s="11"/>
      <c r="DA814" s="11"/>
      <c r="DB814" s="11"/>
      <c r="DC814" s="11"/>
    </row>
    <row r="815" spans="1:107" ht="12.75" customHeight="1">
      <c r="A815" s="11"/>
      <c r="B815" s="11"/>
      <c r="C815" s="11"/>
      <c r="D815" s="11"/>
      <c r="E815" s="11"/>
      <c r="F815" s="11"/>
      <c r="G815" s="11"/>
      <c r="H815" s="15"/>
      <c r="I815" s="38"/>
      <c r="J815" s="38"/>
      <c r="K815" s="38"/>
      <c r="L815" s="41"/>
      <c r="M815" s="43"/>
      <c r="N815" s="11"/>
      <c r="O815" s="48"/>
      <c r="P815" s="48"/>
      <c r="Q815" s="48"/>
      <c r="R815" s="38"/>
      <c r="S815" s="38"/>
      <c r="T815" s="52"/>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83"/>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83"/>
      <c r="CK815" s="11"/>
      <c r="CL815" s="11"/>
      <c r="CM815" s="11"/>
      <c r="CN815" s="11"/>
      <c r="CO815" s="11"/>
      <c r="CP815" s="11"/>
      <c r="CQ815" s="11"/>
      <c r="CR815" s="11"/>
      <c r="CS815" s="11"/>
      <c r="CT815" s="11"/>
      <c r="CU815" s="11"/>
      <c r="CV815" s="11"/>
      <c r="CW815" s="11"/>
      <c r="CX815" s="11"/>
      <c r="CY815" s="11"/>
      <c r="CZ815" s="11"/>
      <c r="DA815" s="11"/>
      <c r="DB815" s="11"/>
      <c r="DC815" s="11"/>
    </row>
    <row r="816" spans="1:107" ht="12.75" customHeight="1">
      <c r="A816" s="11"/>
      <c r="B816" s="11"/>
      <c r="C816" s="11"/>
      <c r="D816" s="11"/>
      <c r="E816" s="11"/>
      <c r="F816" s="11"/>
      <c r="G816" s="11"/>
      <c r="H816" s="15"/>
      <c r="I816" s="38"/>
      <c r="J816" s="38"/>
      <c r="K816" s="38"/>
      <c r="L816" s="41"/>
      <c r="M816" s="43"/>
      <c r="N816" s="11"/>
      <c r="O816" s="48"/>
      <c r="P816" s="48"/>
      <c r="Q816" s="48"/>
      <c r="R816" s="38"/>
      <c r="S816" s="38"/>
      <c r="T816" s="52"/>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83"/>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83"/>
      <c r="CK816" s="11"/>
      <c r="CL816" s="11"/>
      <c r="CM816" s="11"/>
      <c r="CN816" s="11"/>
      <c r="CO816" s="11"/>
      <c r="CP816" s="11"/>
      <c r="CQ816" s="11"/>
      <c r="CR816" s="11"/>
      <c r="CS816" s="11"/>
      <c r="CT816" s="11"/>
      <c r="CU816" s="11"/>
      <c r="CV816" s="11"/>
      <c r="CW816" s="11"/>
      <c r="CX816" s="11"/>
      <c r="CY816" s="11"/>
      <c r="CZ816" s="11"/>
      <c r="DA816" s="11"/>
      <c r="DB816" s="11"/>
      <c r="DC816" s="11"/>
    </row>
    <row r="817" spans="1:107" ht="12.75" customHeight="1">
      <c r="A817" s="11"/>
      <c r="B817" s="11"/>
      <c r="C817" s="11"/>
      <c r="D817" s="11"/>
      <c r="E817" s="11"/>
      <c r="F817" s="11"/>
      <c r="G817" s="11"/>
      <c r="H817" s="15"/>
      <c r="I817" s="38"/>
      <c r="J817" s="38"/>
      <c r="K817" s="38"/>
      <c r="L817" s="41"/>
      <c r="M817" s="43"/>
      <c r="N817" s="11"/>
      <c r="O817" s="48"/>
      <c r="P817" s="48"/>
      <c r="Q817" s="48"/>
      <c r="R817" s="38"/>
      <c r="S817" s="38"/>
      <c r="T817" s="52"/>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83"/>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83"/>
      <c r="CK817" s="11"/>
      <c r="CL817" s="11"/>
      <c r="CM817" s="11"/>
      <c r="CN817" s="11"/>
      <c r="CO817" s="11"/>
      <c r="CP817" s="11"/>
      <c r="CQ817" s="11"/>
      <c r="CR817" s="11"/>
      <c r="CS817" s="11"/>
      <c r="CT817" s="11"/>
      <c r="CU817" s="11"/>
      <c r="CV817" s="11"/>
      <c r="CW817" s="11"/>
      <c r="CX817" s="11"/>
      <c r="CY817" s="11"/>
      <c r="CZ817" s="11"/>
      <c r="DA817" s="11"/>
      <c r="DB817" s="11"/>
      <c r="DC817" s="11"/>
    </row>
    <row r="818" spans="1:107" ht="12.75" customHeight="1">
      <c r="A818" s="11"/>
      <c r="B818" s="11"/>
      <c r="C818" s="11"/>
      <c r="D818" s="11"/>
      <c r="E818" s="11"/>
      <c r="F818" s="11"/>
      <c r="G818" s="11"/>
      <c r="H818" s="15"/>
      <c r="I818" s="38"/>
      <c r="J818" s="38"/>
      <c r="K818" s="38"/>
      <c r="L818" s="41"/>
      <c r="M818" s="43"/>
      <c r="N818" s="11"/>
      <c r="O818" s="48"/>
      <c r="P818" s="48"/>
      <c r="Q818" s="48"/>
      <c r="R818" s="38"/>
      <c r="S818" s="38"/>
      <c r="T818" s="52"/>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83"/>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83"/>
      <c r="CK818" s="11"/>
      <c r="CL818" s="11"/>
      <c r="CM818" s="11"/>
      <c r="CN818" s="11"/>
      <c r="CO818" s="11"/>
      <c r="CP818" s="11"/>
      <c r="CQ818" s="11"/>
      <c r="CR818" s="11"/>
      <c r="CS818" s="11"/>
      <c r="CT818" s="11"/>
      <c r="CU818" s="11"/>
      <c r="CV818" s="11"/>
      <c r="CW818" s="11"/>
      <c r="CX818" s="11"/>
      <c r="CY818" s="11"/>
      <c r="CZ818" s="11"/>
      <c r="DA818" s="11"/>
      <c r="DB818" s="11"/>
      <c r="DC818" s="11"/>
    </row>
    <row r="819" spans="1:107" ht="12.75" customHeight="1">
      <c r="A819" s="11"/>
      <c r="B819" s="11"/>
      <c r="C819" s="11"/>
      <c r="D819" s="11"/>
      <c r="E819" s="11"/>
      <c r="F819" s="11"/>
      <c r="G819" s="11"/>
      <c r="H819" s="15"/>
      <c r="I819" s="38"/>
      <c r="J819" s="38"/>
      <c r="K819" s="38"/>
      <c r="L819" s="41"/>
      <c r="M819" s="43"/>
      <c r="N819" s="11"/>
      <c r="O819" s="48"/>
      <c r="P819" s="48"/>
      <c r="Q819" s="48"/>
      <c r="R819" s="38"/>
      <c r="S819" s="38"/>
      <c r="T819" s="52"/>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83"/>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83"/>
      <c r="CK819" s="11"/>
      <c r="CL819" s="11"/>
      <c r="CM819" s="11"/>
      <c r="CN819" s="11"/>
      <c r="CO819" s="11"/>
      <c r="CP819" s="11"/>
      <c r="CQ819" s="11"/>
      <c r="CR819" s="11"/>
      <c r="CS819" s="11"/>
      <c r="CT819" s="11"/>
      <c r="CU819" s="11"/>
      <c r="CV819" s="11"/>
      <c r="CW819" s="11"/>
      <c r="CX819" s="11"/>
      <c r="CY819" s="11"/>
      <c r="CZ819" s="11"/>
      <c r="DA819" s="11"/>
      <c r="DB819" s="11"/>
      <c r="DC819" s="11"/>
    </row>
    <row r="820" spans="1:107" ht="12.75" customHeight="1">
      <c r="A820" s="11"/>
      <c r="B820" s="11"/>
      <c r="C820" s="11"/>
      <c r="D820" s="11"/>
      <c r="E820" s="11"/>
      <c r="F820" s="11"/>
      <c r="G820" s="11"/>
      <c r="H820" s="15"/>
      <c r="I820" s="38"/>
      <c r="J820" s="38"/>
      <c r="K820" s="38"/>
      <c r="L820" s="41"/>
      <c r="M820" s="43"/>
      <c r="N820" s="11"/>
      <c r="O820" s="48"/>
      <c r="P820" s="48"/>
      <c r="Q820" s="48"/>
      <c r="R820" s="38"/>
      <c r="S820" s="38"/>
      <c r="T820" s="52"/>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83"/>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83"/>
      <c r="CK820" s="11"/>
      <c r="CL820" s="11"/>
      <c r="CM820" s="11"/>
      <c r="CN820" s="11"/>
      <c r="CO820" s="11"/>
      <c r="CP820" s="11"/>
      <c r="CQ820" s="11"/>
      <c r="CR820" s="11"/>
      <c r="CS820" s="11"/>
      <c r="CT820" s="11"/>
      <c r="CU820" s="11"/>
      <c r="CV820" s="11"/>
      <c r="CW820" s="11"/>
      <c r="CX820" s="11"/>
      <c r="CY820" s="11"/>
      <c r="CZ820" s="11"/>
      <c r="DA820" s="11"/>
      <c r="DB820" s="11"/>
      <c r="DC820" s="11"/>
    </row>
    <row r="821" spans="1:107" ht="12.75" customHeight="1">
      <c r="A821" s="11"/>
      <c r="B821" s="11"/>
      <c r="C821" s="11"/>
      <c r="D821" s="11"/>
      <c r="E821" s="11"/>
      <c r="F821" s="11"/>
      <c r="G821" s="11"/>
      <c r="H821" s="15"/>
      <c r="I821" s="38"/>
      <c r="J821" s="38"/>
      <c r="K821" s="38"/>
      <c r="L821" s="41"/>
      <c r="M821" s="43"/>
      <c r="N821" s="11"/>
      <c r="O821" s="48"/>
      <c r="P821" s="48"/>
      <c r="Q821" s="48"/>
      <c r="R821" s="38"/>
      <c r="S821" s="38"/>
      <c r="T821" s="52"/>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83"/>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83"/>
      <c r="CK821" s="11"/>
      <c r="CL821" s="11"/>
      <c r="CM821" s="11"/>
      <c r="CN821" s="11"/>
      <c r="CO821" s="11"/>
      <c r="CP821" s="11"/>
      <c r="CQ821" s="11"/>
      <c r="CR821" s="11"/>
      <c r="CS821" s="11"/>
      <c r="CT821" s="11"/>
      <c r="CU821" s="11"/>
      <c r="CV821" s="11"/>
      <c r="CW821" s="11"/>
      <c r="CX821" s="11"/>
      <c r="CY821" s="11"/>
      <c r="CZ821" s="11"/>
      <c r="DA821" s="11"/>
      <c r="DB821" s="11"/>
      <c r="DC821" s="11"/>
    </row>
    <row r="822" spans="1:107" ht="12.75" customHeight="1">
      <c r="A822" s="11"/>
      <c r="B822" s="11"/>
      <c r="C822" s="11"/>
      <c r="D822" s="11"/>
      <c r="E822" s="11"/>
      <c r="F822" s="11"/>
      <c r="G822" s="11"/>
      <c r="H822" s="15"/>
      <c r="I822" s="38"/>
      <c r="J822" s="38"/>
      <c r="K822" s="38"/>
      <c r="L822" s="41"/>
      <c r="M822" s="43"/>
      <c r="N822" s="11"/>
      <c r="O822" s="48"/>
      <c r="P822" s="48"/>
      <c r="Q822" s="48"/>
      <c r="R822" s="38"/>
      <c r="S822" s="38"/>
      <c r="T822" s="52"/>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83"/>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83"/>
      <c r="CK822" s="11"/>
      <c r="CL822" s="11"/>
      <c r="CM822" s="11"/>
      <c r="CN822" s="11"/>
      <c r="CO822" s="11"/>
      <c r="CP822" s="11"/>
      <c r="CQ822" s="11"/>
      <c r="CR822" s="11"/>
      <c r="CS822" s="11"/>
      <c r="CT822" s="11"/>
      <c r="CU822" s="11"/>
      <c r="CV822" s="11"/>
      <c r="CW822" s="11"/>
      <c r="CX822" s="11"/>
      <c r="CY822" s="11"/>
      <c r="CZ822" s="11"/>
      <c r="DA822" s="11"/>
      <c r="DB822" s="11"/>
      <c r="DC822" s="11"/>
    </row>
    <row r="823" spans="1:107" ht="12.75" customHeight="1">
      <c r="A823" s="11"/>
      <c r="B823" s="11"/>
      <c r="C823" s="11"/>
      <c r="D823" s="11"/>
      <c r="E823" s="11"/>
      <c r="F823" s="11"/>
      <c r="G823" s="11"/>
      <c r="H823" s="15"/>
      <c r="I823" s="38"/>
      <c r="J823" s="38"/>
      <c r="K823" s="38"/>
      <c r="L823" s="41"/>
      <c r="M823" s="43"/>
      <c r="N823" s="11"/>
      <c r="O823" s="48"/>
      <c r="P823" s="48"/>
      <c r="Q823" s="48"/>
      <c r="R823" s="38"/>
      <c r="S823" s="38"/>
      <c r="T823" s="52"/>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83"/>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83"/>
      <c r="CK823" s="11"/>
      <c r="CL823" s="11"/>
      <c r="CM823" s="11"/>
      <c r="CN823" s="11"/>
      <c r="CO823" s="11"/>
      <c r="CP823" s="11"/>
      <c r="CQ823" s="11"/>
      <c r="CR823" s="11"/>
      <c r="CS823" s="11"/>
      <c r="CT823" s="11"/>
      <c r="CU823" s="11"/>
      <c r="CV823" s="11"/>
      <c r="CW823" s="11"/>
      <c r="CX823" s="11"/>
      <c r="CY823" s="11"/>
      <c r="CZ823" s="11"/>
      <c r="DA823" s="11"/>
      <c r="DB823" s="11"/>
      <c r="DC823" s="11"/>
    </row>
    <row r="824" spans="1:107" ht="12.75" customHeight="1">
      <c r="A824" s="11"/>
      <c r="B824" s="11"/>
      <c r="C824" s="11"/>
      <c r="D824" s="11"/>
      <c r="E824" s="11"/>
      <c r="F824" s="11"/>
      <c r="G824" s="11"/>
      <c r="H824" s="15"/>
      <c r="I824" s="38"/>
      <c r="J824" s="38"/>
      <c r="K824" s="38"/>
      <c r="L824" s="41"/>
      <c r="M824" s="43"/>
      <c r="N824" s="11"/>
      <c r="O824" s="48"/>
      <c r="P824" s="48"/>
      <c r="Q824" s="48"/>
      <c r="R824" s="38"/>
      <c r="S824" s="38"/>
      <c r="T824" s="52"/>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83"/>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83"/>
      <c r="CK824" s="11"/>
      <c r="CL824" s="11"/>
      <c r="CM824" s="11"/>
      <c r="CN824" s="11"/>
      <c r="CO824" s="11"/>
      <c r="CP824" s="11"/>
      <c r="CQ824" s="11"/>
      <c r="CR824" s="11"/>
      <c r="CS824" s="11"/>
      <c r="CT824" s="11"/>
      <c r="CU824" s="11"/>
      <c r="CV824" s="11"/>
      <c r="CW824" s="11"/>
      <c r="CX824" s="11"/>
      <c r="CY824" s="11"/>
      <c r="CZ824" s="11"/>
      <c r="DA824" s="11"/>
      <c r="DB824" s="11"/>
      <c r="DC824" s="11"/>
    </row>
    <row r="825" spans="1:107" ht="12.75" customHeight="1">
      <c r="A825" s="11"/>
      <c r="B825" s="11"/>
      <c r="C825" s="11"/>
      <c r="D825" s="11"/>
      <c r="E825" s="11"/>
      <c r="F825" s="11"/>
      <c r="G825" s="11"/>
      <c r="H825" s="15"/>
      <c r="I825" s="38"/>
      <c r="J825" s="38"/>
      <c r="K825" s="38"/>
      <c r="L825" s="41"/>
      <c r="M825" s="43"/>
      <c r="N825" s="11"/>
      <c r="O825" s="48"/>
      <c r="P825" s="48"/>
      <c r="Q825" s="48"/>
      <c r="R825" s="38"/>
      <c r="S825" s="38"/>
      <c r="T825" s="52"/>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83"/>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83"/>
      <c r="CK825" s="11"/>
      <c r="CL825" s="11"/>
      <c r="CM825" s="11"/>
      <c r="CN825" s="11"/>
      <c r="CO825" s="11"/>
      <c r="CP825" s="11"/>
      <c r="CQ825" s="11"/>
      <c r="CR825" s="11"/>
      <c r="CS825" s="11"/>
      <c r="CT825" s="11"/>
      <c r="CU825" s="11"/>
      <c r="CV825" s="11"/>
      <c r="CW825" s="11"/>
      <c r="CX825" s="11"/>
      <c r="CY825" s="11"/>
      <c r="CZ825" s="11"/>
      <c r="DA825" s="11"/>
      <c r="DB825" s="11"/>
      <c r="DC825" s="11"/>
    </row>
    <row r="826" spans="1:107" ht="12.75" customHeight="1">
      <c r="A826" s="11"/>
      <c r="B826" s="11"/>
      <c r="C826" s="11"/>
      <c r="D826" s="11"/>
      <c r="E826" s="11"/>
      <c r="F826" s="11"/>
      <c r="G826" s="11"/>
      <c r="H826" s="15"/>
      <c r="I826" s="38"/>
      <c r="J826" s="38"/>
      <c r="K826" s="38"/>
      <c r="L826" s="41"/>
      <c r="M826" s="43"/>
      <c r="N826" s="11"/>
      <c r="O826" s="48"/>
      <c r="P826" s="48"/>
      <c r="Q826" s="48"/>
      <c r="R826" s="38"/>
      <c r="S826" s="38"/>
      <c r="T826" s="52"/>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83"/>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83"/>
      <c r="CK826" s="11"/>
      <c r="CL826" s="11"/>
      <c r="CM826" s="11"/>
      <c r="CN826" s="11"/>
      <c r="CO826" s="11"/>
      <c r="CP826" s="11"/>
      <c r="CQ826" s="11"/>
      <c r="CR826" s="11"/>
      <c r="CS826" s="11"/>
      <c r="CT826" s="11"/>
      <c r="CU826" s="11"/>
      <c r="CV826" s="11"/>
      <c r="CW826" s="11"/>
      <c r="CX826" s="11"/>
      <c r="CY826" s="11"/>
      <c r="CZ826" s="11"/>
      <c r="DA826" s="11"/>
      <c r="DB826" s="11"/>
      <c r="DC826" s="11"/>
    </row>
    <row r="827" spans="1:107" ht="12.75" customHeight="1">
      <c r="A827" s="11"/>
      <c r="B827" s="11"/>
      <c r="C827" s="11"/>
      <c r="D827" s="11"/>
      <c r="E827" s="11"/>
      <c r="F827" s="11"/>
      <c r="G827" s="11"/>
      <c r="H827" s="15"/>
      <c r="I827" s="38"/>
      <c r="J827" s="38"/>
      <c r="K827" s="38"/>
      <c r="L827" s="41"/>
      <c r="M827" s="43"/>
      <c r="N827" s="11"/>
      <c r="O827" s="48"/>
      <c r="P827" s="48"/>
      <c r="Q827" s="48"/>
      <c r="R827" s="38"/>
      <c r="S827" s="38"/>
      <c r="T827" s="52"/>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83"/>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83"/>
      <c r="CK827" s="11"/>
      <c r="CL827" s="11"/>
      <c r="CM827" s="11"/>
      <c r="CN827" s="11"/>
      <c r="CO827" s="11"/>
      <c r="CP827" s="11"/>
      <c r="CQ827" s="11"/>
      <c r="CR827" s="11"/>
      <c r="CS827" s="11"/>
      <c r="CT827" s="11"/>
      <c r="CU827" s="11"/>
      <c r="CV827" s="11"/>
      <c r="CW827" s="11"/>
      <c r="CX827" s="11"/>
      <c r="CY827" s="11"/>
      <c r="CZ827" s="11"/>
      <c r="DA827" s="11"/>
      <c r="DB827" s="11"/>
      <c r="DC827" s="11"/>
    </row>
    <row r="828" spans="1:107" ht="12.75" customHeight="1">
      <c r="A828" s="11"/>
      <c r="B828" s="11"/>
      <c r="C828" s="11"/>
      <c r="D828" s="11"/>
      <c r="E828" s="11"/>
      <c r="F828" s="11"/>
      <c r="G828" s="11"/>
      <c r="H828" s="15"/>
      <c r="I828" s="38"/>
      <c r="J828" s="38"/>
      <c r="K828" s="38"/>
      <c r="L828" s="41"/>
      <c r="M828" s="43"/>
      <c r="N828" s="11"/>
      <c r="O828" s="48"/>
      <c r="P828" s="48"/>
      <c r="Q828" s="48"/>
      <c r="R828" s="38"/>
      <c r="S828" s="38"/>
      <c r="T828" s="52"/>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83"/>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83"/>
      <c r="CK828" s="11"/>
      <c r="CL828" s="11"/>
      <c r="CM828" s="11"/>
      <c r="CN828" s="11"/>
      <c r="CO828" s="11"/>
      <c r="CP828" s="11"/>
      <c r="CQ828" s="11"/>
      <c r="CR828" s="11"/>
      <c r="CS828" s="11"/>
      <c r="CT828" s="11"/>
      <c r="CU828" s="11"/>
      <c r="CV828" s="11"/>
      <c r="CW828" s="11"/>
      <c r="CX828" s="11"/>
      <c r="CY828" s="11"/>
      <c r="CZ828" s="11"/>
      <c r="DA828" s="11"/>
      <c r="DB828" s="11"/>
      <c r="DC828" s="11"/>
    </row>
    <row r="829" spans="1:107" ht="12.75" customHeight="1">
      <c r="A829" s="11"/>
      <c r="B829" s="11"/>
      <c r="C829" s="11"/>
      <c r="D829" s="11"/>
      <c r="E829" s="11"/>
      <c r="F829" s="11"/>
      <c r="G829" s="11"/>
      <c r="H829" s="15"/>
      <c r="I829" s="38"/>
      <c r="J829" s="38"/>
      <c r="K829" s="38"/>
      <c r="L829" s="41"/>
      <c r="M829" s="43"/>
      <c r="N829" s="11"/>
      <c r="O829" s="48"/>
      <c r="P829" s="48"/>
      <c r="Q829" s="48"/>
      <c r="R829" s="38"/>
      <c r="S829" s="38"/>
      <c r="T829" s="52"/>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83"/>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83"/>
      <c r="CK829" s="11"/>
      <c r="CL829" s="11"/>
      <c r="CM829" s="11"/>
      <c r="CN829" s="11"/>
      <c r="CO829" s="11"/>
      <c r="CP829" s="11"/>
      <c r="CQ829" s="11"/>
      <c r="CR829" s="11"/>
      <c r="CS829" s="11"/>
      <c r="CT829" s="11"/>
      <c r="CU829" s="11"/>
      <c r="CV829" s="11"/>
      <c r="CW829" s="11"/>
      <c r="CX829" s="11"/>
      <c r="CY829" s="11"/>
      <c r="CZ829" s="11"/>
      <c r="DA829" s="11"/>
      <c r="DB829" s="11"/>
      <c r="DC829" s="11"/>
    </row>
    <row r="830" spans="1:107" ht="12.75" customHeight="1">
      <c r="A830" s="11"/>
      <c r="B830" s="11"/>
      <c r="C830" s="11"/>
      <c r="D830" s="11"/>
      <c r="E830" s="11"/>
      <c r="F830" s="11"/>
      <c r="G830" s="11"/>
      <c r="H830" s="15"/>
      <c r="I830" s="38"/>
      <c r="J830" s="38"/>
      <c r="K830" s="38"/>
      <c r="L830" s="41"/>
      <c r="M830" s="43"/>
      <c r="N830" s="11"/>
      <c r="O830" s="48"/>
      <c r="P830" s="48"/>
      <c r="Q830" s="48"/>
      <c r="R830" s="38"/>
      <c r="S830" s="38"/>
      <c r="T830" s="52"/>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83"/>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83"/>
      <c r="CK830" s="11"/>
      <c r="CL830" s="11"/>
      <c r="CM830" s="11"/>
      <c r="CN830" s="11"/>
      <c r="CO830" s="11"/>
      <c r="CP830" s="11"/>
      <c r="CQ830" s="11"/>
      <c r="CR830" s="11"/>
      <c r="CS830" s="11"/>
      <c r="CT830" s="11"/>
      <c r="CU830" s="11"/>
      <c r="CV830" s="11"/>
      <c r="CW830" s="11"/>
      <c r="CX830" s="11"/>
      <c r="CY830" s="11"/>
      <c r="CZ830" s="11"/>
      <c r="DA830" s="11"/>
      <c r="DB830" s="11"/>
      <c r="DC830" s="11"/>
    </row>
    <row r="831" spans="1:107" ht="12.75" customHeight="1">
      <c r="A831" s="11"/>
      <c r="B831" s="11"/>
      <c r="C831" s="11"/>
      <c r="D831" s="11"/>
      <c r="E831" s="11"/>
      <c r="F831" s="11"/>
      <c r="G831" s="11"/>
      <c r="H831" s="15"/>
      <c r="I831" s="38"/>
      <c r="J831" s="38"/>
      <c r="K831" s="38"/>
      <c r="L831" s="41"/>
      <c r="M831" s="43"/>
      <c r="N831" s="11"/>
      <c r="O831" s="48"/>
      <c r="P831" s="48"/>
      <c r="Q831" s="48"/>
      <c r="R831" s="38"/>
      <c r="S831" s="38"/>
      <c r="T831" s="52"/>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83"/>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83"/>
      <c r="CK831" s="11"/>
      <c r="CL831" s="11"/>
      <c r="CM831" s="11"/>
      <c r="CN831" s="11"/>
      <c r="CO831" s="11"/>
      <c r="CP831" s="11"/>
      <c r="CQ831" s="11"/>
      <c r="CR831" s="11"/>
      <c r="CS831" s="11"/>
      <c r="CT831" s="11"/>
      <c r="CU831" s="11"/>
      <c r="CV831" s="11"/>
      <c r="CW831" s="11"/>
      <c r="CX831" s="11"/>
      <c r="CY831" s="11"/>
      <c r="CZ831" s="11"/>
      <c r="DA831" s="11"/>
      <c r="DB831" s="11"/>
      <c r="DC831" s="11"/>
    </row>
    <row r="832" spans="1:107" ht="12.75" customHeight="1">
      <c r="A832" s="11"/>
      <c r="B832" s="11"/>
      <c r="C832" s="11"/>
      <c r="D832" s="11"/>
      <c r="E832" s="11"/>
      <c r="F832" s="11"/>
      <c r="G832" s="11"/>
      <c r="H832" s="15"/>
      <c r="I832" s="38"/>
      <c r="J832" s="38"/>
      <c r="K832" s="38"/>
      <c r="L832" s="41"/>
      <c r="M832" s="43"/>
      <c r="N832" s="11"/>
      <c r="O832" s="48"/>
      <c r="P832" s="48"/>
      <c r="Q832" s="48"/>
      <c r="R832" s="38"/>
      <c r="S832" s="38"/>
      <c r="T832" s="52"/>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83"/>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83"/>
      <c r="CK832" s="11"/>
      <c r="CL832" s="11"/>
      <c r="CM832" s="11"/>
      <c r="CN832" s="11"/>
      <c r="CO832" s="11"/>
      <c r="CP832" s="11"/>
      <c r="CQ832" s="11"/>
      <c r="CR832" s="11"/>
      <c r="CS832" s="11"/>
      <c r="CT832" s="11"/>
      <c r="CU832" s="11"/>
      <c r="CV832" s="11"/>
      <c r="CW832" s="11"/>
      <c r="CX832" s="11"/>
      <c r="CY832" s="11"/>
      <c r="CZ832" s="11"/>
      <c r="DA832" s="11"/>
      <c r="DB832" s="11"/>
      <c r="DC832" s="11"/>
    </row>
    <row r="833" spans="1:107" ht="12.75" customHeight="1">
      <c r="A833" s="11"/>
      <c r="B833" s="11"/>
      <c r="C833" s="11"/>
      <c r="D833" s="11"/>
      <c r="E833" s="11"/>
      <c r="F833" s="11"/>
      <c r="G833" s="11"/>
      <c r="H833" s="15"/>
      <c r="I833" s="38"/>
      <c r="J833" s="38"/>
      <c r="K833" s="38"/>
      <c r="L833" s="41"/>
      <c r="M833" s="43"/>
      <c r="N833" s="11"/>
      <c r="O833" s="48"/>
      <c r="P833" s="48"/>
      <c r="Q833" s="48"/>
      <c r="R833" s="38"/>
      <c r="S833" s="38"/>
      <c r="T833" s="52"/>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83"/>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83"/>
      <c r="CK833" s="11"/>
      <c r="CL833" s="11"/>
      <c r="CM833" s="11"/>
      <c r="CN833" s="11"/>
      <c r="CO833" s="11"/>
      <c r="CP833" s="11"/>
      <c r="CQ833" s="11"/>
      <c r="CR833" s="11"/>
      <c r="CS833" s="11"/>
      <c r="CT833" s="11"/>
      <c r="CU833" s="11"/>
      <c r="CV833" s="11"/>
      <c r="CW833" s="11"/>
      <c r="CX833" s="11"/>
      <c r="CY833" s="11"/>
      <c r="CZ833" s="11"/>
      <c r="DA833" s="11"/>
      <c r="DB833" s="11"/>
      <c r="DC833" s="11"/>
    </row>
    <row r="834" spans="1:107" ht="12.75" customHeight="1">
      <c r="A834" s="11"/>
      <c r="B834" s="11"/>
      <c r="C834" s="11"/>
      <c r="D834" s="11"/>
      <c r="E834" s="11"/>
      <c r="F834" s="11"/>
      <c r="G834" s="11"/>
      <c r="H834" s="15"/>
      <c r="I834" s="38"/>
      <c r="J834" s="38"/>
      <c r="K834" s="38"/>
      <c r="L834" s="41"/>
      <c r="M834" s="43"/>
      <c r="N834" s="11"/>
      <c r="O834" s="48"/>
      <c r="P834" s="48"/>
      <c r="Q834" s="48"/>
      <c r="R834" s="38"/>
      <c r="S834" s="38"/>
      <c r="T834" s="52"/>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83"/>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83"/>
      <c r="CK834" s="11"/>
      <c r="CL834" s="11"/>
      <c r="CM834" s="11"/>
      <c r="CN834" s="11"/>
      <c r="CO834" s="11"/>
      <c r="CP834" s="11"/>
      <c r="CQ834" s="11"/>
      <c r="CR834" s="11"/>
      <c r="CS834" s="11"/>
      <c r="CT834" s="11"/>
      <c r="CU834" s="11"/>
      <c r="CV834" s="11"/>
      <c r="CW834" s="11"/>
      <c r="CX834" s="11"/>
      <c r="CY834" s="11"/>
      <c r="CZ834" s="11"/>
      <c r="DA834" s="11"/>
      <c r="DB834" s="11"/>
      <c r="DC834" s="11"/>
    </row>
    <row r="835" spans="1:107" ht="12.75" customHeight="1">
      <c r="A835" s="11"/>
      <c r="B835" s="11"/>
      <c r="C835" s="11"/>
      <c r="D835" s="11"/>
      <c r="E835" s="11"/>
      <c r="F835" s="11"/>
      <c r="G835" s="11"/>
      <c r="H835" s="15"/>
      <c r="I835" s="38"/>
      <c r="J835" s="38"/>
      <c r="K835" s="38"/>
      <c r="L835" s="41"/>
      <c r="M835" s="43"/>
      <c r="N835" s="11"/>
      <c r="O835" s="48"/>
      <c r="P835" s="48"/>
      <c r="Q835" s="48"/>
      <c r="R835" s="38"/>
      <c r="S835" s="38"/>
      <c r="T835" s="52"/>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83"/>
      <c r="AX835" s="11"/>
      <c r="AY835" s="11"/>
      <c r="AZ835" s="11"/>
      <c r="BA835" s="11"/>
      <c r="BB835" s="11"/>
      <c r="BC835" s="11"/>
      <c r="BD835" s="11"/>
      <c r="BE835" s="11"/>
      <c r="BF835" s="11"/>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83"/>
      <c r="CK835" s="11"/>
      <c r="CL835" s="11"/>
      <c r="CM835" s="11"/>
      <c r="CN835" s="11"/>
      <c r="CO835" s="11"/>
      <c r="CP835" s="11"/>
      <c r="CQ835" s="11"/>
      <c r="CR835" s="11"/>
      <c r="CS835" s="11"/>
      <c r="CT835" s="11"/>
      <c r="CU835" s="11"/>
      <c r="CV835" s="11"/>
      <c r="CW835" s="11"/>
      <c r="CX835" s="11"/>
      <c r="CY835" s="11"/>
      <c r="CZ835" s="11"/>
      <c r="DA835" s="11"/>
      <c r="DB835" s="11"/>
      <c r="DC835" s="11"/>
    </row>
    <row r="836" spans="1:107" ht="12.75" customHeight="1">
      <c r="A836" s="11"/>
      <c r="B836" s="11"/>
      <c r="C836" s="11"/>
      <c r="D836" s="11"/>
      <c r="E836" s="11"/>
      <c r="F836" s="11"/>
      <c r="G836" s="11"/>
      <c r="H836" s="15"/>
      <c r="I836" s="38"/>
      <c r="J836" s="38"/>
      <c r="K836" s="38"/>
      <c r="L836" s="41"/>
      <c r="M836" s="43"/>
      <c r="N836" s="11"/>
      <c r="O836" s="48"/>
      <c r="P836" s="48"/>
      <c r="Q836" s="48"/>
      <c r="R836" s="38"/>
      <c r="S836" s="38"/>
      <c r="T836" s="52"/>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83"/>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83"/>
      <c r="CK836" s="11"/>
      <c r="CL836" s="11"/>
      <c r="CM836" s="11"/>
      <c r="CN836" s="11"/>
      <c r="CO836" s="11"/>
      <c r="CP836" s="11"/>
      <c r="CQ836" s="11"/>
      <c r="CR836" s="11"/>
      <c r="CS836" s="11"/>
      <c r="CT836" s="11"/>
      <c r="CU836" s="11"/>
      <c r="CV836" s="11"/>
      <c r="CW836" s="11"/>
      <c r="CX836" s="11"/>
      <c r="CY836" s="11"/>
      <c r="CZ836" s="11"/>
      <c r="DA836" s="11"/>
      <c r="DB836" s="11"/>
      <c r="DC836" s="11"/>
    </row>
    <row r="837" spans="1:107" ht="12.75" customHeight="1">
      <c r="A837" s="11"/>
      <c r="B837" s="11"/>
      <c r="C837" s="11"/>
      <c r="D837" s="11"/>
      <c r="E837" s="11"/>
      <c r="F837" s="11"/>
      <c r="G837" s="11"/>
      <c r="H837" s="15"/>
      <c r="I837" s="38"/>
      <c r="J837" s="38"/>
      <c r="K837" s="38"/>
      <c r="L837" s="41"/>
      <c r="M837" s="43"/>
      <c r="N837" s="11"/>
      <c r="O837" s="48"/>
      <c r="P837" s="48"/>
      <c r="Q837" s="48"/>
      <c r="R837" s="38"/>
      <c r="S837" s="38"/>
      <c r="T837" s="52"/>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83"/>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83"/>
      <c r="CK837" s="11"/>
      <c r="CL837" s="11"/>
      <c r="CM837" s="11"/>
      <c r="CN837" s="11"/>
      <c r="CO837" s="11"/>
      <c r="CP837" s="11"/>
      <c r="CQ837" s="11"/>
      <c r="CR837" s="11"/>
      <c r="CS837" s="11"/>
      <c r="CT837" s="11"/>
      <c r="CU837" s="11"/>
      <c r="CV837" s="11"/>
      <c r="CW837" s="11"/>
      <c r="CX837" s="11"/>
      <c r="CY837" s="11"/>
      <c r="CZ837" s="11"/>
      <c r="DA837" s="11"/>
      <c r="DB837" s="11"/>
      <c r="DC837" s="11"/>
    </row>
    <row r="838" spans="1:107" ht="12.75" customHeight="1">
      <c r="A838" s="11"/>
      <c r="B838" s="11"/>
      <c r="C838" s="11"/>
      <c r="D838" s="11"/>
      <c r="E838" s="11"/>
      <c r="F838" s="11"/>
      <c r="G838" s="11"/>
      <c r="H838" s="15"/>
      <c r="I838" s="38"/>
      <c r="J838" s="38"/>
      <c r="K838" s="38"/>
      <c r="L838" s="41"/>
      <c r="M838" s="43"/>
      <c r="N838" s="11"/>
      <c r="O838" s="48"/>
      <c r="P838" s="48"/>
      <c r="Q838" s="48"/>
      <c r="R838" s="38"/>
      <c r="S838" s="38"/>
      <c r="T838" s="52"/>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83"/>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83"/>
      <c r="CK838" s="11"/>
      <c r="CL838" s="11"/>
      <c r="CM838" s="11"/>
      <c r="CN838" s="11"/>
      <c r="CO838" s="11"/>
      <c r="CP838" s="11"/>
      <c r="CQ838" s="11"/>
      <c r="CR838" s="11"/>
      <c r="CS838" s="11"/>
      <c r="CT838" s="11"/>
      <c r="CU838" s="11"/>
      <c r="CV838" s="11"/>
      <c r="CW838" s="11"/>
      <c r="CX838" s="11"/>
      <c r="CY838" s="11"/>
      <c r="CZ838" s="11"/>
      <c r="DA838" s="11"/>
      <c r="DB838" s="11"/>
      <c r="DC838" s="11"/>
    </row>
    <row r="839" spans="1:107" ht="12.75" customHeight="1">
      <c r="A839" s="11"/>
      <c r="B839" s="11"/>
      <c r="C839" s="11"/>
      <c r="D839" s="11"/>
      <c r="E839" s="11"/>
      <c r="F839" s="11"/>
      <c r="G839" s="11"/>
      <c r="H839" s="15"/>
      <c r="I839" s="38"/>
      <c r="J839" s="38"/>
      <c r="K839" s="38"/>
      <c r="L839" s="41"/>
      <c r="M839" s="43"/>
      <c r="N839" s="11"/>
      <c r="O839" s="48"/>
      <c r="P839" s="48"/>
      <c r="Q839" s="48"/>
      <c r="R839" s="38"/>
      <c r="S839" s="38"/>
      <c r="T839" s="52"/>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83"/>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83"/>
      <c r="CK839" s="11"/>
      <c r="CL839" s="11"/>
      <c r="CM839" s="11"/>
      <c r="CN839" s="11"/>
      <c r="CO839" s="11"/>
      <c r="CP839" s="11"/>
      <c r="CQ839" s="11"/>
      <c r="CR839" s="11"/>
      <c r="CS839" s="11"/>
      <c r="CT839" s="11"/>
      <c r="CU839" s="11"/>
      <c r="CV839" s="11"/>
      <c r="CW839" s="11"/>
      <c r="CX839" s="11"/>
      <c r="CY839" s="11"/>
      <c r="CZ839" s="11"/>
      <c r="DA839" s="11"/>
      <c r="DB839" s="11"/>
      <c r="DC839" s="11"/>
    </row>
    <row r="840" spans="1:107" ht="12.75" customHeight="1">
      <c r="A840" s="11"/>
      <c r="B840" s="11"/>
      <c r="C840" s="11"/>
      <c r="D840" s="11"/>
      <c r="E840" s="11"/>
      <c r="F840" s="11"/>
      <c r="G840" s="11"/>
      <c r="H840" s="15"/>
      <c r="I840" s="38"/>
      <c r="J840" s="38"/>
      <c r="K840" s="38"/>
      <c r="L840" s="41"/>
      <c r="M840" s="43"/>
      <c r="N840" s="11"/>
      <c r="O840" s="48"/>
      <c r="P840" s="48"/>
      <c r="Q840" s="48"/>
      <c r="R840" s="38"/>
      <c r="S840" s="38"/>
      <c r="T840" s="52"/>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83"/>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83"/>
      <c r="CK840" s="11"/>
      <c r="CL840" s="11"/>
      <c r="CM840" s="11"/>
      <c r="CN840" s="11"/>
      <c r="CO840" s="11"/>
      <c r="CP840" s="11"/>
      <c r="CQ840" s="11"/>
      <c r="CR840" s="11"/>
      <c r="CS840" s="11"/>
      <c r="CT840" s="11"/>
      <c r="CU840" s="11"/>
      <c r="CV840" s="11"/>
      <c r="CW840" s="11"/>
      <c r="CX840" s="11"/>
      <c r="CY840" s="11"/>
      <c r="CZ840" s="11"/>
      <c r="DA840" s="11"/>
      <c r="DB840" s="11"/>
      <c r="DC840" s="11"/>
    </row>
    <row r="841" spans="1:107" ht="12.75" customHeight="1">
      <c r="A841" s="11"/>
      <c r="B841" s="11"/>
      <c r="C841" s="11"/>
      <c r="D841" s="11"/>
      <c r="E841" s="11"/>
      <c r="F841" s="11"/>
      <c r="G841" s="11"/>
      <c r="H841" s="15"/>
      <c r="I841" s="38"/>
      <c r="J841" s="38"/>
      <c r="K841" s="38"/>
      <c r="L841" s="41"/>
      <c r="M841" s="43"/>
      <c r="N841" s="11"/>
      <c r="O841" s="48"/>
      <c r="P841" s="48"/>
      <c r="Q841" s="48"/>
      <c r="R841" s="38"/>
      <c r="S841" s="38"/>
      <c r="T841" s="52"/>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83"/>
      <c r="AX841" s="11"/>
      <c r="AY841" s="11"/>
      <c r="AZ841" s="11"/>
      <c r="BA841" s="11"/>
      <c r="BB841" s="11"/>
      <c r="BC841" s="11"/>
      <c r="BD841" s="11"/>
      <c r="BE841" s="11"/>
      <c r="BF841" s="11"/>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83"/>
      <c r="CK841" s="11"/>
      <c r="CL841" s="11"/>
      <c r="CM841" s="11"/>
      <c r="CN841" s="11"/>
      <c r="CO841" s="11"/>
      <c r="CP841" s="11"/>
      <c r="CQ841" s="11"/>
      <c r="CR841" s="11"/>
      <c r="CS841" s="11"/>
      <c r="CT841" s="11"/>
      <c r="CU841" s="11"/>
      <c r="CV841" s="11"/>
      <c r="CW841" s="11"/>
      <c r="CX841" s="11"/>
      <c r="CY841" s="11"/>
      <c r="CZ841" s="11"/>
      <c r="DA841" s="11"/>
      <c r="DB841" s="11"/>
      <c r="DC841" s="11"/>
    </row>
    <row r="842" spans="1:107" ht="12.75" customHeight="1">
      <c r="A842" s="11"/>
      <c r="B842" s="11"/>
      <c r="C842" s="11"/>
      <c r="D842" s="11"/>
      <c r="E842" s="11"/>
      <c r="F842" s="11"/>
      <c r="G842" s="11"/>
      <c r="H842" s="15"/>
      <c r="I842" s="38"/>
      <c r="J842" s="38"/>
      <c r="K842" s="38"/>
      <c r="L842" s="41"/>
      <c r="M842" s="43"/>
      <c r="N842" s="11"/>
      <c r="O842" s="48"/>
      <c r="P842" s="48"/>
      <c r="Q842" s="48"/>
      <c r="R842" s="38"/>
      <c r="S842" s="38"/>
      <c r="T842" s="52"/>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83"/>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83"/>
      <c r="CK842" s="11"/>
      <c r="CL842" s="11"/>
      <c r="CM842" s="11"/>
      <c r="CN842" s="11"/>
      <c r="CO842" s="11"/>
      <c r="CP842" s="11"/>
      <c r="CQ842" s="11"/>
      <c r="CR842" s="11"/>
      <c r="CS842" s="11"/>
      <c r="CT842" s="11"/>
      <c r="CU842" s="11"/>
      <c r="CV842" s="11"/>
      <c r="CW842" s="11"/>
      <c r="CX842" s="11"/>
      <c r="CY842" s="11"/>
      <c r="CZ842" s="11"/>
      <c r="DA842" s="11"/>
      <c r="DB842" s="11"/>
      <c r="DC842" s="11"/>
    </row>
    <row r="843" spans="1:107" ht="12.75" customHeight="1">
      <c r="A843" s="11"/>
      <c r="B843" s="11"/>
      <c r="C843" s="11"/>
      <c r="D843" s="11"/>
      <c r="E843" s="11"/>
      <c r="F843" s="11"/>
      <c r="G843" s="11"/>
      <c r="H843" s="15"/>
      <c r="I843" s="38"/>
      <c r="J843" s="38"/>
      <c r="K843" s="38"/>
      <c r="L843" s="41"/>
      <c r="M843" s="43"/>
      <c r="N843" s="11"/>
      <c r="O843" s="48"/>
      <c r="P843" s="48"/>
      <c r="Q843" s="48"/>
      <c r="R843" s="38"/>
      <c r="S843" s="38"/>
      <c r="T843" s="52"/>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83"/>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83"/>
      <c r="CK843" s="11"/>
      <c r="CL843" s="11"/>
      <c r="CM843" s="11"/>
      <c r="CN843" s="11"/>
      <c r="CO843" s="11"/>
      <c r="CP843" s="11"/>
      <c r="CQ843" s="11"/>
      <c r="CR843" s="11"/>
      <c r="CS843" s="11"/>
      <c r="CT843" s="11"/>
      <c r="CU843" s="11"/>
      <c r="CV843" s="11"/>
      <c r="CW843" s="11"/>
      <c r="CX843" s="11"/>
      <c r="CY843" s="11"/>
      <c r="CZ843" s="11"/>
      <c r="DA843" s="11"/>
      <c r="DB843" s="11"/>
      <c r="DC843" s="11"/>
    </row>
    <row r="844" spans="1:107" ht="12.75" customHeight="1">
      <c r="A844" s="11"/>
      <c r="B844" s="11"/>
      <c r="C844" s="11"/>
      <c r="D844" s="11"/>
      <c r="E844" s="11"/>
      <c r="F844" s="11"/>
      <c r="G844" s="11"/>
      <c r="H844" s="15"/>
      <c r="I844" s="38"/>
      <c r="J844" s="38"/>
      <c r="K844" s="38"/>
      <c r="L844" s="41"/>
      <c r="M844" s="43"/>
      <c r="N844" s="11"/>
      <c r="O844" s="48"/>
      <c r="P844" s="48"/>
      <c r="Q844" s="48"/>
      <c r="R844" s="38"/>
      <c r="S844" s="38"/>
      <c r="T844" s="52"/>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83"/>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83"/>
      <c r="CK844" s="11"/>
      <c r="CL844" s="11"/>
      <c r="CM844" s="11"/>
      <c r="CN844" s="11"/>
      <c r="CO844" s="11"/>
      <c r="CP844" s="11"/>
      <c r="CQ844" s="11"/>
      <c r="CR844" s="11"/>
      <c r="CS844" s="11"/>
      <c r="CT844" s="11"/>
      <c r="CU844" s="11"/>
      <c r="CV844" s="11"/>
      <c r="CW844" s="11"/>
      <c r="CX844" s="11"/>
      <c r="CY844" s="11"/>
      <c r="CZ844" s="11"/>
      <c r="DA844" s="11"/>
      <c r="DB844" s="11"/>
      <c r="DC844" s="11"/>
    </row>
    <row r="845" spans="1:107" ht="12.75" customHeight="1">
      <c r="A845" s="11"/>
      <c r="B845" s="11"/>
      <c r="C845" s="11"/>
      <c r="D845" s="11"/>
      <c r="E845" s="11"/>
      <c r="F845" s="11"/>
      <c r="G845" s="11"/>
      <c r="H845" s="15"/>
      <c r="I845" s="38"/>
      <c r="J845" s="38"/>
      <c r="K845" s="38"/>
      <c r="L845" s="41"/>
      <c r="M845" s="43"/>
      <c r="N845" s="11"/>
      <c r="O845" s="48"/>
      <c r="P845" s="48"/>
      <c r="Q845" s="48"/>
      <c r="R845" s="38"/>
      <c r="S845" s="38"/>
      <c r="T845" s="52"/>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83"/>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83"/>
      <c r="CK845" s="11"/>
      <c r="CL845" s="11"/>
      <c r="CM845" s="11"/>
      <c r="CN845" s="11"/>
      <c r="CO845" s="11"/>
      <c r="CP845" s="11"/>
      <c r="CQ845" s="11"/>
      <c r="CR845" s="11"/>
      <c r="CS845" s="11"/>
      <c r="CT845" s="11"/>
      <c r="CU845" s="11"/>
      <c r="CV845" s="11"/>
      <c r="CW845" s="11"/>
      <c r="CX845" s="11"/>
      <c r="CY845" s="11"/>
      <c r="CZ845" s="11"/>
      <c r="DA845" s="11"/>
      <c r="DB845" s="11"/>
      <c r="DC845" s="11"/>
    </row>
    <row r="846" spans="1:107" ht="12.75" customHeight="1">
      <c r="A846" s="11"/>
      <c r="B846" s="11"/>
      <c r="C846" s="11"/>
      <c r="D846" s="11"/>
      <c r="E846" s="11"/>
      <c r="F846" s="11"/>
      <c r="G846" s="11"/>
      <c r="H846" s="15"/>
      <c r="I846" s="38"/>
      <c r="J846" s="38"/>
      <c r="K846" s="38"/>
      <c r="L846" s="41"/>
      <c r="M846" s="43"/>
      <c r="N846" s="11"/>
      <c r="O846" s="48"/>
      <c r="P846" s="48"/>
      <c r="Q846" s="48"/>
      <c r="R846" s="38"/>
      <c r="S846" s="38"/>
      <c r="T846" s="52"/>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83"/>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83"/>
      <c r="CK846" s="11"/>
      <c r="CL846" s="11"/>
      <c r="CM846" s="11"/>
      <c r="CN846" s="11"/>
      <c r="CO846" s="11"/>
      <c r="CP846" s="11"/>
      <c r="CQ846" s="11"/>
      <c r="CR846" s="11"/>
      <c r="CS846" s="11"/>
      <c r="CT846" s="11"/>
      <c r="CU846" s="11"/>
      <c r="CV846" s="11"/>
      <c r="CW846" s="11"/>
      <c r="CX846" s="11"/>
      <c r="CY846" s="11"/>
      <c r="CZ846" s="11"/>
      <c r="DA846" s="11"/>
      <c r="DB846" s="11"/>
      <c r="DC846" s="11"/>
    </row>
    <row r="847" spans="1:107" ht="12.75" customHeight="1">
      <c r="A847" s="11"/>
      <c r="B847" s="11"/>
      <c r="C847" s="11"/>
      <c r="D847" s="11"/>
      <c r="E847" s="11"/>
      <c r="F847" s="11"/>
      <c r="G847" s="11"/>
      <c r="H847" s="15"/>
      <c r="I847" s="38"/>
      <c r="J847" s="38"/>
      <c r="K847" s="38"/>
      <c r="L847" s="41"/>
      <c r="M847" s="43"/>
      <c r="N847" s="11"/>
      <c r="O847" s="48"/>
      <c r="P847" s="48"/>
      <c r="Q847" s="48"/>
      <c r="R847" s="38"/>
      <c r="S847" s="38"/>
      <c r="T847" s="52"/>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83"/>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c r="BX847" s="11"/>
      <c r="BY847" s="11"/>
      <c r="BZ847" s="11"/>
      <c r="CA847" s="11"/>
      <c r="CB847" s="11"/>
      <c r="CC847" s="11"/>
      <c r="CD847" s="11"/>
      <c r="CE847" s="11"/>
      <c r="CF847" s="11"/>
      <c r="CG847" s="11"/>
      <c r="CH847" s="11"/>
      <c r="CI847" s="11"/>
      <c r="CJ847" s="183"/>
      <c r="CK847" s="11"/>
      <c r="CL847" s="11"/>
      <c r="CM847" s="11"/>
      <c r="CN847" s="11"/>
      <c r="CO847" s="11"/>
      <c r="CP847" s="11"/>
      <c r="CQ847" s="11"/>
      <c r="CR847" s="11"/>
      <c r="CS847" s="11"/>
      <c r="CT847" s="11"/>
      <c r="CU847" s="11"/>
      <c r="CV847" s="11"/>
      <c r="CW847" s="11"/>
      <c r="CX847" s="11"/>
      <c r="CY847" s="11"/>
      <c r="CZ847" s="11"/>
      <c r="DA847" s="11"/>
      <c r="DB847" s="11"/>
      <c r="DC847" s="11"/>
    </row>
    <row r="848" spans="1:107" ht="12.75" customHeight="1">
      <c r="A848" s="11"/>
      <c r="B848" s="11"/>
      <c r="C848" s="11"/>
      <c r="D848" s="11"/>
      <c r="E848" s="11"/>
      <c r="F848" s="11"/>
      <c r="G848" s="11"/>
      <c r="H848" s="15"/>
      <c r="I848" s="38"/>
      <c r="J848" s="38"/>
      <c r="K848" s="38"/>
      <c r="L848" s="41"/>
      <c r="M848" s="43"/>
      <c r="N848" s="11"/>
      <c r="O848" s="48"/>
      <c r="P848" s="48"/>
      <c r="Q848" s="48"/>
      <c r="R848" s="38"/>
      <c r="S848" s="38"/>
      <c r="T848" s="52"/>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83"/>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c r="CF848" s="11"/>
      <c r="CG848" s="11"/>
      <c r="CH848" s="11"/>
      <c r="CI848" s="11"/>
      <c r="CJ848" s="183"/>
      <c r="CK848" s="11"/>
      <c r="CL848" s="11"/>
      <c r="CM848" s="11"/>
      <c r="CN848" s="11"/>
      <c r="CO848" s="11"/>
      <c r="CP848" s="11"/>
      <c r="CQ848" s="11"/>
      <c r="CR848" s="11"/>
      <c r="CS848" s="11"/>
      <c r="CT848" s="11"/>
      <c r="CU848" s="11"/>
      <c r="CV848" s="11"/>
      <c r="CW848" s="11"/>
      <c r="CX848" s="11"/>
      <c r="CY848" s="11"/>
      <c r="CZ848" s="11"/>
      <c r="DA848" s="11"/>
      <c r="DB848" s="11"/>
      <c r="DC848" s="11"/>
    </row>
    <row r="849" spans="1:107" ht="12.75" customHeight="1">
      <c r="A849" s="11"/>
      <c r="B849" s="11"/>
      <c r="C849" s="11"/>
      <c r="D849" s="11"/>
      <c r="E849" s="11"/>
      <c r="F849" s="11"/>
      <c r="G849" s="11"/>
      <c r="H849" s="15"/>
      <c r="I849" s="38"/>
      <c r="J849" s="38"/>
      <c r="K849" s="38"/>
      <c r="L849" s="41"/>
      <c r="M849" s="43"/>
      <c r="N849" s="11"/>
      <c r="O849" s="48"/>
      <c r="P849" s="48"/>
      <c r="Q849" s="48"/>
      <c r="R849" s="38"/>
      <c r="S849" s="38"/>
      <c r="T849" s="52"/>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83"/>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c r="CF849" s="11"/>
      <c r="CG849" s="11"/>
      <c r="CH849" s="11"/>
      <c r="CI849" s="11"/>
      <c r="CJ849" s="183"/>
      <c r="CK849" s="11"/>
      <c r="CL849" s="11"/>
      <c r="CM849" s="11"/>
      <c r="CN849" s="11"/>
      <c r="CO849" s="11"/>
      <c r="CP849" s="11"/>
      <c r="CQ849" s="11"/>
      <c r="CR849" s="11"/>
      <c r="CS849" s="11"/>
      <c r="CT849" s="11"/>
      <c r="CU849" s="11"/>
      <c r="CV849" s="11"/>
      <c r="CW849" s="11"/>
      <c r="CX849" s="11"/>
      <c r="CY849" s="11"/>
      <c r="CZ849" s="11"/>
      <c r="DA849" s="11"/>
      <c r="DB849" s="11"/>
      <c r="DC849" s="11"/>
    </row>
    <row r="850" spans="1:107" ht="12.75" customHeight="1">
      <c r="A850" s="11"/>
      <c r="B850" s="11"/>
      <c r="C850" s="11"/>
      <c r="D850" s="11"/>
      <c r="E850" s="11"/>
      <c r="F850" s="11"/>
      <c r="G850" s="11"/>
      <c r="H850" s="15"/>
      <c r="I850" s="38"/>
      <c r="J850" s="38"/>
      <c r="K850" s="38"/>
      <c r="L850" s="41"/>
      <c r="M850" s="43"/>
      <c r="N850" s="11"/>
      <c r="O850" s="48"/>
      <c r="P850" s="48"/>
      <c r="Q850" s="48"/>
      <c r="R850" s="38"/>
      <c r="S850" s="38"/>
      <c r="T850" s="52"/>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83"/>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c r="CF850" s="11"/>
      <c r="CG850" s="11"/>
      <c r="CH850" s="11"/>
      <c r="CI850" s="11"/>
      <c r="CJ850" s="183"/>
      <c r="CK850" s="11"/>
      <c r="CL850" s="11"/>
      <c r="CM850" s="11"/>
      <c r="CN850" s="11"/>
      <c r="CO850" s="11"/>
      <c r="CP850" s="11"/>
      <c r="CQ850" s="11"/>
      <c r="CR850" s="11"/>
      <c r="CS850" s="11"/>
      <c r="CT850" s="11"/>
      <c r="CU850" s="11"/>
      <c r="CV850" s="11"/>
      <c r="CW850" s="11"/>
      <c r="CX850" s="11"/>
      <c r="CY850" s="11"/>
      <c r="CZ850" s="11"/>
      <c r="DA850" s="11"/>
      <c r="DB850" s="11"/>
      <c r="DC850" s="11"/>
    </row>
    <row r="851" spans="1:107" ht="12.75" customHeight="1">
      <c r="A851" s="11"/>
      <c r="B851" s="11"/>
      <c r="C851" s="11"/>
      <c r="D851" s="11"/>
      <c r="E851" s="11"/>
      <c r="F851" s="11"/>
      <c r="G851" s="11"/>
      <c r="H851" s="15"/>
      <c r="I851" s="38"/>
      <c r="J851" s="38"/>
      <c r="K851" s="38"/>
      <c r="L851" s="41"/>
      <c r="M851" s="43"/>
      <c r="N851" s="11"/>
      <c r="O851" s="48"/>
      <c r="P851" s="48"/>
      <c r="Q851" s="48"/>
      <c r="R851" s="38"/>
      <c r="S851" s="38"/>
      <c r="T851" s="52"/>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83"/>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83"/>
      <c r="CK851" s="11"/>
      <c r="CL851" s="11"/>
      <c r="CM851" s="11"/>
      <c r="CN851" s="11"/>
      <c r="CO851" s="11"/>
      <c r="CP851" s="11"/>
      <c r="CQ851" s="11"/>
      <c r="CR851" s="11"/>
      <c r="CS851" s="11"/>
      <c r="CT851" s="11"/>
      <c r="CU851" s="11"/>
      <c r="CV851" s="11"/>
      <c r="CW851" s="11"/>
      <c r="CX851" s="11"/>
      <c r="CY851" s="11"/>
      <c r="CZ851" s="11"/>
      <c r="DA851" s="11"/>
      <c r="DB851" s="11"/>
      <c r="DC851" s="11"/>
    </row>
    <row r="852" spans="1:107" ht="12.75" customHeight="1">
      <c r="A852" s="11"/>
      <c r="B852" s="11"/>
      <c r="C852" s="11"/>
      <c r="D852" s="11"/>
      <c r="E852" s="11"/>
      <c r="F852" s="11"/>
      <c r="G852" s="11"/>
      <c r="H852" s="15"/>
      <c r="I852" s="38"/>
      <c r="J852" s="38"/>
      <c r="K852" s="38"/>
      <c r="L852" s="41"/>
      <c r="M852" s="43"/>
      <c r="N852" s="11"/>
      <c r="O852" s="48"/>
      <c r="P852" s="48"/>
      <c r="Q852" s="48"/>
      <c r="R852" s="38"/>
      <c r="S852" s="38"/>
      <c r="T852" s="52"/>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83"/>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83"/>
      <c r="CK852" s="11"/>
      <c r="CL852" s="11"/>
      <c r="CM852" s="11"/>
      <c r="CN852" s="11"/>
      <c r="CO852" s="11"/>
      <c r="CP852" s="11"/>
      <c r="CQ852" s="11"/>
      <c r="CR852" s="11"/>
      <c r="CS852" s="11"/>
      <c r="CT852" s="11"/>
      <c r="CU852" s="11"/>
      <c r="CV852" s="11"/>
      <c r="CW852" s="11"/>
      <c r="CX852" s="11"/>
      <c r="CY852" s="11"/>
      <c r="CZ852" s="11"/>
      <c r="DA852" s="11"/>
      <c r="DB852" s="11"/>
      <c r="DC852" s="11"/>
    </row>
    <row r="853" spans="1:107" ht="12.75" customHeight="1">
      <c r="A853" s="11"/>
      <c r="B853" s="11"/>
      <c r="C853" s="11"/>
      <c r="D853" s="11"/>
      <c r="E853" s="11"/>
      <c r="F853" s="11"/>
      <c r="G853" s="11"/>
      <c r="H853" s="15"/>
      <c r="I853" s="38"/>
      <c r="J853" s="38"/>
      <c r="K853" s="38"/>
      <c r="L853" s="41"/>
      <c r="M853" s="43"/>
      <c r="N853" s="11"/>
      <c r="O853" s="48"/>
      <c r="P853" s="48"/>
      <c r="Q853" s="48"/>
      <c r="R853" s="38"/>
      <c r="S853" s="38"/>
      <c r="T853" s="52"/>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83"/>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83"/>
      <c r="CK853" s="11"/>
      <c r="CL853" s="11"/>
      <c r="CM853" s="11"/>
      <c r="CN853" s="11"/>
      <c r="CO853" s="11"/>
      <c r="CP853" s="11"/>
      <c r="CQ853" s="11"/>
      <c r="CR853" s="11"/>
      <c r="CS853" s="11"/>
      <c r="CT853" s="11"/>
      <c r="CU853" s="11"/>
      <c r="CV853" s="11"/>
      <c r="CW853" s="11"/>
      <c r="CX853" s="11"/>
      <c r="CY853" s="11"/>
      <c r="CZ853" s="11"/>
      <c r="DA853" s="11"/>
      <c r="DB853" s="11"/>
      <c r="DC853" s="11"/>
    </row>
    <row r="854" spans="1:107" ht="12.75" customHeight="1">
      <c r="A854" s="11"/>
      <c r="B854" s="11"/>
      <c r="C854" s="11"/>
      <c r="D854" s="11"/>
      <c r="E854" s="11"/>
      <c r="F854" s="11"/>
      <c r="G854" s="11"/>
      <c r="H854" s="15"/>
      <c r="I854" s="38"/>
      <c r="J854" s="38"/>
      <c r="K854" s="38"/>
      <c r="L854" s="41"/>
      <c r="M854" s="43"/>
      <c r="N854" s="11"/>
      <c r="O854" s="48"/>
      <c r="P854" s="48"/>
      <c r="Q854" s="48"/>
      <c r="R854" s="38"/>
      <c r="S854" s="38"/>
      <c r="T854" s="52"/>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83"/>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83"/>
      <c r="CK854" s="11"/>
      <c r="CL854" s="11"/>
      <c r="CM854" s="11"/>
      <c r="CN854" s="11"/>
      <c r="CO854" s="11"/>
      <c r="CP854" s="11"/>
      <c r="CQ854" s="11"/>
      <c r="CR854" s="11"/>
      <c r="CS854" s="11"/>
      <c r="CT854" s="11"/>
      <c r="CU854" s="11"/>
      <c r="CV854" s="11"/>
      <c r="CW854" s="11"/>
      <c r="CX854" s="11"/>
      <c r="CY854" s="11"/>
      <c r="CZ854" s="11"/>
      <c r="DA854" s="11"/>
      <c r="DB854" s="11"/>
      <c r="DC854" s="11"/>
    </row>
    <row r="855" spans="1:107" ht="12.75" customHeight="1">
      <c r="A855" s="11"/>
      <c r="B855" s="11"/>
      <c r="C855" s="11"/>
      <c r="D855" s="11"/>
      <c r="E855" s="11"/>
      <c r="F855" s="11"/>
      <c r="G855" s="11"/>
      <c r="H855" s="15"/>
      <c r="I855" s="38"/>
      <c r="J855" s="38"/>
      <c r="K855" s="38"/>
      <c r="L855" s="41"/>
      <c r="M855" s="43"/>
      <c r="N855" s="11"/>
      <c r="O855" s="48"/>
      <c r="P855" s="48"/>
      <c r="Q855" s="48"/>
      <c r="R855" s="38"/>
      <c r="S855" s="38"/>
      <c r="T855" s="52"/>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83"/>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83"/>
      <c r="CK855" s="11"/>
      <c r="CL855" s="11"/>
      <c r="CM855" s="11"/>
      <c r="CN855" s="11"/>
      <c r="CO855" s="11"/>
      <c r="CP855" s="11"/>
      <c r="CQ855" s="11"/>
      <c r="CR855" s="11"/>
      <c r="CS855" s="11"/>
      <c r="CT855" s="11"/>
      <c r="CU855" s="11"/>
      <c r="CV855" s="11"/>
      <c r="CW855" s="11"/>
      <c r="CX855" s="11"/>
      <c r="CY855" s="11"/>
      <c r="CZ855" s="11"/>
      <c r="DA855" s="11"/>
      <c r="DB855" s="11"/>
      <c r="DC855" s="11"/>
    </row>
    <row r="856" spans="1:107" ht="12.75" customHeight="1">
      <c r="A856" s="11"/>
      <c r="B856" s="11"/>
      <c r="C856" s="11"/>
      <c r="D856" s="11"/>
      <c r="E856" s="11"/>
      <c r="F856" s="11"/>
      <c r="G856" s="11"/>
      <c r="H856" s="15"/>
      <c r="I856" s="38"/>
      <c r="J856" s="38"/>
      <c r="K856" s="38"/>
      <c r="L856" s="41"/>
      <c r="M856" s="43"/>
      <c r="N856" s="11"/>
      <c r="O856" s="48"/>
      <c r="P856" s="48"/>
      <c r="Q856" s="48"/>
      <c r="R856" s="38"/>
      <c r="S856" s="38"/>
      <c r="T856" s="52"/>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83"/>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83"/>
      <c r="CK856" s="11"/>
      <c r="CL856" s="11"/>
      <c r="CM856" s="11"/>
      <c r="CN856" s="11"/>
      <c r="CO856" s="11"/>
      <c r="CP856" s="11"/>
      <c r="CQ856" s="11"/>
      <c r="CR856" s="11"/>
      <c r="CS856" s="11"/>
      <c r="CT856" s="11"/>
      <c r="CU856" s="11"/>
      <c r="CV856" s="11"/>
      <c r="CW856" s="11"/>
      <c r="CX856" s="11"/>
      <c r="CY856" s="11"/>
      <c r="CZ856" s="11"/>
      <c r="DA856" s="11"/>
      <c r="DB856" s="11"/>
      <c r="DC856" s="11"/>
    </row>
    <row r="857" spans="1:107" ht="12.75" customHeight="1">
      <c r="A857" s="11"/>
      <c r="B857" s="11"/>
      <c r="C857" s="11"/>
      <c r="D857" s="11"/>
      <c r="E857" s="11"/>
      <c r="F857" s="11"/>
      <c r="G857" s="11"/>
      <c r="H857" s="15"/>
      <c r="I857" s="38"/>
      <c r="J857" s="38"/>
      <c r="K857" s="38"/>
      <c r="L857" s="41"/>
      <c r="M857" s="43"/>
      <c r="N857" s="11"/>
      <c r="O857" s="48"/>
      <c r="P857" s="48"/>
      <c r="Q857" s="48"/>
      <c r="R857" s="38"/>
      <c r="S857" s="38"/>
      <c r="T857" s="52"/>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83"/>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83"/>
      <c r="CK857" s="11"/>
      <c r="CL857" s="11"/>
      <c r="CM857" s="11"/>
      <c r="CN857" s="11"/>
      <c r="CO857" s="11"/>
      <c r="CP857" s="11"/>
      <c r="CQ857" s="11"/>
      <c r="CR857" s="11"/>
      <c r="CS857" s="11"/>
      <c r="CT857" s="11"/>
      <c r="CU857" s="11"/>
      <c r="CV857" s="11"/>
      <c r="CW857" s="11"/>
      <c r="CX857" s="11"/>
      <c r="CY857" s="11"/>
      <c r="CZ857" s="11"/>
      <c r="DA857" s="11"/>
      <c r="DB857" s="11"/>
      <c r="DC857" s="11"/>
    </row>
    <row r="858" spans="1:107" ht="12.75" customHeight="1">
      <c r="A858" s="11"/>
      <c r="B858" s="11"/>
      <c r="C858" s="11"/>
      <c r="D858" s="11"/>
      <c r="E858" s="11"/>
      <c r="F858" s="11"/>
      <c r="G858" s="11"/>
      <c r="H858" s="15"/>
      <c r="I858" s="38"/>
      <c r="J858" s="38"/>
      <c r="K858" s="38"/>
      <c r="L858" s="41"/>
      <c r="M858" s="43"/>
      <c r="N858" s="11"/>
      <c r="O858" s="48"/>
      <c r="P858" s="48"/>
      <c r="Q858" s="48"/>
      <c r="R858" s="38"/>
      <c r="S858" s="38"/>
      <c r="T858" s="52"/>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83"/>
      <c r="AX858" s="11"/>
      <c r="AY858" s="11"/>
      <c r="AZ858" s="11"/>
      <c r="BA858" s="11"/>
      <c r="BB858" s="11"/>
      <c r="BC858" s="11"/>
      <c r="BD858" s="11"/>
      <c r="BE858" s="11"/>
      <c r="BF858" s="11"/>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83"/>
      <c r="CK858" s="11"/>
      <c r="CL858" s="11"/>
      <c r="CM858" s="11"/>
      <c r="CN858" s="11"/>
      <c r="CO858" s="11"/>
      <c r="CP858" s="11"/>
      <c r="CQ858" s="11"/>
      <c r="CR858" s="11"/>
      <c r="CS858" s="11"/>
      <c r="CT858" s="11"/>
      <c r="CU858" s="11"/>
      <c r="CV858" s="11"/>
      <c r="CW858" s="11"/>
      <c r="CX858" s="11"/>
      <c r="CY858" s="11"/>
      <c r="CZ858" s="11"/>
      <c r="DA858" s="11"/>
      <c r="DB858" s="11"/>
      <c r="DC858" s="11"/>
    </row>
    <row r="859" spans="1:107" ht="12.75" customHeight="1">
      <c r="A859" s="11"/>
      <c r="B859" s="11"/>
      <c r="C859" s="11"/>
      <c r="D859" s="11"/>
      <c r="E859" s="11"/>
      <c r="F859" s="11"/>
      <c r="G859" s="11"/>
      <c r="H859" s="15"/>
      <c r="I859" s="38"/>
      <c r="J859" s="38"/>
      <c r="K859" s="38"/>
      <c r="L859" s="41"/>
      <c r="M859" s="43"/>
      <c r="N859" s="11"/>
      <c r="O859" s="48"/>
      <c r="P859" s="48"/>
      <c r="Q859" s="48"/>
      <c r="R859" s="38"/>
      <c r="S859" s="38"/>
      <c r="T859" s="52"/>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83"/>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83"/>
      <c r="CK859" s="11"/>
      <c r="CL859" s="11"/>
      <c r="CM859" s="11"/>
      <c r="CN859" s="11"/>
      <c r="CO859" s="11"/>
      <c r="CP859" s="11"/>
      <c r="CQ859" s="11"/>
      <c r="CR859" s="11"/>
      <c r="CS859" s="11"/>
      <c r="CT859" s="11"/>
      <c r="CU859" s="11"/>
      <c r="CV859" s="11"/>
      <c r="CW859" s="11"/>
      <c r="CX859" s="11"/>
      <c r="CY859" s="11"/>
      <c r="CZ859" s="11"/>
      <c r="DA859" s="11"/>
      <c r="DB859" s="11"/>
      <c r="DC859" s="11"/>
    </row>
    <row r="860" spans="1:107" ht="12.75" customHeight="1">
      <c r="A860" s="11"/>
      <c r="B860" s="11"/>
      <c r="C860" s="11"/>
      <c r="D860" s="11"/>
      <c r="E860" s="11"/>
      <c r="F860" s="11"/>
      <c r="G860" s="11"/>
      <c r="H860" s="15"/>
      <c r="I860" s="38"/>
      <c r="J860" s="38"/>
      <c r="K860" s="38"/>
      <c r="L860" s="41"/>
      <c r="M860" s="43"/>
      <c r="N860" s="11"/>
      <c r="O860" s="48"/>
      <c r="P860" s="48"/>
      <c r="Q860" s="48"/>
      <c r="R860" s="38"/>
      <c r="S860" s="38"/>
      <c r="T860" s="52"/>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83"/>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83"/>
      <c r="CK860" s="11"/>
      <c r="CL860" s="11"/>
      <c r="CM860" s="11"/>
      <c r="CN860" s="11"/>
      <c r="CO860" s="11"/>
      <c r="CP860" s="11"/>
      <c r="CQ860" s="11"/>
      <c r="CR860" s="11"/>
      <c r="CS860" s="11"/>
      <c r="CT860" s="11"/>
      <c r="CU860" s="11"/>
      <c r="CV860" s="11"/>
      <c r="CW860" s="11"/>
      <c r="CX860" s="11"/>
      <c r="CY860" s="11"/>
      <c r="CZ860" s="11"/>
      <c r="DA860" s="11"/>
      <c r="DB860" s="11"/>
      <c r="DC860" s="11"/>
    </row>
    <row r="861" spans="1:107" ht="12.75" customHeight="1">
      <c r="A861" s="11"/>
      <c r="B861" s="11"/>
      <c r="C861" s="11"/>
      <c r="D861" s="11"/>
      <c r="E861" s="11"/>
      <c r="F861" s="11"/>
      <c r="G861" s="11"/>
      <c r="H861" s="15"/>
      <c r="I861" s="38"/>
      <c r="J861" s="38"/>
      <c r="K861" s="38"/>
      <c r="L861" s="41"/>
      <c r="M861" s="43"/>
      <c r="N861" s="11"/>
      <c r="O861" s="48"/>
      <c r="P861" s="48"/>
      <c r="Q861" s="48"/>
      <c r="R861" s="38"/>
      <c r="S861" s="38"/>
      <c r="T861" s="52"/>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83"/>
      <c r="AX861" s="11"/>
      <c r="AY861" s="11"/>
      <c r="AZ861" s="11"/>
      <c r="BA861" s="11"/>
      <c r="BB861" s="11"/>
      <c r="BC861" s="11"/>
      <c r="BD861" s="11"/>
      <c r="BE861" s="11"/>
      <c r="BF861" s="11"/>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83"/>
      <c r="CK861" s="11"/>
      <c r="CL861" s="11"/>
      <c r="CM861" s="11"/>
      <c r="CN861" s="11"/>
      <c r="CO861" s="11"/>
      <c r="CP861" s="11"/>
      <c r="CQ861" s="11"/>
      <c r="CR861" s="11"/>
      <c r="CS861" s="11"/>
      <c r="CT861" s="11"/>
      <c r="CU861" s="11"/>
      <c r="CV861" s="11"/>
      <c r="CW861" s="11"/>
      <c r="CX861" s="11"/>
      <c r="CY861" s="11"/>
      <c r="CZ861" s="11"/>
      <c r="DA861" s="11"/>
      <c r="DB861" s="11"/>
      <c r="DC861" s="11"/>
    </row>
    <row r="862" spans="1:107" ht="12.75" customHeight="1">
      <c r="A862" s="11"/>
      <c r="B862" s="11"/>
      <c r="C862" s="11"/>
      <c r="D862" s="11"/>
      <c r="E862" s="11"/>
      <c r="F862" s="11"/>
      <c r="G862" s="11"/>
      <c r="H862" s="15"/>
      <c r="I862" s="38"/>
      <c r="J862" s="38"/>
      <c r="K862" s="38"/>
      <c r="L862" s="41"/>
      <c r="M862" s="43"/>
      <c r="N862" s="11"/>
      <c r="O862" s="48"/>
      <c r="P862" s="48"/>
      <c r="Q862" s="48"/>
      <c r="R862" s="38"/>
      <c r="S862" s="38"/>
      <c r="T862" s="52"/>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83"/>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83"/>
      <c r="CK862" s="11"/>
      <c r="CL862" s="11"/>
      <c r="CM862" s="11"/>
      <c r="CN862" s="11"/>
      <c r="CO862" s="11"/>
      <c r="CP862" s="11"/>
      <c r="CQ862" s="11"/>
      <c r="CR862" s="11"/>
      <c r="CS862" s="11"/>
      <c r="CT862" s="11"/>
      <c r="CU862" s="11"/>
      <c r="CV862" s="11"/>
      <c r="CW862" s="11"/>
      <c r="CX862" s="11"/>
      <c r="CY862" s="11"/>
      <c r="CZ862" s="11"/>
      <c r="DA862" s="11"/>
      <c r="DB862" s="11"/>
      <c r="DC862" s="11"/>
    </row>
    <row r="863" spans="1:107" ht="12.75" customHeight="1">
      <c r="A863" s="11"/>
      <c r="B863" s="11"/>
      <c r="C863" s="11"/>
      <c r="D863" s="11"/>
      <c r="E863" s="11"/>
      <c r="F863" s="11"/>
      <c r="G863" s="11"/>
      <c r="H863" s="15"/>
      <c r="I863" s="38"/>
      <c r="J863" s="38"/>
      <c r="K863" s="38"/>
      <c r="L863" s="41"/>
      <c r="M863" s="43"/>
      <c r="N863" s="11"/>
      <c r="O863" s="48"/>
      <c r="P863" s="48"/>
      <c r="Q863" s="48"/>
      <c r="R863" s="38"/>
      <c r="S863" s="38"/>
      <c r="T863" s="52"/>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83"/>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83"/>
      <c r="CK863" s="11"/>
      <c r="CL863" s="11"/>
      <c r="CM863" s="11"/>
      <c r="CN863" s="11"/>
      <c r="CO863" s="11"/>
      <c r="CP863" s="11"/>
      <c r="CQ863" s="11"/>
      <c r="CR863" s="11"/>
      <c r="CS863" s="11"/>
      <c r="CT863" s="11"/>
      <c r="CU863" s="11"/>
      <c r="CV863" s="11"/>
      <c r="CW863" s="11"/>
      <c r="CX863" s="11"/>
      <c r="CY863" s="11"/>
      <c r="CZ863" s="11"/>
      <c r="DA863" s="11"/>
      <c r="DB863" s="11"/>
      <c r="DC863" s="11"/>
    </row>
    <row r="864" spans="1:107" ht="12.75" customHeight="1">
      <c r="A864" s="11"/>
      <c r="B864" s="11"/>
      <c r="C864" s="11"/>
      <c r="D864" s="11"/>
      <c r="E864" s="11"/>
      <c r="F864" s="11"/>
      <c r="G864" s="11"/>
      <c r="H864" s="15"/>
      <c r="I864" s="38"/>
      <c r="J864" s="38"/>
      <c r="K864" s="38"/>
      <c r="L864" s="41"/>
      <c r="M864" s="43"/>
      <c r="N864" s="11"/>
      <c r="O864" s="48"/>
      <c r="P864" s="48"/>
      <c r="Q864" s="48"/>
      <c r="R864" s="38"/>
      <c r="S864" s="38"/>
      <c r="T864" s="52"/>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83"/>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83"/>
      <c r="CK864" s="11"/>
      <c r="CL864" s="11"/>
      <c r="CM864" s="11"/>
      <c r="CN864" s="11"/>
      <c r="CO864" s="11"/>
      <c r="CP864" s="11"/>
      <c r="CQ864" s="11"/>
      <c r="CR864" s="11"/>
      <c r="CS864" s="11"/>
      <c r="CT864" s="11"/>
      <c r="CU864" s="11"/>
      <c r="CV864" s="11"/>
      <c r="CW864" s="11"/>
      <c r="CX864" s="11"/>
      <c r="CY864" s="11"/>
      <c r="CZ864" s="11"/>
      <c r="DA864" s="11"/>
      <c r="DB864" s="11"/>
      <c r="DC864" s="11"/>
    </row>
    <row r="865" spans="1:107" ht="12.75" customHeight="1">
      <c r="A865" s="11"/>
      <c r="B865" s="11"/>
      <c r="C865" s="11"/>
      <c r="D865" s="11"/>
      <c r="E865" s="11"/>
      <c r="F865" s="11"/>
      <c r="G865" s="11"/>
      <c r="H865" s="15"/>
      <c r="I865" s="38"/>
      <c r="J865" s="38"/>
      <c r="K865" s="38"/>
      <c r="L865" s="41"/>
      <c r="M865" s="43"/>
      <c r="N865" s="11"/>
      <c r="O865" s="48"/>
      <c r="P865" s="48"/>
      <c r="Q865" s="48"/>
      <c r="R865" s="38"/>
      <c r="S865" s="38"/>
      <c r="T865" s="52"/>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83"/>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83"/>
      <c r="CK865" s="11"/>
      <c r="CL865" s="11"/>
      <c r="CM865" s="11"/>
      <c r="CN865" s="11"/>
      <c r="CO865" s="11"/>
      <c r="CP865" s="11"/>
      <c r="CQ865" s="11"/>
      <c r="CR865" s="11"/>
      <c r="CS865" s="11"/>
      <c r="CT865" s="11"/>
      <c r="CU865" s="11"/>
      <c r="CV865" s="11"/>
      <c r="CW865" s="11"/>
      <c r="CX865" s="11"/>
      <c r="CY865" s="11"/>
      <c r="CZ865" s="11"/>
      <c r="DA865" s="11"/>
      <c r="DB865" s="11"/>
      <c r="DC865" s="11"/>
    </row>
    <row r="866" spans="1:107" ht="12.75" customHeight="1">
      <c r="A866" s="11"/>
      <c r="B866" s="11"/>
      <c r="C866" s="11"/>
      <c r="D866" s="11"/>
      <c r="E866" s="11"/>
      <c r="F866" s="11"/>
      <c r="G866" s="11"/>
      <c r="H866" s="15"/>
      <c r="I866" s="38"/>
      <c r="J866" s="38"/>
      <c r="K866" s="38"/>
      <c r="L866" s="41"/>
      <c r="M866" s="43"/>
      <c r="N866" s="11"/>
      <c r="O866" s="48"/>
      <c r="P866" s="48"/>
      <c r="Q866" s="48"/>
      <c r="R866" s="38"/>
      <c r="S866" s="38"/>
      <c r="T866" s="52"/>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83"/>
      <c r="AX866" s="11"/>
      <c r="AY866" s="11"/>
      <c r="AZ866" s="11"/>
      <c r="BA866" s="11"/>
      <c r="BB866" s="11"/>
      <c r="BC866" s="11"/>
      <c r="BD866" s="11"/>
      <c r="BE866" s="11"/>
      <c r="BF866" s="11"/>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83"/>
      <c r="CK866" s="11"/>
      <c r="CL866" s="11"/>
      <c r="CM866" s="11"/>
      <c r="CN866" s="11"/>
      <c r="CO866" s="11"/>
      <c r="CP866" s="11"/>
      <c r="CQ866" s="11"/>
      <c r="CR866" s="11"/>
      <c r="CS866" s="11"/>
      <c r="CT866" s="11"/>
      <c r="CU866" s="11"/>
      <c r="CV866" s="11"/>
      <c r="CW866" s="11"/>
      <c r="CX866" s="11"/>
      <c r="CY866" s="11"/>
      <c r="CZ866" s="11"/>
      <c r="DA866" s="11"/>
      <c r="DB866" s="11"/>
      <c r="DC866" s="11"/>
    </row>
    <row r="867" spans="1:107" ht="12.75" customHeight="1">
      <c r="A867" s="11"/>
      <c r="B867" s="11"/>
      <c r="C867" s="11"/>
      <c r="D867" s="11"/>
      <c r="E867" s="11"/>
      <c r="F867" s="11"/>
      <c r="G867" s="11"/>
      <c r="H867" s="15"/>
      <c r="I867" s="38"/>
      <c r="J867" s="38"/>
      <c r="K867" s="38"/>
      <c r="L867" s="41"/>
      <c r="M867" s="43"/>
      <c r="N867" s="11"/>
      <c r="O867" s="48"/>
      <c r="P867" s="48"/>
      <c r="Q867" s="48"/>
      <c r="R867" s="38"/>
      <c r="S867" s="38"/>
      <c r="T867" s="52"/>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83"/>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83"/>
      <c r="CK867" s="11"/>
      <c r="CL867" s="11"/>
      <c r="CM867" s="11"/>
      <c r="CN867" s="11"/>
      <c r="CO867" s="11"/>
      <c r="CP867" s="11"/>
      <c r="CQ867" s="11"/>
      <c r="CR867" s="11"/>
      <c r="CS867" s="11"/>
      <c r="CT867" s="11"/>
      <c r="CU867" s="11"/>
      <c r="CV867" s="11"/>
      <c r="CW867" s="11"/>
      <c r="CX867" s="11"/>
      <c r="CY867" s="11"/>
      <c r="CZ867" s="11"/>
      <c r="DA867" s="11"/>
      <c r="DB867" s="11"/>
      <c r="DC867" s="11"/>
    </row>
    <row r="868" spans="1:107" ht="12.75" customHeight="1">
      <c r="A868" s="11"/>
      <c r="B868" s="11"/>
      <c r="C868" s="11"/>
      <c r="D868" s="11"/>
      <c r="E868" s="11"/>
      <c r="F868" s="11"/>
      <c r="G868" s="11"/>
      <c r="H868" s="15"/>
      <c r="I868" s="38"/>
      <c r="J868" s="38"/>
      <c r="K868" s="38"/>
      <c r="L868" s="41"/>
      <c r="M868" s="43"/>
      <c r="N868" s="11"/>
      <c r="O868" s="48"/>
      <c r="P868" s="48"/>
      <c r="Q868" s="48"/>
      <c r="R868" s="38"/>
      <c r="S868" s="38"/>
      <c r="T868" s="52"/>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83"/>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83"/>
      <c r="CK868" s="11"/>
      <c r="CL868" s="11"/>
      <c r="CM868" s="11"/>
      <c r="CN868" s="11"/>
      <c r="CO868" s="11"/>
      <c r="CP868" s="11"/>
      <c r="CQ868" s="11"/>
      <c r="CR868" s="11"/>
      <c r="CS868" s="11"/>
      <c r="CT868" s="11"/>
      <c r="CU868" s="11"/>
      <c r="CV868" s="11"/>
      <c r="CW868" s="11"/>
      <c r="CX868" s="11"/>
      <c r="CY868" s="11"/>
      <c r="CZ868" s="11"/>
      <c r="DA868" s="11"/>
      <c r="DB868" s="11"/>
      <c r="DC868" s="11"/>
    </row>
    <row r="869" spans="1:107" ht="12.75" customHeight="1">
      <c r="A869" s="11"/>
      <c r="B869" s="11"/>
      <c r="C869" s="11"/>
      <c r="D869" s="11"/>
      <c r="E869" s="11"/>
      <c r="F869" s="11"/>
      <c r="G869" s="11"/>
      <c r="H869" s="15"/>
      <c r="I869" s="38"/>
      <c r="J869" s="38"/>
      <c r="K869" s="38"/>
      <c r="L869" s="41"/>
      <c r="M869" s="43"/>
      <c r="N869" s="11"/>
      <c r="O869" s="48"/>
      <c r="P869" s="48"/>
      <c r="Q869" s="48"/>
      <c r="R869" s="38"/>
      <c r="S869" s="38"/>
      <c r="T869" s="52"/>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83"/>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83"/>
      <c r="CK869" s="11"/>
      <c r="CL869" s="11"/>
      <c r="CM869" s="11"/>
      <c r="CN869" s="11"/>
      <c r="CO869" s="11"/>
      <c r="CP869" s="11"/>
      <c r="CQ869" s="11"/>
      <c r="CR869" s="11"/>
      <c r="CS869" s="11"/>
      <c r="CT869" s="11"/>
      <c r="CU869" s="11"/>
      <c r="CV869" s="11"/>
      <c r="CW869" s="11"/>
      <c r="CX869" s="11"/>
      <c r="CY869" s="11"/>
      <c r="CZ869" s="11"/>
      <c r="DA869" s="11"/>
      <c r="DB869" s="11"/>
      <c r="DC869" s="11"/>
    </row>
    <row r="870" spans="1:107" ht="12.75" customHeight="1">
      <c r="A870" s="11"/>
      <c r="B870" s="11"/>
      <c r="C870" s="11"/>
      <c r="D870" s="11"/>
      <c r="E870" s="11"/>
      <c r="F870" s="11"/>
      <c r="G870" s="11"/>
      <c r="H870" s="15"/>
      <c r="I870" s="38"/>
      <c r="J870" s="38"/>
      <c r="K870" s="38"/>
      <c r="L870" s="41"/>
      <c r="M870" s="43"/>
      <c r="N870" s="11"/>
      <c r="O870" s="48"/>
      <c r="P870" s="48"/>
      <c r="Q870" s="48"/>
      <c r="R870" s="38"/>
      <c r="S870" s="38"/>
      <c r="T870" s="52"/>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83"/>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83"/>
      <c r="CK870" s="11"/>
      <c r="CL870" s="11"/>
      <c r="CM870" s="11"/>
      <c r="CN870" s="11"/>
      <c r="CO870" s="11"/>
      <c r="CP870" s="11"/>
      <c r="CQ870" s="11"/>
      <c r="CR870" s="11"/>
      <c r="CS870" s="11"/>
      <c r="CT870" s="11"/>
      <c r="CU870" s="11"/>
      <c r="CV870" s="11"/>
      <c r="CW870" s="11"/>
      <c r="CX870" s="11"/>
      <c r="CY870" s="11"/>
      <c r="CZ870" s="11"/>
      <c r="DA870" s="11"/>
      <c r="DB870" s="11"/>
      <c r="DC870" s="11"/>
    </row>
    <row r="871" spans="1:107" ht="12.75" customHeight="1">
      <c r="A871" s="11"/>
      <c r="B871" s="11"/>
      <c r="C871" s="11"/>
      <c r="D871" s="11"/>
      <c r="E871" s="11"/>
      <c r="F871" s="11"/>
      <c r="G871" s="11"/>
      <c r="H871" s="15"/>
      <c r="I871" s="38"/>
      <c r="J871" s="38"/>
      <c r="K871" s="38"/>
      <c r="L871" s="41"/>
      <c r="M871" s="43"/>
      <c r="N871" s="11"/>
      <c r="O871" s="48"/>
      <c r="P871" s="48"/>
      <c r="Q871" s="48"/>
      <c r="R871" s="38"/>
      <c r="S871" s="38"/>
      <c r="T871" s="52"/>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83"/>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83"/>
      <c r="CK871" s="11"/>
      <c r="CL871" s="11"/>
      <c r="CM871" s="11"/>
      <c r="CN871" s="11"/>
      <c r="CO871" s="11"/>
      <c r="CP871" s="11"/>
      <c r="CQ871" s="11"/>
      <c r="CR871" s="11"/>
      <c r="CS871" s="11"/>
      <c r="CT871" s="11"/>
      <c r="CU871" s="11"/>
      <c r="CV871" s="11"/>
      <c r="CW871" s="11"/>
      <c r="CX871" s="11"/>
      <c r="CY871" s="11"/>
      <c r="CZ871" s="11"/>
      <c r="DA871" s="11"/>
      <c r="DB871" s="11"/>
      <c r="DC871" s="11"/>
    </row>
    <row r="872" spans="1:107" ht="12.75" customHeight="1">
      <c r="A872" s="11"/>
      <c r="B872" s="11"/>
      <c r="C872" s="11"/>
      <c r="D872" s="11"/>
      <c r="E872" s="11"/>
      <c r="F872" s="11"/>
      <c r="G872" s="11"/>
      <c r="H872" s="15"/>
      <c r="I872" s="38"/>
      <c r="J872" s="38"/>
      <c r="K872" s="38"/>
      <c r="L872" s="41"/>
      <c r="M872" s="43"/>
      <c r="N872" s="11"/>
      <c r="O872" s="48"/>
      <c r="P872" s="48"/>
      <c r="Q872" s="48"/>
      <c r="R872" s="38"/>
      <c r="S872" s="38"/>
      <c r="T872" s="52"/>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83"/>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83"/>
      <c r="CK872" s="11"/>
      <c r="CL872" s="11"/>
      <c r="CM872" s="11"/>
      <c r="CN872" s="11"/>
      <c r="CO872" s="11"/>
      <c r="CP872" s="11"/>
      <c r="CQ872" s="11"/>
      <c r="CR872" s="11"/>
      <c r="CS872" s="11"/>
      <c r="CT872" s="11"/>
      <c r="CU872" s="11"/>
      <c r="CV872" s="11"/>
      <c r="CW872" s="11"/>
      <c r="CX872" s="11"/>
      <c r="CY872" s="11"/>
      <c r="CZ872" s="11"/>
      <c r="DA872" s="11"/>
      <c r="DB872" s="11"/>
      <c r="DC872" s="11"/>
    </row>
    <row r="873" spans="1:107" ht="12.75" customHeight="1">
      <c r="A873" s="11"/>
      <c r="B873" s="11"/>
      <c r="C873" s="11"/>
      <c r="D873" s="11"/>
      <c r="E873" s="11"/>
      <c r="F873" s="11"/>
      <c r="G873" s="11"/>
      <c r="H873" s="15"/>
      <c r="I873" s="38"/>
      <c r="J873" s="38"/>
      <c r="K873" s="38"/>
      <c r="L873" s="41"/>
      <c r="M873" s="43"/>
      <c r="N873" s="11"/>
      <c r="O873" s="48"/>
      <c r="P873" s="48"/>
      <c r="Q873" s="48"/>
      <c r="R873" s="38"/>
      <c r="S873" s="38"/>
      <c r="T873" s="52"/>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83"/>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83"/>
      <c r="CK873" s="11"/>
      <c r="CL873" s="11"/>
      <c r="CM873" s="11"/>
      <c r="CN873" s="11"/>
      <c r="CO873" s="11"/>
      <c r="CP873" s="11"/>
      <c r="CQ873" s="11"/>
      <c r="CR873" s="11"/>
      <c r="CS873" s="11"/>
      <c r="CT873" s="11"/>
      <c r="CU873" s="11"/>
      <c r="CV873" s="11"/>
      <c r="CW873" s="11"/>
      <c r="CX873" s="11"/>
      <c r="CY873" s="11"/>
      <c r="CZ873" s="11"/>
      <c r="DA873" s="11"/>
      <c r="DB873" s="11"/>
      <c r="DC873" s="11"/>
    </row>
    <row r="874" spans="1:107" ht="12.75" customHeight="1">
      <c r="A874" s="11"/>
      <c r="B874" s="11"/>
      <c r="C874" s="11"/>
      <c r="D874" s="11"/>
      <c r="E874" s="11"/>
      <c r="F874" s="11"/>
      <c r="G874" s="11"/>
      <c r="H874" s="15"/>
      <c r="I874" s="38"/>
      <c r="J874" s="38"/>
      <c r="K874" s="38"/>
      <c r="L874" s="41"/>
      <c r="M874" s="43"/>
      <c r="N874" s="11"/>
      <c r="O874" s="48"/>
      <c r="P874" s="48"/>
      <c r="Q874" s="48"/>
      <c r="R874" s="38"/>
      <c r="S874" s="38"/>
      <c r="T874" s="52"/>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83"/>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83"/>
      <c r="CK874" s="11"/>
      <c r="CL874" s="11"/>
      <c r="CM874" s="11"/>
      <c r="CN874" s="11"/>
      <c r="CO874" s="11"/>
      <c r="CP874" s="11"/>
      <c r="CQ874" s="11"/>
      <c r="CR874" s="11"/>
      <c r="CS874" s="11"/>
      <c r="CT874" s="11"/>
      <c r="CU874" s="11"/>
      <c r="CV874" s="11"/>
      <c r="CW874" s="11"/>
      <c r="CX874" s="11"/>
      <c r="CY874" s="11"/>
      <c r="CZ874" s="11"/>
      <c r="DA874" s="11"/>
      <c r="DB874" s="11"/>
      <c r="DC874" s="11"/>
    </row>
    <row r="875" spans="1:107" ht="12.75" customHeight="1">
      <c r="A875" s="11"/>
      <c r="B875" s="11"/>
      <c r="C875" s="11"/>
      <c r="D875" s="11"/>
      <c r="E875" s="11"/>
      <c r="F875" s="11"/>
      <c r="G875" s="11"/>
      <c r="H875" s="15"/>
      <c r="I875" s="38"/>
      <c r="J875" s="38"/>
      <c r="K875" s="38"/>
      <c r="L875" s="41"/>
      <c r="M875" s="43"/>
      <c r="N875" s="11"/>
      <c r="O875" s="48"/>
      <c r="P875" s="48"/>
      <c r="Q875" s="48"/>
      <c r="R875" s="38"/>
      <c r="S875" s="38"/>
      <c r="T875" s="52"/>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83"/>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83"/>
      <c r="CK875" s="11"/>
      <c r="CL875" s="11"/>
      <c r="CM875" s="11"/>
      <c r="CN875" s="11"/>
      <c r="CO875" s="11"/>
      <c r="CP875" s="11"/>
      <c r="CQ875" s="11"/>
      <c r="CR875" s="11"/>
      <c r="CS875" s="11"/>
      <c r="CT875" s="11"/>
      <c r="CU875" s="11"/>
      <c r="CV875" s="11"/>
      <c r="CW875" s="11"/>
      <c r="CX875" s="11"/>
      <c r="CY875" s="11"/>
      <c r="CZ875" s="11"/>
      <c r="DA875" s="11"/>
      <c r="DB875" s="11"/>
      <c r="DC875" s="11"/>
    </row>
    <row r="876" spans="1:107" ht="12.75" customHeight="1">
      <c r="A876" s="11"/>
      <c r="B876" s="11"/>
      <c r="C876" s="11"/>
      <c r="D876" s="11"/>
      <c r="E876" s="11"/>
      <c r="F876" s="11"/>
      <c r="G876" s="11"/>
      <c r="H876" s="15"/>
      <c r="I876" s="38"/>
      <c r="J876" s="38"/>
      <c r="K876" s="38"/>
      <c r="L876" s="41"/>
      <c r="M876" s="43"/>
      <c r="N876" s="11"/>
      <c r="O876" s="48"/>
      <c r="P876" s="48"/>
      <c r="Q876" s="48"/>
      <c r="R876" s="38"/>
      <c r="S876" s="38"/>
      <c r="T876" s="52"/>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83"/>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83"/>
      <c r="CK876" s="11"/>
      <c r="CL876" s="11"/>
      <c r="CM876" s="11"/>
      <c r="CN876" s="11"/>
      <c r="CO876" s="11"/>
      <c r="CP876" s="11"/>
      <c r="CQ876" s="11"/>
      <c r="CR876" s="11"/>
      <c r="CS876" s="11"/>
      <c r="CT876" s="11"/>
      <c r="CU876" s="11"/>
      <c r="CV876" s="11"/>
      <c r="CW876" s="11"/>
      <c r="CX876" s="11"/>
      <c r="CY876" s="11"/>
      <c r="CZ876" s="11"/>
      <c r="DA876" s="11"/>
      <c r="DB876" s="11"/>
      <c r="DC876" s="11"/>
    </row>
    <row r="877" spans="1:107" ht="12.75" customHeight="1">
      <c r="A877" s="11"/>
      <c r="B877" s="11"/>
      <c r="C877" s="11"/>
      <c r="D877" s="11"/>
      <c r="E877" s="11"/>
      <c r="F877" s="11"/>
      <c r="G877" s="11"/>
      <c r="H877" s="15"/>
      <c r="I877" s="38"/>
      <c r="J877" s="38"/>
      <c r="K877" s="38"/>
      <c r="L877" s="41"/>
      <c r="M877" s="43"/>
      <c r="N877" s="11"/>
      <c r="O877" s="48"/>
      <c r="P877" s="48"/>
      <c r="Q877" s="48"/>
      <c r="R877" s="38"/>
      <c r="S877" s="38"/>
      <c r="T877" s="52"/>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83"/>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83"/>
      <c r="CK877" s="11"/>
      <c r="CL877" s="11"/>
      <c r="CM877" s="11"/>
      <c r="CN877" s="11"/>
      <c r="CO877" s="11"/>
      <c r="CP877" s="11"/>
      <c r="CQ877" s="11"/>
      <c r="CR877" s="11"/>
      <c r="CS877" s="11"/>
      <c r="CT877" s="11"/>
      <c r="CU877" s="11"/>
      <c r="CV877" s="11"/>
      <c r="CW877" s="11"/>
      <c r="CX877" s="11"/>
      <c r="CY877" s="11"/>
      <c r="CZ877" s="11"/>
      <c r="DA877" s="11"/>
      <c r="DB877" s="11"/>
      <c r="DC877" s="11"/>
    </row>
    <row r="878" spans="1:107" ht="12.75" customHeight="1">
      <c r="A878" s="11"/>
      <c r="B878" s="11"/>
      <c r="C878" s="11"/>
      <c r="D878" s="11"/>
      <c r="E878" s="11"/>
      <c r="F878" s="11"/>
      <c r="G878" s="11"/>
      <c r="H878" s="15"/>
      <c r="I878" s="38"/>
      <c r="J878" s="38"/>
      <c r="K878" s="38"/>
      <c r="L878" s="41"/>
      <c r="M878" s="43"/>
      <c r="N878" s="11"/>
      <c r="O878" s="48"/>
      <c r="P878" s="48"/>
      <c r="Q878" s="48"/>
      <c r="R878" s="38"/>
      <c r="S878" s="38"/>
      <c r="T878" s="52"/>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83"/>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83"/>
      <c r="CK878" s="11"/>
      <c r="CL878" s="11"/>
      <c r="CM878" s="11"/>
      <c r="CN878" s="11"/>
      <c r="CO878" s="11"/>
      <c r="CP878" s="11"/>
      <c r="CQ878" s="11"/>
      <c r="CR878" s="11"/>
      <c r="CS878" s="11"/>
      <c r="CT878" s="11"/>
      <c r="CU878" s="11"/>
      <c r="CV878" s="11"/>
      <c r="CW878" s="11"/>
      <c r="CX878" s="11"/>
      <c r="CY878" s="11"/>
      <c r="CZ878" s="11"/>
      <c r="DA878" s="11"/>
      <c r="DB878" s="11"/>
      <c r="DC878" s="11"/>
    </row>
    <row r="879" spans="1:107" ht="12.75" customHeight="1">
      <c r="A879" s="11"/>
      <c r="B879" s="11"/>
      <c r="C879" s="11"/>
      <c r="D879" s="11"/>
      <c r="E879" s="11"/>
      <c r="F879" s="11"/>
      <c r="G879" s="11"/>
      <c r="H879" s="15"/>
      <c r="I879" s="38"/>
      <c r="J879" s="38"/>
      <c r="K879" s="38"/>
      <c r="L879" s="41"/>
      <c r="M879" s="43"/>
      <c r="N879" s="11"/>
      <c r="O879" s="48"/>
      <c r="P879" s="48"/>
      <c r="Q879" s="48"/>
      <c r="R879" s="38"/>
      <c r="S879" s="38"/>
      <c r="T879" s="52"/>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83"/>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83"/>
      <c r="CK879" s="11"/>
      <c r="CL879" s="11"/>
      <c r="CM879" s="11"/>
      <c r="CN879" s="11"/>
      <c r="CO879" s="11"/>
      <c r="CP879" s="11"/>
      <c r="CQ879" s="11"/>
      <c r="CR879" s="11"/>
      <c r="CS879" s="11"/>
      <c r="CT879" s="11"/>
      <c r="CU879" s="11"/>
      <c r="CV879" s="11"/>
      <c r="CW879" s="11"/>
      <c r="CX879" s="11"/>
      <c r="CY879" s="11"/>
      <c r="CZ879" s="11"/>
      <c r="DA879" s="11"/>
      <c r="DB879" s="11"/>
      <c r="DC879" s="11"/>
    </row>
    <row r="880" spans="1:107" ht="12.75" customHeight="1">
      <c r="A880" s="11"/>
      <c r="B880" s="11"/>
      <c r="C880" s="11"/>
      <c r="D880" s="11"/>
      <c r="E880" s="11"/>
      <c r="F880" s="11"/>
      <c r="G880" s="11"/>
      <c r="H880" s="15"/>
      <c r="I880" s="38"/>
      <c r="J880" s="38"/>
      <c r="K880" s="38"/>
      <c r="L880" s="41"/>
      <c r="M880" s="43"/>
      <c r="N880" s="11"/>
      <c r="O880" s="48"/>
      <c r="P880" s="48"/>
      <c r="Q880" s="48"/>
      <c r="R880" s="38"/>
      <c r="S880" s="38"/>
      <c r="T880" s="52"/>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83"/>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83"/>
      <c r="CK880" s="11"/>
      <c r="CL880" s="11"/>
      <c r="CM880" s="11"/>
      <c r="CN880" s="11"/>
      <c r="CO880" s="11"/>
      <c r="CP880" s="11"/>
      <c r="CQ880" s="11"/>
      <c r="CR880" s="11"/>
      <c r="CS880" s="11"/>
      <c r="CT880" s="11"/>
      <c r="CU880" s="11"/>
      <c r="CV880" s="11"/>
      <c r="CW880" s="11"/>
      <c r="CX880" s="11"/>
      <c r="CY880" s="11"/>
      <c r="CZ880" s="11"/>
      <c r="DA880" s="11"/>
      <c r="DB880" s="11"/>
      <c r="DC880" s="11"/>
    </row>
    <row r="881" spans="1:107" ht="12.75" customHeight="1">
      <c r="A881" s="11"/>
      <c r="B881" s="11"/>
      <c r="C881" s="11"/>
      <c r="D881" s="11"/>
      <c r="E881" s="11"/>
      <c r="F881" s="11"/>
      <c r="G881" s="11"/>
      <c r="H881" s="15"/>
      <c r="I881" s="38"/>
      <c r="J881" s="38"/>
      <c r="K881" s="38"/>
      <c r="L881" s="41"/>
      <c r="M881" s="43"/>
      <c r="N881" s="11"/>
      <c r="O881" s="48"/>
      <c r="P881" s="48"/>
      <c r="Q881" s="48"/>
      <c r="R881" s="38"/>
      <c r="S881" s="38"/>
      <c r="T881" s="52"/>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83"/>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83"/>
      <c r="CK881" s="11"/>
      <c r="CL881" s="11"/>
      <c r="CM881" s="11"/>
      <c r="CN881" s="11"/>
      <c r="CO881" s="11"/>
      <c r="CP881" s="11"/>
      <c r="CQ881" s="11"/>
      <c r="CR881" s="11"/>
      <c r="CS881" s="11"/>
      <c r="CT881" s="11"/>
      <c r="CU881" s="11"/>
      <c r="CV881" s="11"/>
      <c r="CW881" s="11"/>
      <c r="CX881" s="11"/>
      <c r="CY881" s="11"/>
      <c r="CZ881" s="11"/>
      <c r="DA881" s="11"/>
      <c r="DB881" s="11"/>
      <c r="DC881" s="11"/>
    </row>
    <row r="882" spans="1:107" ht="12.75" customHeight="1">
      <c r="A882" s="11"/>
      <c r="B882" s="11"/>
      <c r="C882" s="11"/>
      <c r="D882" s="11"/>
      <c r="E882" s="11"/>
      <c r="F882" s="11"/>
      <c r="G882" s="11"/>
      <c r="H882" s="15"/>
      <c r="I882" s="38"/>
      <c r="J882" s="38"/>
      <c r="K882" s="38"/>
      <c r="L882" s="41"/>
      <c r="M882" s="43"/>
      <c r="N882" s="11"/>
      <c r="O882" s="48"/>
      <c r="P882" s="48"/>
      <c r="Q882" s="48"/>
      <c r="R882" s="38"/>
      <c r="S882" s="38"/>
      <c r="T882" s="52"/>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83"/>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83"/>
      <c r="CK882" s="11"/>
      <c r="CL882" s="11"/>
      <c r="CM882" s="11"/>
      <c r="CN882" s="11"/>
      <c r="CO882" s="11"/>
      <c r="CP882" s="11"/>
      <c r="CQ882" s="11"/>
      <c r="CR882" s="11"/>
      <c r="CS882" s="11"/>
      <c r="CT882" s="11"/>
      <c r="CU882" s="11"/>
      <c r="CV882" s="11"/>
      <c r="CW882" s="11"/>
      <c r="CX882" s="11"/>
      <c r="CY882" s="11"/>
      <c r="CZ882" s="11"/>
      <c r="DA882" s="11"/>
      <c r="DB882" s="11"/>
      <c r="DC882" s="11"/>
    </row>
    <row r="883" spans="1:107" ht="12.75" customHeight="1">
      <c r="A883" s="11"/>
      <c r="B883" s="11"/>
      <c r="C883" s="11"/>
      <c r="D883" s="11"/>
      <c r="E883" s="11"/>
      <c r="F883" s="11"/>
      <c r="G883" s="11"/>
      <c r="H883" s="15"/>
      <c r="I883" s="38"/>
      <c r="J883" s="38"/>
      <c r="K883" s="38"/>
      <c r="L883" s="41"/>
      <c r="M883" s="43"/>
      <c r="N883" s="11"/>
      <c r="O883" s="48"/>
      <c r="P883" s="48"/>
      <c r="Q883" s="48"/>
      <c r="R883" s="38"/>
      <c r="S883" s="38"/>
      <c r="T883" s="52"/>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83"/>
      <c r="AX883" s="11"/>
      <c r="AY883" s="11"/>
      <c r="AZ883" s="11"/>
      <c r="BA883" s="11"/>
      <c r="BB883" s="11"/>
      <c r="BC883" s="11"/>
      <c r="BD883" s="11"/>
      <c r="BE883" s="11"/>
      <c r="BF883" s="11"/>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83"/>
      <c r="CK883" s="11"/>
      <c r="CL883" s="11"/>
      <c r="CM883" s="11"/>
      <c r="CN883" s="11"/>
      <c r="CO883" s="11"/>
      <c r="CP883" s="11"/>
      <c r="CQ883" s="11"/>
      <c r="CR883" s="11"/>
      <c r="CS883" s="11"/>
      <c r="CT883" s="11"/>
      <c r="CU883" s="11"/>
      <c r="CV883" s="11"/>
      <c r="CW883" s="11"/>
      <c r="CX883" s="11"/>
      <c r="CY883" s="11"/>
      <c r="CZ883" s="11"/>
      <c r="DA883" s="11"/>
      <c r="DB883" s="11"/>
      <c r="DC883" s="11"/>
    </row>
    <row r="884" spans="1:107" ht="12.75" customHeight="1">
      <c r="A884" s="11"/>
      <c r="B884" s="11"/>
      <c r="C884" s="11"/>
      <c r="D884" s="11"/>
      <c r="E884" s="11"/>
      <c r="F884" s="11"/>
      <c r="G884" s="11"/>
      <c r="H884" s="15"/>
      <c r="I884" s="38"/>
      <c r="J884" s="38"/>
      <c r="K884" s="38"/>
      <c r="L884" s="41"/>
      <c r="M884" s="43"/>
      <c r="N884" s="11"/>
      <c r="O884" s="48"/>
      <c r="P884" s="48"/>
      <c r="Q884" s="48"/>
      <c r="R884" s="38"/>
      <c r="S884" s="38"/>
      <c r="T884" s="52"/>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83"/>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83"/>
      <c r="CK884" s="11"/>
      <c r="CL884" s="11"/>
      <c r="CM884" s="11"/>
      <c r="CN884" s="11"/>
      <c r="CO884" s="11"/>
      <c r="CP884" s="11"/>
      <c r="CQ884" s="11"/>
      <c r="CR884" s="11"/>
      <c r="CS884" s="11"/>
      <c r="CT884" s="11"/>
      <c r="CU884" s="11"/>
      <c r="CV884" s="11"/>
      <c r="CW884" s="11"/>
      <c r="CX884" s="11"/>
      <c r="CY884" s="11"/>
      <c r="CZ884" s="11"/>
      <c r="DA884" s="11"/>
      <c r="DB884" s="11"/>
      <c r="DC884" s="11"/>
    </row>
    <row r="885" spans="1:107" ht="12.75" customHeight="1">
      <c r="A885" s="11"/>
      <c r="B885" s="11"/>
      <c r="C885" s="11"/>
      <c r="D885" s="11"/>
      <c r="E885" s="11"/>
      <c r="F885" s="11"/>
      <c r="G885" s="11"/>
      <c r="H885" s="15"/>
      <c r="I885" s="38"/>
      <c r="J885" s="38"/>
      <c r="K885" s="38"/>
      <c r="L885" s="41"/>
      <c r="M885" s="43"/>
      <c r="N885" s="11"/>
      <c r="O885" s="48"/>
      <c r="P885" s="48"/>
      <c r="Q885" s="48"/>
      <c r="R885" s="38"/>
      <c r="S885" s="38"/>
      <c r="T885" s="52"/>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83"/>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83"/>
      <c r="CK885" s="11"/>
      <c r="CL885" s="11"/>
      <c r="CM885" s="11"/>
      <c r="CN885" s="11"/>
      <c r="CO885" s="11"/>
      <c r="CP885" s="11"/>
      <c r="CQ885" s="11"/>
      <c r="CR885" s="11"/>
      <c r="CS885" s="11"/>
      <c r="CT885" s="11"/>
      <c r="CU885" s="11"/>
      <c r="CV885" s="11"/>
      <c r="CW885" s="11"/>
      <c r="CX885" s="11"/>
      <c r="CY885" s="11"/>
      <c r="CZ885" s="11"/>
      <c r="DA885" s="11"/>
      <c r="DB885" s="11"/>
      <c r="DC885" s="11"/>
    </row>
    <row r="886" spans="1:107" ht="12.75" customHeight="1">
      <c r="A886" s="11"/>
      <c r="B886" s="11"/>
      <c r="C886" s="11"/>
      <c r="D886" s="11"/>
      <c r="E886" s="11"/>
      <c r="F886" s="11"/>
      <c r="G886" s="11"/>
      <c r="H886" s="15"/>
      <c r="I886" s="38"/>
      <c r="J886" s="38"/>
      <c r="K886" s="38"/>
      <c r="L886" s="41"/>
      <c r="M886" s="43"/>
      <c r="N886" s="11"/>
      <c r="O886" s="48"/>
      <c r="P886" s="48"/>
      <c r="Q886" s="48"/>
      <c r="R886" s="38"/>
      <c r="S886" s="38"/>
      <c r="T886" s="52"/>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83"/>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83"/>
      <c r="CK886" s="11"/>
      <c r="CL886" s="11"/>
      <c r="CM886" s="11"/>
      <c r="CN886" s="11"/>
      <c r="CO886" s="11"/>
      <c r="CP886" s="11"/>
      <c r="CQ886" s="11"/>
      <c r="CR886" s="11"/>
      <c r="CS886" s="11"/>
      <c r="CT886" s="11"/>
      <c r="CU886" s="11"/>
      <c r="CV886" s="11"/>
      <c r="CW886" s="11"/>
      <c r="CX886" s="11"/>
      <c r="CY886" s="11"/>
      <c r="CZ886" s="11"/>
      <c r="DA886" s="11"/>
      <c r="DB886" s="11"/>
      <c r="DC886" s="11"/>
    </row>
    <row r="887" spans="1:107" ht="12.75" customHeight="1">
      <c r="A887" s="11"/>
      <c r="B887" s="11"/>
      <c r="C887" s="11"/>
      <c r="D887" s="11"/>
      <c r="E887" s="11"/>
      <c r="F887" s="11"/>
      <c r="G887" s="11"/>
      <c r="H887" s="15"/>
      <c r="I887" s="38"/>
      <c r="J887" s="38"/>
      <c r="K887" s="38"/>
      <c r="L887" s="41"/>
      <c r="M887" s="43"/>
      <c r="N887" s="11"/>
      <c r="O887" s="48"/>
      <c r="P887" s="48"/>
      <c r="Q887" s="48"/>
      <c r="R887" s="38"/>
      <c r="S887" s="38"/>
      <c r="T887" s="52"/>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83"/>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83"/>
      <c r="CK887" s="11"/>
      <c r="CL887" s="11"/>
      <c r="CM887" s="11"/>
      <c r="CN887" s="11"/>
      <c r="CO887" s="11"/>
      <c r="CP887" s="11"/>
      <c r="CQ887" s="11"/>
      <c r="CR887" s="11"/>
      <c r="CS887" s="11"/>
      <c r="CT887" s="11"/>
      <c r="CU887" s="11"/>
      <c r="CV887" s="11"/>
      <c r="CW887" s="11"/>
      <c r="CX887" s="11"/>
      <c r="CY887" s="11"/>
      <c r="CZ887" s="11"/>
      <c r="DA887" s="11"/>
      <c r="DB887" s="11"/>
      <c r="DC887" s="11"/>
    </row>
    <row r="888" spans="1:107" ht="12.75" customHeight="1">
      <c r="A888" s="11"/>
      <c r="B888" s="11"/>
      <c r="C888" s="11"/>
      <c r="D888" s="11"/>
      <c r="E888" s="11"/>
      <c r="F888" s="11"/>
      <c r="G888" s="11"/>
      <c r="H888" s="15"/>
      <c r="I888" s="38"/>
      <c r="J888" s="38"/>
      <c r="K888" s="38"/>
      <c r="L888" s="41"/>
      <c r="M888" s="43"/>
      <c r="N888" s="11"/>
      <c r="O888" s="48"/>
      <c r="P888" s="48"/>
      <c r="Q888" s="48"/>
      <c r="R888" s="38"/>
      <c r="S888" s="38"/>
      <c r="T888" s="52"/>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83"/>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83"/>
      <c r="CK888" s="11"/>
      <c r="CL888" s="11"/>
      <c r="CM888" s="11"/>
      <c r="CN888" s="11"/>
      <c r="CO888" s="11"/>
      <c r="CP888" s="11"/>
      <c r="CQ888" s="11"/>
      <c r="CR888" s="11"/>
      <c r="CS888" s="11"/>
      <c r="CT888" s="11"/>
      <c r="CU888" s="11"/>
      <c r="CV888" s="11"/>
      <c r="CW888" s="11"/>
      <c r="CX888" s="11"/>
      <c r="CY888" s="11"/>
      <c r="CZ888" s="11"/>
      <c r="DA888" s="11"/>
      <c r="DB888" s="11"/>
      <c r="DC888" s="11"/>
    </row>
    <row r="889" spans="1:107" ht="12.75" customHeight="1">
      <c r="A889" s="11"/>
      <c r="B889" s="11"/>
      <c r="C889" s="11"/>
      <c r="D889" s="11"/>
      <c r="E889" s="11"/>
      <c r="F889" s="11"/>
      <c r="G889" s="11"/>
      <c r="H889" s="15"/>
      <c r="I889" s="38"/>
      <c r="J889" s="38"/>
      <c r="K889" s="38"/>
      <c r="L889" s="41"/>
      <c r="M889" s="43"/>
      <c r="N889" s="11"/>
      <c r="O889" s="48"/>
      <c r="P889" s="48"/>
      <c r="Q889" s="48"/>
      <c r="R889" s="38"/>
      <c r="S889" s="38"/>
      <c r="T889" s="52"/>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83"/>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83"/>
      <c r="CK889" s="11"/>
      <c r="CL889" s="11"/>
      <c r="CM889" s="11"/>
      <c r="CN889" s="11"/>
      <c r="CO889" s="11"/>
      <c r="CP889" s="11"/>
      <c r="CQ889" s="11"/>
      <c r="CR889" s="11"/>
      <c r="CS889" s="11"/>
      <c r="CT889" s="11"/>
      <c r="CU889" s="11"/>
      <c r="CV889" s="11"/>
      <c r="CW889" s="11"/>
      <c r="CX889" s="11"/>
      <c r="CY889" s="11"/>
      <c r="CZ889" s="11"/>
      <c r="DA889" s="11"/>
      <c r="DB889" s="11"/>
      <c r="DC889" s="11"/>
    </row>
    <row r="890" spans="1:107" ht="12.75" customHeight="1">
      <c r="A890" s="11"/>
      <c r="B890" s="11"/>
      <c r="C890" s="11"/>
      <c r="D890" s="11"/>
      <c r="E890" s="11"/>
      <c r="F890" s="11"/>
      <c r="G890" s="11"/>
      <c r="H890" s="15"/>
      <c r="I890" s="38"/>
      <c r="J890" s="38"/>
      <c r="K890" s="38"/>
      <c r="L890" s="41"/>
      <c r="M890" s="43"/>
      <c r="N890" s="11"/>
      <c r="O890" s="48"/>
      <c r="P890" s="48"/>
      <c r="Q890" s="48"/>
      <c r="R890" s="38"/>
      <c r="S890" s="38"/>
      <c r="T890" s="52"/>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83"/>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83"/>
      <c r="CK890" s="11"/>
      <c r="CL890" s="11"/>
      <c r="CM890" s="11"/>
      <c r="CN890" s="11"/>
      <c r="CO890" s="11"/>
      <c r="CP890" s="11"/>
      <c r="CQ890" s="11"/>
      <c r="CR890" s="11"/>
      <c r="CS890" s="11"/>
      <c r="CT890" s="11"/>
      <c r="CU890" s="11"/>
      <c r="CV890" s="11"/>
      <c r="CW890" s="11"/>
      <c r="CX890" s="11"/>
      <c r="CY890" s="11"/>
      <c r="CZ890" s="11"/>
      <c r="DA890" s="11"/>
      <c r="DB890" s="11"/>
      <c r="DC890" s="11"/>
    </row>
    <row r="891" spans="1:107" ht="12.75" customHeight="1">
      <c r="A891" s="11"/>
      <c r="B891" s="11"/>
      <c r="C891" s="11"/>
      <c r="D891" s="11"/>
      <c r="E891" s="11"/>
      <c r="F891" s="11"/>
      <c r="G891" s="11"/>
      <c r="H891" s="15"/>
      <c r="I891" s="38"/>
      <c r="J891" s="38"/>
      <c r="K891" s="38"/>
      <c r="L891" s="41"/>
      <c r="M891" s="43"/>
      <c r="N891" s="11"/>
      <c r="O891" s="48"/>
      <c r="P891" s="48"/>
      <c r="Q891" s="48"/>
      <c r="R891" s="38"/>
      <c r="S891" s="38"/>
      <c r="T891" s="52"/>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83"/>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83"/>
      <c r="CK891" s="11"/>
      <c r="CL891" s="11"/>
      <c r="CM891" s="11"/>
      <c r="CN891" s="11"/>
      <c r="CO891" s="11"/>
      <c r="CP891" s="11"/>
      <c r="CQ891" s="11"/>
      <c r="CR891" s="11"/>
      <c r="CS891" s="11"/>
      <c r="CT891" s="11"/>
      <c r="CU891" s="11"/>
      <c r="CV891" s="11"/>
      <c r="CW891" s="11"/>
      <c r="CX891" s="11"/>
      <c r="CY891" s="11"/>
      <c r="CZ891" s="11"/>
      <c r="DA891" s="11"/>
      <c r="DB891" s="11"/>
      <c r="DC891" s="11"/>
    </row>
    <row r="892" spans="1:107" ht="12.75" customHeight="1">
      <c r="A892" s="11"/>
      <c r="B892" s="11"/>
      <c r="C892" s="11"/>
      <c r="D892" s="11"/>
      <c r="E892" s="11"/>
      <c r="F892" s="11"/>
      <c r="G892" s="11"/>
      <c r="H892" s="15"/>
      <c r="I892" s="38"/>
      <c r="J892" s="38"/>
      <c r="K892" s="38"/>
      <c r="L892" s="41"/>
      <c r="M892" s="43"/>
      <c r="N892" s="11"/>
      <c r="O892" s="48"/>
      <c r="P892" s="48"/>
      <c r="Q892" s="48"/>
      <c r="R892" s="38"/>
      <c r="S892" s="38"/>
      <c r="T892" s="52"/>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83"/>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83"/>
      <c r="CK892" s="11"/>
      <c r="CL892" s="11"/>
      <c r="CM892" s="11"/>
      <c r="CN892" s="11"/>
      <c r="CO892" s="11"/>
      <c r="CP892" s="11"/>
      <c r="CQ892" s="11"/>
      <c r="CR892" s="11"/>
      <c r="CS892" s="11"/>
      <c r="CT892" s="11"/>
      <c r="CU892" s="11"/>
      <c r="CV892" s="11"/>
      <c r="CW892" s="11"/>
      <c r="CX892" s="11"/>
      <c r="CY892" s="11"/>
      <c r="CZ892" s="11"/>
      <c r="DA892" s="11"/>
      <c r="DB892" s="11"/>
      <c r="DC892" s="11"/>
    </row>
    <row r="893" spans="1:107" ht="12.75" customHeight="1">
      <c r="A893" s="11"/>
      <c r="B893" s="11"/>
      <c r="C893" s="11"/>
      <c r="D893" s="11"/>
      <c r="E893" s="11"/>
      <c r="F893" s="11"/>
      <c r="G893" s="11"/>
      <c r="H893" s="15"/>
      <c r="I893" s="38"/>
      <c r="J893" s="38"/>
      <c r="K893" s="38"/>
      <c r="L893" s="41"/>
      <c r="M893" s="43"/>
      <c r="N893" s="11"/>
      <c r="O893" s="48"/>
      <c r="P893" s="48"/>
      <c r="Q893" s="48"/>
      <c r="R893" s="38"/>
      <c r="S893" s="38"/>
      <c r="T893" s="52"/>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83"/>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83"/>
      <c r="CK893" s="11"/>
      <c r="CL893" s="11"/>
      <c r="CM893" s="11"/>
      <c r="CN893" s="11"/>
      <c r="CO893" s="11"/>
      <c r="CP893" s="11"/>
      <c r="CQ893" s="11"/>
      <c r="CR893" s="11"/>
      <c r="CS893" s="11"/>
      <c r="CT893" s="11"/>
      <c r="CU893" s="11"/>
      <c r="CV893" s="11"/>
      <c r="CW893" s="11"/>
      <c r="CX893" s="11"/>
      <c r="CY893" s="11"/>
      <c r="CZ893" s="11"/>
      <c r="DA893" s="11"/>
      <c r="DB893" s="11"/>
      <c r="DC893" s="11"/>
    </row>
    <row r="894" spans="1:107" ht="12.75" customHeight="1">
      <c r="A894" s="11"/>
      <c r="B894" s="11"/>
      <c r="C894" s="11"/>
      <c r="D894" s="11"/>
      <c r="E894" s="11"/>
      <c r="F894" s="11"/>
      <c r="G894" s="11"/>
      <c r="H894" s="15"/>
      <c r="I894" s="38"/>
      <c r="J894" s="38"/>
      <c r="K894" s="38"/>
      <c r="L894" s="41"/>
      <c r="M894" s="43"/>
      <c r="N894" s="11"/>
      <c r="O894" s="48"/>
      <c r="P894" s="48"/>
      <c r="Q894" s="48"/>
      <c r="R894" s="38"/>
      <c r="S894" s="38"/>
      <c r="T894" s="52"/>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83"/>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83"/>
      <c r="CK894" s="11"/>
      <c r="CL894" s="11"/>
      <c r="CM894" s="11"/>
      <c r="CN894" s="11"/>
      <c r="CO894" s="11"/>
      <c r="CP894" s="11"/>
      <c r="CQ894" s="11"/>
      <c r="CR894" s="11"/>
      <c r="CS894" s="11"/>
      <c r="CT894" s="11"/>
      <c r="CU894" s="11"/>
      <c r="CV894" s="11"/>
      <c r="CW894" s="11"/>
      <c r="CX894" s="11"/>
      <c r="CY894" s="11"/>
      <c r="CZ894" s="11"/>
      <c r="DA894" s="11"/>
      <c r="DB894" s="11"/>
      <c r="DC894" s="11"/>
    </row>
    <row r="895" spans="1:107" ht="12.75" customHeight="1">
      <c r="A895" s="11"/>
      <c r="B895" s="11"/>
      <c r="C895" s="11"/>
      <c r="D895" s="11"/>
      <c r="E895" s="11"/>
      <c r="F895" s="11"/>
      <c r="G895" s="11"/>
      <c r="H895" s="15"/>
      <c r="I895" s="38"/>
      <c r="J895" s="38"/>
      <c r="K895" s="38"/>
      <c r="L895" s="41"/>
      <c r="M895" s="43"/>
      <c r="N895" s="11"/>
      <c r="O895" s="48"/>
      <c r="P895" s="48"/>
      <c r="Q895" s="48"/>
      <c r="R895" s="38"/>
      <c r="S895" s="38"/>
      <c r="T895" s="52"/>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83"/>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83"/>
      <c r="CK895" s="11"/>
      <c r="CL895" s="11"/>
      <c r="CM895" s="11"/>
      <c r="CN895" s="11"/>
      <c r="CO895" s="11"/>
      <c r="CP895" s="11"/>
      <c r="CQ895" s="11"/>
      <c r="CR895" s="11"/>
      <c r="CS895" s="11"/>
      <c r="CT895" s="11"/>
      <c r="CU895" s="11"/>
      <c r="CV895" s="11"/>
      <c r="CW895" s="11"/>
      <c r="CX895" s="11"/>
      <c r="CY895" s="11"/>
      <c r="CZ895" s="11"/>
      <c r="DA895" s="11"/>
      <c r="DB895" s="11"/>
      <c r="DC895" s="11"/>
    </row>
    <row r="896" spans="1:107" ht="12.75" customHeight="1">
      <c r="A896" s="11"/>
      <c r="B896" s="11"/>
      <c r="C896" s="11"/>
      <c r="D896" s="11"/>
      <c r="E896" s="11"/>
      <c r="F896" s="11"/>
      <c r="G896" s="11"/>
      <c r="H896" s="15"/>
      <c r="I896" s="38"/>
      <c r="J896" s="38"/>
      <c r="K896" s="38"/>
      <c r="L896" s="41"/>
      <c r="M896" s="43"/>
      <c r="N896" s="11"/>
      <c r="O896" s="48"/>
      <c r="P896" s="48"/>
      <c r="Q896" s="48"/>
      <c r="R896" s="38"/>
      <c r="S896" s="38"/>
      <c r="T896" s="52"/>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83"/>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83"/>
      <c r="CK896" s="11"/>
      <c r="CL896" s="11"/>
      <c r="CM896" s="11"/>
      <c r="CN896" s="11"/>
      <c r="CO896" s="11"/>
      <c r="CP896" s="11"/>
      <c r="CQ896" s="11"/>
      <c r="CR896" s="11"/>
      <c r="CS896" s="11"/>
      <c r="CT896" s="11"/>
      <c r="CU896" s="11"/>
      <c r="CV896" s="11"/>
      <c r="CW896" s="11"/>
      <c r="CX896" s="11"/>
      <c r="CY896" s="11"/>
      <c r="CZ896" s="11"/>
      <c r="DA896" s="11"/>
      <c r="DB896" s="11"/>
      <c r="DC896" s="11"/>
    </row>
    <row r="897" spans="1:107" ht="12.75" customHeight="1">
      <c r="A897" s="11"/>
      <c r="B897" s="11"/>
      <c r="C897" s="11"/>
      <c r="D897" s="11"/>
      <c r="E897" s="11"/>
      <c r="F897" s="11"/>
      <c r="G897" s="11"/>
      <c r="H897" s="15"/>
      <c r="I897" s="38"/>
      <c r="J897" s="38"/>
      <c r="K897" s="38"/>
      <c r="L897" s="41"/>
      <c r="M897" s="43"/>
      <c r="N897" s="11"/>
      <c r="O897" s="48"/>
      <c r="P897" s="48"/>
      <c r="Q897" s="48"/>
      <c r="R897" s="38"/>
      <c r="S897" s="38"/>
      <c r="T897" s="52"/>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83"/>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83"/>
      <c r="CK897" s="11"/>
      <c r="CL897" s="11"/>
      <c r="CM897" s="11"/>
      <c r="CN897" s="11"/>
      <c r="CO897" s="11"/>
      <c r="CP897" s="11"/>
      <c r="CQ897" s="11"/>
      <c r="CR897" s="11"/>
      <c r="CS897" s="11"/>
      <c r="CT897" s="11"/>
      <c r="CU897" s="11"/>
      <c r="CV897" s="11"/>
      <c r="CW897" s="11"/>
      <c r="CX897" s="11"/>
      <c r="CY897" s="11"/>
      <c r="CZ897" s="11"/>
      <c r="DA897" s="11"/>
      <c r="DB897" s="11"/>
      <c r="DC897" s="11"/>
    </row>
    <row r="898" spans="1:107" ht="12.75" customHeight="1">
      <c r="A898" s="11"/>
      <c r="B898" s="11"/>
      <c r="C898" s="11"/>
      <c r="D898" s="11"/>
      <c r="E898" s="11"/>
      <c r="F898" s="11"/>
      <c r="G898" s="11"/>
      <c r="H898" s="15"/>
      <c r="I898" s="38"/>
      <c r="J898" s="38"/>
      <c r="K898" s="38"/>
      <c r="L898" s="41"/>
      <c r="M898" s="43"/>
      <c r="N898" s="11"/>
      <c r="O898" s="48"/>
      <c r="P898" s="48"/>
      <c r="Q898" s="48"/>
      <c r="R898" s="38"/>
      <c r="S898" s="38"/>
      <c r="T898" s="52"/>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83"/>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83"/>
      <c r="CK898" s="11"/>
      <c r="CL898" s="11"/>
      <c r="CM898" s="11"/>
      <c r="CN898" s="11"/>
      <c r="CO898" s="11"/>
      <c r="CP898" s="11"/>
      <c r="CQ898" s="11"/>
      <c r="CR898" s="11"/>
      <c r="CS898" s="11"/>
      <c r="CT898" s="11"/>
      <c r="CU898" s="11"/>
      <c r="CV898" s="11"/>
      <c r="CW898" s="11"/>
      <c r="CX898" s="11"/>
      <c r="CY898" s="11"/>
      <c r="CZ898" s="11"/>
      <c r="DA898" s="11"/>
      <c r="DB898" s="11"/>
      <c r="DC898" s="11"/>
    </row>
    <row r="899" spans="1:107" ht="12.75" customHeight="1">
      <c r="A899" s="11"/>
      <c r="B899" s="11"/>
      <c r="C899" s="11"/>
      <c r="D899" s="11"/>
      <c r="E899" s="11"/>
      <c r="F899" s="11"/>
      <c r="G899" s="11"/>
      <c r="H899" s="15"/>
      <c r="I899" s="38"/>
      <c r="J899" s="38"/>
      <c r="K899" s="38"/>
      <c r="L899" s="41"/>
      <c r="M899" s="43"/>
      <c r="N899" s="11"/>
      <c r="O899" s="48"/>
      <c r="P899" s="48"/>
      <c r="Q899" s="48"/>
      <c r="R899" s="38"/>
      <c r="S899" s="38"/>
      <c r="T899" s="52"/>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83"/>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83"/>
      <c r="CK899" s="11"/>
      <c r="CL899" s="11"/>
      <c r="CM899" s="11"/>
      <c r="CN899" s="11"/>
      <c r="CO899" s="11"/>
      <c r="CP899" s="11"/>
      <c r="CQ899" s="11"/>
      <c r="CR899" s="11"/>
      <c r="CS899" s="11"/>
      <c r="CT899" s="11"/>
      <c r="CU899" s="11"/>
      <c r="CV899" s="11"/>
      <c r="CW899" s="11"/>
      <c r="CX899" s="11"/>
      <c r="CY899" s="11"/>
      <c r="CZ899" s="11"/>
      <c r="DA899" s="11"/>
      <c r="DB899" s="11"/>
      <c r="DC899" s="11"/>
    </row>
    <row r="900" spans="1:107" ht="12.75" customHeight="1">
      <c r="A900" s="11"/>
      <c r="B900" s="11"/>
      <c r="C900" s="11"/>
      <c r="D900" s="11"/>
      <c r="E900" s="11"/>
      <c r="F900" s="11"/>
      <c r="G900" s="11"/>
      <c r="H900" s="15"/>
      <c r="I900" s="38"/>
      <c r="J900" s="38"/>
      <c r="K900" s="38"/>
      <c r="L900" s="41"/>
      <c r="M900" s="43"/>
      <c r="N900" s="11"/>
      <c r="O900" s="48"/>
      <c r="P900" s="48"/>
      <c r="Q900" s="48"/>
      <c r="R900" s="38"/>
      <c r="S900" s="38"/>
      <c r="T900" s="52"/>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83"/>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83"/>
      <c r="CK900" s="11"/>
      <c r="CL900" s="11"/>
      <c r="CM900" s="11"/>
      <c r="CN900" s="11"/>
      <c r="CO900" s="11"/>
      <c r="CP900" s="11"/>
      <c r="CQ900" s="11"/>
      <c r="CR900" s="11"/>
      <c r="CS900" s="11"/>
      <c r="CT900" s="11"/>
      <c r="CU900" s="11"/>
      <c r="CV900" s="11"/>
      <c r="CW900" s="11"/>
      <c r="CX900" s="11"/>
      <c r="CY900" s="11"/>
      <c r="CZ900" s="11"/>
      <c r="DA900" s="11"/>
      <c r="DB900" s="11"/>
      <c r="DC900" s="11"/>
    </row>
    <row r="901" spans="1:107" ht="12.75" customHeight="1">
      <c r="A901" s="11"/>
      <c r="B901" s="11"/>
      <c r="C901" s="11"/>
      <c r="D901" s="11"/>
      <c r="E901" s="11"/>
      <c r="F901" s="11"/>
      <c r="G901" s="11"/>
      <c r="H901" s="15"/>
      <c r="I901" s="38"/>
      <c r="J901" s="38"/>
      <c r="K901" s="38"/>
      <c r="L901" s="41"/>
      <c r="M901" s="43"/>
      <c r="N901" s="11"/>
      <c r="O901" s="48"/>
      <c r="P901" s="48"/>
      <c r="Q901" s="48"/>
      <c r="R901" s="38"/>
      <c r="S901" s="38"/>
      <c r="T901" s="52"/>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83"/>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83"/>
      <c r="CK901" s="11"/>
      <c r="CL901" s="11"/>
      <c r="CM901" s="11"/>
      <c r="CN901" s="11"/>
      <c r="CO901" s="11"/>
      <c r="CP901" s="11"/>
      <c r="CQ901" s="11"/>
      <c r="CR901" s="11"/>
      <c r="CS901" s="11"/>
      <c r="CT901" s="11"/>
      <c r="CU901" s="11"/>
      <c r="CV901" s="11"/>
      <c r="CW901" s="11"/>
      <c r="CX901" s="11"/>
      <c r="CY901" s="11"/>
      <c r="CZ901" s="11"/>
      <c r="DA901" s="11"/>
      <c r="DB901" s="11"/>
      <c r="DC901" s="11"/>
    </row>
    <row r="902" spans="1:107" ht="12.75" customHeight="1">
      <c r="A902" s="11"/>
      <c r="B902" s="11"/>
      <c r="C902" s="11"/>
      <c r="D902" s="11"/>
      <c r="E902" s="11"/>
      <c r="F902" s="11"/>
      <c r="G902" s="11"/>
      <c r="H902" s="15"/>
      <c r="I902" s="38"/>
      <c r="J902" s="38"/>
      <c r="K902" s="38"/>
      <c r="L902" s="41"/>
      <c r="M902" s="43"/>
      <c r="N902" s="11"/>
      <c r="O902" s="48"/>
      <c r="P902" s="48"/>
      <c r="Q902" s="48"/>
      <c r="R902" s="38"/>
      <c r="S902" s="38"/>
      <c r="T902" s="52"/>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83"/>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83"/>
      <c r="CK902" s="11"/>
      <c r="CL902" s="11"/>
      <c r="CM902" s="11"/>
      <c r="CN902" s="11"/>
      <c r="CO902" s="11"/>
      <c r="CP902" s="11"/>
      <c r="CQ902" s="11"/>
      <c r="CR902" s="11"/>
      <c r="CS902" s="11"/>
      <c r="CT902" s="11"/>
      <c r="CU902" s="11"/>
      <c r="CV902" s="11"/>
      <c r="CW902" s="11"/>
      <c r="CX902" s="11"/>
      <c r="CY902" s="11"/>
      <c r="CZ902" s="11"/>
      <c r="DA902" s="11"/>
      <c r="DB902" s="11"/>
      <c r="DC902" s="11"/>
    </row>
    <row r="903" spans="1:107" ht="12.75" customHeight="1">
      <c r="A903" s="11"/>
      <c r="B903" s="11"/>
      <c r="C903" s="11"/>
      <c r="D903" s="11"/>
      <c r="E903" s="11"/>
      <c r="F903" s="11"/>
      <c r="G903" s="11"/>
      <c r="H903" s="15"/>
      <c r="I903" s="38"/>
      <c r="J903" s="38"/>
      <c r="K903" s="38"/>
      <c r="L903" s="41"/>
      <c r="M903" s="43"/>
      <c r="N903" s="11"/>
      <c r="O903" s="48"/>
      <c r="P903" s="48"/>
      <c r="Q903" s="48"/>
      <c r="R903" s="38"/>
      <c r="S903" s="38"/>
      <c r="T903" s="52"/>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83"/>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83"/>
      <c r="CK903" s="11"/>
      <c r="CL903" s="11"/>
      <c r="CM903" s="11"/>
      <c r="CN903" s="11"/>
      <c r="CO903" s="11"/>
      <c r="CP903" s="11"/>
      <c r="CQ903" s="11"/>
      <c r="CR903" s="11"/>
      <c r="CS903" s="11"/>
      <c r="CT903" s="11"/>
      <c r="CU903" s="11"/>
      <c r="CV903" s="11"/>
      <c r="CW903" s="11"/>
      <c r="CX903" s="11"/>
      <c r="CY903" s="11"/>
      <c r="CZ903" s="11"/>
      <c r="DA903" s="11"/>
      <c r="DB903" s="11"/>
      <c r="DC903" s="11"/>
    </row>
    <row r="904" spans="1:107" ht="12.75" customHeight="1">
      <c r="A904" s="11"/>
      <c r="B904" s="11"/>
      <c r="C904" s="11"/>
      <c r="D904" s="11"/>
      <c r="E904" s="11"/>
      <c r="F904" s="11"/>
      <c r="G904" s="11"/>
      <c r="H904" s="15"/>
      <c r="I904" s="38"/>
      <c r="J904" s="38"/>
      <c r="K904" s="38"/>
      <c r="L904" s="41"/>
      <c r="M904" s="43"/>
      <c r="N904" s="11"/>
      <c r="O904" s="48"/>
      <c r="P904" s="48"/>
      <c r="Q904" s="48"/>
      <c r="R904" s="38"/>
      <c r="S904" s="38"/>
      <c r="T904" s="52"/>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83"/>
      <c r="AX904" s="11"/>
      <c r="AY904" s="11"/>
      <c r="AZ904" s="11"/>
      <c r="BA904" s="11"/>
      <c r="BB904" s="11"/>
      <c r="BC904" s="11"/>
      <c r="BD904" s="11"/>
      <c r="BE904" s="11"/>
      <c r="BF904" s="11"/>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83"/>
      <c r="CK904" s="11"/>
      <c r="CL904" s="11"/>
      <c r="CM904" s="11"/>
      <c r="CN904" s="11"/>
      <c r="CO904" s="11"/>
      <c r="CP904" s="11"/>
      <c r="CQ904" s="11"/>
      <c r="CR904" s="11"/>
      <c r="CS904" s="11"/>
      <c r="CT904" s="11"/>
      <c r="CU904" s="11"/>
      <c r="CV904" s="11"/>
      <c r="CW904" s="11"/>
      <c r="CX904" s="11"/>
      <c r="CY904" s="11"/>
      <c r="CZ904" s="11"/>
      <c r="DA904" s="11"/>
      <c r="DB904" s="11"/>
      <c r="DC904" s="11"/>
    </row>
    <row r="905" spans="1:107" ht="12.75" customHeight="1">
      <c r="A905" s="11"/>
      <c r="B905" s="11"/>
      <c r="C905" s="11"/>
      <c r="D905" s="11"/>
      <c r="E905" s="11"/>
      <c r="F905" s="11"/>
      <c r="G905" s="11"/>
      <c r="H905" s="15"/>
      <c r="I905" s="38"/>
      <c r="J905" s="38"/>
      <c r="K905" s="38"/>
      <c r="L905" s="41"/>
      <c r="M905" s="43"/>
      <c r="N905" s="11"/>
      <c r="O905" s="48"/>
      <c r="P905" s="48"/>
      <c r="Q905" s="48"/>
      <c r="R905" s="38"/>
      <c r="S905" s="38"/>
      <c r="T905" s="52"/>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83"/>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83"/>
      <c r="CK905" s="11"/>
      <c r="CL905" s="11"/>
      <c r="CM905" s="11"/>
      <c r="CN905" s="11"/>
      <c r="CO905" s="11"/>
      <c r="CP905" s="11"/>
      <c r="CQ905" s="11"/>
      <c r="CR905" s="11"/>
      <c r="CS905" s="11"/>
      <c r="CT905" s="11"/>
      <c r="CU905" s="11"/>
      <c r="CV905" s="11"/>
      <c r="CW905" s="11"/>
      <c r="CX905" s="11"/>
      <c r="CY905" s="11"/>
      <c r="CZ905" s="11"/>
      <c r="DA905" s="11"/>
      <c r="DB905" s="11"/>
      <c r="DC905" s="11"/>
    </row>
    <row r="906" spans="1:107" ht="12.75" customHeight="1">
      <c r="A906" s="11"/>
      <c r="B906" s="11"/>
      <c r="C906" s="11"/>
      <c r="D906" s="11"/>
      <c r="E906" s="11"/>
      <c r="F906" s="11"/>
      <c r="G906" s="11"/>
      <c r="H906" s="15"/>
      <c r="I906" s="38"/>
      <c r="J906" s="38"/>
      <c r="K906" s="38"/>
      <c r="L906" s="41"/>
      <c r="M906" s="43"/>
      <c r="N906" s="11"/>
      <c r="O906" s="48"/>
      <c r="P906" s="48"/>
      <c r="Q906" s="48"/>
      <c r="R906" s="38"/>
      <c r="S906" s="38"/>
      <c r="T906" s="52"/>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83"/>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83"/>
      <c r="CK906" s="11"/>
      <c r="CL906" s="11"/>
      <c r="CM906" s="11"/>
      <c r="CN906" s="11"/>
      <c r="CO906" s="11"/>
      <c r="CP906" s="11"/>
      <c r="CQ906" s="11"/>
      <c r="CR906" s="11"/>
      <c r="CS906" s="11"/>
      <c r="CT906" s="11"/>
      <c r="CU906" s="11"/>
      <c r="CV906" s="11"/>
      <c r="CW906" s="11"/>
      <c r="CX906" s="11"/>
      <c r="CY906" s="11"/>
      <c r="CZ906" s="11"/>
      <c r="DA906" s="11"/>
      <c r="DB906" s="11"/>
      <c r="DC906" s="11"/>
    </row>
    <row r="907" spans="1:107" ht="12.75" customHeight="1">
      <c r="A907" s="11"/>
      <c r="B907" s="11"/>
      <c r="C907" s="11"/>
      <c r="D907" s="11"/>
      <c r="E907" s="11"/>
      <c r="F907" s="11"/>
      <c r="G907" s="11"/>
      <c r="H907" s="15"/>
      <c r="I907" s="38"/>
      <c r="J907" s="38"/>
      <c r="K907" s="38"/>
      <c r="L907" s="41"/>
      <c r="M907" s="43"/>
      <c r="N907" s="11"/>
      <c r="O907" s="48"/>
      <c r="P907" s="48"/>
      <c r="Q907" s="48"/>
      <c r="R907" s="38"/>
      <c r="S907" s="38"/>
      <c r="T907" s="52"/>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83"/>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83"/>
      <c r="CK907" s="11"/>
      <c r="CL907" s="11"/>
      <c r="CM907" s="11"/>
      <c r="CN907" s="11"/>
      <c r="CO907" s="11"/>
      <c r="CP907" s="11"/>
      <c r="CQ907" s="11"/>
      <c r="CR907" s="11"/>
      <c r="CS907" s="11"/>
      <c r="CT907" s="11"/>
      <c r="CU907" s="11"/>
      <c r="CV907" s="11"/>
      <c r="CW907" s="11"/>
      <c r="CX907" s="11"/>
      <c r="CY907" s="11"/>
      <c r="CZ907" s="11"/>
      <c r="DA907" s="11"/>
      <c r="DB907" s="11"/>
      <c r="DC907" s="11"/>
    </row>
    <row r="908" spans="1:107" ht="12.75" customHeight="1">
      <c r="A908" s="11"/>
      <c r="B908" s="11"/>
      <c r="C908" s="11"/>
      <c r="D908" s="11"/>
      <c r="E908" s="11"/>
      <c r="F908" s="11"/>
      <c r="G908" s="11"/>
      <c r="H908" s="15"/>
      <c r="I908" s="38"/>
      <c r="J908" s="38"/>
      <c r="K908" s="38"/>
      <c r="L908" s="41"/>
      <c r="M908" s="43"/>
      <c r="N908" s="11"/>
      <c r="O908" s="48"/>
      <c r="P908" s="48"/>
      <c r="Q908" s="48"/>
      <c r="R908" s="38"/>
      <c r="S908" s="38"/>
      <c r="T908" s="52"/>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83"/>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83"/>
      <c r="CK908" s="11"/>
      <c r="CL908" s="11"/>
      <c r="CM908" s="11"/>
      <c r="CN908" s="11"/>
      <c r="CO908" s="11"/>
      <c r="CP908" s="11"/>
      <c r="CQ908" s="11"/>
      <c r="CR908" s="11"/>
      <c r="CS908" s="11"/>
      <c r="CT908" s="11"/>
      <c r="CU908" s="11"/>
      <c r="CV908" s="11"/>
      <c r="CW908" s="11"/>
      <c r="CX908" s="11"/>
      <c r="CY908" s="11"/>
      <c r="CZ908" s="11"/>
      <c r="DA908" s="11"/>
      <c r="DB908" s="11"/>
      <c r="DC908" s="11"/>
    </row>
    <row r="909" spans="1:107" ht="12.75" customHeight="1">
      <c r="A909" s="11"/>
      <c r="B909" s="11"/>
      <c r="C909" s="11"/>
      <c r="D909" s="11"/>
      <c r="E909" s="11"/>
      <c r="F909" s="11"/>
      <c r="G909" s="11"/>
      <c r="H909" s="15"/>
      <c r="I909" s="38"/>
      <c r="J909" s="38"/>
      <c r="K909" s="38"/>
      <c r="L909" s="41"/>
      <c r="M909" s="43"/>
      <c r="N909" s="11"/>
      <c r="O909" s="48"/>
      <c r="P909" s="48"/>
      <c r="Q909" s="48"/>
      <c r="R909" s="38"/>
      <c r="S909" s="38"/>
      <c r="T909" s="52"/>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83"/>
      <c r="AX909" s="11"/>
      <c r="AY909" s="11"/>
      <c r="AZ909" s="11"/>
      <c r="BA909" s="11"/>
      <c r="BB909" s="11"/>
      <c r="BC909" s="11"/>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83"/>
      <c r="CK909" s="11"/>
      <c r="CL909" s="11"/>
      <c r="CM909" s="11"/>
      <c r="CN909" s="11"/>
      <c r="CO909" s="11"/>
      <c r="CP909" s="11"/>
      <c r="CQ909" s="11"/>
      <c r="CR909" s="11"/>
      <c r="CS909" s="11"/>
      <c r="CT909" s="11"/>
      <c r="CU909" s="11"/>
      <c r="CV909" s="11"/>
      <c r="CW909" s="11"/>
      <c r="CX909" s="11"/>
      <c r="CY909" s="11"/>
      <c r="CZ909" s="11"/>
      <c r="DA909" s="11"/>
      <c r="DB909" s="11"/>
      <c r="DC909" s="11"/>
    </row>
    <row r="910" spans="1:107" ht="12.75" customHeight="1">
      <c r="A910" s="11"/>
      <c r="B910" s="11"/>
      <c r="C910" s="11"/>
      <c r="D910" s="11"/>
      <c r="E910" s="11"/>
      <c r="F910" s="11"/>
      <c r="G910" s="11"/>
      <c r="H910" s="15"/>
      <c r="I910" s="38"/>
      <c r="J910" s="38"/>
      <c r="K910" s="38"/>
      <c r="L910" s="41"/>
      <c r="M910" s="43"/>
      <c r="N910" s="11"/>
      <c r="O910" s="48"/>
      <c r="P910" s="48"/>
      <c r="Q910" s="48"/>
      <c r="R910" s="38"/>
      <c r="S910" s="38"/>
      <c r="T910" s="52"/>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83"/>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83"/>
      <c r="CK910" s="11"/>
      <c r="CL910" s="11"/>
      <c r="CM910" s="11"/>
      <c r="CN910" s="11"/>
      <c r="CO910" s="11"/>
      <c r="CP910" s="11"/>
      <c r="CQ910" s="11"/>
      <c r="CR910" s="11"/>
      <c r="CS910" s="11"/>
      <c r="CT910" s="11"/>
      <c r="CU910" s="11"/>
      <c r="CV910" s="11"/>
      <c r="CW910" s="11"/>
      <c r="CX910" s="11"/>
      <c r="CY910" s="11"/>
      <c r="CZ910" s="11"/>
      <c r="DA910" s="11"/>
      <c r="DB910" s="11"/>
      <c r="DC910" s="11"/>
    </row>
    <row r="911" spans="1:107" ht="12.75" customHeight="1">
      <c r="A911" s="11"/>
      <c r="B911" s="11"/>
      <c r="C911" s="11"/>
      <c r="D911" s="11"/>
      <c r="E911" s="11"/>
      <c r="F911" s="11"/>
      <c r="G911" s="11"/>
      <c r="H911" s="15"/>
      <c r="I911" s="38"/>
      <c r="J911" s="38"/>
      <c r="K911" s="38"/>
      <c r="L911" s="41"/>
      <c r="M911" s="43"/>
      <c r="N911" s="11"/>
      <c r="O911" s="48"/>
      <c r="P911" s="48"/>
      <c r="Q911" s="48"/>
      <c r="R911" s="38"/>
      <c r="S911" s="38"/>
      <c r="T911" s="52"/>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83"/>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83"/>
      <c r="CK911" s="11"/>
      <c r="CL911" s="11"/>
      <c r="CM911" s="11"/>
      <c r="CN911" s="11"/>
      <c r="CO911" s="11"/>
      <c r="CP911" s="11"/>
      <c r="CQ911" s="11"/>
      <c r="CR911" s="11"/>
      <c r="CS911" s="11"/>
      <c r="CT911" s="11"/>
      <c r="CU911" s="11"/>
      <c r="CV911" s="11"/>
      <c r="CW911" s="11"/>
      <c r="CX911" s="11"/>
      <c r="CY911" s="11"/>
      <c r="CZ911" s="11"/>
      <c r="DA911" s="11"/>
      <c r="DB911" s="11"/>
      <c r="DC911" s="11"/>
    </row>
    <row r="912" spans="1:107" ht="12.75" customHeight="1">
      <c r="A912" s="11"/>
      <c r="B912" s="11"/>
      <c r="C912" s="11"/>
      <c r="D912" s="11"/>
      <c r="E912" s="11"/>
      <c r="F912" s="11"/>
      <c r="G912" s="11"/>
      <c r="H912" s="15"/>
      <c r="I912" s="38"/>
      <c r="J912" s="38"/>
      <c r="K912" s="38"/>
      <c r="L912" s="41"/>
      <c r="M912" s="43"/>
      <c r="N912" s="11"/>
      <c r="O912" s="48"/>
      <c r="P912" s="48"/>
      <c r="Q912" s="48"/>
      <c r="R912" s="38"/>
      <c r="S912" s="38"/>
      <c r="T912" s="52"/>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83"/>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83"/>
      <c r="CK912" s="11"/>
      <c r="CL912" s="11"/>
      <c r="CM912" s="11"/>
      <c r="CN912" s="11"/>
      <c r="CO912" s="11"/>
      <c r="CP912" s="11"/>
      <c r="CQ912" s="11"/>
      <c r="CR912" s="11"/>
      <c r="CS912" s="11"/>
      <c r="CT912" s="11"/>
      <c r="CU912" s="11"/>
      <c r="CV912" s="11"/>
      <c r="CW912" s="11"/>
      <c r="CX912" s="11"/>
      <c r="CY912" s="11"/>
      <c r="CZ912" s="11"/>
      <c r="DA912" s="11"/>
      <c r="DB912" s="11"/>
      <c r="DC912" s="11"/>
    </row>
    <row r="913" spans="1:107" ht="12.75" customHeight="1">
      <c r="A913" s="11"/>
      <c r="B913" s="11"/>
      <c r="C913" s="11"/>
      <c r="D913" s="11"/>
      <c r="E913" s="11"/>
      <c r="F913" s="11"/>
      <c r="G913" s="11"/>
      <c r="H913" s="15"/>
      <c r="I913" s="38"/>
      <c r="J913" s="38"/>
      <c r="K913" s="38"/>
      <c r="L913" s="41"/>
      <c r="M913" s="43"/>
      <c r="N913" s="11"/>
      <c r="O913" s="48"/>
      <c r="P913" s="48"/>
      <c r="Q913" s="48"/>
      <c r="R913" s="38"/>
      <c r="S913" s="38"/>
      <c r="T913" s="52"/>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83"/>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83"/>
      <c r="CK913" s="11"/>
      <c r="CL913" s="11"/>
      <c r="CM913" s="11"/>
      <c r="CN913" s="11"/>
      <c r="CO913" s="11"/>
      <c r="CP913" s="11"/>
      <c r="CQ913" s="11"/>
      <c r="CR913" s="11"/>
      <c r="CS913" s="11"/>
      <c r="CT913" s="11"/>
      <c r="CU913" s="11"/>
      <c r="CV913" s="11"/>
      <c r="CW913" s="11"/>
      <c r="CX913" s="11"/>
      <c r="CY913" s="11"/>
      <c r="CZ913" s="11"/>
      <c r="DA913" s="11"/>
      <c r="DB913" s="11"/>
      <c r="DC913" s="11"/>
    </row>
    <row r="914" spans="1:107" ht="12.75" customHeight="1">
      <c r="A914" s="11"/>
      <c r="B914" s="11"/>
      <c r="C914" s="11"/>
      <c r="D914" s="11"/>
      <c r="E914" s="11"/>
      <c r="F914" s="11"/>
      <c r="G914" s="11"/>
      <c r="H914" s="15"/>
      <c r="I914" s="38"/>
      <c r="J914" s="38"/>
      <c r="K914" s="38"/>
      <c r="L914" s="41"/>
      <c r="M914" s="43"/>
      <c r="N914" s="11"/>
      <c r="O914" s="48"/>
      <c r="P914" s="48"/>
      <c r="Q914" s="48"/>
      <c r="R914" s="38"/>
      <c r="S914" s="38"/>
      <c r="T914" s="52"/>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83"/>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83"/>
      <c r="CK914" s="11"/>
      <c r="CL914" s="11"/>
      <c r="CM914" s="11"/>
      <c r="CN914" s="11"/>
      <c r="CO914" s="11"/>
      <c r="CP914" s="11"/>
      <c r="CQ914" s="11"/>
      <c r="CR914" s="11"/>
      <c r="CS914" s="11"/>
      <c r="CT914" s="11"/>
      <c r="CU914" s="11"/>
      <c r="CV914" s="11"/>
      <c r="CW914" s="11"/>
      <c r="CX914" s="11"/>
      <c r="CY914" s="11"/>
      <c r="CZ914" s="11"/>
      <c r="DA914" s="11"/>
      <c r="DB914" s="11"/>
      <c r="DC914" s="11"/>
    </row>
    <row r="915" spans="1:107" ht="12.75" customHeight="1">
      <c r="A915" s="11"/>
      <c r="B915" s="11"/>
      <c r="C915" s="11"/>
      <c r="D915" s="11"/>
      <c r="E915" s="11"/>
      <c r="F915" s="11"/>
      <c r="G915" s="11"/>
      <c r="H915" s="15"/>
      <c r="I915" s="38"/>
      <c r="J915" s="38"/>
      <c r="K915" s="38"/>
      <c r="L915" s="41"/>
      <c r="M915" s="43"/>
      <c r="N915" s="11"/>
      <c r="O915" s="48"/>
      <c r="P915" s="48"/>
      <c r="Q915" s="48"/>
      <c r="R915" s="38"/>
      <c r="S915" s="38"/>
      <c r="T915" s="52"/>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83"/>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83"/>
      <c r="CK915" s="11"/>
      <c r="CL915" s="11"/>
      <c r="CM915" s="11"/>
      <c r="CN915" s="11"/>
      <c r="CO915" s="11"/>
      <c r="CP915" s="11"/>
      <c r="CQ915" s="11"/>
      <c r="CR915" s="11"/>
      <c r="CS915" s="11"/>
      <c r="CT915" s="11"/>
      <c r="CU915" s="11"/>
      <c r="CV915" s="11"/>
      <c r="CW915" s="11"/>
      <c r="CX915" s="11"/>
      <c r="CY915" s="11"/>
      <c r="CZ915" s="11"/>
      <c r="DA915" s="11"/>
      <c r="DB915" s="11"/>
      <c r="DC915" s="11"/>
    </row>
    <row r="916" spans="1:107" ht="12.75" customHeight="1">
      <c r="A916" s="11"/>
      <c r="B916" s="11"/>
      <c r="C916" s="11"/>
      <c r="D916" s="11"/>
      <c r="E916" s="11"/>
      <c r="F916" s="11"/>
      <c r="G916" s="11"/>
      <c r="H916" s="15"/>
      <c r="I916" s="38"/>
      <c r="J916" s="38"/>
      <c r="K916" s="38"/>
      <c r="L916" s="41"/>
      <c r="M916" s="43"/>
      <c r="N916" s="11"/>
      <c r="O916" s="48"/>
      <c r="P916" s="48"/>
      <c r="Q916" s="48"/>
      <c r="R916" s="38"/>
      <c r="S916" s="38"/>
      <c r="T916" s="52"/>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83"/>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83"/>
      <c r="CK916" s="11"/>
      <c r="CL916" s="11"/>
      <c r="CM916" s="11"/>
      <c r="CN916" s="11"/>
      <c r="CO916" s="11"/>
      <c r="CP916" s="11"/>
      <c r="CQ916" s="11"/>
      <c r="CR916" s="11"/>
      <c r="CS916" s="11"/>
      <c r="CT916" s="11"/>
      <c r="CU916" s="11"/>
      <c r="CV916" s="11"/>
      <c r="CW916" s="11"/>
      <c r="CX916" s="11"/>
      <c r="CY916" s="11"/>
      <c r="CZ916" s="11"/>
      <c r="DA916" s="11"/>
      <c r="DB916" s="11"/>
      <c r="DC916" s="11"/>
    </row>
    <row r="917" spans="1:107" ht="12.75" customHeight="1">
      <c r="A917" s="11"/>
      <c r="B917" s="11"/>
      <c r="C917" s="11"/>
      <c r="D917" s="11"/>
      <c r="E917" s="11"/>
      <c r="F917" s="11"/>
      <c r="G917" s="11"/>
      <c r="H917" s="15"/>
      <c r="I917" s="38"/>
      <c r="J917" s="38"/>
      <c r="K917" s="38"/>
      <c r="L917" s="41"/>
      <c r="M917" s="43"/>
      <c r="N917" s="11"/>
      <c r="O917" s="48"/>
      <c r="P917" s="48"/>
      <c r="Q917" s="48"/>
      <c r="R917" s="38"/>
      <c r="S917" s="38"/>
      <c r="T917" s="52"/>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83"/>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83"/>
      <c r="CK917" s="11"/>
      <c r="CL917" s="11"/>
      <c r="CM917" s="11"/>
      <c r="CN917" s="11"/>
      <c r="CO917" s="11"/>
      <c r="CP917" s="11"/>
      <c r="CQ917" s="11"/>
      <c r="CR917" s="11"/>
      <c r="CS917" s="11"/>
      <c r="CT917" s="11"/>
      <c r="CU917" s="11"/>
      <c r="CV917" s="11"/>
      <c r="CW917" s="11"/>
      <c r="CX917" s="11"/>
      <c r="CY917" s="11"/>
      <c r="CZ917" s="11"/>
      <c r="DA917" s="11"/>
      <c r="DB917" s="11"/>
      <c r="DC917" s="11"/>
    </row>
    <row r="918" spans="1:107" ht="12.75" customHeight="1">
      <c r="A918" s="11"/>
      <c r="B918" s="11"/>
      <c r="C918" s="11"/>
      <c r="D918" s="11"/>
      <c r="E918" s="11"/>
      <c r="F918" s="11"/>
      <c r="G918" s="11"/>
      <c r="H918" s="15"/>
      <c r="I918" s="38"/>
      <c r="J918" s="38"/>
      <c r="K918" s="38"/>
      <c r="L918" s="41"/>
      <c r="M918" s="43"/>
      <c r="N918" s="11"/>
      <c r="O918" s="48"/>
      <c r="P918" s="48"/>
      <c r="Q918" s="48"/>
      <c r="R918" s="38"/>
      <c r="S918" s="38"/>
      <c r="T918" s="52"/>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83"/>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83"/>
      <c r="CK918" s="11"/>
      <c r="CL918" s="11"/>
      <c r="CM918" s="11"/>
      <c r="CN918" s="11"/>
      <c r="CO918" s="11"/>
      <c r="CP918" s="11"/>
      <c r="CQ918" s="11"/>
      <c r="CR918" s="11"/>
      <c r="CS918" s="11"/>
      <c r="CT918" s="11"/>
      <c r="CU918" s="11"/>
      <c r="CV918" s="11"/>
      <c r="CW918" s="11"/>
      <c r="CX918" s="11"/>
      <c r="CY918" s="11"/>
      <c r="CZ918" s="11"/>
      <c r="DA918" s="11"/>
      <c r="DB918" s="11"/>
      <c r="DC918" s="11"/>
    </row>
    <row r="919" spans="1:107" ht="12.75" customHeight="1">
      <c r="A919" s="11"/>
      <c r="B919" s="11"/>
      <c r="C919" s="11"/>
      <c r="D919" s="11"/>
      <c r="E919" s="11"/>
      <c r="F919" s="11"/>
      <c r="G919" s="11"/>
      <c r="H919" s="15"/>
      <c r="I919" s="38"/>
      <c r="J919" s="38"/>
      <c r="K919" s="38"/>
      <c r="L919" s="41"/>
      <c r="M919" s="43"/>
      <c r="N919" s="11"/>
      <c r="O919" s="48"/>
      <c r="P919" s="48"/>
      <c r="Q919" s="48"/>
      <c r="R919" s="38"/>
      <c r="S919" s="38"/>
      <c r="T919" s="52"/>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83"/>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83"/>
      <c r="CK919" s="11"/>
      <c r="CL919" s="11"/>
      <c r="CM919" s="11"/>
      <c r="CN919" s="11"/>
      <c r="CO919" s="11"/>
      <c r="CP919" s="11"/>
      <c r="CQ919" s="11"/>
      <c r="CR919" s="11"/>
      <c r="CS919" s="11"/>
      <c r="CT919" s="11"/>
      <c r="CU919" s="11"/>
      <c r="CV919" s="11"/>
      <c r="CW919" s="11"/>
      <c r="CX919" s="11"/>
      <c r="CY919" s="11"/>
      <c r="CZ919" s="11"/>
      <c r="DA919" s="11"/>
      <c r="DB919" s="11"/>
      <c r="DC919" s="11"/>
    </row>
    <row r="920" spans="1:107" ht="12.75" customHeight="1">
      <c r="A920" s="11"/>
      <c r="B920" s="11"/>
      <c r="C920" s="11"/>
      <c r="D920" s="11"/>
      <c r="E920" s="11"/>
      <c r="F920" s="11"/>
      <c r="G920" s="11"/>
      <c r="H920" s="15"/>
      <c r="I920" s="38"/>
      <c r="J920" s="38"/>
      <c r="K920" s="38"/>
      <c r="L920" s="41"/>
      <c r="M920" s="43"/>
      <c r="N920" s="11"/>
      <c r="O920" s="48"/>
      <c r="P920" s="48"/>
      <c r="Q920" s="48"/>
      <c r="R920" s="38"/>
      <c r="S920" s="38"/>
      <c r="T920" s="52"/>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83"/>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83"/>
      <c r="CK920" s="11"/>
      <c r="CL920" s="11"/>
      <c r="CM920" s="11"/>
      <c r="CN920" s="11"/>
      <c r="CO920" s="11"/>
      <c r="CP920" s="11"/>
      <c r="CQ920" s="11"/>
      <c r="CR920" s="11"/>
      <c r="CS920" s="11"/>
      <c r="CT920" s="11"/>
      <c r="CU920" s="11"/>
      <c r="CV920" s="11"/>
      <c r="CW920" s="11"/>
      <c r="CX920" s="11"/>
      <c r="CY920" s="11"/>
      <c r="CZ920" s="11"/>
      <c r="DA920" s="11"/>
      <c r="DB920" s="11"/>
      <c r="DC920" s="11"/>
    </row>
    <row r="921" spans="1:107" ht="12.75" customHeight="1">
      <c r="A921" s="11"/>
      <c r="B921" s="11"/>
      <c r="C921" s="11"/>
      <c r="D921" s="11"/>
      <c r="E921" s="11"/>
      <c r="F921" s="11"/>
      <c r="G921" s="11"/>
      <c r="H921" s="15"/>
      <c r="I921" s="38"/>
      <c r="J921" s="38"/>
      <c r="K921" s="38"/>
      <c r="L921" s="41"/>
      <c r="M921" s="43"/>
      <c r="N921" s="11"/>
      <c r="O921" s="48"/>
      <c r="P921" s="48"/>
      <c r="Q921" s="48"/>
      <c r="R921" s="38"/>
      <c r="S921" s="38"/>
      <c r="T921" s="52"/>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83"/>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83"/>
      <c r="CK921" s="11"/>
      <c r="CL921" s="11"/>
      <c r="CM921" s="11"/>
      <c r="CN921" s="11"/>
      <c r="CO921" s="11"/>
      <c r="CP921" s="11"/>
      <c r="CQ921" s="11"/>
      <c r="CR921" s="11"/>
      <c r="CS921" s="11"/>
      <c r="CT921" s="11"/>
      <c r="CU921" s="11"/>
      <c r="CV921" s="11"/>
      <c r="CW921" s="11"/>
      <c r="CX921" s="11"/>
      <c r="CY921" s="11"/>
      <c r="CZ921" s="11"/>
      <c r="DA921" s="11"/>
      <c r="DB921" s="11"/>
      <c r="DC921" s="11"/>
    </row>
    <row r="922" spans="1:107" ht="12.75" customHeight="1">
      <c r="A922" s="11"/>
      <c r="B922" s="11"/>
      <c r="C922" s="11"/>
      <c r="D922" s="11"/>
      <c r="E922" s="11"/>
      <c r="F922" s="11"/>
      <c r="G922" s="11"/>
      <c r="H922" s="15"/>
      <c r="I922" s="38"/>
      <c r="J922" s="38"/>
      <c r="K922" s="38"/>
      <c r="L922" s="41"/>
      <c r="M922" s="43"/>
      <c r="N922" s="11"/>
      <c r="O922" s="48"/>
      <c r="P922" s="48"/>
      <c r="Q922" s="48"/>
      <c r="R922" s="38"/>
      <c r="S922" s="38"/>
      <c r="T922" s="52"/>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83"/>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83"/>
      <c r="CK922" s="11"/>
      <c r="CL922" s="11"/>
      <c r="CM922" s="11"/>
      <c r="CN922" s="11"/>
      <c r="CO922" s="11"/>
      <c r="CP922" s="11"/>
      <c r="CQ922" s="11"/>
      <c r="CR922" s="11"/>
      <c r="CS922" s="11"/>
      <c r="CT922" s="11"/>
      <c r="CU922" s="11"/>
      <c r="CV922" s="11"/>
      <c r="CW922" s="11"/>
      <c r="CX922" s="11"/>
      <c r="CY922" s="11"/>
      <c r="CZ922" s="11"/>
      <c r="DA922" s="11"/>
      <c r="DB922" s="11"/>
      <c r="DC922" s="11"/>
    </row>
    <row r="923" spans="1:107" ht="12.75" customHeight="1">
      <c r="A923" s="11"/>
      <c r="B923" s="11"/>
      <c r="C923" s="11"/>
      <c r="D923" s="11"/>
      <c r="E923" s="11"/>
      <c r="F923" s="11"/>
      <c r="G923" s="11"/>
      <c r="H923" s="15"/>
      <c r="I923" s="38"/>
      <c r="J923" s="38"/>
      <c r="K923" s="38"/>
      <c r="L923" s="41"/>
      <c r="M923" s="43"/>
      <c r="N923" s="11"/>
      <c r="O923" s="48"/>
      <c r="P923" s="48"/>
      <c r="Q923" s="48"/>
      <c r="R923" s="38"/>
      <c r="S923" s="38"/>
      <c r="T923" s="52"/>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83"/>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83"/>
      <c r="CK923" s="11"/>
      <c r="CL923" s="11"/>
      <c r="CM923" s="11"/>
      <c r="CN923" s="11"/>
      <c r="CO923" s="11"/>
      <c r="CP923" s="11"/>
      <c r="CQ923" s="11"/>
      <c r="CR923" s="11"/>
      <c r="CS923" s="11"/>
      <c r="CT923" s="11"/>
      <c r="CU923" s="11"/>
      <c r="CV923" s="11"/>
      <c r="CW923" s="11"/>
      <c r="CX923" s="11"/>
      <c r="CY923" s="11"/>
      <c r="CZ923" s="11"/>
      <c r="DA923" s="11"/>
      <c r="DB923" s="11"/>
      <c r="DC923" s="11"/>
    </row>
    <row r="924" spans="1:107" ht="12.75" customHeight="1">
      <c r="A924" s="11"/>
      <c r="B924" s="11"/>
      <c r="C924" s="11"/>
      <c r="D924" s="11"/>
      <c r="E924" s="11"/>
      <c r="F924" s="11"/>
      <c r="G924" s="11"/>
      <c r="H924" s="15"/>
      <c r="I924" s="38"/>
      <c r="J924" s="38"/>
      <c r="K924" s="38"/>
      <c r="L924" s="41"/>
      <c r="M924" s="43"/>
      <c r="N924" s="11"/>
      <c r="O924" s="48"/>
      <c r="P924" s="48"/>
      <c r="Q924" s="48"/>
      <c r="R924" s="38"/>
      <c r="S924" s="38"/>
      <c r="T924" s="52"/>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83"/>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83"/>
      <c r="CK924" s="11"/>
      <c r="CL924" s="11"/>
      <c r="CM924" s="11"/>
      <c r="CN924" s="11"/>
      <c r="CO924" s="11"/>
      <c r="CP924" s="11"/>
      <c r="CQ924" s="11"/>
      <c r="CR924" s="11"/>
      <c r="CS924" s="11"/>
      <c r="CT924" s="11"/>
      <c r="CU924" s="11"/>
      <c r="CV924" s="11"/>
      <c r="CW924" s="11"/>
      <c r="CX924" s="11"/>
      <c r="CY924" s="11"/>
      <c r="CZ924" s="11"/>
      <c r="DA924" s="11"/>
      <c r="DB924" s="11"/>
      <c r="DC924" s="11"/>
    </row>
    <row r="925" spans="1:107" ht="12.75" customHeight="1">
      <c r="A925" s="11"/>
      <c r="B925" s="11"/>
      <c r="C925" s="11"/>
      <c r="D925" s="11"/>
      <c r="E925" s="11"/>
      <c r="F925" s="11"/>
      <c r="G925" s="11"/>
      <c r="H925" s="15"/>
      <c r="I925" s="38"/>
      <c r="J925" s="38"/>
      <c r="K925" s="38"/>
      <c r="L925" s="41"/>
      <c r="M925" s="43"/>
      <c r="N925" s="11"/>
      <c r="O925" s="48"/>
      <c r="P925" s="48"/>
      <c r="Q925" s="48"/>
      <c r="R925" s="38"/>
      <c r="S925" s="38"/>
      <c r="T925" s="52"/>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83"/>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83"/>
      <c r="CK925" s="11"/>
      <c r="CL925" s="11"/>
      <c r="CM925" s="11"/>
      <c r="CN925" s="11"/>
      <c r="CO925" s="11"/>
      <c r="CP925" s="11"/>
      <c r="CQ925" s="11"/>
      <c r="CR925" s="11"/>
      <c r="CS925" s="11"/>
      <c r="CT925" s="11"/>
      <c r="CU925" s="11"/>
      <c r="CV925" s="11"/>
      <c r="CW925" s="11"/>
      <c r="CX925" s="11"/>
      <c r="CY925" s="11"/>
      <c r="CZ925" s="11"/>
      <c r="DA925" s="11"/>
      <c r="DB925" s="11"/>
      <c r="DC925" s="11"/>
    </row>
    <row r="926" spans="1:107" ht="12.75" customHeight="1">
      <c r="A926" s="11"/>
      <c r="B926" s="11"/>
      <c r="C926" s="11"/>
      <c r="D926" s="11"/>
      <c r="E926" s="11"/>
      <c r="F926" s="11"/>
      <c r="G926" s="11"/>
      <c r="H926" s="15"/>
      <c r="I926" s="38"/>
      <c r="J926" s="38"/>
      <c r="K926" s="38"/>
      <c r="L926" s="41"/>
      <c r="M926" s="43"/>
      <c r="N926" s="11"/>
      <c r="O926" s="48"/>
      <c r="P926" s="48"/>
      <c r="Q926" s="48"/>
      <c r="R926" s="38"/>
      <c r="S926" s="38"/>
      <c r="T926" s="52"/>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83"/>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83"/>
      <c r="CK926" s="11"/>
      <c r="CL926" s="11"/>
      <c r="CM926" s="11"/>
      <c r="CN926" s="11"/>
      <c r="CO926" s="11"/>
      <c r="CP926" s="11"/>
      <c r="CQ926" s="11"/>
      <c r="CR926" s="11"/>
      <c r="CS926" s="11"/>
      <c r="CT926" s="11"/>
      <c r="CU926" s="11"/>
      <c r="CV926" s="11"/>
      <c r="CW926" s="11"/>
      <c r="CX926" s="11"/>
      <c r="CY926" s="11"/>
      <c r="CZ926" s="11"/>
      <c r="DA926" s="11"/>
      <c r="DB926" s="11"/>
      <c r="DC926" s="11"/>
    </row>
    <row r="927" spans="1:107" ht="12.75" customHeight="1">
      <c r="A927" s="11"/>
      <c r="B927" s="11"/>
      <c r="C927" s="11"/>
      <c r="D927" s="11"/>
      <c r="E927" s="11"/>
      <c r="F927" s="11"/>
      <c r="G927" s="11"/>
      <c r="H927" s="15"/>
      <c r="I927" s="38"/>
      <c r="J927" s="38"/>
      <c r="K927" s="38"/>
      <c r="L927" s="41"/>
      <c r="M927" s="43"/>
      <c r="N927" s="11"/>
      <c r="O927" s="48"/>
      <c r="P927" s="48"/>
      <c r="Q927" s="48"/>
      <c r="R927" s="38"/>
      <c r="S927" s="38"/>
      <c r="T927" s="52"/>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83"/>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83"/>
      <c r="CK927" s="11"/>
      <c r="CL927" s="11"/>
      <c r="CM927" s="11"/>
      <c r="CN927" s="11"/>
      <c r="CO927" s="11"/>
      <c r="CP927" s="11"/>
      <c r="CQ927" s="11"/>
      <c r="CR927" s="11"/>
      <c r="CS927" s="11"/>
      <c r="CT927" s="11"/>
      <c r="CU927" s="11"/>
      <c r="CV927" s="11"/>
      <c r="CW927" s="11"/>
      <c r="CX927" s="11"/>
      <c r="CY927" s="11"/>
      <c r="CZ927" s="11"/>
      <c r="DA927" s="11"/>
      <c r="DB927" s="11"/>
      <c r="DC927" s="11"/>
    </row>
    <row r="928" spans="1:107" ht="12.75" customHeight="1">
      <c r="A928" s="11"/>
      <c r="B928" s="11"/>
      <c r="C928" s="11"/>
      <c r="D928" s="11"/>
      <c r="E928" s="11"/>
      <c r="F928" s="11"/>
      <c r="G928" s="11"/>
      <c r="H928" s="15"/>
      <c r="I928" s="38"/>
      <c r="J928" s="38"/>
      <c r="K928" s="38"/>
      <c r="L928" s="41"/>
      <c r="M928" s="43"/>
      <c r="N928" s="11"/>
      <c r="O928" s="48"/>
      <c r="P928" s="48"/>
      <c r="Q928" s="48"/>
      <c r="R928" s="38"/>
      <c r="S928" s="38"/>
      <c r="T928" s="52"/>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83"/>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83"/>
      <c r="CK928" s="11"/>
      <c r="CL928" s="11"/>
      <c r="CM928" s="11"/>
      <c r="CN928" s="11"/>
      <c r="CO928" s="11"/>
      <c r="CP928" s="11"/>
      <c r="CQ928" s="11"/>
      <c r="CR928" s="11"/>
      <c r="CS928" s="11"/>
      <c r="CT928" s="11"/>
      <c r="CU928" s="11"/>
      <c r="CV928" s="11"/>
      <c r="CW928" s="11"/>
      <c r="CX928" s="11"/>
      <c r="CY928" s="11"/>
      <c r="CZ928" s="11"/>
      <c r="DA928" s="11"/>
      <c r="DB928" s="11"/>
      <c r="DC928" s="11"/>
    </row>
    <row r="929" spans="1:107" ht="12.75" customHeight="1">
      <c r="A929" s="11"/>
      <c r="B929" s="11"/>
      <c r="C929" s="11"/>
      <c r="D929" s="11"/>
      <c r="E929" s="11"/>
      <c r="F929" s="11"/>
      <c r="G929" s="11"/>
      <c r="H929" s="15"/>
      <c r="I929" s="38"/>
      <c r="J929" s="38"/>
      <c r="K929" s="38"/>
      <c r="L929" s="41"/>
      <c r="M929" s="43"/>
      <c r="N929" s="11"/>
      <c r="O929" s="48"/>
      <c r="P929" s="48"/>
      <c r="Q929" s="48"/>
      <c r="R929" s="38"/>
      <c r="S929" s="38"/>
      <c r="T929" s="52"/>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83"/>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83"/>
      <c r="CK929" s="11"/>
      <c r="CL929" s="11"/>
      <c r="CM929" s="11"/>
      <c r="CN929" s="11"/>
      <c r="CO929" s="11"/>
      <c r="CP929" s="11"/>
      <c r="CQ929" s="11"/>
      <c r="CR929" s="11"/>
      <c r="CS929" s="11"/>
      <c r="CT929" s="11"/>
      <c r="CU929" s="11"/>
      <c r="CV929" s="11"/>
      <c r="CW929" s="11"/>
      <c r="CX929" s="11"/>
      <c r="CY929" s="11"/>
      <c r="CZ929" s="11"/>
      <c r="DA929" s="11"/>
      <c r="DB929" s="11"/>
      <c r="DC929" s="11"/>
    </row>
    <row r="930" spans="1:107" ht="12.75" customHeight="1">
      <c r="A930" s="11"/>
      <c r="B930" s="11"/>
      <c r="C930" s="11"/>
      <c r="D930" s="11"/>
      <c r="E930" s="11"/>
      <c r="F930" s="11"/>
      <c r="G930" s="11"/>
      <c r="H930" s="15"/>
      <c r="I930" s="38"/>
      <c r="J930" s="38"/>
      <c r="K930" s="38"/>
      <c r="L930" s="41"/>
      <c r="M930" s="43"/>
      <c r="N930" s="11"/>
      <c r="O930" s="48"/>
      <c r="P930" s="48"/>
      <c r="Q930" s="48"/>
      <c r="R930" s="38"/>
      <c r="S930" s="38"/>
      <c r="T930" s="52"/>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83"/>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83"/>
      <c r="CK930" s="11"/>
      <c r="CL930" s="11"/>
      <c r="CM930" s="11"/>
      <c r="CN930" s="11"/>
      <c r="CO930" s="11"/>
      <c r="CP930" s="11"/>
      <c r="CQ930" s="11"/>
      <c r="CR930" s="11"/>
      <c r="CS930" s="11"/>
      <c r="CT930" s="11"/>
      <c r="CU930" s="11"/>
      <c r="CV930" s="11"/>
      <c r="CW930" s="11"/>
      <c r="CX930" s="11"/>
      <c r="CY930" s="11"/>
      <c r="CZ930" s="11"/>
      <c r="DA930" s="11"/>
      <c r="DB930" s="11"/>
      <c r="DC930" s="11"/>
    </row>
    <row r="931" spans="1:107" ht="12.75" customHeight="1">
      <c r="A931" s="11"/>
      <c r="B931" s="11"/>
      <c r="C931" s="11"/>
      <c r="D931" s="11"/>
      <c r="E931" s="11"/>
      <c r="F931" s="11"/>
      <c r="G931" s="11"/>
      <c r="H931" s="15"/>
      <c r="I931" s="38"/>
      <c r="J931" s="38"/>
      <c r="K931" s="38"/>
      <c r="L931" s="41"/>
      <c r="M931" s="43"/>
      <c r="N931" s="11"/>
      <c r="O931" s="48"/>
      <c r="P931" s="48"/>
      <c r="Q931" s="48"/>
      <c r="R931" s="38"/>
      <c r="S931" s="38"/>
      <c r="T931" s="52"/>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83"/>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83"/>
      <c r="CK931" s="11"/>
      <c r="CL931" s="11"/>
      <c r="CM931" s="11"/>
      <c r="CN931" s="11"/>
      <c r="CO931" s="11"/>
      <c r="CP931" s="11"/>
      <c r="CQ931" s="11"/>
      <c r="CR931" s="11"/>
      <c r="CS931" s="11"/>
      <c r="CT931" s="11"/>
      <c r="CU931" s="11"/>
      <c r="CV931" s="11"/>
      <c r="CW931" s="11"/>
      <c r="CX931" s="11"/>
      <c r="CY931" s="11"/>
      <c r="CZ931" s="11"/>
      <c r="DA931" s="11"/>
      <c r="DB931" s="11"/>
      <c r="DC931" s="11"/>
    </row>
    <row r="932" spans="1:107" ht="12.75" customHeight="1">
      <c r="A932" s="11"/>
      <c r="B932" s="11"/>
      <c r="C932" s="11"/>
      <c r="D932" s="11"/>
      <c r="E932" s="11"/>
      <c r="F932" s="11"/>
      <c r="G932" s="11"/>
      <c r="H932" s="15"/>
      <c r="I932" s="38"/>
      <c r="J932" s="38"/>
      <c r="K932" s="38"/>
      <c r="L932" s="41"/>
      <c r="M932" s="43"/>
      <c r="N932" s="11"/>
      <c r="O932" s="48"/>
      <c r="P932" s="48"/>
      <c r="Q932" s="48"/>
      <c r="R932" s="38"/>
      <c r="S932" s="38"/>
      <c r="T932" s="52"/>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83"/>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83"/>
      <c r="CK932" s="11"/>
      <c r="CL932" s="11"/>
      <c r="CM932" s="11"/>
      <c r="CN932" s="11"/>
      <c r="CO932" s="11"/>
      <c r="CP932" s="11"/>
      <c r="CQ932" s="11"/>
      <c r="CR932" s="11"/>
      <c r="CS932" s="11"/>
      <c r="CT932" s="11"/>
      <c r="CU932" s="11"/>
      <c r="CV932" s="11"/>
      <c r="CW932" s="11"/>
      <c r="CX932" s="11"/>
      <c r="CY932" s="11"/>
      <c r="CZ932" s="11"/>
      <c r="DA932" s="11"/>
      <c r="DB932" s="11"/>
      <c r="DC932" s="11"/>
    </row>
    <row r="933" spans="1:107" ht="12.75" customHeight="1">
      <c r="A933" s="11"/>
      <c r="B933" s="11"/>
      <c r="C933" s="11"/>
      <c r="D933" s="11"/>
      <c r="E933" s="11"/>
      <c r="F933" s="11"/>
      <c r="G933" s="11"/>
      <c r="H933" s="15"/>
      <c r="I933" s="38"/>
      <c r="J933" s="38"/>
      <c r="K933" s="38"/>
      <c r="L933" s="41"/>
      <c r="M933" s="43"/>
      <c r="N933" s="11"/>
      <c r="O933" s="48"/>
      <c r="P933" s="48"/>
      <c r="Q933" s="48"/>
      <c r="R933" s="38"/>
      <c r="S933" s="38"/>
      <c r="T933" s="52"/>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83"/>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83"/>
      <c r="CK933" s="11"/>
      <c r="CL933" s="11"/>
      <c r="CM933" s="11"/>
      <c r="CN933" s="11"/>
      <c r="CO933" s="11"/>
      <c r="CP933" s="11"/>
      <c r="CQ933" s="11"/>
      <c r="CR933" s="11"/>
      <c r="CS933" s="11"/>
      <c r="CT933" s="11"/>
      <c r="CU933" s="11"/>
      <c r="CV933" s="11"/>
      <c r="CW933" s="11"/>
      <c r="CX933" s="11"/>
      <c r="CY933" s="11"/>
      <c r="CZ933" s="11"/>
      <c r="DA933" s="11"/>
      <c r="DB933" s="11"/>
      <c r="DC933" s="11"/>
    </row>
    <row r="934" spans="1:107" ht="12.75" customHeight="1">
      <c r="A934" s="11"/>
      <c r="B934" s="11"/>
      <c r="C934" s="11"/>
      <c r="D934" s="11"/>
      <c r="E934" s="11"/>
      <c r="F934" s="11"/>
      <c r="G934" s="11"/>
      <c r="H934" s="15"/>
      <c r="I934" s="38"/>
      <c r="J934" s="38"/>
      <c r="K934" s="38"/>
      <c r="L934" s="41"/>
      <c r="M934" s="43"/>
      <c r="N934" s="11"/>
      <c r="O934" s="48"/>
      <c r="P934" s="48"/>
      <c r="Q934" s="48"/>
      <c r="R934" s="38"/>
      <c r="S934" s="38"/>
      <c r="T934" s="52"/>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83"/>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83"/>
      <c r="CK934" s="11"/>
      <c r="CL934" s="11"/>
      <c r="CM934" s="11"/>
      <c r="CN934" s="11"/>
      <c r="CO934" s="11"/>
      <c r="CP934" s="11"/>
      <c r="CQ934" s="11"/>
      <c r="CR934" s="11"/>
      <c r="CS934" s="11"/>
      <c r="CT934" s="11"/>
      <c r="CU934" s="11"/>
      <c r="CV934" s="11"/>
      <c r="CW934" s="11"/>
      <c r="CX934" s="11"/>
      <c r="CY934" s="11"/>
      <c r="CZ934" s="11"/>
      <c r="DA934" s="11"/>
      <c r="DB934" s="11"/>
      <c r="DC934" s="11"/>
    </row>
    <row r="935" spans="1:107" ht="12.75" customHeight="1">
      <c r="A935" s="11"/>
      <c r="B935" s="11"/>
      <c r="C935" s="11"/>
      <c r="D935" s="11"/>
      <c r="E935" s="11"/>
      <c r="F935" s="11"/>
      <c r="G935" s="11"/>
      <c r="H935" s="15"/>
      <c r="I935" s="38"/>
      <c r="J935" s="38"/>
      <c r="K935" s="38"/>
      <c r="L935" s="41"/>
      <c r="M935" s="43"/>
      <c r="N935" s="11"/>
      <c r="O935" s="48"/>
      <c r="P935" s="48"/>
      <c r="Q935" s="48"/>
      <c r="R935" s="38"/>
      <c r="S935" s="38"/>
      <c r="T935" s="52"/>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83"/>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83"/>
      <c r="CK935" s="11"/>
      <c r="CL935" s="11"/>
      <c r="CM935" s="11"/>
      <c r="CN935" s="11"/>
      <c r="CO935" s="11"/>
      <c r="CP935" s="11"/>
      <c r="CQ935" s="11"/>
      <c r="CR935" s="11"/>
      <c r="CS935" s="11"/>
      <c r="CT935" s="11"/>
      <c r="CU935" s="11"/>
      <c r="CV935" s="11"/>
      <c r="CW935" s="11"/>
      <c r="CX935" s="11"/>
      <c r="CY935" s="11"/>
      <c r="CZ935" s="11"/>
      <c r="DA935" s="11"/>
      <c r="DB935" s="11"/>
      <c r="DC935" s="11"/>
    </row>
    <row r="936" spans="1:107" ht="12.75" customHeight="1">
      <c r="A936" s="11"/>
      <c r="B936" s="11"/>
      <c r="C936" s="11"/>
      <c r="D936" s="11"/>
      <c r="E936" s="11"/>
      <c r="F936" s="11"/>
      <c r="G936" s="11"/>
      <c r="H936" s="15"/>
      <c r="I936" s="38"/>
      <c r="J936" s="38"/>
      <c r="K936" s="38"/>
      <c r="L936" s="41"/>
      <c r="M936" s="43"/>
      <c r="N936" s="11"/>
      <c r="O936" s="48"/>
      <c r="P936" s="48"/>
      <c r="Q936" s="48"/>
      <c r="R936" s="38"/>
      <c r="S936" s="38"/>
      <c r="T936" s="52"/>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83"/>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83"/>
      <c r="CK936" s="11"/>
      <c r="CL936" s="11"/>
      <c r="CM936" s="11"/>
      <c r="CN936" s="11"/>
      <c r="CO936" s="11"/>
      <c r="CP936" s="11"/>
      <c r="CQ936" s="11"/>
      <c r="CR936" s="11"/>
      <c r="CS936" s="11"/>
      <c r="CT936" s="11"/>
      <c r="CU936" s="11"/>
      <c r="CV936" s="11"/>
      <c r="CW936" s="11"/>
      <c r="CX936" s="11"/>
      <c r="CY936" s="11"/>
      <c r="CZ936" s="11"/>
      <c r="DA936" s="11"/>
      <c r="DB936" s="11"/>
      <c r="DC936" s="11"/>
    </row>
    <row r="937" spans="1:107" ht="12.75" customHeight="1">
      <c r="A937" s="11"/>
      <c r="B937" s="11"/>
      <c r="C937" s="11"/>
      <c r="D937" s="11"/>
      <c r="E937" s="11"/>
      <c r="F937" s="11"/>
      <c r="G937" s="11"/>
      <c r="H937" s="15"/>
      <c r="I937" s="38"/>
      <c r="J937" s="38"/>
      <c r="K937" s="38"/>
      <c r="L937" s="41"/>
      <c r="M937" s="43"/>
      <c r="N937" s="11"/>
      <c r="O937" s="48"/>
      <c r="P937" s="48"/>
      <c r="Q937" s="48"/>
      <c r="R937" s="38"/>
      <c r="S937" s="38"/>
      <c r="T937" s="52"/>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83"/>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83"/>
      <c r="CK937" s="11"/>
      <c r="CL937" s="11"/>
      <c r="CM937" s="11"/>
      <c r="CN937" s="11"/>
      <c r="CO937" s="11"/>
      <c r="CP937" s="11"/>
      <c r="CQ937" s="11"/>
      <c r="CR937" s="11"/>
      <c r="CS937" s="11"/>
      <c r="CT937" s="11"/>
      <c r="CU937" s="11"/>
      <c r="CV937" s="11"/>
      <c r="CW937" s="11"/>
      <c r="CX937" s="11"/>
      <c r="CY937" s="11"/>
      <c r="CZ937" s="11"/>
      <c r="DA937" s="11"/>
      <c r="DB937" s="11"/>
      <c r="DC937" s="11"/>
    </row>
    <row r="938" spans="1:107" ht="12.75" customHeight="1">
      <c r="A938" s="11"/>
      <c r="B938" s="11"/>
      <c r="C938" s="11"/>
      <c r="D938" s="11"/>
      <c r="E938" s="11"/>
      <c r="F938" s="11"/>
      <c r="G938" s="11"/>
      <c r="H938" s="15"/>
      <c r="I938" s="38"/>
      <c r="J938" s="38"/>
      <c r="K938" s="38"/>
      <c r="L938" s="41"/>
      <c r="M938" s="43"/>
      <c r="N938" s="11"/>
      <c r="O938" s="48"/>
      <c r="P938" s="48"/>
      <c r="Q938" s="48"/>
      <c r="R938" s="38"/>
      <c r="S938" s="38"/>
      <c r="T938" s="52"/>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83"/>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83"/>
      <c r="CK938" s="11"/>
      <c r="CL938" s="11"/>
      <c r="CM938" s="11"/>
      <c r="CN938" s="11"/>
      <c r="CO938" s="11"/>
      <c r="CP938" s="11"/>
      <c r="CQ938" s="11"/>
      <c r="CR938" s="11"/>
      <c r="CS938" s="11"/>
      <c r="CT938" s="11"/>
      <c r="CU938" s="11"/>
      <c r="CV938" s="11"/>
      <c r="CW938" s="11"/>
      <c r="CX938" s="11"/>
      <c r="CY938" s="11"/>
      <c r="CZ938" s="11"/>
      <c r="DA938" s="11"/>
      <c r="DB938" s="11"/>
      <c r="DC938" s="11"/>
    </row>
    <row r="939" spans="1:107" ht="12.75" customHeight="1">
      <c r="A939" s="11"/>
      <c r="B939" s="11"/>
      <c r="C939" s="11"/>
      <c r="D939" s="11"/>
      <c r="E939" s="11"/>
      <c r="F939" s="11"/>
      <c r="G939" s="11"/>
      <c r="H939" s="15"/>
      <c r="I939" s="38"/>
      <c r="J939" s="38"/>
      <c r="K939" s="38"/>
      <c r="L939" s="41"/>
      <c r="M939" s="43"/>
      <c r="N939" s="11"/>
      <c r="O939" s="48"/>
      <c r="P939" s="48"/>
      <c r="Q939" s="48"/>
      <c r="R939" s="38"/>
      <c r="S939" s="38"/>
      <c r="T939" s="52"/>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83"/>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83"/>
      <c r="CK939" s="11"/>
      <c r="CL939" s="11"/>
      <c r="CM939" s="11"/>
      <c r="CN939" s="11"/>
      <c r="CO939" s="11"/>
      <c r="CP939" s="11"/>
      <c r="CQ939" s="11"/>
      <c r="CR939" s="11"/>
      <c r="CS939" s="11"/>
      <c r="CT939" s="11"/>
      <c r="CU939" s="11"/>
      <c r="CV939" s="11"/>
      <c r="CW939" s="11"/>
      <c r="CX939" s="11"/>
      <c r="CY939" s="11"/>
      <c r="CZ939" s="11"/>
      <c r="DA939" s="11"/>
      <c r="DB939" s="11"/>
      <c r="DC939" s="11"/>
    </row>
    <row r="940" spans="1:107" ht="12.75" customHeight="1">
      <c r="A940" s="11"/>
      <c r="B940" s="11"/>
      <c r="C940" s="11"/>
      <c r="D940" s="11"/>
      <c r="E940" s="11"/>
      <c r="F940" s="11"/>
      <c r="G940" s="11"/>
      <c r="H940" s="15"/>
      <c r="I940" s="38"/>
      <c r="J940" s="38"/>
      <c r="K940" s="38"/>
      <c r="L940" s="41"/>
      <c r="M940" s="43"/>
      <c r="N940" s="11"/>
      <c r="O940" s="48"/>
      <c r="P940" s="48"/>
      <c r="Q940" s="48"/>
      <c r="R940" s="38"/>
      <c r="S940" s="38"/>
      <c r="T940" s="52"/>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83"/>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83"/>
      <c r="CK940" s="11"/>
      <c r="CL940" s="11"/>
      <c r="CM940" s="11"/>
      <c r="CN940" s="11"/>
      <c r="CO940" s="11"/>
      <c r="CP940" s="11"/>
      <c r="CQ940" s="11"/>
      <c r="CR940" s="11"/>
      <c r="CS940" s="11"/>
      <c r="CT940" s="11"/>
      <c r="CU940" s="11"/>
      <c r="CV940" s="11"/>
      <c r="CW940" s="11"/>
      <c r="CX940" s="11"/>
      <c r="CY940" s="11"/>
      <c r="CZ940" s="11"/>
      <c r="DA940" s="11"/>
      <c r="DB940" s="11"/>
      <c r="DC940" s="11"/>
    </row>
    <row r="941" spans="1:107" ht="12.75" customHeight="1">
      <c r="A941" s="11"/>
      <c r="B941" s="11"/>
      <c r="C941" s="11"/>
      <c r="D941" s="11"/>
      <c r="E941" s="11"/>
      <c r="F941" s="11"/>
      <c r="G941" s="11"/>
      <c r="H941" s="15"/>
      <c r="I941" s="38"/>
      <c r="J941" s="38"/>
      <c r="K941" s="38"/>
      <c r="L941" s="41"/>
      <c r="M941" s="43"/>
      <c r="N941" s="11"/>
      <c r="O941" s="48"/>
      <c r="P941" s="48"/>
      <c r="Q941" s="48"/>
      <c r="R941" s="38"/>
      <c r="S941" s="38"/>
      <c r="T941" s="52"/>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83"/>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83"/>
      <c r="CK941" s="11"/>
      <c r="CL941" s="11"/>
      <c r="CM941" s="11"/>
      <c r="CN941" s="11"/>
      <c r="CO941" s="11"/>
      <c r="CP941" s="11"/>
      <c r="CQ941" s="11"/>
      <c r="CR941" s="11"/>
      <c r="CS941" s="11"/>
      <c r="CT941" s="11"/>
      <c r="CU941" s="11"/>
      <c r="CV941" s="11"/>
      <c r="CW941" s="11"/>
      <c r="CX941" s="11"/>
      <c r="CY941" s="11"/>
      <c r="CZ941" s="11"/>
      <c r="DA941" s="11"/>
      <c r="DB941" s="11"/>
      <c r="DC941" s="11"/>
    </row>
    <row r="942" spans="1:107" ht="12.75" customHeight="1">
      <c r="A942" s="11"/>
      <c r="B942" s="11"/>
      <c r="C942" s="11"/>
      <c r="D942" s="11"/>
      <c r="E942" s="11"/>
      <c r="F942" s="11"/>
      <c r="G942" s="11"/>
      <c r="H942" s="15"/>
      <c r="I942" s="38"/>
      <c r="J942" s="38"/>
      <c r="K942" s="38"/>
      <c r="L942" s="41"/>
      <c r="M942" s="43"/>
      <c r="N942" s="11"/>
      <c r="O942" s="48"/>
      <c r="P942" s="48"/>
      <c r="Q942" s="48"/>
      <c r="R942" s="38"/>
      <c r="S942" s="38"/>
      <c r="T942" s="52"/>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83"/>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83"/>
      <c r="CK942" s="11"/>
      <c r="CL942" s="11"/>
      <c r="CM942" s="11"/>
      <c r="CN942" s="11"/>
      <c r="CO942" s="11"/>
      <c r="CP942" s="11"/>
      <c r="CQ942" s="11"/>
      <c r="CR942" s="11"/>
      <c r="CS942" s="11"/>
      <c r="CT942" s="11"/>
      <c r="CU942" s="11"/>
      <c r="CV942" s="11"/>
      <c r="CW942" s="11"/>
      <c r="CX942" s="11"/>
      <c r="CY942" s="11"/>
      <c r="CZ942" s="11"/>
      <c r="DA942" s="11"/>
      <c r="DB942" s="11"/>
      <c r="DC942" s="11"/>
    </row>
    <row r="943" spans="1:107" ht="12.75" customHeight="1">
      <c r="A943" s="11"/>
      <c r="B943" s="11"/>
      <c r="C943" s="11"/>
      <c r="D943" s="11"/>
      <c r="E943" s="11"/>
      <c r="F943" s="11"/>
      <c r="G943" s="11"/>
      <c r="H943" s="15"/>
      <c r="I943" s="38"/>
      <c r="J943" s="38"/>
      <c r="K943" s="38"/>
      <c r="L943" s="41"/>
      <c r="M943" s="43"/>
      <c r="N943" s="11"/>
      <c r="O943" s="48"/>
      <c r="P943" s="48"/>
      <c r="Q943" s="48"/>
      <c r="R943" s="38"/>
      <c r="S943" s="38"/>
      <c r="T943" s="52"/>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83"/>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83"/>
      <c r="CK943" s="11"/>
      <c r="CL943" s="11"/>
      <c r="CM943" s="11"/>
      <c r="CN943" s="11"/>
      <c r="CO943" s="11"/>
      <c r="CP943" s="11"/>
      <c r="CQ943" s="11"/>
      <c r="CR943" s="11"/>
      <c r="CS943" s="11"/>
      <c r="CT943" s="11"/>
      <c r="CU943" s="11"/>
      <c r="CV943" s="11"/>
      <c r="CW943" s="11"/>
      <c r="CX943" s="11"/>
      <c r="CY943" s="11"/>
      <c r="CZ943" s="11"/>
      <c r="DA943" s="11"/>
      <c r="DB943" s="11"/>
      <c r="DC943" s="11"/>
    </row>
    <row r="944" spans="1:107" ht="12.75" customHeight="1">
      <c r="A944" s="11"/>
      <c r="B944" s="11"/>
      <c r="C944" s="11"/>
      <c r="D944" s="11"/>
      <c r="E944" s="11"/>
      <c r="F944" s="11"/>
      <c r="G944" s="11"/>
      <c r="H944" s="15"/>
      <c r="I944" s="38"/>
      <c r="J944" s="38"/>
      <c r="K944" s="38"/>
      <c r="L944" s="41"/>
      <c r="M944" s="43"/>
      <c r="N944" s="11"/>
      <c r="O944" s="48"/>
      <c r="P944" s="48"/>
      <c r="Q944" s="48"/>
      <c r="R944" s="38"/>
      <c r="S944" s="38"/>
      <c r="T944" s="52"/>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83"/>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83"/>
      <c r="CK944" s="11"/>
      <c r="CL944" s="11"/>
      <c r="CM944" s="11"/>
      <c r="CN944" s="11"/>
      <c r="CO944" s="11"/>
      <c r="CP944" s="11"/>
      <c r="CQ944" s="11"/>
      <c r="CR944" s="11"/>
      <c r="CS944" s="11"/>
      <c r="CT944" s="11"/>
      <c r="CU944" s="11"/>
      <c r="CV944" s="11"/>
      <c r="CW944" s="11"/>
      <c r="CX944" s="11"/>
      <c r="CY944" s="11"/>
      <c r="CZ944" s="11"/>
      <c r="DA944" s="11"/>
      <c r="DB944" s="11"/>
      <c r="DC944" s="11"/>
    </row>
    <row r="945" spans="1:107" ht="12.75" customHeight="1">
      <c r="A945" s="11"/>
      <c r="B945" s="11"/>
      <c r="C945" s="11"/>
      <c r="D945" s="11"/>
      <c r="E945" s="11"/>
      <c r="F945" s="11"/>
      <c r="G945" s="11"/>
      <c r="H945" s="15"/>
      <c r="I945" s="38"/>
      <c r="J945" s="38"/>
      <c r="K945" s="38"/>
      <c r="L945" s="41"/>
      <c r="M945" s="43"/>
      <c r="N945" s="11"/>
      <c r="O945" s="48"/>
      <c r="P945" s="48"/>
      <c r="Q945" s="48"/>
      <c r="R945" s="38"/>
      <c r="S945" s="38"/>
      <c r="T945" s="52"/>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83"/>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83"/>
      <c r="CK945" s="11"/>
      <c r="CL945" s="11"/>
      <c r="CM945" s="11"/>
      <c r="CN945" s="11"/>
      <c r="CO945" s="11"/>
      <c r="CP945" s="11"/>
      <c r="CQ945" s="11"/>
      <c r="CR945" s="11"/>
      <c r="CS945" s="11"/>
      <c r="CT945" s="11"/>
      <c r="CU945" s="11"/>
      <c r="CV945" s="11"/>
      <c r="CW945" s="11"/>
      <c r="CX945" s="11"/>
      <c r="CY945" s="11"/>
      <c r="CZ945" s="11"/>
      <c r="DA945" s="11"/>
      <c r="DB945" s="11"/>
      <c r="DC945" s="11"/>
    </row>
    <row r="946" spans="1:107" ht="12.75" customHeight="1">
      <c r="A946" s="11"/>
      <c r="B946" s="11"/>
      <c r="C946" s="11"/>
      <c r="D946" s="11"/>
      <c r="E946" s="11"/>
      <c r="F946" s="11"/>
      <c r="G946" s="11"/>
      <c r="H946" s="15"/>
      <c r="I946" s="38"/>
      <c r="J946" s="38"/>
      <c r="K946" s="38"/>
      <c r="L946" s="41"/>
      <c r="M946" s="43"/>
      <c r="N946" s="11"/>
      <c r="O946" s="48"/>
      <c r="P946" s="48"/>
      <c r="Q946" s="48"/>
      <c r="R946" s="38"/>
      <c r="S946" s="38"/>
      <c r="T946" s="52"/>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83"/>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83"/>
      <c r="CK946" s="11"/>
      <c r="CL946" s="11"/>
      <c r="CM946" s="11"/>
      <c r="CN946" s="11"/>
      <c r="CO946" s="11"/>
      <c r="CP946" s="11"/>
      <c r="CQ946" s="11"/>
      <c r="CR946" s="11"/>
      <c r="CS946" s="11"/>
      <c r="CT946" s="11"/>
      <c r="CU946" s="11"/>
      <c r="CV946" s="11"/>
      <c r="CW946" s="11"/>
      <c r="CX946" s="11"/>
      <c r="CY946" s="11"/>
      <c r="CZ946" s="11"/>
      <c r="DA946" s="11"/>
      <c r="DB946" s="11"/>
      <c r="DC946" s="11"/>
    </row>
    <row r="947" spans="1:107" ht="12.75" customHeight="1">
      <c r="A947" s="11"/>
      <c r="B947" s="11"/>
      <c r="C947" s="11"/>
      <c r="D947" s="11"/>
      <c r="E947" s="11"/>
      <c r="F947" s="11"/>
      <c r="G947" s="11"/>
      <c r="H947" s="15"/>
      <c r="I947" s="38"/>
      <c r="J947" s="38"/>
      <c r="K947" s="38"/>
      <c r="L947" s="41"/>
      <c r="M947" s="43"/>
      <c r="N947" s="11"/>
      <c r="O947" s="48"/>
      <c r="P947" s="48"/>
      <c r="Q947" s="48"/>
      <c r="R947" s="38"/>
      <c r="S947" s="38"/>
      <c r="T947" s="52"/>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83"/>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83"/>
      <c r="CK947" s="11"/>
      <c r="CL947" s="11"/>
      <c r="CM947" s="11"/>
      <c r="CN947" s="11"/>
      <c r="CO947" s="11"/>
      <c r="CP947" s="11"/>
      <c r="CQ947" s="11"/>
      <c r="CR947" s="11"/>
      <c r="CS947" s="11"/>
      <c r="CT947" s="11"/>
      <c r="CU947" s="11"/>
      <c r="CV947" s="11"/>
      <c r="CW947" s="11"/>
      <c r="CX947" s="11"/>
      <c r="CY947" s="11"/>
      <c r="CZ947" s="11"/>
      <c r="DA947" s="11"/>
      <c r="DB947" s="11"/>
      <c r="DC947" s="11"/>
    </row>
    <row r="948" spans="1:107" ht="12.75" customHeight="1">
      <c r="A948" s="11"/>
      <c r="B948" s="11"/>
      <c r="C948" s="11"/>
      <c r="D948" s="11"/>
      <c r="E948" s="11"/>
      <c r="F948" s="11"/>
      <c r="G948" s="11"/>
      <c r="H948" s="15"/>
      <c r="I948" s="38"/>
      <c r="J948" s="38"/>
      <c r="K948" s="38"/>
      <c r="L948" s="41"/>
      <c r="M948" s="43"/>
      <c r="N948" s="11"/>
      <c r="O948" s="48"/>
      <c r="P948" s="48"/>
      <c r="Q948" s="48"/>
      <c r="R948" s="38"/>
      <c r="S948" s="38"/>
      <c r="T948" s="52"/>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83"/>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83"/>
      <c r="CK948" s="11"/>
      <c r="CL948" s="11"/>
      <c r="CM948" s="11"/>
      <c r="CN948" s="11"/>
      <c r="CO948" s="11"/>
      <c r="CP948" s="11"/>
      <c r="CQ948" s="11"/>
      <c r="CR948" s="11"/>
      <c r="CS948" s="11"/>
      <c r="CT948" s="11"/>
      <c r="CU948" s="11"/>
      <c r="CV948" s="11"/>
      <c r="CW948" s="11"/>
      <c r="CX948" s="11"/>
      <c r="CY948" s="11"/>
      <c r="CZ948" s="11"/>
      <c r="DA948" s="11"/>
      <c r="DB948" s="11"/>
      <c r="DC948" s="11"/>
    </row>
    <row r="949" spans="1:107" ht="12.75" customHeight="1">
      <c r="A949" s="11"/>
      <c r="B949" s="11"/>
      <c r="C949" s="11"/>
      <c r="D949" s="11"/>
      <c r="E949" s="11"/>
      <c r="F949" s="11"/>
      <c r="G949" s="11"/>
      <c r="H949" s="15"/>
      <c r="I949" s="38"/>
      <c r="J949" s="38"/>
      <c r="K949" s="38"/>
      <c r="L949" s="41"/>
      <c r="M949" s="43"/>
      <c r="N949" s="11"/>
      <c r="O949" s="48"/>
      <c r="P949" s="48"/>
      <c r="Q949" s="48"/>
      <c r="R949" s="38"/>
      <c r="S949" s="38"/>
      <c r="T949" s="52"/>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83"/>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83"/>
      <c r="CK949" s="11"/>
      <c r="CL949" s="11"/>
      <c r="CM949" s="11"/>
      <c r="CN949" s="11"/>
      <c r="CO949" s="11"/>
      <c r="CP949" s="11"/>
      <c r="CQ949" s="11"/>
      <c r="CR949" s="11"/>
      <c r="CS949" s="11"/>
      <c r="CT949" s="11"/>
      <c r="CU949" s="11"/>
      <c r="CV949" s="11"/>
      <c r="CW949" s="11"/>
      <c r="CX949" s="11"/>
      <c r="CY949" s="11"/>
      <c r="CZ949" s="11"/>
      <c r="DA949" s="11"/>
      <c r="DB949" s="11"/>
      <c r="DC949" s="11"/>
    </row>
    <row r="950" spans="1:107" ht="12.75" customHeight="1">
      <c r="A950" s="11"/>
      <c r="B950" s="11"/>
      <c r="C950" s="11"/>
      <c r="D950" s="11"/>
      <c r="E950" s="11"/>
      <c r="F950" s="11"/>
      <c r="G950" s="11"/>
      <c r="H950" s="15"/>
      <c r="I950" s="38"/>
      <c r="J950" s="38"/>
      <c r="K950" s="38"/>
      <c r="L950" s="41"/>
      <c r="M950" s="43"/>
      <c r="N950" s="11"/>
      <c r="O950" s="48"/>
      <c r="P950" s="48"/>
      <c r="Q950" s="48"/>
      <c r="R950" s="38"/>
      <c r="S950" s="38"/>
      <c r="T950" s="52"/>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83"/>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83"/>
      <c r="CK950" s="11"/>
      <c r="CL950" s="11"/>
      <c r="CM950" s="11"/>
      <c r="CN950" s="11"/>
      <c r="CO950" s="11"/>
      <c r="CP950" s="11"/>
      <c r="CQ950" s="11"/>
      <c r="CR950" s="11"/>
      <c r="CS950" s="11"/>
      <c r="CT950" s="11"/>
      <c r="CU950" s="11"/>
      <c r="CV950" s="11"/>
      <c r="CW950" s="11"/>
      <c r="CX950" s="11"/>
      <c r="CY950" s="11"/>
      <c r="CZ950" s="11"/>
      <c r="DA950" s="11"/>
      <c r="DB950" s="11"/>
      <c r="DC950" s="11"/>
    </row>
    <row r="951" spans="1:107" ht="12.75" customHeight="1">
      <c r="A951" s="11"/>
      <c r="B951" s="11"/>
      <c r="C951" s="11"/>
      <c r="D951" s="11"/>
      <c r="E951" s="11"/>
      <c r="F951" s="11"/>
      <c r="G951" s="11"/>
      <c r="H951" s="15"/>
      <c r="I951" s="38"/>
      <c r="J951" s="38"/>
      <c r="K951" s="38"/>
      <c r="L951" s="41"/>
      <c r="M951" s="43"/>
      <c r="N951" s="11"/>
      <c r="O951" s="48"/>
      <c r="P951" s="48"/>
      <c r="Q951" s="48"/>
      <c r="R951" s="38"/>
      <c r="S951" s="38"/>
      <c r="T951" s="52"/>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83"/>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83"/>
      <c r="CK951" s="11"/>
      <c r="CL951" s="11"/>
      <c r="CM951" s="11"/>
      <c r="CN951" s="11"/>
      <c r="CO951" s="11"/>
      <c r="CP951" s="11"/>
      <c r="CQ951" s="11"/>
      <c r="CR951" s="11"/>
      <c r="CS951" s="11"/>
      <c r="CT951" s="11"/>
      <c r="CU951" s="11"/>
      <c r="CV951" s="11"/>
      <c r="CW951" s="11"/>
      <c r="CX951" s="11"/>
      <c r="CY951" s="11"/>
      <c r="CZ951" s="11"/>
      <c r="DA951" s="11"/>
      <c r="DB951" s="11"/>
      <c r="DC951" s="11"/>
    </row>
    <row r="952" spans="1:107" ht="12.75" customHeight="1">
      <c r="A952" s="11"/>
      <c r="B952" s="11"/>
      <c r="C952" s="11"/>
      <c r="D952" s="11"/>
      <c r="E952" s="11"/>
      <c r="F952" s="11"/>
      <c r="G952" s="11"/>
      <c r="H952" s="15"/>
      <c r="I952" s="38"/>
      <c r="J952" s="38"/>
      <c r="K952" s="38"/>
      <c r="L952" s="41"/>
      <c r="M952" s="43"/>
      <c r="N952" s="11"/>
      <c r="O952" s="48"/>
      <c r="P952" s="48"/>
      <c r="Q952" s="48"/>
      <c r="R952" s="38"/>
      <c r="S952" s="38"/>
      <c r="T952" s="52"/>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83"/>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83"/>
      <c r="CK952" s="11"/>
      <c r="CL952" s="11"/>
      <c r="CM952" s="11"/>
      <c r="CN952" s="11"/>
      <c r="CO952" s="11"/>
      <c r="CP952" s="11"/>
      <c r="CQ952" s="11"/>
      <c r="CR952" s="11"/>
      <c r="CS952" s="11"/>
      <c r="CT952" s="11"/>
      <c r="CU952" s="11"/>
      <c r="CV952" s="11"/>
      <c r="CW952" s="11"/>
      <c r="CX952" s="11"/>
      <c r="CY952" s="11"/>
      <c r="CZ952" s="11"/>
      <c r="DA952" s="11"/>
      <c r="DB952" s="11"/>
      <c r="DC952" s="11"/>
    </row>
    <row r="953" spans="1:107" ht="12.75" customHeight="1">
      <c r="A953" s="11"/>
      <c r="B953" s="11"/>
      <c r="C953" s="11"/>
      <c r="D953" s="11"/>
      <c r="E953" s="11"/>
      <c r="F953" s="11"/>
      <c r="G953" s="11"/>
      <c r="H953" s="15"/>
      <c r="I953" s="38"/>
      <c r="J953" s="38"/>
      <c r="K953" s="38"/>
      <c r="L953" s="41"/>
      <c r="M953" s="43"/>
      <c r="N953" s="11"/>
      <c r="O953" s="48"/>
      <c r="P953" s="48"/>
      <c r="Q953" s="48"/>
      <c r="R953" s="38"/>
      <c r="S953" s="38"/>
      <c r="T953" s="52"/>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83"/>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83"/>
      <c r="CK953" s="11"/>
      <c r="CL953" s="11"/>
      <c r="CM953" s="11"/>
      <c r="CN953" s="11"/>
      <c r="CO953" s="11"/>
      <c r="CP953" s="11"/>
      <c r="CQ953" s="11"/>
      <c r="CR953" s="11"/>
      <c r="CS953" s="11"/>
      <c r="CT953" s="11"/>
      <c r="CU953" s="11"/>
      <c r="CV953" s="11"/>
      <c r="CW953" s="11"/>
      <c r="CX953" s="11"/>
      <c r="CY953" s="11"/>
      <c r="CZ953" s="11"/>
      <c r="DA953" s="11"/>
      <c r="DB953" s="11"/>
      <c r="DC953" s="11"/>
    </row>
    <row r="954" spans="1:107" ht="12.75" customHeight="1">
      <c r="A954" s="11"/>
      <c r="B954" s="11"/>
      <c r="C954" s="11"/>
      <c r="D954" s="11"/>
      <c r="E954" s="11"/>
      <c r="F954" s="11"/>
      <c r="G954" s="11"/>
      <c r="H954" s="15"/>
      <c r="I954" s="38"/>
      <c r="J954" s="38"/>
      <c r="K954" s="38"/>
      <c r="L954" s="41"/>
      <c r="M954" s="43"/>
      <c r="N954" s="11"/>
      <c r="O954" s="48"/>
      <c r="P954" s="48"/>
      <c r="Q954" s="48"/>
      <c r="R954" s="38"/>
      <c r="S954" s="38"/>
      <c r="T954" s="52"/>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83"/>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83"/>
      <c r="CK954" s="11"/>
      <c r="CL954" s="11"/>
      <c r="CM954" s="11"/>
      <c r="CN954" s="11"/>
      <c r="CO954" s="11"/>
      <c r="CP954" s="11"/>
      <c r="CQ954" s="11"/>
      <c r="CR954" s="11"/>
      <c r="CS954" s="11"/>
      <c r="CT954" s="11"/>
      <c r="CU954" s="11"/>
      <c r="CV954" s="11"/>
      <c r="CW954" s="11"/>
      <c r="CX954" s="11"/>
      <c r="CY954" s="11"/>
      <c r="CZ954" s="11"/>
      <c r="DA954" s="11"/>
      <c r="DB954" s="11"/>
      <c r="DC954" s="11"/>
    </row>
    <row r="955" spans="1:107" ht="12.75" customHeight="1">
      <c r="A955" s="11"/>
      <c r="B955" s="11"/>
      <c r="C955" s="11"/>
      <c r="D955" s="11"/>
      <c r="E955" s="11"/>
      <c r="F955" s="11"/>
      <c r="G955" s="11"/>
      <c r="H955" s="15"/>
      <c r="I955" s="38"/>
      <c r="J955" s="38"/>
      <c r="K955" s="38"/>
      <c r="L955" s="41"/>
      <c r="M955" s="43"/>
      <c r="N955" s="11"/>
      <c r="O955" s="48"/>
      <c r="P955" s="48"/>
      <c r="Q955" s="48"/>
      <c r="R955" s="38"/>
      <c r="S955" s="38"/>
      <c r="T955" s="52"/>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83"/>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83"/>
      <c r="CK955" s="11"/>
      <c r="CL955" s="11"/>
      <c r="CM955" s="11"/>
      <c r="CN955" s="11"/>
      <c r="CO955" s="11"/>
      <c r="CP955" s="11"/>
      <c r="CQ955" s="11"/>
      <c r="CR955" s="11"/>
      <c r="CS955" s="11"/>
      <c r="CT955" s="11"/>
      <c r="CU955" s="11"/>
      <c r="CV955" s="11"/>
      <c r="CW955" s="11"/>
      <c r="CX955" s="11"/>
      <c r="CY955" s="11"/>
      <c r="CZ955" s="11"/>
      <c r="DA955" s="11"/>
      <c r="DB955" s="11"/>
      <c r="DC955" s="11"/>
    </row>
    <row r="956" spans="1:107" ht="12.75" customHeight="1">
      <c r="A956" s="11"/>
      <c r="B956" s="11"/>
      <c r="C956" s="11"/>
      <c r="D956" s="11"/>
      <c r="E956" s="11"/>
      <c r="F956" s="11"/>
      <c r="G956" s="11"/>
      <c r="H956" s="15"/>
      <c r="I956" s="38"/>
      <c r="J956" s="38"/>
      <c r="K956" s="38"/>
      <c r="L956" s="41"/>
      <c r="M956" s="43"/>
      <c r="N956" s="11"/>
      <c r="O956" s="48"/>
      <c r="P956" s="48"/>
      <c r="Q956" s="48"/>
      <c r="R956" s="38"/>
      <c r="S956" s="38"/>
      <c r="T956" s="52"/>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83"/>
      <c r="AX956" s="11"/>
      <c r="AY956" s="11"/>
      <c r="AZ956" s="11"/>
      <c r="BA956" s="11"/>
      <c r="BB956" s="11"/>
      <c r="BC956" s="11"/>
      <c r="BD956" s="11"/>
      <c r="BE956" s="11"/>
      <c r="BF956" s="11"/>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83"/>
      <c r="CK956" s="11"/>
      <c r="CL956" s="11"/>
      <c r="CM956" s="11"/>
      <c r="CN956" s="11"/>
      <c r="CO956" s="11"/>
      <c r="CP956" s="11"/>
      <c r="CQ956" s="11"/>
      <c r="CR956" s="11"/>
      <c r="CS956" s="11"/>
      <c r="CT956" s="11"/>
      <c r="CU956" s="11"/>
      <c r="CV956" s="11"/>
      <c r="CW956" s="11"/>
      <c r="CX956" s="11"/>
      <c r="CY956" s="11"/>
      <c r="CZ956" s="11"/>
      <c r="DA956" s="11"/>
      <c r="DB956" s="11"/>
      <c r="DC956" s="11"/>
    </row>
    <row r="957" spans="1:107" ht="12.75" customHeight="1">
      <c r="A957" s="11"/>
      <c r="B957" s="11"/>
      <c r="C957" s="11"/>
      <c r="D957" s="11"/>
      <c r="E957" s="11"/>
      <c r="F957" s="11"/>
      <c r="G957" s="11"/>
      <c r="H957" s="15"/>
      <c r="I957" s="38"/>
      <c r="J957" s="38"/>
      <c r="K957" s="38"/>
      <c r="L957" s="41"/>
      <c r="M957" s="43"/>
      <c r="N957" s="11"/>
      <c r="O957" s="48"/>
      <c r="P957" s="48"/>
      <c r="Q957" s="48"/>
      <c r="R957" s="38"/>
      <c r="S957" s="38"/>
      <c r="T957" s="52"/>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83"/>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83"/>
      <c r="CK957" s="11"/>
      <c r="CL957" s="11"/>
      <c r="CM957" s="11"/>
      <c r="CN957" s="11"/>
      <c r="CO957" s="11"/>
      <c r="CP957" s="11"/>
      <c r="CQ957" s="11"/>
      <c r="CR957" s="11"/>
      <c r="CS957" s="11"/>
      <c r="CT957" s="11"/>
      <c r="CU957" s="11"/>
      <c r="CV957" s="11"/>
      <c r="CW957" s="11"/>
      <c r="CX957" s="11"/>
      <c r="CY957" s="11"/>
      <c r="CZ957" s="11"/>
      <c r="DA957" s="11"/>
      <c r="DB957" s="11"/>
      <c r="DC957" s="11"/>
    </row>
    <row r="958" spans="1:107" ht="12.75" customHeight="1">
      <c r="A958" s="11"/>
      <c r="B958" s="11"/>
      <c r="C958" s="11"/>
      <c r="D958" s="11"/>
      <c r="E958" s="11"/>
      <c r="F958" s="11"/>
      <c r="G958" s="11"/>
      <c r="H958" s="15"/>
      <c r="I958" s="38"/>
      <c r="J958" s="38"/>
      <c r="K958" s="38"/>
      <c r="L958" s="41"/>
      <c r="M958" s="43"/>
      <c r="N958" s="11"/>
      <c r="O958" s="48"/>
      <c r="P958" s="48"/>
      <c r="Q958" s="48"/>
      <c r="R958" s="38"/>
      <c r="S958" s="38"/>
      <c r="T958" s="52"/>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83"/>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83"/>
      <c r="CK958" s="11"/>
      <c r="CL958" s="11"/>
      <c r="CM958" s="11"/>
      <c r="CN958" s="11"/>
      <c r="CO958" s="11"/>
      <c r="CP958" s="11"/>
      <c r="CQ958" s="11"/>
      <c r="CR958" s="11"/>
      <c r="CS958" s="11"/>
      <c r="CT958" s="11"/>
      <c r="CU958" s="11"/>
      <c r="CV958" s="11"/>
      <c r="CW958" s="11"/>
      <c r="CX958" s="11"/>
      <c r="CY958" s="11"/>
      <c r="CZ958" s="11"/>
      <c r="DA958" s="11"/>
      <c r="DB958" s="11"/>
      <c r="DC958" s="11"/>
    </row>
    <row r="959" spans="1:107" ht="12.75" customHeight="1">
      <c r="A959" s="11"/>
      <c r="B959" s="11"/>
      <c r="C959" s="11"/>
      <c r="D959" s="11"/>
      <c r="E959" s="11"/>
      <c r="F959" s="11"/>
      <c r="G959" s="11"/>
      <c r="H959" s="15"/>
      <c r="I959" s="38"/>
      <c r="J959" s="38"/>
      <c r="K959" s="38"/>
      <c r="L959" s="41"/>
      <c r="M959" s="43"/>
      <c r="N959" s="11"/>
      <c r="O959" s="48"/>
      <c r="P959" s="48"/>
      <c r="Q959" s="48"/>
      <c r="R959" s="38"/>
      <c r="S959" s="38"/>
      <c r="T959" s="52"/>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83"/>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83"/>
      <c r="CK959" s="11"/>
      <c r="CL959" s="11"/>
      <c r="CM959" s="11"/>
      <c r="CN959" s="11"/>
      <c r="CO959" s="11"/>
      <c r="CP959" s="11"/>
      <c r="CQ959" s="11"/>
      <c r="CR959" s="11"/>
      <c r="CS959" s="11"/>
      <c r="CT959" s="11"/>
      <c r="CU959" s="11"/>
      <c r="CV959" s="11"/>
      <c r="CW959" s="11"/>
      <c r="CX959" s="11"/>
      <c r="CY959" s="11"/>
      <c r="CZ959" s="11"/>
      <c r="DA959" s="11"/>
      <c r="DB959" s="11"/>
      <c r="DC959" s="11"/>
    </row>
    <row r="960" spans="1:107" ht="12.75" customHeight="1">
      <c r="A960" s="11"/>
      <c r="B960" s="11"/>
      <c r="C960" s="11"/>
      <c r="D960" s="11"/>
      <c r="E960" s="11"/>
      <c r="F960" s="11"/>
      <c r="G960" s="11"/>
      <c r="H960" s="15"/>
      <c r="I960" s="38"/>
      <c r="J960" s="38"/>
      <c r="K960" s="38"/>
      <c r="L960" s="41"/>
      <c r="M960" s="43"/>
      <c r="N960" s="11"/>
      <c r="O960" s="48"/>
      <c r="P960" s="48"/>
      <c r="Q960" s="48"/>
      <c r="R960" s="38"/>
      <c r="S960" s="38"/>
      <c r="T960" s="52"/>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83"/>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83"/>
      <c r="CK960" s="11"/>
      <c r="CL960" s="11"/>
      <c r="CM960" s="11"/>
      <c r="CN960" s="11"/>
      <c r="CO960" s="11"/>
      <c r="CP960" s="11"/>
      <c r="CQ960" s="11"/>
      <c r="CR960" s="11"/>
      <c r="CS960" s="11"/>
      <c r="CT960" s="11"/>
      <c r="CU960" s="11"/>
      <c r="CV960" s="11"/>
      <c r="CW960" s="11"/>
      <c r="CX960" s="11"/>
      <c r="CY960" s="11"/>
      <c r="CZ960" s="11"/>
      <c r="DA960" s="11"/>
      <c r="DB960" s="11"/>
      <c r="DC960" s="11"/>
    </row>
    <row r="961" spans="1:107" ht="12.75" customHeight="1">
      <c r="A961" s="11"/>
      <c r="B961" s="11"/>
      <c r="C961" s="11"/>
      <c r="D961" s="11"/>
      <c r="E961" s="11"/>
      <c r="F961" s="11"/>
      <c r="G961" s="11"/>
      <c r="H961" s="15"/>
      <c r="I961" s="38"/>
      <c r="J961" s="38"/>
      <c r="K961" s="38"/>
      <c r="L961" s="41"/>
      <c r="M961" s="43"/>
      <c r="N961" s="11"/>
      <c r="O961" s="48"/>
      <c r="P961" s="48"/>
      <c r="Q961" s="48"/>
      <c r="R961" s="38"/>
      <c r="S961" s="38"/>
      <c r="T961" s="52"/>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83"/>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83"/>
      <c r="CK961" s="11"/>
      <c r="CL961" s="11"/>
      <c r="CM961" s="11"/>
      <c r="CN961" s="11"/>
      <c r="CO961" s="11"/>
      <c r="CP961" s="11"/>
      <c r="CQ961" s="11"/>
      <c r="CR961" s="11"/>
      <c r="CS961" s="11"/>
      <c r="CT961" s="11"/>
      <c r="CU961" s="11"/>
      <c r="CV961" s="11"/>
      <c r="CW961" s="11"/>
      <c r="CX961" s="11"/>
      <c r="CY961" s="11"/>
      <c r="CZ961" s="11"/>
      <c r="DA961" s="11"/>
      <c r="DB961" s="11"/>
      <c r="DC961" s="11"/>
    </row>
    <row r="962" spans="1:107" ht="12.75" customHeight="1">
      <c r="A962" s="11"/>
      <c r="B962" s="11"/>
      <c r="C962" s="11"/>
      <c r="D962" s="11"/>
      <c r="E962" s="11"/>
      <c r="F962" s="11"/>
      <c r="G962" s="11"/>
      <c r="H962" s="15"/>
      <c r="I962" s="38"/>
      <c r="J962" s="38"/>
      <c r="K962" s="38"/>
      <c r="L962" s="41"/>
      <c r="M962" s="43"/>
      <c r="N962" s="11"/>
      <c r="O962" s="48"/>
      <c r="P962" s="48"/>
      <c r="Q962" s="48"/>
      <c r="R962" s="38"/>
      <c r="S962" s="38"/>
      <c r="T962" s="52"/>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83"/>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83"/>
      <c r="CK962" s="11"/>
      <c r="CL962" s="11"/>
      <c r="CM962" s="11"/>
      <c r="CN962" s="11"/>
      <c r="CO962" s="11"/>
      <c r="CP962" s="11"/>
      <c r="CQ962" s="11"/>
      <c r="CR962" s="11"/>
      <c r="CS962" s="11"/>
      <c r="CT962" s="11"/>
      <c r="CU962" s="11"/>
      <c r="CV962" s="11"/>
      <c r="CW962" s="11"/>
      <c r="CX962" s="11"/>
      <c r="CY962" s="11"/>
      <c r="CZ962" s="11"/>
      <c r="DA962" s="11"/>
      <c r="DB962" s="11"/>
      <c r="DC962" s="11"/>
    </row>
    <row r="963" spans="1:107" ht="12.75" customHeight="1">
      <c r="A963" s="11"/>
      <c r="B963" s="11"/>
      <c r="C963" s="11"/>
      <c r="D963" s="11"/>
      <c r="E963" s="11"/>
      <c r="F963" s="11"/>
      <c r="G963" s="11"/>
      <c r="H963" s="15"/>
      <c r="I963" s="38"/>
      <c r="J963" s="38"/>
      <c r="K963" s="38"/>
      <c r="L963" s="41"/>
      <c r="M963" s="43"/>
      <c r="N963" s="11"/>
      <c r="O963" s="48"/>
      <c r="P963" s="48"/>
      <c r="Q963" s="48"/>
      <c r="R963" s="38"/>
      <c r="S963" s="38"/>
      <c r="T963" s="52"/>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83"/>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83"/>
      <c r="CK963" s="11"/>
      <c r="CL963" s="11"/>
      <c r="CM963" s="11"/>
      <c r="CN963" s="11"/>
      <c r="CO963" s="11"/>
      <c r="CP963" s="11"/>
      <c r="CQ963" s="11"/>
      <c r="CR963" s="11"/>
      <c r="CS963" s="11"/>
      <c r="CT963" s="11"/>
      <c r="CU963" s="11"/>
      <c r="CV963" s="11"/>
      <c r="CW963" s="11"/>
      <c r="CX963" s="11"/>
      <c r="CY963" s="11"/>
      <c r="CZ963" s="11"/>
      <c r="DA963" s="11"/>
      <c r="DB963" s="11"/>
      <c r="DC963" s="11"/>
    </row>
    <row r="964" spans="1:107" ht="12.75" customHeight="1">
      <c r="A964" s="11"/>
      <c r="B964" s="11"/>
      <c r="C964" s="11"/>
      <c r="D964" s="11"/>
      <c r="E964" s="11"/>
      <c r="F964" s="11"/>
      <c r="G964" s="11"/>
      <c r="H964" s="15"/>
      <c r="I964" s="38"/>
      <c r="J964" s="38"/>
      <c r="K964" s="38"/>
      <c r="L964" s="41"/>
      <c r="M964" s="43"/>
      <c r="N964" s="11"/>
      <c r="O964" s="48"/>
      <c r="P964" s="48"/>
      <c r="Q964" s="48"/>
      <c r="R964" s="38"/>
      <c r="S964" s="38"/>
      <c r="T964" s="52"/>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83"/>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c r="CF964" s="11"/>
      <c r="CG964" s="11"/>
      <c r="CH964" s="11"/>
      <c r="CI964" s="11"/>
      <c r="CJ964" s="183"/>
      <c r="CK964" s="11"/>
      <c r="CL964" s="11"/>
      <c r="CM964" s="11"/>
      <c r="CN964" s="11"/>
      <c r="CO964" s="11"/>
      <c r="CP964" s="11"/>
      <c r="CQ964" s="11"/>
      <c r="CR964" s="11"/>
      <c r="CS964" s="11"/>
      <c r="CT964" s="11"/>
      <c r="CU964" s="11"/>
      <c r="CV964" s="11"/>
      <c r="CW964" s="11"/>
      <c r="CX964" s="11"/>
      <c r="CY964" s="11"/>
      <c r="CZ964" s="11"/>
      <c r="DA964" s="11"/>
      <c r="DB964" s="11"/>
      <c r="DC964" s="11"/>
    </row>
    <row r="965" spans="1:107" ht="12.75" customHeight="1">
      <c r="A965" s="11"/>
      <c r="B965" s="11"/>
      <c r="C965" s="11"/>
      <c r="D965" s="11"/>
      <c r="E965" s="11"/>
      <c r="F965" s="11"/>
      <c r="G965" s="11"/>
      <c r="H965" s="15"/>
      <c r="I965" s="38"/>
      <c r="J965" s="38"/>
      <c r="K965" s="38"/>
      <c r="L965" s="41"/>
      <c r="M965" s="43"/>
      <c r="N965" s="11"/>
      <c r="O965" s="48"/>
      <c r="P965" s="48"/>
      <c r="Q965" s="48"/>
      <c r="R965" s="38"/>
      <c r="S965" s="38"/>
      <c r="T965" s="52"/>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83"/>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c r="CF965" s="11"/>
      <c r="CG965" s="11"/>
      <c r="CH965" s="11"/>
      <c r="CI965" s="11"/>
      <c r="CJ965" s="183"/>
      <c r="CK965" s="11"/>
      <c r="CL965" s="11"/>
      <c r="CM965" s="11"/>
      <c r="CN965" s="11"/>
      <c r="CO965" s="11"/>
      <c r="CP965" s="11"/>
      <c r="CQ965" s="11"/>
      <c r="CR965" s="11"/>
      <c r="CS965" s="11"/>
      <c r="CT965" s="11"/>
      <c r="CU965" s="11"/>
      <c r="CV965" s="11"/>
      <c r="CW965" s="11"/>
      <c r="CX965" s="11"/>
      <c r="CY965" s="11"/>
      <c r="CZ965" s="11"/>
      <c r="DA965" s="11"/>
      <c r="DB965" s="11"/>
      <c r="DC965" s="11"/>
    </row>
    <row r="966" spans="1:107" ht="12.75" customHeight="1">
      <c r="A966" s="11"/>
      <c r="B966" s="11"/>
      <c r="C966" s="11"/>
      <c r="D966" s="11"/>
      <c r="E966" s="11"/>
      <c r="F966" s="11"/>
      <c r="G966" s="11"/>
      <c r="H966" s="15"/>
      <c r="I966" s="38"/>
      <c r="J966" s="38"/>
      <c r="K966" s="38"/>
      <c r="L966" s="41"/>
      <c r="M966" s="43"/>
      <c r="N966" s="11"/>
      <c r="O966" s="48"/>
      <c r="P966" s="48"/>
      <c r="Q966" s="48"/>
      <c r="R966" s="38"/>
      <c r="S966" s="38"/>
      <c r="T966" s="52"/>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83"/>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83"/>
      <c r="CK966" s="11"/>
      <c r="CL966" s="11"/>
      <c r="CM966" s="11"/>
      <c r="CN966" s="11"/>
      <c r="CO966" s="11"/>
      <c r="CP966" s="11"/>
      <c r="CQ966" s="11"/>
      <c r="CR966" s="11"/>
      <c r="CS966" s="11"/>
      <c r="CT966" s="11"/>
      <c r="CU966" s="11"/>
      <c r="CV966" s="11"/>
      <c r="CW966" s="11"/>
      <c r="CX966" s="11"/>
      <c r="CY966" s="11"/>
      <c r="CZ966" s="11"/>
      <c r="DA966" s="11"/>
      <c r="DB966" s="11"/>
      <c r="DC966" s="11"/>
    </row>
    <row r="967" spans="1:107" ht="12.75" customHeight="1">
      <c r="A967" s="11"/>
      <c r="B967" s="11"/>
      <c r="C967" s="11"/>
      <c r="D967" s="11"/>
      <c r="E967" s="11"/>
      <c r="F967" s="11"/>
      <c r="G967" s="11"/>
      <c r="H967" s="15"/>
      <c r="I967" s="38"/>
      <c r="J967" s="38"/>
      <c r="K967" s="38"/>
      <c r="L967" s="41"/>
      <c r="M967" s="43"/>
      <c r="N967" s="11"/>
      <c r="O967" s="48"/>
      <c r="P967" s="48"/>
      <c r="Q967" s="48"/>
      <c r="R967" s="38"/>
      <c r="S967" s="38"/>
      <c r="T967" s="52"/>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83"/>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83"/>
      <c r="CK967" s="11"/>
      <c r="CL967" s="11"/>
      <c r="CM967" s="11"/>
      <c r="CN967" s="11"/>
      <c r="CO967" s="11"/>
      <c r="CP967" s="11"/>
      <c r="CQ967" s="11"/>
      <c r="CR967" s="11"/>
      <c r="CS967" s="11"/>
      <c r="CT967" s="11"/>
      <c r="CU967" s="11"/>
      <c r="CV967" s="11"/>
      <c r="CW967" s="11"/>
      <c r="CX967" s="11"/>
      <c r="CY967" s="11"/>
      <c r="CZ967" s="11"/>
      <c r="DA967" s="11"/>
      <c r="DB967" s="11"/>
      <c r="DC967" s="11"/>
    </row>
    <row r="968" spans="1:107" ht="12.75" customHeight="1">
      <c r="A968" s="11"/>
      <c r="B968" s="11"/>
      <c r="C968" s="11"/>
      <c r="D968" s="11"/>
      <c r="E968" s="11"/>
      <c r="F968" s="11"/>
      <c r="G968" s="11"/>
      <c r="H968" s="15"/>
      <c r="I968" s="38"/>
      <c r="J968" s="38"/>
      <c r="K968" s="38"/>
      <c r="L968" s="41"/>
      <c r="M968" s="43"/>
      <c r="N968" s="11"/>
      <c r="O968" s="48"/>
      <c r="P968" s="48"/>
      <c r="Q968" s="48"/>
      <c r="R968" s="38"/>
      <c r="S968" s="38"/>
      <c r="T968" s="52"/>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83"/>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83"/>
      <c r="CK968" s="11"/>
      <c r="CL968" s="11"/>
      <c r="CM968" s="11"/>
      <c r="CN968" s="11"/>
      <c r="CO968" s="11"/>
      <c r="CP968" s="11"/>
      <c r="CQ968" s="11"/>
      <c r="CR968" s="11"/>
      <c r="CS968" s="11"/>
      <c r="CT968" s="11"/>
      <c r="CU968" s="11"/>
      <c r="CV968" s="11"/>
      <c r="CW968" s="11"/>
      <c r="CX968" s="11"/>
      <c r="CY968" s="11"/>
      <c r="CZ968" s="11"/>
      <c r="DA968" s="11"/>
      <c r="DB968" s="11"/>
      <c r="DC968" s="11"/>
    </row>
    <row r="969" spans="1:107" ht="12.75" customHeight="1">
      <c r="A969" s="11"/>
      <c r="B969" s="11"/>
      <c r="C969" s="11"/>
      <c r="D969" s="11"/>
      <c r="E969" s="11"/>
      <c r="F969" s="11"/>
      <c r="G969" s="11"/>
      <c r="H969" s="15"/>
      <c r="I969" s="38"/>
      <c r="J969" s="38"/>
      <c r="K969" s="38"/>
      <c r="L969" s="41"/>
      <c r="M969" s="43"/>
      <c r="N969" s="11"/>
      <c r="O969" s="48"/>
      <c r="P969" s="48"/>
      <c r="Q969" s="48"/>
      <c r="R969" s="38"/>
      <c r="S969" s="38"/>
      <c r="T969" s="52"/>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83"/>
      <c r="AX969" s="11"/>
      <c r="AY969" s="11"/>
      <c r="AZ969" s="11"/>
      <c r="BA969" s="11"/>
      <c r="BB969" s="11"/>
      <c r="BC969" s="11"/>
      <c r="BD969" s="11"/>
      <c r="BE969" s="11"/>
      <c r="BF969" s="11"/>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83"/>
      <c r="CK969" s="11"/>
      <c r="CL969" s="11"/>
      <c r="CM969" s="11"/>
      <c r="CN969" s="11"/>
      <c r="CO969" s="11"/>
      <c r="CP969" s="11"/>
      <c r="CQ969" s="11"/>
      <c r="CR969" s="11"/>
      <c r="CS969" s="11"/>
      <c r="CT969" s="11"/>
      <c r="CU969" s="11"/>
      <c r="CV969" s="11"/>
      <c r="CW969" s="11"/>
      <c r="CX969" s="11"/>
      <c r="CY969" s="11"/>
      <c r="CZ969" s="11"/>
      <c r="DA969" s="11"/>
      <c r="DB969" s="11"/>
      <c r="DC969" s="11"/>
    </row>
    <row r="970" spans="1:107" ht="12.75" customHeight="1">
      <c r="A970" s="11"/>
      <c r="B970" s="11"/>
      <c r="C970" s="11"/>
      <c r="D970" s="11"/>
      <c r="E970" s="11"/>
      <c r="F970" s="11"/>
      <c r="G970" s="11"/>
      <c r="H970" s="15"/>
      <c r="I970" s="38"/>
      <c r="J970" s="38"/>
      <c r="K970" s="38"/>
      <c r="L970" s="41"/>
      <c r="M970" s="43"/>
      <c r="N970" s="11"/>
      <c r="O970" s="48"/>
      <c r="P970" s="48"/>
      <c r="Q970" s="48"/>
      <c r="R970" s="38"/>
      <c r="S970" s="38"/>
      <c r="T970" s="52"/>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83"/>
      <c r="AX970" s="11"/>
      <c r="AY970" s="11"/>
      <c r="AZ970" s="11"/>
      <c r="BA970" s="11"/>
      <c r="BB970" s="11"/>
      <c r="BC970" s="11"/>
      <c r="BD970" s="11"/>
      <c r="BE970" s="11"/>
      <c r="BF970" s="11"/>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83"/>
      <c r="CK970" s="11"/>
      <c r="CL970" s="11"/>
      <c r="CM970" s="11"/>
      <c r="CN970" s="11"/>
      <c r="CO970" s="11"/>
      <c r="CP970" s="11"/>
      <c r="CQ970" s="11"/>
      <c r="CR970" s="11"/>
      <c r="CS970" s="11"/>
      <c r="CT970" s="11"/>
      <c r="CU970" s="11"/>
      <c r="CV970" s="11"/>
      <c r="CW970" s="11"/>
      <c r="CX970" s="11"/>
      <c r="CY970" s="11"/>
      <c r="CZ970" s="11"/>
      <c r="DA970" s="11"/>
      <c r="DB970" s="11"/>
      <c r="DC970" s="11"/>
    </row>
    <row r="971" spans="1:107" ht="12.75" customHeight="1">
      <c r="A971" s="11"/>
      <c r="B971" s="11"/>
      <c r="C971" s="11"/>
      <c r="D971" s="11"/>
      <c r="E971" s="11"/>
      <c r="F971" s="11"/>
      <c r="G971" s="11"/>
      <c r="H971" s="15"/>
      <c r="I971" s="38"/>
      <c r="J971" s="38"/>
      <c r="K971" s="38"/>
      <c r="L971" s="41"/>
      <c r="M971" s="43"/>
      <c r="N971" s="11"/>
      <c r="O971" s="48"/>
      <c r="P971" s="48"/>
      <c r="Q971" s="48"/>
      <c r="R971" s="38"/>
      <c r="S971" s="38"/>
      <c r="T971" s="52"/>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83"/>
      <c r="AX971" s="11"/>
      <c r="AY971" s="11"/>
      <c r="AZ971" s="11"/>
      <c r="BA971" s="11"/>
      <c r="BB971" s="11"/>
      <c r="BC971" s="11"/>
      <c r="BD971" s="11"/>
      <c r="BE971" s="11"/>
      <c r="BF971" s="11"/>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83"/>
      <c r="CK971" s="11"/>
      <c r="CL971" s="11"/>
      <c r="CM971" s="11"/>
      <c r="CN971" s="11"/>
      <c r="CO971" s="11"/>
      <c r="CP971" s="11"/>
      <c r="CQ971" s="11"/>
      <c r="CR971" s="11"/>
      <c r="CS971" s="11"/>
      <c r="CT971" s="11"/>
      <c r="CU971" s="11"/>
      <c r="CV971" s="11"/>
      <c r="CW971" s="11"/>
      <c r="CX971" s="11"/>
      <c r="CY971" s="11"/>
      <c r="CZ971" s="11"/>
      <c r="DA971" s="11"/>
      <c r="DB971" s="11"/>
      <c r="DC971" s="11"/>
    </row>
    <row r="972" spans="1:107" ht="12.75" customHeight="1">
      <c r="A972" s="11"/>
      <c r="B972" s="11"/>
      <c r="C972" s="11"/>
      <c r="D972" s="11"/>
      <c r="E972" s="11"/>
      <c r="F972" s="11"/>
      <c r="G972" s="11"/>
      <c r="H972" s="15"/>
      <c r="I972" s="38"/>
      <c r="J972" s="38"/>
      <c r="K972" s="38"/>
      <c r="L972" s="41"/>
      <c r="M972" s="43"/>
      <c r="N972" s="11"/>
      <c r="O972" s="48"/>
      <c r="P972" s="48"/>
      <c r="Q972" s="48"/>
      <c r="R972" s="38"/>
      <c r="S972" s="38"/>
      <c r="T972" s="52"/>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83"/>
      <c r="AX972" s="11"/>
      <c r="AY972" s="11"/>
      <c r="AZ972" s="11"/>
      <c r="BA972" s="11"/>
      <c r="BB972" s="11"/>
      <c r="BC972" s="11"/>
      <c r="BD972" s="11"/>
      <c r="BE972" s="11"/>
      <c r="BF972" s="11"/>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83"/>
      <c r="CK972" s="11"/>
      <c r="CL972" s="11"/>
      <c r="CM972" s="11"/>
      <c r="CN972" s="11"/>
      <c r="CO972" s="11"/>
      <c r="CP972" s="11"/>
      <c r="CQ972" s="11"/>
      <c r="CR972" s="11"/>
      <c r="CS972" s="11"/>
      <c r="CT972" s="11"/>
      <c r="CU972" s="11"/>
      <c r="CV972" s="11"/>
      <c r="CW972" s="11"/>
      <c r="CX972" s="11"/>
      <c r="CY972" s="11"/>
      <c r="CZ972" s="11"/>
      <c r="DA972" s="11"/>
      <c r="DB972" s="11"/>
      <c r="DC972" s="11"/>
    </row>
    <row r="973" spans="1:107" ht="12.75" customHeight="1">
      <c r="A973" s="11"/>
      <c r="B973" s="11"/>
      <c r="C973" s="11"/>
      <c r="D973" s="11"/>
      <c r="E973" s="11"/>
      <c r="F973" s="11"/>
      <c r="G973" s="11"/>
      <c r="H973" s="15"/>
      <c r="I973" s="38"/>
      <c r="J973" s="38"/>
      <c r="K973" s="38"/>
      <c r="L973" s="41"/>
      <c r="M973" s="43"/>
      <c r="N973" s="11"/>
      <c r="O973" s="48"/>
      <c r="P973" s="48"/>
      <c r="Q973" s="48"/>
      <c r="R973" s="38"/>
      <c r="S973" s="38"/>
      <c r="T973" s="52"/>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83"/>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83"/>
      <c r="CK973" s="11"/>
      <c r="CL973" s="11"/>
      <c r="CM973" s="11"/>
      <c r="CN973" s="11"/>
      <c r="CO973" s="11"/>
      <c r="CP973" s="11"/>
      <c r="CQ973" s="11"/>
      <c r="CR973" s="11"/>
      <c r="CS973" s="11"/>
      <c r="CT973" s="11"/>
      <c r="CU973" s="11"/>
      <c r="CV973" s="11"/>
      <c r="CW973" s="11"/>
      <c r="CX973" s="11"/>
      <c r="CY973" s="11"/>
      <c r="CZ973" s="11"/>
      <c r="DA973" s="11"/>
      <c r="DB973" s="11"/>
      <c r="DC973" s="11"/>
    </row>
    <row r="974" spans="1:107" ht="12.75" customHeight="1">
      <c r="A974" s="11"/>
      <c r="B974" s="11"/>
      <c r="C974" s="11"/>
      <c r="D974" s="11"/>
      <c r="E974" s="11"/>
      <c r="F974" s="11"/>
      <c r="G974" s="11"/>
      <c r="H974" s="15"/>
      <c r="I974" s="38"/>
      <c r="J974" s="38"/>
      <c r="K974" s="38"/>
      <c r="L974" s="41"/>
      <c r="M974" s="43"/>
      <c r="N974" s="11"/>
      <c r="O974" s="48"/>
      <c r="P974" s="48"/>
      <c r="Q974" s="48"/>
      <c r="R974" s="38"/>
      <c r="S974" s="38"/>
      <c r="T974" s="52"/>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83"/>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83"/>
      <c r="CK974" s="11"/>
      <c r="CL974" s="11"/>
      <c r="CM974" s="11"/>
      <c r="CN974" s="11"/>
      <c r="CO974" s="11"/>
      <c r="CP974" s="11"/>
      <c r="CQ974" s="11"/>
      <c r="CR974" s="11"/>
      <c r="CS974" s="11"/>
      <c r="CT974" s="11"/>
      <c r="CU974" s="11"/>
      <c r="CV974" s="11"/>
      <c r="CW974" s="11"/>
      <c r="CX974" s="11"/>
      <c r="CY974" s="11"/>
      <c r="CZ974" s="11"/>
      <c r="DA974" s="11"/>
      <c r="DB974" s="11"/>
      <c r="DC974" s="11"/>
    </row>
    <row r="975" spans="1:107" ht="12.75" customHeight="1">
      <c r="A975" s="11"/>
      <c r="B975" s="11"/>
      <c r="C975" s="11"/>
      <c r="D975" s="11"/>
      <c r="E975" s="11"/>
      <c r="F975" s="11"/>
      <c r="G975" s="11"/>
      <c r="H975" s="15"/>
      <c r="I975" s="38"/>
      <c r="J975" s="38"/>
      <c r="K975" s="38"/>
      <c r="L975" s="41"/>
      <c r="M975" s="43"/>
      <c r="N975" s="11"/>
      <c r="O975" s="48"/>
      <c r="P975" s="48"/>
      <c r="Q975" s="48"/>
      <c r="R975" s="38"/>
      <c r="S975" s="38"/>
      <c r="T975" s="52"/>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83"/>
      <c r="AX975" s="11"/>
      <c r="AY975" s="11"/>
      <c r="AZ975" s="11"/>
      <c r="BA975" s="11"/>
      <c r="BB975" s="11"/>
      <c r="BC975" s="11"/>
      <c r="BD975" s="11"/>
      <c r="BE975" s="11"/>
      <c r="BF975" s="11"/>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83"/>
      <c r="CK975" s="11"/>
      <c r="CL975" s="11"/>
      <c r="CM975" s="11"/>
      <c r="CN975" s="11"/>
      <c r="CO975" s="11"/>
      <c r="CP975" s="11"/>
      <c r="CQ975" s="11"/>
      <c r="CR975" s="11"/>
      <c r="CS975" s="11"/>
      <c r="CT975" s="11"/>
      <c r="CU975" s="11"/>
      <c r="CV975" s="11"/>
      <c r="CW975" s="11"/>
      <c r="CX975" s="11"/>
      <c r="CY975" s="11"/>
      <c r="CZ975" s="11"/>
      <c r="DA975" s="11"/>
      <c r="DB975" s="11"/>
      <c r="DC975" s="11"/>
    </row>
    <row r="976" spans="1:107" ht="12.75" customHeight="1">
      <c r="A976" s="11"/>
      <c r="B976" s="11"/>
      <c r="C976" s="11"/>
      <c r="D976" s="11"/>
      <c r="E976" s="11"/>
      <c r="F976" s="11"/>
      <c r="G976" s="11"/>
      <c r="H976" s="15"/>
      <c r="I976" s="38"/>
      <c r="J976" s="38"/>
      <c r="K976" s="38"/>
      <c r="L976" s="41"/>
      <c r="M976" s="43"/>
      <c r="N976" s="11"/>
      <c r="O976" s="48"/>
      <c r="P976" s="48"/>
      <c r="Q976" s="48"/>
      <c r="R976" s="38"/>
      <c r="S976" s="38"/>
      <c r="T976" s="52"/>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83"/>
      <c r="AX976" s="11"/>
      <c r="AY976" s="11"/>
      <c r="AZ976" s="11"/>
      <c r="BA976" s="11"/>
      <c r="BB976" s="11"/>
      <c r="BC976" s="11"/>
      <c r="BD976" s="11"/>
      <c r="BE976" s="11"/>
      <c r="BF976" s="11"/>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83"/>
      <c r="CK976" s="11"/>
      <c r="CL976" s="11"/>
      <c r="CM976" s="11"/>
      <c r="CN976" s="11"/>
      <c r="CO976" s="11"/>
      <c r="CP976" s="11"/>
      <c r="CQ976" s="11"/>
      <c r="CR976" s="11"/>
      <c r="CS976" s="11"/>
      <c r="CT976" s="11"/>
      <c r="CU976" s="11"/>
      <c r="CV976" s="11"/>
      <c r="CW976" s="11"/>
      <c r="CX976" s="11"/>
      <c r="CY976" s="11"/>
      <c r="CZ976" s="11"/>
      <c r="DA976" s="11"/>
      <c r="DB976" s="11"/>
      <c r="DC976" s="11"/>
    </row>
    <row r="977" spans="1:107" ht="12.75" customHeight="1">
      <c r="A977" s="11"/>
      <c r="B977" s="11"/>
      <c r="C977" s="11"/>
      <c r="D977" s="11"/>
      <c r="E977" s="11"/>
      <c r="F977" s="11"/>
      <c r="G977" s="11"/>
      <c r="H977" s="15"/>
      <c r="I977" s="38"/>
      <c r="J977" s="38"/>
      <c r="K977" s="38"/>
      <c r="L977" s="41"/>
      <c r="M977" s="43"/>
      <c r="N977" s="11"/>
      <c r="O977" s="48"/>
      <c r="P977" s="48"/>
      <c r="Q977" s="48"/>
      <c r="R977" s="38"/>
      <c r="S977" s="38"/>
      <c r="T977" s="52"/>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83"/>
      <c r="AX977" s="11"/>
      <c r="AY977" s="11"/>
      <c r="AZ977" s="11"/>
      <c r="BA977" s="11"/>
      <c r="BB977" s="11"/>
      <c r="BC977" s="11"/>
      <c r="BD977" s="11"/>
      <c r="BE977" s="11"/>
      <c r="BF977" s="11"/>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83"/>
      <c r="CK977" s="11"/>
      <c r="CL977" s="11"/>
      <c r="CM977" s="11"/>
      <c r="CN977" s="11"/>
      <c r="CO977" s="11"/>
      <c r="CP977" s="11"/>
      <c r="CQ977" s="11"/>
      <c r="CR977" s="11"/>
      <c r="CS977" s="11"/>
      <c r="CT977" s="11"/>
      <c r="CU977" s="11"/>
      <c r="CV977" s="11"/>
      <c r="CW977" s="11"/>
      <c r="CX977" s="11"/>
      <c r="CY977" s="11"/>
      <c r="CZ977" s="11"/>
      <c r="DA977" s="11"/>
      <c r="DB977" s="11"/>
      <c r="DC977" s="11"/>
    </row>
    <row r="978" spans="1:107" ht="12.75" customHeight="1">
      <c r="A978" s="11"/>
      <c r="B978" s="11"/>
      <c r="C978" s="11"/>
      <c r="D978" s="11"/>
      <c r="E978" s="11"/>
      <c r="F978" s="11"/>
      <c r="G978" s="11"/>
      <c r="H978" s="15"/>
      <c r="I978" s="38"/>
      <c r="J978" s="38"/>
      <c r="K978" s="38"/>
      <c r="L978" s="41"/>
      <c r="M978" s="43"/>
      <c r="N978" s="11"/>
      <c r="O978" s="48"/>
      <c r="P978" s="48"/>
      <c r="Q978" s="48"/>
      <c r="R978" s="38"/>
      <c r="S978" s="38"/>
      <c r="T978" s="52"/>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83"/>
      <c r="AX978" s="11"/>
      <c r="AY978" s="11"/>
      <c r="AZ978" s="11"/>
      <c r="BA978" s="11"/>
      <c r="BB978" s="11"/>
      <c r="BC978" s="11"/>
      <c r="BD978" s="11"/>
      <c r="BE978" s="11"/>
      <c r="BF978" s="11"/>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83"/>
      <c r="CK978" s="11"/>
      <c r="CL978" s="11"/>
      <c r="CM978" s="11"/>
      <c r="CN978" s="11"/>
      <c r="CO978" s="11"/>
      <c r="CP978" s="11"/>
      <c r="CQ978" s="11"/>
      <c r="CR978" s="11"/>
      <c r="CS978" s="11"/>
      <c r="CT978" s="11"/>
      <c r="CU978" s="11"/>
      <c r="CV978" s="11"/>
      <c r="CW978" s="11"/>
      <c r="CX978" s="11"/>
      <c r="CY978" s="11"/>
      <c r="CZ978" s="11"/>
      <c r="DA978" s="11"/>
      <c r="DB978" s="11"/>
      <c r="DC978" s="11"/>
    </row>
    <row r="979" spans="1:107" ht="12.75" customHeight="1">
      <c r="A979" s="11"/>
      <c r="B979" s="11"/>
      <c r="C979" s="11"/>
      <c r="D979" s="11"/>
      <c r="E979" s="11"/>
      <c r="F979" s="11"/>
      <c r="G979" s="11"/>
      <c r="H979" s="15"/>
      <c r="I979" s="38"/>
      <c r="J979" s="38"/>
      <c r="K979" s="38"/>
      <c r="L979" s="41"/>
      <c r="M979" s="43"/>
      <c r="N979" s="11"/>
      <c r="O979" s="48"/>
      <c r="P979" s="48"/>
      <c r="Q979" s="48"/>
      <c r="R979" s="38"/>
      <c r="S979" s="38"/>
      <c r="T979" s="52"/>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83"/>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83"/>
      <c r="CK979" s="11"/>
      <c r="CL979" s="11"/>
      <c r="CM979" s="11"/>
      <c r="CN979" s="11"/>
      <c r="CO979" s="11"/>
      <c r="CP979" s="11"/>
      <c r="CQ979" s="11"/>
      <c r="CR979" s="11"/>
      <c r="CS979" s="11"/>
      <c r="CT979" s="11"/>
      <c r="CU979" s="11"/>
      <c r="CV979" s="11"/>
      <c r="CW979" s="11"/>
      <c r="CX979" s="11"/>
      <c r="CY979" s="11"/>
      <c r="CZ979" s="11"/>
      <c r="DA979" s="11"/>
      <c r="DB979" s="11"/>
      <c r="DC979" s="11"/>
    </row>
    <row r="980" spans="1:107" ht="12.75" customHeight="1">
      <c r="A980" s="11"/>
      <c r="B980" s="11"/>
      <c r="C980" s="11"/>
      <c r="D980" s="11"/>
      <c r="E980" s="11"/>
      <c r="F980" s="11"/>
      <c r="G980" s="11"/>
      <c r="H980" s="15"/>
      <c r="I980" s="38"/>
      <c r="J980" s="38"/>
      <c r="K980" s="38"/>
      <c r="L980" s="41"/>
      <c r="M980" s="43"/>
      <c r="N980" s="11"/>
      <c r="O980" s="48"/>
      <c r="P980" s="48"/>
      <c r="Q980" s="48"/>
      <c r="R980" s="38"/>
      <c r="S980" s="38"/>
      <c r="T980" s="52"/>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83"/>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83"/>
      <c r="CK980" s="11"/>
      <c r="CL980" s="11"/>
      <c r="CM980" s="11"/>
      <c r="CN980" s="11"/>
      <c r="CO980" s="11"/>
      <c r="CP980" s="11"/>
      <c r="CQ980" s="11"/>
      <c r="CR980" s="11"/>
      <c r="CS980" s="11"/>
      <c r="CT980" s="11"/>
      <c r="CU980" s="11"/>
      <c r="CV980" s="11"/>
      <c r="CW980" s="11"/>
      <c r="CX980" s="11"/>
      <c r="CY980" s="11"/>
      <c r="CZ980" s="11"/>
      <c r="DA980" s="11"/>
      <c r="DB980" s="11"/>
      <c r="DC980" s="11"/>
    </row>
    <row r="981" spans="1:107" ht="12.75" customHeight="1">
      <c r="A981" s="11"/>
      <c r="B981" s="11"/>
      <c r="C981" s="11"/>
      <c r="D981" s="11"/>
      <c r="E981" s="11"/>
      <c r="F981" s="11"/>
      <c r="G981" s="11"/>
      <c r="H981" s="15"/>
      <c r="I981" s="38"/>
      <c r="J981" s="38"/>
      <c r="K981" s="38"/>
      <c r="L981" s="41"/>
      <c r="M981" s="43"/>
      <c r="N981" s="11"/>
      <c r="O981" s="48"/>
      <c r="P981" s="48"/>
      <c r="Q981" s="48"/>
      <c r="R981" s="38"/>
      <c r="S981" s="38"/>
      <c r="T981" s="52"/>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83"/>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83"/>
      <c r="CK981" s="11"/>
      <c r="CL981" s="11"/>
      <c r="CM981" s="11"/>
      <c r="CN981" s="11"/>
      <c r="CO981" s="11"/>
      <c r="CP981" s="11"/>
      <c r="CQ981" s="11"/>
      <c r="CR981" s="11"/>
      <c r="CS981" s="11"/>
      <c r="CT981" s="11"/>
      <c r="CU981" s="11"/>
      <c r="CV981" s="11"/>
      <c r="CW981" s="11"/>
      <c r="CX981" s="11"/>
      <c r="CY981" s="11"/>
      <c r="CZ981" s="11"/>
      <c r="DA981" s="11"/>
      <c r="DB981" s="11"/>
      <c r="DC981" s="11"/>
    </row>
    <row r="982" spans="1:107" ht="12.75" customHeight="1">
      <c r="A982" s="11"/>
      <c r="B982" s="11"/>
      <c r="C982" s="11"/>
      <c r="D982" s="11"/>
      <c r="E982" s="11"/>
      <c r="F982" s="11"/>
      <c r="G982" s="11"/>
      <c r="H982" s="15"/>
      <c r="I982" s="38"/>
      <c r="J982" s="38"/>
      <c r="K982" s="38"/>
      <c r="L982" s="41"/>
      <c r="M982" s="43"/>
      <c r="N982" s="11"/>
      <c r="O982" s="48"/>
      <c r="P982" s="48"/>
      <c r="Q982" s="48"/>
      <c r="R982" s="38"/>
      <c r="S982" s="38"/>
      <c r="T982" s="52"/>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83"/>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83"/>
      <c r="CK982" s="11"/>
      <c r="CL982" s="11"/>
      <c r="CM982" s="11"/>
      <c r="CN982" s="11"/>
      <c r="CO982" s="11"/>
      <c r="CP982" s="11"/>
      <c r="CQ982" s="11"/>
      <c r="CR982" s="11"/>
      <c r="CS982" s="11"/>
      <c r="CT982" s="11"/>
      <c r="CU982" s="11"/>
      <c r="CV982" s="11"/>
      <c r="CW982" s="11"/>
      <c r="CX982" s="11"/>
      <c r="CY982" s="11"/>
      <c r="CZ982" s="11"/>
      <c r="DA982" s="11"/>
      <c r="DB982" s="11"/>
      <c r="DC982" s="11"/>
    </row>
    <row r="983" spans="1:107" ht="12.75" customHeight="1">
      <c r="A983" s="11"/>
      <c r="B983" s="11"/>
      <c r="C983" s="11"/>
      <c r="D983" s="11"/>
      <c r="E983" s="11"/>
      <c r="F983" s="11"/>
      <c r="G983" s="11"/>
      <c r="H983" s="15"/>
      <c r="I983" s="38"/>
      <c r="J983" s="38"/>
      <c r="K983" s="38"/>
      <c r="L983" s="41"/>
      <c r="M983" s="43"/>
      <c r="N983" s="11"/>
      <c r="O983" s="48"/>
      <c r="P983" s="48"/>
      <c r="Q983" s="48"/>
      <c r="R983" s="38"/>
      <c r="S983" s="38"/>
      <c r="T983" s="52"/>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83"/>
      <c r="AX983" s="11"/>
      <c r="AY983" s="11"/>
      <c r="AZ983" s="11"/>
      <c r="BA983" s="11"/>
      <c r="BB983" s="11"/>
      <c r="BC983" s="11"/>
      <c r="BD983" s="11"/>
      <c r="BE983" s="11"/>
      <c r="BF983" s="11"/>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83"/>
      <c r="CK983" s="11"/>
      <c r="CL983" s="11"/>
      <c r="CM983" s="11"/>
      <c r="CN983" s="11"/>
      <c r="CO983" s="11"/>
      <c r="CP983" s="11"/>
      <c r="CQ983" s="11"/>
      <c r="CR983" s="11"/>
      <c r="CS983" s="11"/>
      <c r="CT983" s="11"/>
      <c r="CU983" s="11"/>
      <c r="CV983" s="11"/>
      <c r="CW983" s="11"/>
      <c r="CX983" s="11"/>
      <c r="CY983" s="11"/>
      <c r="CZ983" s="11"/>
      <c r="DA983" s="11"/>
      <c r="DB983" s="11"/>
      <c r="DC983" s="11"/>
    </row>
    <row r="984" spans="1:107" ht="12.75" customHeight="1">
      <c r="A984" s="11"/>
      <c r="B984" s="11"/>
      <c r="C984" s="11"/>
      <c r="D984" s="11"/>
      <c r="E984" s="11"/>
      <c r="F984" s="11"/>
      <c r="G984" s="11"/>
      <c r="H984" s="15"/>
      <c r="I984" s="38"/>
      <c r="J984" s="38"/>
      <c r="K984" s="38"/>
      <c r="L984" s="41"/>
      <c r="M984" s="43"/>
      <c r="N984" s="11"/>
      <c r="O984" s="48"/>
      <c r="P984" s="48"/>
      <c r="Q984" s="48"/>
      <c r="R984" s="38"/>
      <c r="S984" s="38"/>
      <c r="T984" s="52"/>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83"/>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83"/>
      <c r="CK984" s="11"/>
      <c r="CL984" s="11"/>
      <c r="CM984" s="11"/>
      <c r="CN984" s="11"/>
      <c r="CO984" s="11"/>
      <c r="CP984" s="11"/>
      <c r="CQ984" s="11"/>
      <c r="CR984" s="11"/>
      <c r="CS984" s="11"/>
      <c r="CT984" s="11"/>
      <c r="CU984" s="11"/>
      <c r="CV984" s="11"/>
      <c r="CW984" s="11"/>
      <c r="CX984" s="11"/>
      <c r="CY984" s="11"/>
      <c r="CZ984" s="11"/>
      <c r="DA984" s="11"/>
      <c r="DB984" s="11"/>
      <c r="DC984" s="11"/>
    </row>
    <row r="985" spans="1:107" ht="12.75" customHeight="1">
      <c r="A985" s="11"/>
      <c r="B985" s="11"/>
      <c r="C985" s="11"/>
      <c r="D985" s="11"/>
      <c r="E985" s="11"/>
      <c r="F985" s="11"/>
      <c r="G985" s="11"/>
      <c r="H985" s="15"/>
      <c r="I985" s="38"/>
      <c r="J985" s="38"/>
      <c r="K985" s="38"/>
      <c r="L985" s="41"/>
      <c r="M985" s="43"/>
      <c r="N985" s="11"/>
      <c r="O985" s="48"/>
      <c r="P985" s="48"/>
      <c r="Q985" s="48"/>
      <c r="R985" s="38"/>
      <c r="S985" s="38"/>
      <c r="T985" s="52"/>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83"/>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11"/>
      <c r="BT985" s="11"/>
      <c r="BU985" s="11"/>
      <c r="BV985" s="11"/>
      <c r="BW985" s="11"/>
      <c r="BX985" s="11"/>
      <c r="BY985" s="11"/>
      <c r="BZ985" s="11"/>
      <c r="CA985" s="11"/>
      <c r="CB985" s="11"/>
      <c r="CC985" s="11"/>
      <c r="CD985" s="11"/>
      <c r="CE985" s="11"/>
      <c r="CF985" s="11"/>
      <c r="CG985" s="11"/>
      <c r="CH985" s="11"/>
      <c r="CI985" s="11"/>
      <c r="CJ985" s="183"/>
      <c r="CK985" s="11"/>
      <c r="CL985" s="11"/>
      <c r="CM985" s="11"/>
      <c r="CN985" s="11"/>
      <c r="CO985" s="11"/>
      <c r="CP985" s="11"/>
      <c r="CQ985" s="11"/>
      <c r="CR985" s="11"/>
      <c r="CS985" s="11"/>
      <c r="CT985" s="11"/>
      <c r="CU985" s="11"/>
      <c r="CV985" s="11"/>
      <c r="CW985" s="11"/>
      <c r="CX985" s="11"/>
      <c r="CY985" s="11"/>
      <c r="CZ985" s="11"/>
      <c r="DA985" s="11"/>
      <c r="DB985" s="11"/>
      <c r="DC985" s="11"/>
    </row>
    <row r="986" spans="1:107" ht="12.75" customHeight="1">
      <c r="A986" s="11"/>
      <c r="B986" s="11"/>
      <c r="C986" s="11"/>
      <c r="D986" s="11"/>
      <c r="E986" s="11"/>
      <c r="F986" s="11"/>
      <c r="G986" s="11"/>
      <c r="H986" s="15"/>
      <c r="I986" s="38"/>
      <c r="J986" s="38"/>
      <c r="K986" s="38"/>
      <c r="L986" s="41"/>
      <c r="M986" s="43"/>
      <c r="N986" s="11"/>
      <c r="O986" s="48"/>
      <c r="P986" s="48"/>
      <c r="Q986" s="48"/>
      <c r="R986" s="38"/>
      <c r="S986" s="38"/>
      <c r="T986" s="52"/>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83"/>
      <c r="AX986" s="11"/>
      <c r="AY986" s="11"/>
      <c r="AZ986" s="11"/>
      <c r="BA986" s="11"/>
      <c r="BB986" s="11"/>
      <c r="BC986" s="11"/>
      <c r="BD986" s="11"/>
      <c r="BE986" s="11"/>
      <c r="BF986" s="11"/>
      <c r="BG986" s="11"/>
      <c r="BH986" s="11"/>
      <c r="BI986" s="11"/>
      <c r="BJ986" s="11"/>
      <c r="BK986" s="11"/>
      <c r="BL986" s="11"/>
      <c r="BM986" s="11"/>
      <c r="BN986" s="11"/>
      <c r="BO986" s="11"/>
      <c r="BP986" s="11"/>
      <c r="BQ986" s="11"/>
      <c r="BR986" s="11"/>
      <c r="BS986" s="11"/>
      <c r="BT986" s="11"/>
      <c r="BU986" s="11"/>
      <c r="BV986" s="11"/>
      <c r="BW986" s="11"/>
      <c r="BX986" s="11"/>
      <c r="BY986" s="11"/>
      <c r="BZ986" s="11"/>
      <c r="CA986" s="11"/>
      <c r="CB986" s="11"/>
      <c r="CC986" s="11"/>
      <c r="CD986" s="11"/>
      <c r="CE986" s="11"/>
      <c r="CF986" s="11"/>
      <c r="CG986" s="11"/>
      <c r="CH986" s="11"/>
      <c r="CI986" s="11"/>
      <c r="CJ986" s="183"/>
      <c r="CK986" s="11"/>
      <c r="CL986" s="11"/>
      <c r="CM986" s="11"/>
      <c r="CN986" s="11"/>
      <c r="CO986" s="11"/>
      <c r="CP986" s="11"/>
      <c r="CQ986" s="11"/>
      <c r="CR986" s="11"/>
      <c r="CS986" s="11"/>
      <c r="CT986" s="11"/>
      <c r="CU986" s="11"/>
      <c r="CV986" s="11"/>
      <c r="CW986" s="11"/>
      <c r="CX986" s="11"/>
      <c r="CY986" s="11"/>
      <c r="CZ986" s="11"/>
      <c r="DA986" s="11"/>
      <c r="DB986" s="11"/>
      <c r="DC986" s="11"/>
    </row>
    <row r="987" spans="1:107" ht="12.75" customHeight="1">
      <c r="A987" s="11"/>
      <c r="B987" s="11"/>
      <c r="C987" s="11"/>
      <c r="D987" s="11"/>
      <c r="E987" s="11"/>
      <c r="F987" s="11"/>
      <c r="G987" s="11"/>
      <c r="H987" s="15"/>
      <c r="I987" s="38"/>
      <c r="J987" s="38"/>
      <c r="K987" s="38"/>
      <c r="L987" s="41"/>
      <c r="M987" s="43"/>
      <c r="N987" s="11"/>
      <c r="O987" s="48"/>
      <c r="P987" s="48"/>
      <c r="Q987" s="48"/>
      <c r="R987" s="38"/>
      <c r="S987" s="38"/>
      <c r="T987" s="52"/>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83"/>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c r="CB987" s="11"/>
      <c r="CC987" s="11"/>
      <c r="CD987" s="11"/>
      <c r="CE987" s="11"/>
      <c r="CF987" s="11"/>
      <c r="CG987" s="11"/>
      <c r="CH987" s="11"/>
      <c r="CI987" s="11"/>
      <c r="CJ987" s="183"/>
      <c r="CK987" s="11"/>
      <c r="CL987" s="11"/>
      <c r="CM987" s="11"/>
      <c r="CN987" s="11"/>
      <c r="CO987" s="11"/>
      <c r="CP987" s="11"/>
      <c r="CQ987" s="11"/>
      <c r="CR987" s="11"/>
      <c r="CS987" s="11"/>
      <c r="CT987" s="11"/>
      <c r="CU987" s="11"/>
      <c r="CV987" s="11"/>
      <c r="CW987" s="11"/>
      <c r="CX987" s="11"/>
      <c r="CY987" s="11"/>
      <c r="CZ987" s="11"/>
      <c r="DA987" s="11"/>
      <c r="DB987" s="11"/>
      <c r="DC987" s="11"/>
    </row>
    <row r="988" spans="1:107" ht="12.75" customHeight="1">
      <c r="A988" s="11"/>
      <c r="B988" s="11"/>
      <c r="C988" s="11"/>
      <c r="D988" s="11"/>
      <c r="E988" s="11"/>
      <c r="F988" s="11"/>
      <c r="G988" s="11"/>
      <c r="H988" s="15"/>
      <c r="I988" s="38"/>
      <c r="J988" s="38"/>
      <c r="K988" s="38"/>
      <c r="L988" s="41"/>
      <c r="M988" s="43"/>
      <c r="N988" s="11"/>
      <c r="O988" s="48"/>
      <c r="P988" s="48"/>
      <c r="Q988" s="48"/>
      <c r="R988" s="38"/>
      <c r="S988" s="38"/>
      <c r="T988" s="52"/>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83"/>
      <c r="AX988" s="11"/>
      <c r="AY988" s="11"/>
      <c r="AZ988" s="11"/>
      <c r="BA988" s="11"/>
      <c r="BB988" s="11"/>
      <c r="BC988" s="11"/>
      <c r="BD988" s="11"/>
      <c r="BE988" s="11"/>
      <c r="BF988" s="11"/>
      <c r="BG988" s="11"/>
      <c r="BH988" s="11"/>
      <c r="BI988" s="11"/>
      <c r="BJ988" s="11"/>
      <c r="BK988" s="11"/>
      <c r="BL988" s="11"/>
      <c r="BM988" s="11"/>
      <c r="BN988" s="11"/>
      <c r="BO988" s="11"/>
      <c r="BP988" s="11"/>
      <c r="BQ988" s="11"/>
      <c r="BR988" s="11"/>
      <c r="BS988" s="11"/>
      <c r="BT988" s="11"/>
      <c r="BU988" s="11"/>
      <c r="BV988" s="11"/>
      <c r="BW988" s="11"/>
      <c r="BX988" s="11"/>
      <c r="BY988" s="11"/>
      <c r="BZ988" s="11"/>
      <c r="CA988" s="11"/>
      <c r="CB988" s="11"/>
      <c r="CC988" s="11"/>
      <c r="CD988" s="11"/>
      <c r="CE988" s="11"/>
      <c r="CF988" s="11"/>
      <c r="CG988" s="11"/>
      <c r="CH988" s="11"/>
      <c r="CI988" s="11"/>
      <c r="CJ988" s="183"/>
      <c r="CK988" s="11"/>
      <c r="CL988" s="11"/>
      <c r="CM988" s="11"/>
      <c r="CN988" s="11"/>
      <c r="CO988" s="11"/>
      <c r="CP988" s="11"/>
      <c r="CQ988" s="11"/>
      <c r="CR988" s="11"/>
      <c r="CS988" s="11"/>
      <c r="CT988" s="11"/>
      <c r="CU988" s="11"/>
      <c r="CV988" s="11"/>
      <c r="CW988" s="11"/>
      <c r="CX988" s="11"/>
      <c r="CY988" s="11"/>
      <c r="CZ988" s="11"/>
      <c r="DA988" s="11"/>
      <c r="DB988" s="11"/>
      <c r="DC988" s="11"/>
    </row>
    <row r="989" spans="1:107" ht="12.75" customHeight="1">
      <c r="A989" s="11"/>
      <c r="B989" s="11"/>
      <c r="C989" s="11"/>
      <c r="D989" s="11"/>
      <c r="E989" s="11"/>
      <c r="F989" s="11"/>
      <c r="G989" s="11"/>
      <c r="H989" s="15"/>
      <c r="I989" s="38"/>
      <c r="J989" s="38"/>
      <c r="K989" s="38"/>
      <c r="L989" s="41"/>
      <c r="M989" s="43"/>
      <c r="N989" s="11"/>
      <c r="O989" s="48"/>
      <c r="P989" s="48"/>
      <c r="Q989" s="48"/>
      <c r="R989" s="38"/>
      <c r="S989" s="38"/>
      <c r="T989" s="52"/>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83"/>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83"/>
      <c r="CK989" s="11"/>
      <c r="CL989" s="11"/>
      <c r="CM989" s="11"/>
      <c r="CN989" s="11"/>
      <c r="CO989" s="11"/>
      <c r="CP989" s="11"/>
      <c r="CQ989" s="11"/>
      <c r="CR989" s="11"/>
      <c r="CS989" s="11"/>
      <c r="CT989" s="11"/>
      <c r="CU989" s="11"/>
      <c r="CV989" s="11"/>
      <c r="CW989" s="11"/>
      <c r="CX989" s="11"/>
      <c r="CY989" s="11"/>
      <c r="CZ989" s="11"/>
      <c r="DA989" s="11"/>
      <c r="DB989" s="11"/>
      <c r="DC989" s="11"/>
    </row>
    <row r="990" spans="1:107" ht="12.75" customHeight="1">
      <c r="A990" s="11"/>
      <c r="B990" s="11"/>
      <c r="C990" s="11"/>
      <c r="D990" s="11"/>
      <c r="E990" s="11"/>
      <c r="F990" s="11"/>
      <c r="G990" s="11"/>
      <c r="H990" s="15"/>
      <c r="I990" s="38"/>
      <c r="J990" s="38"/>
      <c r="K990" s="38"/>
      <c r="L990" s="41"/>
      <c r="M990" s="43"/>
      <c r="N990" s="11"/>
      <c r="O990" s="48"/>
      <c r="P990" s="48"/>
      <c r="Q990" s="48"/>
      <c r="R990" s="38"/>
      <c r="S990" s="38"/>
      <c r="T990" s="52"/>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83"/>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83"/>
      <c r="CK990" s="11"/>
      <c r="CL990" s="11"/>
      <c r="CM990" s="11"/>
      <c r="CN990" s="11"/>
      <c r="CO990" s="11"/>
      <c r="CP990" s="11"/>
      <c r="CQ990" s="11"/>
      <c r="CR990" s="11"/>
      <c r="CS990" s="11"/>
      <c r="CT990" s="11"/>
      <c r="CU990" s="11"/>
      <c r="CV990" s="11"/>
      <c r="CW990" s="11"/>
      <c r="CX990" s="11"/>
      <c r="CY990" s="11"/>
      <c r="CZ990" s="11"/>
      <c r="DA990" s="11"/>
      <c r="DB990" s="11"/>
      <c r="DC990" s="11"/>
    </row>
    <row r="991" spans="1:107" ht="12.75" customHeight="1">
      <c r="A991" s="11"/>
      <c r="B991" s="11"/>
      <c r="C991" s="11"/>
      <c r="D991" s="11"/>
      <c r="E991" s="11"/>
      <c r="F991" s="11"/>
      <c r="G991" s="11"/>
      <c r="H991" s="15"/>
      <c r="I991" s="38"/>
      <c r="J991" s="38"/>
      <c r="K991" s="38"/>
      <c r="L991" s="41"/>
      <c r="M991" s="43"/>
      <c r="N991" s="11"/>
      <c r="O991" s="48"/>
      <c r="P991" s="48"/>
      <c r="Q991" s="48"/>
      <c r="R991" s="38"/>
      <c r="S991" s="38"/>
      <c r="T991" s="52"/>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83"/>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83"/>
      <c r="CK991" s="11"/>
      <c r="CL991" s="11"/>
      <c r="CM991" s="11"/>
      <c r="CN991" s="11"/>
      <c r="CO991" s="11"/>
      <c r="CP991" s="11"/>
      <c r="CQ991" s="11"/>
      <c r="CR991" s="11"/>
      <c r="CS991" s="11"/>
      <c r="CT991" s="11"/>
      <c r="CU991" s="11"/>
      <c r="CV991" s="11"/>
      <c r="CW991" s="11"/>
      <c r="CX991" s="11"/>
      <c r="CY991" s="11"/>
      <c r="CZ991" s="11"/>
      <c r="DA991" s="11"/>
      <c r="DB991" s="11"/>
      <c r="DC991" s="11"/>
    </row>
    <row r="992" spans="1:107" ht="12.75" customHeight="1">
      <c r="A992" s="11"/>
      <c r="B992" s="11"/>
      <c r="C992" s="11"/>
      <c r="D992" s="11"/>
      <c r="E992" s="11"/>
      <c r="F992" s="11"/>
      <c r="G992" s="11"/>
      <c r="H992" s="15"/>
      <c r="I992" s="38"/>
      <c r="J992" s="38"/>
      <c r="K992" s="38"/>
      <c r="L992" s="41"/>
      <c r="M992" s="43"/>
      <c r="N992" s="11"/>
      <c r="O992" s="48"/>
      <c r="P992" s="48"/>
      <c r="Q992" s="48"/>
      <c r="R992" s="38"/>
      <c r="S992" s="38"/>
      <c r="T992" s="52"/>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83"/>
      <c r="AX992" s="11"/>
      <c r="AY992" s="11"/>
      <c r="AZ992" s="11"/>
      <c r="BA992" s="11"/>
      <c r="BB992" s="11"/>
      <c r="BC992" s="11"/>
      <c r="BD992" s="11"/>
      <c r="BE992" s="11"/>
      <c r="BF992" s="11"/>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83"/>
      <c r="CK992" s="11"/>
      <c r="CL992" s="11"/>
      <c r="CM992" s="11"/>
      <c r="CN992" s="11"/>
      <c r="CO992" s="11"/>
      <c r="CP992" s="11"/>
      <c r="CQ992" s="11"/>
      <c r="CR992" s="11"/>
      <c r="CS992" s="11"/>
      <c r="CT992" s="11"/>
      <c r="CU992" s="11"/>
      <c r="CV992" s="11"/>
      <c r="CW992" s="11"/>
      <c r="CX992" s="11"/>
      <c r="CY992" s="11"/>
      <c r="CZ992" s="11"/>
      <c r="DA992" s="11"/>
      <c r="DB992" s="11"/>
      <c r="DC992" s="11"/>
    </row>
    <row r="993" spans="1:107" ht="12.75" customHeight="1">
      <c r="A993" s="11"/>
      <c r="B993" s="11"/>
      <c r="C993" s="11"/>
      <c r="D993" s="11"/>
      <c r="E993" s="11"/>
      <c r="F993" s="11"/>
      <c r="G993" s="11"/>
      <c r="H993" s="15"/>
      <c r="I993" s="38"/>
      <c r="J993" s="38"/>
      <c r="K993" s="38"/>
      <c r="L993" s="41"/>
      <c r="M993" s="43"/>
      <c r="N993" s="11"/>
      <c r="O993" s="48"/>
      <c r="P993" s="48"/>
      <c r="Q993" s="48"/>
      <c r="R993" s="38"/>
      <c r="S993" s="38"/>
      <c r="T993" s="52"/>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83"/>
      <c r="AX993" s="11"/>
      <c r="AY993" s="11"/>
      <c r="AZ993" s="11"/>
      <c r="BA993" s="11"/>
      <c r="BB993" s="11"/>
      <c r="BC993" s="11"/>
      <c r="BD993" s="11"/>
      <c r="BE993" s="11"/>
      <c r="BF993" s="11"/>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83"/>
      <c r="CK993" s="11"/>
      <c r="CL993" s="11"/>
      <c r="CM993" s="11"/>
      <c r="CN993" s="11"/>
      <c r="CO993" s="11"/>
      <c r="CP993" s="11"/>
      <c r="CQ993" s="11"/>
      <c r="CR993" s="11"/>
      <c r="CS993" s="11"/>
      <c r="CT993" s="11"/>
      <c r="CU993" s="11"/>
      <c r="CV993" s="11"/>
      <c r="CW993" s="11"/>
      <c r="CX993" s="11"/>
      <c r="CY993" s="11"/>
      <c r="CZ993" s="11"/>
      <c r="DA993" s="11"/>
      <c r="DB993" s="11"/>
      <c r="DC993" s="11"/>
    </row>
    <row r="994" spans="1:107" ht="12.75" customHeight="1">
      <c r="A994" s="11"/>
      <c r="B994" s="11"/>
      <c r="C994" s="11"/>
      <c r="D994" s="11"/>
      <c r="E994" s="11"/>
      <c r="F994" s="11"/>
      <c r="G994" s="11"/>
      <c r="H994" s="15"/>
      <c r="I994" s="38"/>
      <c r="J994" s="38"/>
      <c r="K994" s="38"/>
      <c r="L994" s="41"/>
      <c r="M994" s="43"/>
      <c r="N994" s="11"/>
      <c r="O994" s="48"/>
      <c r="P994" s="48"/>
      <c r="Q994" s="48"/>
      <c r="R994" s="38"/>
      <c r="S994" s="38"/>
      <c r="T994" s="52"/>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83"/>
      <c r="AX994" s="11"/>
      <c r="AY994" s="11"/>
      <c r="AZ994" s="11"/>
      <c r="BA994" s="11"/>
      <c r="BB994" s="11"/>
      <c r="BC994" s="11"/>
      <c r="BD994" s="11"/>
      <c r="BE994" s="11"/>
      <c r="BF994" s="11"/>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83"/>
      <c r="CK994" s="11"/>
      <c r="CL994" s="11"/>
      <c r="CM994" s="11"/>
      <c r="CN994" s="11"/>
      <c r="CO994" s="11"/>
      <c r="CP994" s="11"/>
      <c r="CQ994" s="11"/>
      <c r="CR994" s="11"/>
      <c r="CS994" s="11"/>
      <c r="CT994" s="11"/>
      <c r="CU994" s="11"/>
      <c r="CV994" s="11"/>
      <c r="CW994" s="11"/>
      <c r="CX994" s="11"/>
      <c r="CY994" s="11"/>
      <c r="CZ994" s="11"/>
      <c r="DA994" s="11"/>
      <c r="DB994" s="11"/>
      <c r="DC994" s="11"/>
    </row>
    <row r="995" spans="1:107" ht="12.75" customHeight="1">
      <c r="A995" s="11"/>
      <c r="B995" s="11"/>
      <c r="C995" s="11"/>
      <c r="D995" s="11"/>
      <c r="E995" s="11"/>
      <c r="F995" s="11"/>
      <c r="G995" s="11"/>
      <c r="H995" s="15"/>
      <c r="I995" s="38"/>
      <c r="J995" s="38"/>
      <c r="K995" s="38"/>
      <c r="L995" s="41"/>
      <c r="M995" s="43"/>
      <c r="N995" s="11"/>
      <c r="O995" s="48"/>
      <c r="P995" s="48"/>
      <c r="Q995" s="48"/>
      <c r="R995" s="38"/>
      <c r="S995" s="38"/>
      <c r="T995" s="52"/>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83"/>
      <c r="AX995" s="11"/>
      <c r="AY995" s="11"/>
      <c r="AZ995" s="11"/>
      <c r="BA995" s="11"/>
      <c r="BB995" s="11"/>
      <c r="BC995" s="11"/>
      <c r="BD995" s="11"/>
      <c r="BE995" s="11"/>
      <c r="BF995" s="11"/>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83"/>
      <c r="CK995" s="11"/>
      <c r="CL995" s="11"/>
      <c r="CM995" s="11"/>
      <c r="CN995" s="11"/>
      <c r="CO995" s="11"/>
      <c r="CP995" s="11"/>
      <c r="CQ995" s="11"/>
      <c r="CR995" s="11"/>
      <c r="CS995" s="11"/>
      <c r="CT995" s="11"/>
      <c r="CU995" s="11"/>
      <c r="CV995" s="11"/>
      <c r="CW995" s="11"/>
      <c r="CX995" s="11"/>
      <c r="CY995" s="11"/>
      <c r="CZ995" s="11"/>
      <c r="DA995" s="11"/>
      <c r="DB995" s="11"/>
      <c r="DC995" s="11"/>
    </row>
    <row r="996" spans="1:107" ht="12.75" customHeight="1">
      <c r="A996" s="11"/>
      <c r="B996" s="11"/>
      <c r="C996" s="11"/>
      <c r="D996" s="11"/>
      <c r="E996" s="11"/>
      <c r="F996" s="11"/>
      <c r="G996" s="11"/>
      <c r="H996" s="15"/>
      <c r="I996" s="38"/>
      <c r="J996" s="38"/>
      <c r="K996" s="38"/>
      <c r="L996" s="41"/>
      <c r="M996" s="43"/>
      <c r="N996" s="11"/>
      <c r="O996" s="48"/>
      <c r="P996" s="48"/>
      <c r="Q996" s="48"/>
      <c r="R996" s="38"/>
      <c r="S996" s="38"/>
      <c r="T996" s="52"/>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83"/>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83"/>
      <c r="CK996" s="11"/>
      <c r="CL996" s="11"/>
      <c r="CM996" s="11"/>
      <c r="CN996" s="11"/>
      <c r="CO996" s="11"/>
      <c r="CP996" s="11"/>
      <c r="CQ996" s="11"/>
      <c r="CR996" s="11"/>
      <c r="CS996" s="11"/>
      <c r="CT996" s="11"/>
      <c r="CU996" s="11"/>
      <c r="CV996" s="11"/>
      <c r="CW996" s="11"/>
      <c r="CX996" s="11"/>
      <c r="CY996" s="11"/>
      <c r="CZ996" s="11"/>
      <c r="DA996" s="11"/>
      <c r="DB996" s="11"/>
      <c r="DC996" s="11"/>
    </row>
    <row r="997" spans="1:107" ht="12.75" customHeight="1">
      <c r="A997" s="11"/>
      <c r="B997" s="11"/>
      <c r="C997" s="11"/>
      <c r="D997" s="11"/>
      <c r="E997" s="11"/>
      <c r="F997" s="11"/>
      <c r="G997" s="11"/>
      <c r="H997" s="15"/>
      <c r="I997" s="38"/>
      <c r="J997" s="38"/>
      <c r="K997" s="38"/>
      <c r="L997" s="41"/>
      <c r="M997" s="43"/>
      <c r="N997" s="11"/>
      <c r="O997" s="48"/>
      <c r="P997" s="48"/>
      <c r="Q997" s="48"/>
      <c r="R997" s="38"/>
      <c r="S997" s="38"/>
      <c r="T997" s="52"/>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83"/>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83"/>
      <c r="CK997" s="11"/>
      <c r="CL997" s="11"/>
      <c r="CM997" s="11"/>
      <c r="CN997" s="11"/>
      <c r="CO997" s="11"/>
      <c r="CP997" s="11"/>
      <c r="CQ997" s="11"/>
      <c r="CR997" s="11"/>
      <c r="CS997" s="11"/>
      <c r="CT997" s="11"/>
      <c r="CU997" s="11"/>
      <c r="CV997" s="11"/>
      <c r="CW997" s="11"/>
      <c r="CX997" s="11"/>
      <c r="CY997" s="11"/>
      <c r="CZ997" s="11"/>
      <c r="DA997" s="11"/>
      <c r="DB997" s="11"/>
      <c r="DC997" s="11"/>
    </row>
    <row r="998" spans="1:107" ht="12.75" customHeight="1">
      <c r="A998" s="11"/>
      <c r="B998" s="11"/>
      <c r="C998" s="11"/>
      <c r="D998" s="11"/>
      <c r="E998" s="11"/>
      <c r="F998" s="11"/>
      <c r="G998" s="11"/>
      <c r="H998" s="15"/>
      <c r="I998" s="38"/>
      <c r="J998" s="38"/>
      <c r="K998" s="38"/>
      <c r="L998" s="41"/>
      <c r="M998" s="43"/>
      <c r="N998" s="11"/>
      <c r="O998" s="48"/>
      <c r="P998" s="48"/>
      <c r="Q998" s="48"/>
      <c r="R998" s="38"/>
      <c r="S998" s="38"/>
      <c r="T998" s="52"/>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83"/>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83"/>
      <c r="CK998" s="11"/>
      <c r="CL998" s="11"/>
      <c r="CM998" s="11"/>
      <c r="CN998" s="11"/>
      <c r="CO998" s="11"/>
      <c r="CP998" s="11"/>
      <c r="CQ998" s="11"/>
      <c r="CR998" s="11"/>
      <c r="CS998" s="11"/>
      <c r="CT998" s="11"/>
      <c r="CU998" s="11"/>
      <c r="CV998" s="11"/>
      <c r="CW998" s="11"/>
      <c r="CX998" s="11"/>
      <c r="CY998" s="11"/>
      <c r="CZ998" s="11"/>
      <c r="DA998" s="11"/>
      <c r="DB998" s="11"/>
      <c r="DC998" s="11"/>
    </row>
    <row r="999" spans="1:107" ht="12.75" customHeight="1">
      <c r="A999" s="11"/>
      <c r="B999" s="11"/>
      <c r="C999" s="11"/>
      <c r="D999" s="11"/>
      <c r="E999" s="11"/>
      <c r="F999" s="11"/>
      <c r="G999" s="11"/>
      <c r="H999" s="15"/>
      <c r="I999" s="38"/>
      <c r="J999" s="38"/>
      <c r="K999" s="38"/>
      <c r="L999" s="41"/>
      <c r="M999" s="43"/>
      <c r="N999" s="11"/>
      <c r="O999" s="48"/>
      <c r="P999" s="48"/>
      <c r="Q999" s="48"/>
      <c r="R999" s="38"/>
      <c r="S999" s="38"/>
      <c r="T999" s="52"/>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83"/>
      <c r="AX999" s="11"/>
      <c r="AY999" s="11"/>
      <c r="AZ999" s="11"/>
      <c r="BA999" s="11"/>
      <c r="BB999" s="11"/>
      <c r="BC999" s="11"/>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83"/>
      <c r="CK999" s="11"/>
      <c r="CL999" s="11"/>
      <c r="CM999" s="11"/>
      <c r="CN999" s="11"/>
      <c r="CO999" s="11"/>
      <c r="CP999" s="11"/>
      <c r="CQ999" s="11"/>
      <c r="CR999" s="11"/>
      <c r="CS999" s="11"/>
      <c r="CT999" s="11"/>
      <c r="CU999" s="11"/>
      <c r="CV999" s="11"/>
      <c r="CW999" s="11"/>
      <c r="CX999" s="11"/>
      <c r="CY999" s="11"/>
      <c r="CZ999" s="11"/>
      <c r="DA999" s="11"/>
      <c r="DB999" s="11"/>
      <c r="DC999" s="11"/>
    </row>
    <row r="1000" spans="1:107" ht="12.75" customHeight="1">
      <c r="A1000" s="11"/>
      <c r="B1000" s="11"/>
      <c r="C1000" s="11"/>
      <c r="D1000" s="11"/>
      <c r="E1000" s="11"/>
      <c r="F1000" s="11"/>
      <c r="G1000" s="11"/>
      <c r="H1000" s="15"/>
      <c r="I1000" s="38"/>
      <c r="J1000" s="38"/>
      <c r="K1000" s="38"/>
      <c r="L1000" s="41"/>
      <c r="M1000" s="43"/>
      <c r="N1000" s="11"/>
      <c r="O1000" s="48"/>
      <c r="P1000" s="48"/>
      <c r="Q1000" s="48"/>
      <c r="R1000" s="38"/>
      <c r="S1000" s="38"/>
      <c r="T1000" s="52"/>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83"/>
      <c r="AX1000" s="11"/>
      <c r="AY1000" s="11"/>
      <c r="AZ1000" s="11"/>
      <c r="BA1000" s="11"/>
      <c r="BB1000" s="11"/>
      <c r="BC1000" s="11"/>
      <c r="BD1000" s="11"/>
      <c r="BE1000" s="11"/>
      <c r="BF1000" s="11"/>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83"/>
      <c r="CK1000" s="11"/>
      <c r="CL1000" s="11"/>
      <c r="CM1000" s="11"/>
      <c r="CN1000" s="11"/>
      <c r="CO1000" s="11"/>
      <c r="CP1000" s="11"/>
      <c r="CQ1000" s="11"/>
      <c r="CR1000" s="11"/>
      <c r="CS1000" s="11"/>
      <c r="CT1000" s="11"/>
      <c r="CU1000" s="11"/>
      <c r="CV1000" s="11"/>
      <c r="CW1000" s="11"/>
      <c r="CX1000" s="11"/>
      <c r="CY1000" s="11"/>
      <c r="CZ1000" s="11"/>
      <c r="DA1000" s="11"/>
      <c r="DB1000" s="11"/>
      <c r="DC1000" s="11"/>
    </row>
  </sheetData>
  <conditionalFormatting sqref="G1:J108 K1:K107">
    <cfRule type="cellIs" dxfId="2" priority="1" operator="equal">
      <formula>0</formula>
    </cfRule>
  </conditionalFormatting>
  <conditionalFormatting sqref="X2:Y107">
    <cfRule type="cellIs" dxfId="1" priority="2" operator="equal">
      <formula>0</formula>
    </cfRule>
  </conditionalFormatting>
  <conditionalFormatting sqref="AH2:AI107">
    <cfRule type="cellIs" dxfId="0" priority="3" operator="equal">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N10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7.83203125" customWidth="1"/>
    <col min="2" max="2" width="48.44140625" customWidth="1"/>
    <col min="3" max="3" width="12.109375" customWidth="1"/>
    <col min="4" max="4" width="25.71875" customWidth="1"/>
    <col min="5" max="5" width="19.27734375" customWidth="1"/>
    <col min="6" max="6" width="5.71875" customWidth="1"/>
    <col min="7" max="7" width="6.44140625" customWidth="1"/>
    <col min="8" max="8" width="5.44140625" customWidth="1"/>
    <col min="9" max="9" width="5.71875" customWidth="1"/>
    <col min="10" max="10" width="5.27734375" customWidth="1"/>
    <col min="11" max="19" width="5.5546875" customWidth="1"/>
    <col min="20" max="20" width="3.71875" customWidth="1"/>
    <col min="21" max="36" width="5.5546875" customWidth="1"/>
    <col min="37" max="37" width="5.27734375" customWidth="1"/>
    <col min="38" max="38" width="4.83203125" customWidth="1"/>
    <col min="39" max="39" width="8" customWidth="1"/>
    <col min="40" max="40" width="24.83203125" customWidth="1"/>
    <col min="41" max="41" width="28.5546875" customWidth="1"/>
    <col min="42" max="42" width="9.109375" customWidth="1"/>
    <col min="43" max="43" width="10.83203125" customWidth="1"/>
    <col min="44" max="44" width="8.71875" customWidth="1"/>
    <col min="45" max="45" width="20.27734375" customWidth="1"/>
    <col min="46" max="46" width="28.71875" customWidth="1"/>
    <col min="47" max="47" width="6.83203125" customWidth="1"/>
    <col min="48" max="66" width="5.27734375" customWidth="1"/>
  </cols>
  <sheetData>
    <row r="1" spans="1:66" ht="15.75" customHeight="1">
      <c r="A1" s="1" t="s">
        <v>0</v>
      </c>
      <c r="B1" s="1" t="s">
        <v>1</v>
      </c>
      <c r="C1" s="1" t="s">
        <v>2</v>
      </c>
      <c r="D1" s="1" t="s">
        <v>3</v>
      </c>
      <c r="E1" s="2" t="s">
        <v>4</v>
      </c>
      <c r="F1" s="3" t="s">
        <v>5</v>
      </c>
      <c r="G1" s="3" t="s">
        <v>13</v>
      </c>
      <c r="H1" s="3" t="s">
        <v>14</v>
      </c>
      <c r="I1" s="3" t="s">
        <v>15</v>
      </c>
      <c r="J1" s="5" t="s">
        <v>16</v>
      </c>
      <c r="K1" s="5" t="s">
        <v>19</v>
      </c>
      <c r="L1" s="5" t="s">
        <v>20</v>
      </c>
      <c r="M1" s="5" t="s">
        <v>21</v>
      </c>
      <c r="N1" s="5" t="s">
        <v>22</v>
      </c>
      <c r="O1" s="5" t="s">
        <v>23</v>
      </c>
      <c r="P1" s="5" t="s">
        <v>24</v>
      </c>
      <c r="Q1" s="5" t="s">
        <v>25</v>
      </c>
      <c r="R1" s="5" t="s">
        <v>26</v>
      </c>
      <c r="S1" s="5" t="s">
        <v>27</v>
      </c>
      <c r="T1" s="3" t="s">
        <v>28</v>
      </c>
      <c r="U1" s="3" t="s">
        <v>29</v>
      </c>
      <c r="V1" s="3" t="s">
        <v>30</v>
      </c>
      <c r="W1" s="3" t="s">
        <v>31</v>
      </c>
      <c r="X1" s="3" t="s">
        <v>32</v>
      </c>
      <c r="Y1" s="3" t="s">
        <v>33</v>
      </c>
      <c r="Z1" s="3" t="s">
        <v>34</v>
      </c>
      <c r="AA1" s="3" t="s">
        <v>35</v>
      </c>
      <c r="AB1" s="3" t="s">
        <v>36</v>
      </c>
      <c r="AC1" s="3" t="s">
        <v>37</v>
      </c>
      <c r="AD1" s="3" t="s">
        <v>38</v>
      </c>
      <c r="AE1" s="3" t="s">
        <v>39</v>
      </c>
      <c r="AF1" s="3" t="s">
        <v>40</v>
      </c>
      <c r="AG1" s="3" t="s">
        <v>41</v>
      </c>
      <c r="AH1" s="3" t="s">
        <v>42</v>
      </c>
      <c r="AI1" s="3" t="s">
        <v>43</v>
      </c>
      <c r="AJ1" s="3" t="s">
        <v>44</v>
      </c>
      <c r="AK1" s="2" t="s">
        <v>45</v>
      </c>
      <c r="AL1" s="2" t="str">
        <f ca="1">IFERROR(__xludf.DUMMYFUNCTION("QUERY(Processed!BG1:BP107,""SELECT *"",1)"),"Year")</f>
        <v>Year</v>
      </c>
      <c r="AM1" s="2" t="str">
        <f ca="1">IFERROR(__xludf.DUMMYFUNCTION("""COMPUTED_VALUE"""),"Country")</f>
        <v>Country</v>
      </c>
      <c r="AN1" s="2" t="str">
        <f ca="1">IFERROR(__xludf.DUMMYFUNCTION("""COMPUTED_VALUE"""),"Coding Method")</f>
        <v>Coding Method</v>
      </c>
      <c r="AO1" s="2" t="str">
        <f ca="1">IFERROR(__xludf.DUMMYFUNCTION("""COMPUTED_VALUE"""),"Included in Prior Meta-analysis S/IS")</f>
        <v>Included in Prior Meta-analysis S/IS</v>
      </c>
      <c r="AP1" s="2" t="str">
        <f ca="1">IFERROR(__xludf.DUMMYFUNCTION("""COMPUTED_VALUE"""),"Social Risk")</f>
        <v>Social Risk</v>
      </c>
      <c r="AQ1" s="2" t="str">
        <f ca="1">IFERROR(__xludf.DUMMYFUNCTION("""COMPUTED_VALUE"""),"Medical Risk")</f>
        <v>Medical Risk</v>
      </c>
      <c r="AR1" s="2" t="str">
        <f ca="1">IFERROR(__xludf.DUMMYFUNCTION("""COMPUTED_VALUE"""),"Published")</f>
        <v>Published</v>
      </c>
      <c r="AS1" s="2" t="str">
        <f ca="1">IFERROR(__xludf.DUMMYFUNCTION("""COMPUTED_VALUE"""),"Interrater Reliability - PA")</f>
        <v>Interrater Reliability - PA</v>
      </c>
      <c r="AT1" s="2" t="str">
        <f ca="1">IFERROR(__xludf.DUMMYFUNCTION("""COMPUTED_VALUE"""),"Included in Prior Meta-analysis D/O")</f>
        <v>Included in Prior Meta-analysis D/O</v>
      </c>
      <c r="AU1" s="2" t="str">
        <f ca="1">IFERROR(__xludf.DUMMYFUNCTION("""COMPUTED_VALUE"""),"Gender")</f>
        <v>Gender</v>
      </c>
      <c r="AV1" s="2"/>
      <c r="AW1" s="2"/>
      <c r="AX1" s="2"/>
      <c r="AY1" s="2"/>
      <c r="AZ1" s="2"/>
      <c r="BA1" s="2"/>
      <c r="BB1" s="2"/>
      <c r="BC1" s="2"/>
      <c r="BD1" s="2"/>
      <c r="BE1" s="2"/>
      <c r="BF1" s="2"/>
      <c r="BG1" s="2"/>
      <c r="BH1" s="2"/>
      <c r="BI1" s="2"/>
      <c r="BJ1" s="2"/>
      <c r="BK1" s="2"/>
      <c r="BL1" s="2"/>
      <c r="BM1" s="2"/>
      <c r="BN1" s="2"/>
    </row>
    <row r="2" spans="1:66" ht="15.75" customHeight="1">
      <c r="A2" s="11">
        <f>Raw!D2</f>
        <v>1</v>
      </c>
      <c r="B2" s="11" t="str">
        <f>Raw!A2</f>
        <v>Aikins, Howes, &amp; Hamilton (2009)</v>
      </c>
      <c r="C2" s="11">
        <f>Raw!G2</f>
        <v>1</v>
      </c>
      <c r="D2" s="11" t="str">
        <f>Raw!E2</f>
        <v>36 month interval</v>
      </c>
      <c r="E2" s="11" t="str">
        <f>Processed!E2</f>
        <v>Infancy - Preschool</v>
      </c>
      <c r="F2" s="15">
        <f>Raw!AA2</f>
        <v>0</v>
      </c>
      <c r="G2" s="15">
        <f>Raw!AB2</f>
        <v>0</v>
      </c>
      <c r="H2" s="15">
        <f>Raw!AC2</f>
        <v>0</v>
      </c>
      <c r="I2" s="15">
        <f>Raw!AD2</f>
        <v>0</v>
      </c>
      <c r="J2" s="15">
        <f t="shared" ref="J2:J107" si="0">SUM(F2:I2)</f>
        <v>0</v>
      </c>
      <c r="K2" s="15">
        <f>Raw!AL2</f>
        <v>0</v>
      </c>
      <c r="L2" s="15">
        <f>Raw!AM2</f>
        <v>0</v>
      </c>
      <c r="M2" s="15">
        <f>Raw!AN2</f>
        <v>0</v>
      </c>
      <c r="N2" s="15">
        <f>Raw!AO2</f>
        <v>0</v>
      </c>
      <c r="O2" s="15">
        <f>Raw!AP2</f>
        <v>0</v>
      </c>
      <c r="P2" s="15">
        <f>Raw!AQ2</f>
        <v>0</v>
      </c>
      <c r="Q2" s="15">
        <f>Raw!AR2</f>
        <v>0</v>
      </c>
      <c r="R2" s="15">
        <f>Raw!AS2</f>
        <v>0</v>
      </c>
      <c r="S2" s="15">
        <f>Raw!AT2</f>
        <v>0</v>
      </c>
      <c r="T2" s="15">
        <f t="shared" ref="T2:T107" si="1">SUM(K2:S2)</f>
        <v>0</v>
      </c>
      <c r="U2" s="15">
        <f>Raw!AV2</f>
        <v>0</v>
      </c>
      <c r="V2" s="15">
        <f>Raw!AW2</f>
        <v>0</v>
      </c>
      <c r="W2" s="15">
        <f>Raw!AX2</f>
        <v>0</v>
      </c>
      <c r="X2" s="15">
        <f>Raw!AY2</f>
        <v>0</v>
      </c>
      <c r="Y2" s="15">
        <f>Raw!AZ2</f>
        <v>0</v>
      </c>
      <c r="Z2" s="15">
        <f>Raw!BA2</f>
        <v>0</v>
      </c>
      <c r="AA2" s="15">
        <f>Raw!BB2</f>
        <v>0</v>
      </c>
      <c r="AB2" s="15">
        <f>Raw!BC2</f>
        <v>0</v>
      </c>
      <c r="AC2" s="15">
        <f>Raw!BD2</f>
        <v>0</v>
      </c>
      <c r="AD2" s="15">
        <f>Raw!BE2</f>
        <v>0</v>
      </c>
      <c r="AE2" s="15">
        <f>Raw!BF2</f>
        <v>0</v>
      </c>
      <c r="AF2" s="15">
        <f>Raw!BG2</f>
        <v>0</v>
      </c>
      <c r="AG2" s="15">
        <f>Raw!BH2</f>
        <v>0</v>
      </c>
      <c r="AH2" s="15">
        <f>Raw!BI2</f>
        <v>0</v>
      </c>
      <c r="AI2" s="15">
        <f>Raw!BJ2</f>
        <v>0</v>
      </c>
      <c r="AJ2" s="15">
        <f>Raw!BK2</f>
        <v>0</v>
      </c>
      <c r="AK2" s="15">
        <f t="shared" ref="AK2:AK107" si="2">SUM(U2:AJ2)</f>
        <v>0</v>
      </c>
      <c r="AL2" s="11">
        <f ca="1">IFERROR(__xludf.DUMMYFUNCTION("""COMPUTED_VALUE"""),2009)</f>
        <v>2009</v>
      </c>
      <c r="AM2" s="11" t="str">
        <f ca="1">IFERROR(__xludf.DUMMYFUNCTION("""COMPUTED_VALUE"""),"USA")</f>
        <v>USA</v>
      </c>
      <c r="AN2" s="11" t="str">
        <f ca="1">IFERROR(__xludf.DUMMYFUNCTION("""COMPUTED_VALUE"""),"Ainsworth/Cassidy-Marvin")</f>
        <v>Ainsworth/Cassidy-Marvin</v>
      </c>
      <c r="AO2" s="11">
        <f ca="1">IFERROR(__xludf.DUMMYFUNCTION("""COMPUTED_VALUE"""),1)</f>
        <v>1</v>
      </c>
      <c r="AP2" s="11">
        <f ca="1">IFERROR(__xludf.DUMMYFUNCTION("""COMPUTED_VALUE"""),0)</f>
        <v>0</v>
      </c>
      <c r="AQ2" s="11">
        <f ca="1">IFERROR(__xludf.DUMMYFUNCTION("""COMPUTED_VALUE"""),0)</f>
        <v>0</v>
      </c>
      <c r="AR2" s="11">
        <f ca="1">IFERROR(__xludf.DUMMYFUNCTION("""COMPUTED_VALUE"""),1)</f>
        <v>1</v>
      </c>
      <c r="AS2" s="11" t="str">
        <f ca="1">IFERROR(__xludf.DUMMYFUNCTION("""COMPUTED_VALUE"""),"")</f>
        <v/>
      </c>
      <c r="AT2" s="11">
        <f ca="1">IFERROR(__xludf.DUMMYFUNCTION("""COMPUTED_VALUE"""),0)</f>
        <v>0</v>
      </c>
      <c r="AU2" s="11" t="str">
        <f ca="1">IFERROR(__xludf.DUMMYFUNCTION("""COMPUTED_VALUE"""),"Mixed")</f>
        <v>Mixed</v>
      </c>
      <c r="AV2" s="11"/>
      <c r="AW2" s="11"/>
      <c r="AX2" s="11"/>
      <c r="AY2" s="11"/>
      <c r="AZ2" s="11"/>
      <c r="BA2" s="11"/>
      <c r="BB2" s="11"/>
      <c r="BC2" s="11"/>
      <c r="BD2" s="11"/>
      <c r="BE2" s="11"/>
      <c r="BF2" s="11"/>
      <c r="BG2" s="11"/>
      <c r="BH2" s="11"/>
      <c r="BI2" s="11"/>
      <c r="BJ2" s="11"/>
      <c r="BK2" s="11"/>
      <c r="BL2" s="11"/>
      <c r="BM2" s="11"/>
      <c r="BN2" s="11"/>
    </row>
    <row r="3" spans="1:66" ht="15.75" customHeight="1">
      <c r="A3" s="11">
        <f>Raw!D3</f>
        <v>2</v>
      </c>
      <c r="B3" s="11" t="str">
        <f>Raw!A3</f>
        <v>Ammaniti, Speranza, &amp; Fedele (2005)</v>
      </c>
      <c r="C3" s="11">
        <f>Raw!G3</f>
        <v>1</v>
      </c>
      <c r="D3" s="11" t="str">
        <f>Raw!E3</f>
        <v>51 month interval</v>
      </c>
      <c r="E3" s="11" t="str">
        <f>Processed!E3</f>
        <v>Infancy - Preschool</v>
      </c>
      <c r="F3" s="15">
        <f>Raw!AA3</f>
        <v>17</v>
      </c>
      <c r="G3" s="15">
        <f>Raw!AB3</f>
        <v>3</v>
      </c>
      <c r="H3" s="15">
        <f>Raw!AC3</f>
        <v>9</v>
      </c>
      <c r="I3" s="15">
        <f>Raw!AD3</f>
        <v>6</v>
      </c>
      <c r="J3" s="15">
        <f t="shared" si="0"/>
        <v>35</v>
      </c>
      <c r="K3" s="15">
        <f>Raw!AL3</f>
        <v>15</v>
      </c>
      <c r="L3" s="15">
        <f>Raw!AM3</f>
        <v>3</v>
      </c>
      <c r="M3" s="15">
        <f>Raw!AN3</f>
        <v>1</v>
      </c>
      <c r="N3" s="15">
        <f>Raw!AO3</f>
        <v>4</v>
      </c>
      <c r="O3" s="15">
        <f>Raw!AP3</f>
        <v>9</v>
      </c>
      <c r="P3" s="15">
        <f>Raw!AQ3</f>
        <v>2</v>
      </c>
      <c r="Q3" s="15">
        <f>Raw!AR3</f>
        <v>0</v>
      </c>
      <c r="R3" s="15">
        <f>Raw!AS3</f>
        <v>0</v>
      </c>
      <c r="S3" s="15">
        <f>Raw!AT3</f>
        <v>1</v>
      </c>
      <c r="T3" s="15">
        <f t="shared" si="1"/>
        <v>35</v>
      </c>
      <c r="U3" s="15">
        <f>Raw!AV3</f>
        <v>0</v>
      </c>
      <c r="V3" s="15">
        <f>Raw!AW3</f>
        <v>0</v>
      </c>
      <c r="W3" s="15">
        <f>Raw!AX3</f>
        <v>0</v>
      </c>
      <c r="X3" s="15">
        <f>Raw!AY3</f>
        <v>0</v>
      </c>
      <c r="Y3" s="15">
        <f>Raw!AZ3</f>
        <v>0</v>
      </c>
      <c r="Z3" s="15">
        <f>Raw!BA3</f>
        <v>0</v>
      </c>
      <c r="AA3" s="15">
        <f>Raw!BB3</f>
        <v>0</v>
      </c>
      <c r="AB3" s="15">
        <f>Raw!BC3</f>
        <v>0</v>
      </c>
      <c r="AC3" s="15">
        <f>Raw!BD3</f>
        <v>0</v>
      </c>
      <c r="AD3" s="15">
        <f>Raw!BE3</f>
        <v>0</v>
      </c>
      <c r="AE3" s="15">
        <f>Raw!BF3</f>
        <v>0</v>
      </c>
      <c r="AF3" s="15">
        <f>Raw!BG3</f>
        <v>0</v>
      </c>
      <c r="AG3" s="15">
        <f>Raw!BH3</f>
        <v>0</v>
      </c>
      <c r="AH3" s="15">
        <f>Raw!BI3</f>
        <v>0</v>
      </c>
      <c r="AI3" s="15">
        <f>Raw!BJ3</f>
        <v>0</v>
      </c>
      <c r="AJ3" s="15">
        <f>Raw!BK3</f>
        <v>0</v>
      </c>
      <c r="AK3" s="15">
        <f t="shared" si="2"/>
        <v>0</v>
      </c>
      <c r="AL3" s="11">
        <f ca="1">IFERROR(__xludf.DUMMYFUNCTION("""COMPUTED_VALUE"""),2005)</f>
        <v>2005</v>
      </c>
      <c r="AM3" s="11" t="str">
        <f ca="1">IFERROR(__xludf.DUMMYFUNCTION("""COMPUTED_VALUE"""),"Non-USA")</f>
        <v>Non-USA</v>
      </c>
      <c r="AN3" s="11" t="str">
        <f ca="1">IFERROR(__xludf.DUMMYFUNCTION("""COMPUTED_VALUE"""),"Ainsworth/Cassidy-Marvin")</f>
        <v>Ainsworth/Cassidy-Marvin</v>
      </c>
      <c r="AO3" s="11">
        <f ca="1">IFERROR(__xludf.DUMMYFUNCTION("""COMPUTED_VALUE"""),1)</f>
        <v>1</v>
      </c>
      <c r="AP3" s="11">
        <f ca="1">IFERROR(__xludf.DUMMYFUNCTION("""COMPUTED_VALUE"""),0)</f>
        <v>0</v>
      </c>
      <c r="AQ3" s="11">
        <f ca="1">IFERROR(__xludf.DUMMYFUNCTION("""COMPUTED_VALUE"""),0)</f>
        <v>0</v>
      </c>
      <c r="AR3" s="11">
        <f ca="1">IFERROR(__xludf.DUMMYFUNCTION("""COMPUTED_VALUE"""),1)</f>
        <v>1</v>
      </c>
      <c r="AS3" s="11" t="str">
        <f ca="1">IFERROR(__xludf.DUMMYFUNCTION("""COMPUTED_VALUE"""),"")</f>
        <v/>
      </c>
      <c r="AT3" s="11">
        <f ca="1">IFERROR(__xludf.DUMMYFUNCTION("""COMPUTED_VALUE"""),0)</f>
        <v>0</v>
      </c>
      <c r="AU3" s="11" t="str">
        <f ca="1">IFERROR(__xludf.DUMMYFUNCTION("""COMPUTED_VALUE"""),"Female")</f>
        <v>Female</v>
      </c>
      <c r="AV3" s="11"/>
      <c r="AW3" s="11"/>
      <c r="AX3" s="11"/>
      <c r="AY3" s="11"/>
      <c r="AZ3" s="11"/>
      <c r="BA3" s="11"/>
      <c r="BB3" s="11"/>
      <c r="BC3" s="11"/>
      <c r="BD3" s="11"/>
      <c r="BE3" s="11"/>
      <c r="BF3" s="11"/>
      <c r="BG3" s="11"/>
      <c r="BH3" s="11"/>
      <c r="BI3" s="11"/>
      <c r="BJ3" s="11"/>
      <c r="BK3" s="11"/>
      <c r="BL3" s="11"/>
      <c r="BM3" s="11"/>
      <c r="BN3" s="11"/>
    </row>
    <row r="4" spans="1:66" ht="15.75" customHeight="1">
      <c r="A4" s="11">
        <f>Raw!D4</f>
        <v>3</v>
      </c>
      <c r="B4" s="11" t="str">
        <f>Raw!A4</f>
        <v>Atkinson et al. (1999)</v>
      </c>
      <c r="C4" s="11">
        <f>Raw!G4</f>
        <v>1</v>
      </c>
      <c r="D4" s="11" t="str">
        <f>Raw!E4</f>
        <v>Single sample</v>
      </c>
      <c r="E4" s="11" t="str">
        <f>Processed!E4</f>
        <v>Toddlerhood - Preschool</v>
      </c>
      <c r="F4" s="15">
        <f>Raw!AA4</f>
        <v>0</v>
      </c>
      <c r="G4" s="15">
        <f>Raw!AB4</f>
        <v>0</v>
      </c>
      <c r="H4" s="34">
        <f>Raw!AC4</f>
        <v>0</v>
      </c>
      <c r="I4" s="15">
        <f>Raw!AD4</f>
        <v>0</v>
      </c>
      <c r="J4" s="15">
        <f t="shared" si="0"/>
        <v>0</v>
      </c>
      <c r="K4" s="15">
        <f>Raw!AL4</f>
        <v>0</v>
      </c>
      <c r="L4" s="15">
        <f>Raw!AM4</f>
        <v>0</v>
      </c>
      <c r="M4" s="15">
        <f>Raw!AN4</f>
        <v>0</v>
      </c>
      <c r="N4" s="15">
        <f>Raw!AO4</f>
        <v>0</v>
      </c>
      <c r="O4" s="15">
        <f>Raw!AP4</f>
        <v>0</v>
      </c>
      <c r="P4" s="15">
        <f>Raw!AQ4</f>
        <v>0</v>
      </c>
      <c r="Q4" s="15">
        <f>Raw!AR4</f>
        <v>0</v>
      </c>
      <c r="R4" s="15">
        <f>Raw!AS4</f>
        <v>0</v>
      </c>
      <c r="S4" s="15">
        <f>Raw!AT4</f>
        <v>0</v>
      </c>
      <c r="T4" s="15">
        <f t="shared" si="1"/>
        <v>0</v>
      </c>
      <c r="U4" s="15">
        <f>Raw!AV4</f>
        <v>0</v>
      </c>
      <c r="V4" s="15">
        <f>Raw!AW4</f>
        <v>0</v>
      </c>
      <c r="W4" s="15">
        <f>Raw!AX4</f>
        <v>0</v>
      </c>
      <c r="X4" s="15">
        <f>Raw!AY4</f>
        <v>0</v>
      </c>
      <c r="Y4" s="15">
        <f>Raw!AZ4</f>
        <v>0</v>
      </c>
      <c r="Z4" s="15">
        <f>Raw!BA4</f>
        <v>0</v>
      </c>
      <c r="AA4" s="15">
        <f>Raw!BB4</f>
        <v>0</v>
      </c>
      <c r="AB4" s="15">
        <f>Raw!BC4</f>
        <v>0</v>
      </c>
      <c r="AC4" s="15">
        <f>Raw!BD4</f>
        <v>0</v>
      </c>
      <c r="AD4" s="15">
        <f>Raw!BE4</f>
        <v>0</v>
      </c>
      <c r="AE4" s="15">
        <f>Raw!BF4</f>
        <v>0</v>
      </c>
      <c r="AF4" s="15">
        <f>Raw!BG4</f>
        <v>0</v>
      </c>
      <c r="AG4" s="15">
        <f>Raw!BH4</f>
        <v>0</v>
      </c>
      <c r="AH4" s="15">
        <f>Raw!BI4</f>
        <v>0</v>
      </c>
      <c r="AI4" s="15">
        <f>Raw!BJ4</f>
        <v>0</v>
      </c>
      <c r="AJ4" s="15">
        <f>Raw!BK4</f>
        <v>0</v>
      </c>
      <c r="AK4" s="15">
        <f t="shared" si="2"/>
        <v>0</v>
      </c>
      <c r="AL4" s="11">
        <f ca="1">IFERROR(__xludf.DUMMYFUNCTION("""COMPUTED_VALUE"""),1999)</f>
        <v>1999</v>
      </c>
      <c r="AM4" s="11" t="str">
        <f ca="1">IFERROR(__xludf.DUMMYFUNCTION("""COMPUTED_VALUE"""),"Non-USA")</f>
        <v>Non-USA</v>
      </c>
      <c r="AN4" s="11" t="str">
        <f ca="1">IFERROR(__xludf.DUMMYFUNCTION("""COMPUTED_VALUE"""),"Ainsworth/Ainsworth")</f>
        <v>Ainsworth/Ainsworth</v>
      </c>
      <c r="AO4" s="11">
        <f ca="1">IFERROR(__xludf.DUMMYFUNCTION("""COMPUTED_VALUE"""),1)</f>
        <v>1</v>
      </c>
      <c r="AP4" s="11">
        <f ca="1">IFERROR(__xludf.DUMMYFUNCTION("""COMPUTED_VALUE"""),0)</f>
        <v>0</v>
      </c>
      <c r="AQ4" s="11">
        <f ca="1">IFERROR(__xludf.DUMMYFUNCTION("""COMPUTED_VALUE"""),1)</f>
        <v>1</v>
      </c>
      <c r="AR4" s="11">
        <f ca="1">IFERROR(__xludf.DUMMYFUNCTION("""COMPUTED_VALUE"""),1)</f>
        <v>1</v>
      </c>
      <c r="AS4" s="11">
        <f ca="1">IFERROR(__xludf.DUMMYFUNCTION("""COMPUTED_VALUE"""),0.73)</f>
        <v>0.73</v>
      </c>
      <c r="AT4" s="11">
        <f ca="1">IFERROR(__xludf.DUMMYFUNCTION("""COMPUTED_VALUE"""),0)</f>
        <v>0</v>
      </c>
      <c r="AU4" s="11" t="str">
        <f ca="1">IFERROR(__xludf.DUMMYFUNCTION("""COMPUTED_VALUE"""),"Female")</f>
        <v>Female</v>
      </c>
      <c r="AV4" s="11"/>
      <c r="AW4" s="11"/>
      <c r="AX4" s="11"/>
      <c r="AY4" s="11"/>
      <c r="AZ4" s="11"/>
      <c r="BA4" s="11"/>
      <c r="BB4" s="11"/>
      <c r="BC4" s="11"/>
      <c r="BD4" s="11"/>
      <c r="BE4" s="11"/>
      <c r="BF4" s="11"/>
      <c r="BG4" s="11"/>
      <c r="BH4" s="11"/>
      <c r="BI4" s="11"/>
      <c r="BJ4" s="11"/>
      <c r="BK4" s="11"/>
      <c r="BL4" s="11"/>
      <c r="BM4" s="11"/>
      <c r="BN4" s="11"/>
    </row>
    <row r="5" spans="1:66" ht="15.75" customHeight="1">
      <c r="A5" s="11">
        <f>Raw!D5</f>
        <v>4</v>
      </c>
      <c r="B5" s="11" t="str">
        <f>Raw!A5</f>
        <v xml:space="preserve">Bar-Haim et al. (2000) </v>
      </c>
      <c r="C5" s="11">
        <f>Raw!G5</f>
        <v>1</v>
      </c>
      <c r="D5" s="11" t="str">
        <f>Raw!E5</f>
        <v>10 month interval</v>
      </c>
      <c r="E5" s="11" t="str">
        <f>Processed!E5</f>
        <v>Infancy - Toddlerhood</v>
      </c>
      <c r="F5" s="15">
        <f>Raw!AA5</f>
        <v>8</v>
      </c>
      <c r="G5" s="15">
        <f>Raw!AB5</f>
        <v>4</v>
      </c>
      <c r="H5" s="15">
        <f>Raw!AC5</f>
        <v>22</v>
      </c>
      <c r="I5" s="15">
        <f>Raw!AD5</f>
        <v>8</v>
      </c>
      <c r="J5" s="15">
        <f t="shared" si="0"/>
        <v>42</v>
      </c>
      <c r="K5" s="15">
        <f>Raw!AL5</f>
        <v>1</v>
      </c>
      <c r="L5" s="15">
        <f>Raw!AM5</f>
        <v>2</v>
      </c>
      <c r="M5" s="15">
        <f>Raw!AN5</f>
        <v>2</v>
      </c>
      <c r="N5" s="15">
        <f>Raw!AO5</f>
        <v>4</v>
      </c>
      <c r="O5" s="15">
        <f>Raw!AP5</f>
        <v>22</v>
      </c>
      <c r="P5" s="15">
        <f>Raw!AQ5</f>
        <v>4</v>
      </c>
      <c r="Q5" s="15">
        <f>Raw!AR5</f>
        <v>1</v>
      </c>
      <c r="R5" s="15">
        <f>Raw!AS5</f>
        <v>2</v>
      </c>
      <c r="S5" s="15">
        <f>Raw!AT5</f>
        <v>4</v>
      </c>
      <c r="T5" s="15">
        <f t="shared" si="1"/>
        <v>42</v>
      </c>
      <c r="U5" s="15">
        <f>Raw!AV5</f>
        <v>0</v>
      </c>
      <c r="V5" s="15">
        <f>Raw!AW5</f>
        <v>0</v>
      </c>
      <c r="W5" s="15">
        <f>Raw!AX5</f>
        <v>0</v>
      </c>
      <c r="X5" s="15">
        <f>Raw!AY5</f>
        <v>0</v>
      </c>
      <c r="Y5" s="15">
        <f>Raw!AZ5</f>
        <v>0</v>
      </c>
      <c r="Z5" s="15">
        <f>Raw!BA5</f>
        <v>0</v>
      </c>
      <c r="AA5" s="15">
        <f>Raw!BB5</f>
        <v>0</v>
      </c>
      <c r="AB5" s="15">
        <f>Raw!BC5</f>
        <v>0</v>
      </c>
      <c r="AC5" s="15">
        <f>Raw!BD5</f>
        <v>0</v>
      </c>
      <c r="AD5" s="15">
        <f>Raw!BE5</f>
        <v>0</v>
      </c>
      <c r="AE5" s="15">
        <f>Raw!BF5</f>
        <v>0</v>
      </c>
      <c r="AF5" s="15">
        <f>Raw!BG5</f>
        <v>0</v>
      </c>
      <c r="AG5" s="15">
        <f>Raw!BH5</f>
        <v>0</v>
      </c>
      <c r="AH5" s="15">
        <f>Raw!BI5</f>
        <v>0</v>
      </c>
      <c r="AI5" s="15">
        <f>Raw!BJ5</f>
        <v>0</v>
      </c>
      <c r="AJ5" s="15">
        <f>Raw!BK5</f>
        <v>0</v>
      </c>
      <c r="AK5" s="15">
        <f t="shared" si="2"/>
        <v>0</v>
      </c>
      <c r="AL5" s="11">
        <f ca="1">IFERROR(__xludf.DUMMYFUNCTION("""COMPUTED_VALUE"""),2000)</f>
        <v>2000</v>
      </c>
      <c r="AM5" s="11" t="str">
        <f ca="1">IFERROR(__xludf.DUMMYFUNCTION("""COMPUTED_VALUE"""),"USA")</f>
        <v>USA</v>
      </c>
      <c r="AN5" s="11" t="str">
        <f ca="1">IFERROR(__xludf.DUMMYFUNCTION("""COMPUTED_VALUE"""),"Ainsworth/Ainsworth")</f>
        <v>Ainsworth/Ainsworth</v>
      </c>
      <c r="AO5" s="11">
        <f ca="1">IFERROR(__xludf.DUMMYFUNCTION("""COMPUTED_VALUE"""),1)</f>
        <v>1</v>
      </c>
      <c r="AP5" s="11">
        <f ca="1">IFERROR(__xludf.DUMMYFUNCTION("""COMPUTED_VALUE"""),0)</f>
        <v>0</v>
      </c>
      <c r="AQ5" s="11">
        <f ca="1">IFERROR(__xludf.DUMMYFUNCTION("""COMPUTED_VALUE"""),0)</f>
        <v>0</v>
      </c>
      <c r="AR5" s="11">
        <f ca="1">IFERROR(__xludf.DUMMYFUNCTION("""COMPUTED_VALUE"""),1)</f>
        <v>1</v>
      </c>
      <c r="AS5" s="11">
        <f ca="1">IFERROR(__xludf.DUMMYFUNCTION("""COMPUTED_VALUE"""),0.82)</f>
        <v>0.82</v>
      </c>
      <c r="AT5" s="11">
        <f ca="1">IFERROR(__xludf.DUMMYFUNCTION("""COMPUTED_VALUE"""),0)</f>
        <v>0</v>
      </c>
      <c r="AU5" s="11" t="str">
        <f ca="1">IFERROR(__xludf.DUMMYFUNCTION("""COMPUTED_VALUE"""),"Female")</f>
        <v>Female</v>
      </c>
      <c r="AV5" s="11"/>
      <c r="AW5" s="11"/>
      <c r="AX5" s="11"/>
      <c r="AY5" s="11"/>
      <c r="AZ5" s="11"/>
      <c r="BA5" s="11"/>
      <c r="BB5" s="11"/>
      <c r="BC5" s="11"/>
      <c r="BD5" s="11"/>
      <c r="BE5" s="11"/>
      <c r="BF5" s="11"/>
      <c r="BG5" s="11"/>
      <c r="BH5" s="11"/>
      <c r="BI5" s="11"/>
      <c r="BJ5" s="11"/>
      <c r="BK5" s="11"/>
      <c r="BL5" s="11"/>
      <c r="BM5" s="11"/>
      <c r="BN5" s="11"/>
    </row>
    <row r="6" spans="1:66" ht="15.75" customHeight="1">
      <c r="A6" s="11">
        <f>Raw!D6</f>
        <v>4</v>
      </c>
      <c r="B6" s="11" t="str">
        <f>Raw!A6</f>
        <v xml:space="preserve">Bar-Haim et al. (2000) </v>
      </c>
      <c r="C6" s="11">
        <f>Raw!G6</f>
        <v>2</v>
      </c>
      <c r="D6" s="11" t="str">
        <f>Raw!E6</f>
        <v>34 month interval</v>
      </c>
      <c r="E6" s="11" t="str">
        <f>Processed!E6</f>
        <v>Toddlerhood - Preschool</v>
      </c>
      <c r="F6" s="15">
        <f>Raw!AA6</f>
        <v>4</v>
      </c>
      <c r="G6" s="15">
        <f>Raw!AB6</f>
        <v>10</v>
      </c>
      <c r="H6" s="15">
        <f>Raw!AC6</f>
        <v>16</v>
      </c>
      <c r="I6" s="15">
        <f>Raw!AD6</f>
        <v>15</v>
      </c>
      <c r="J6" s="15">
        <f t="shared" si="0"/>
        <v>45</v>
      </c>
      <c r="K6" s="15">
        <f>Raw!AL6</f>
        <v>0</v>
      </c>
      <c r="L6" s="15">
        <f>Raw!AM6</f>
        <v>5</v>
      </c>
      <c r="M6" s="15">
        <f>Raw!AN6</f>
        <v>1</v>
      </c>
      <c r="N6" s="15">
        <f>Raw!AO6</f>
        <v>8</v>
      </c>
      <c r="O6" s="15">
        <f>Raw!AP6</f>
        <v>16</v>
      </c>
      <c r="P6" s="15">
        <f>Raw!AQ6</f>
        <v>7</v>
      </c>
      <c r="Q6" s="15">
        <f>Raw!AR6</f>
        <v>2</v>
      </c>
      <c r="R6" s="15">
        <f>Raw!AS6</f>
        <v>5</v>
      </c>
      <c r="S6" s="15">
        <f>Raw!AT6</f>
        <v>1</v>
      </c>
      <c r="T6" s="15">
        <f t="shared" si="1"/>
        <v>45</v>
      </c>
      <c r="U6" s="15">
        <f>Raw!AV6</f>
        <v>0</v>
      </c>
      <c r="V6" s="15">
        <f>Raw!AW6</f>
        <v>0</v>
      </c>
      <c r="W6" s="15">
        <f>Raw!AX6</f>
        <v>0</v>
      </c>
      <c r="X6" s="15">
        <f>Raw!AY6</f>
        <v>0</v>
      </c>
      <c r="Y6" s="15">
        <f>Raw!AZ6</f>
        <v>0</v>
      </c>
      <c r="Z6" s="15">
        <f>Raw!BA6</f>
        <v>0</v>
      </c>
      <c r="AA6" s="15">
        <f>Raw!BB6</f>
        <v>0</v>
      </c>
      <c r="AB6" s="15">
        <f>Raw!BC6</f>
        <v>0</v>
      </c>
      <c r="AC6" s="15">
        <f>Raw!BD6</f>
        <v>0</v>
      </c>
      <c r="AD6" s="15">
        <f>Raw!BE6</f>
        <v>0</v>
      </c>
      <c r="AE6" s="15">
        <f>Raw!BF6</f>
        <v>0</v>
      </c>
      <c r="AF6" s="15">
        <f>Raw!BG6</f>
        <v>0</v>
      </c>
      <c r="AG6" s="15">
        <f>Raw!BH6</f>
        <v>0</v>
      </c>
      <c r="AH6" s="15">
        <f>Raw!BI6</f>
        <v>0</v>
      </c>
      <c r="AI6" s="15">
        <f>Raw!BJ6</f>
        <v>0</v>
      </c>
      <c r="AJ6" s="15">
        <f>Raw!BK6</f>
        <v>0</v>
      </c>
      <c r="AK6" s="15">
        <f t="shared" si="2"/>
        <v>0</v>
      </c>
      <c r="AL6" s="11">
        <f ca="1">IFERROR(__xludf.DUMMYFUNCTION("""COMPUTED_VALUE"""),2000)</f>
        <v>2000</v>
      </c>
      <c r="AM6" s="11" t="str">
        <f ca="1">IFERROR(__xludf.DUMMYFUNCTION("""COMPUTED_VALUE"""),"USA")</f>
        <v>USA</v>
      </c>
      <c r="AN6" s="11" t="str">
        <f ca="1">IFERROR(__xludf.DUMMYFUNCTION("""COMPUTED_VALUE"""),"Ainsworth/Cassidy-Marvin")</f>
        <v>Ainsworth/Cassidy-Marvin</v>
      </c>
      <c r="AO6" s="11">
        <f ca="1">IFERROR(__xludf.DUMMYFUNCTION("""COMPUTED_VALUE"""),1)</f>
        <v>1</v>
      </c>
      <c r="AP6" s="11">
        <f ca="1">IFERROR(__xludf.DUMMYFUNCTION("""COMPUTED_VALUE"""),0)</f>
        <v>0</v>
      </c>
      <c r="AQ6" s="11">
        <f ca="1">IFERROR(__xludf.DUMMYFUNCTION("""COMPUTED_VALUE"""),0)</f>
        <v>0</v>
      </c>
      <c r="AR6" s="11">
        <f ca="1">IFERROR(__xludf.DUMMYFUNCTION("""COMPUTED_VALUE"""),1)</f>
        <v>1</v>
      </c>
      <c r="AS6" s="11">
        <f ca="1">IFERROR(__xludf.DUMMYFUNCTION("""COMPUTED_VALUE"""),0.82)</f>
        <v>0.82</v>
      </c>
      <c r="AT6" s="11">
        <f ca="1">IFERROR(__xludf.DUMMYFUNCTION("""COMPUTED_VALUE"""),0)</f>
        <v>0</v>
      </c>
      <c r="AU6" s="11" t="str">
        <f ca="1">IFERROR(__xludf.DUMMYFUNCTION("""COMPUTED_VALUE"""),"Female")</f>
        <v>Female</v>
      </c>
      <c r="AV6" s="11"/>
      <c r="AW6" s="11"/>
      <c r="AX6" s="11"/>
      <c r="AY6" s="11"/>
      <c r="AZ6" s="11"/>
      <c r="BA6" s="11"/>
      <c r="BB6" s="11"/>
      <c r="BC6" s="11"/>
      <c r="BD6" s="11"/>
      <c r="BE6" s="11"/>
      <c r="BF6" s="11"/>
      <c r="BG6" s="11"/>
      <c r="BH6" s="11"/>
      <c r="BI6" s="11"/>
      <c r="BJ6" s="11"/>
      <c r="BK6" s="11"/>
      <c r="BL6" s="11"/>
      <c r="BM6" s="11"/>
      <c r="BN6" s="11"/>
    </row>
    <row r="7" spans="1:66" ht="15.75" customHeight="1">
      <c r="A7" s="11">
        <f>Raw!D7</f>
        <v>4</v>
      </c>
      <c r="B7" s="11" t="str">
        <f>Raw!A7</f>
        <v xml:space="preserve">Bar-Haimet al. (2000) </v>
      </c>
      <c r="C7" s="11">
        <f>Raw!G7</f>
        <v>3</v>
      </c>
      <c r="D7" s="11" t="str">
        <f>Raw!E7</f>
        <v>44 month interval</v>
      </c>
      <c r="E7" s="11" t="str">
        <f>Processed!E7</f>
        <v>Infancy - Preschool</v>
      </c>
      <c r="F7" s="15">
        <f>Raw!AA7</f>
        <v>6</v>
      </c>
      <c r="G7" s="15">
        <f>Raw!AB7</f>
        <v>8</v>
      </c>
      <c r="H7" s="15">
        <f>Raw!AC7</f>
        <v>17</v>
      </c>
      <c r="I7" s="15">
        <f>Raw!AD7</f>
        <v>12</v>
      </c>
      <c r="J7" s="15">
        <f t="shared" si="0"/>
        <v>43</v>
      </c>
      <c r="K7" s="15">
        <f>Raw!AL7</f>
        <v>0</v>
      </c>
      <c r="L7" s="15">
        <f>Raw!AM7</f>
        <v>4</v>
      </c>
      <c r="M7" s="15">
        <f>Raw!AN7</f>
        <v>3</v>
      </c>
      <c r="N7" s="15">
        <f>Raw!AO7</f>
        <v>8</v>
      </c>
      <c r="O7" s="15">
        <f>Raw!AP7</f>
        <v>17</v>
      </c>
      <c r="P7" s="15">
        <f>Raw!AQ7</f>
        <v>4</v>
      </c>
      <c r="Q7" s="15">
        <f>Raw!AR7</f>
        <v>2</v>
      </c>
      <c r="R7" s="15">
        <f>Raw!AS7</f>
        <v>4</v>
      </c>
      <c r="S7" s="15">
        <f>Raw!AT7</f>
        <v>1</v>
      </c>
      <c r="T7" s="15">
        <f t="shared" si="1"/>
        <v>43</v>
      </c>
      <c r="U7" s="15">
        <f>Raw!AV7</f>
        <v>0</v>
      </c>
      <c r="V7" s="15">
        <f>Raw!AW7</f>
        <v>0</v>
      </c>
      <c r="W7" s="15">
        <f>Raw!AX7</f>
        <v>0</v>
      </c>
      <c r="X7" s="15">
        <f>Raw!AY7</f>
        <v>0</v>
      </c>
      <c r="Y7" s="15">
        <f>Raw!AZ7</f>
        <v>0</v>
      </c>
      <c r="Z7" s="15">
        <f>Raw!BA7</f>
        <v>0</v>
      </c>
      <c r="AA7" s="15">
        <f>Raw!BB7</f>
        <v>0</v>
      </c>
      <c r="AB7" s="15">
        <f>Raw!BC7</f>
        <v>0</v>
      </c>
      <c r="AC7" s="15">
        <f>Raw!BD7</f>
        <v>0</v>
      </c>
      <c r="AD7" s="15">
        <f>Raw!BE7</f>
        <v>0</v>
      </c>
      <c r="AE7" s="15">
        <f>Raw!BF7</f>
        <v>0</v>
      </c>
      <c r="AF7" s="15">
        <f>Raw!BG7</f>
        <v>0</v>
      </c>
      <c r="AG7" s="15">
        <f>Raw!BH7</f>
        <v>0</v>
      </c>
      <c r="AH7" s="15">
        <f>Raw!BI7</f>
        <v>0</v>
      </c>
      <c r="AI7" s="15">
        <f>Raw!BJ7</f>
        <v>0</v>
      </c>
      <c r="AJ7" s="15">
        <f>Raw!BK7</f>
        <v>0</v>
      </c>
      <c r="AK7" s="15">
        <f t="shared" si="2"/>
        <v>0</v>
      </c>
      <c r="AL7" s="11">
        <f ca="1">IFERROR(__xludf.DUMMYFUNCTION("""COMPUTED_VALUE"""),2000)</f>
        <v>2000</v>
      </c>
      <c r="AM7" s="11" t="str">
        <f ca="1">IFERROR(__xludf.DUMMYFUNCTION("""COMPUTED_VALUE"""),"USA")</f>
        <v>USA</v>
      </c>
      <c r="AN7" s="11" t="str">
        <f ca="1">IFERROR(__xludf.DUMMYFUNCTION("""COMPUTED_VALUE"""),"Ainsworth/Cassidy-Marvin")</f>
        <v>Ainsworth/Cassidy-Marvin</v>
      </c>
      <c r="AO7" s="11">
        <f ca="1">IFERROR(__xludf.DUMMYFUNCTION("""COMPUTED_VALUE"""),1)</f>
        <v>1</v>
      </c>
      <c r="AP7" s="11">
        <f ca="1">IFERROR(__xludf.DUMMYFUNCTION("""COMPUTED_VALUE"""),0)</f>
        <v>0</v>
      </c>
      <c r="AQ7" s="11">
        <f ca="1">IFERROR(__xludf.DUMMYFUNCTION("""COMPUTED_VALUE"""),0)</f>
        <v>0</v>
      </c>
      <c r="AR7" s="11">
        <f ca="1">IFERROR(__xludf.DUMMYFUNCTION("""COMPUTED_VALUE"""),1)</f>
        <v>1</v>
      </c>
      <c r="AS7" s="11">
        <f ca="1">IFERROR(__xludf.DUMMYFUNCTION("""COMPUTED_VALUE"""),0.82)</f>
        <v>0.82</v>
      </c>
      <c r="AT7" s="11">
        <f ca="1">IFERROR(__xludf.DUMMYFUNCTION("""COMPUTED_VALUE"""),0)</f>
        <v>0</v>
      </c>
      <c r="AU7" s="11" t="str">
        <f ca="1">IFERROR(__xludf.DUMMYFUNCTION("""COMPUTED_VALUE"""),"Female")</f>
        <v>Female</v>
      </c>
      <c r="AV7" s="11"/>
      <c r="AW7" s="11"/>
      <c r="AX7" s="11"/>
      <c r="AY7" s="11"/>
      <c r="AZ7" s="11"/>
      <c r="BA7" s="11"/>
      <c r="BB7" s="11"/>
      <c r="BC7" s="11"/>
      <c r="BD7" s="11"/>
      <c r="BE7" s="11"/>
      <c r="BF7" s="11"/>
      <c r="BG7" s="11"/>
      <c r="BH7" s="11"/>
      <c r="BI7" s="11"/>
      <c r="BJ7" s="11"/>
      <c r="BK7" s="11"/>
      <c r="BL7" s="11"/>
      <c r="BM7" s="11"/>
      <c r="BN7" s="11"/>
    </row>
    <row r="8" spans="1:66" ht="15.75" customHeight="1">
      <c r="A8" s="11">
        <f>Raw!D8</f>
        <v>5</v>
      </c>
      <c r="B8" s="11" t="str">
        <f>Raw!A8</f>
        <v>Barnett et al. (2006)</v>
      </c>
      <c r="C8" s="11">
        <f>Raw!G8</f>
        <v>1</v>
      </c>
      <c r="D8" s="11" t="str">
        <f>Raw!E8</f>
        <v>Single sample</v>
      </c>
      <c r="E8" s="11" t="str">
        <f>Processed!E8</f>
        <v>Toddlerhood - Preschool</v>
      </c>
      <c r="F8" s="15">
        <f>Raw!AA8</f>
        <v>5</v>
      </c>
      <c r="G8" s="15">
        <f>Raw!AB8</f>
        <v>18</v>
      </c>
      <c r="H8" s="15">
        <f>Raw!AC8</f>
        <v>17</v>
      </c>
      <c r="I8" s="15">
        <f>Raw!AD8</f>
        <v>7</v>
      </c>
      <c r="J8" s="15">
        <f t="shared" si="0"/>
        <v>47</v>
      </c>
      <c r="K8" s="15">
        <f>Raw!AL8</f>
        <v>0</v>
      </c>
      <c r="L8" s="15">
        <f>Raw!AM8</f>
        <v>0</v>
      </c>
      <c r="M8" s="15">
        <f>Raw!AN8</f>
        <v>0</v>
      </c>
      <c r="N8" s="15">
        <f>Raw!AO8</f>
        <v>0</v>
      </c>
      <c r="O8" s="15">
        <f>Raw!AP8</f>
        <v>0</v>
      </c>
      <c r="P8" s="15">
        <f>Raw!AQ8</f>
        <v>0</v>
      </c>
      <c r="Q8" s="15">
        <f>Raw!AR8</f>
        <v>0</v>
      </c>
      <c r="R8" s="15">
        <f>Raw!AS8</f>
        <v>0</v>
      </c>
      <c r="S8" s="15">
        <f>Raw!AT8</f>
        <v>0</v>
      </c>
      <c r="T8" s="15">
        <f t="shared" si="1"/>
        <v>0</v>
      </c>
      <c r="U8" s="15">
        <f>Raw!AV8</f>
        <v>0</v>
      </c>
      <c r="V8" s="15">
        <f>Raw!AW8</f>
        <v>0</v>
      </c>
      <c r="W8" s="15">
        <f>Raw!AX8</f>
        <v>0</v>
      </c>
      <c r="X8" s="15">
        <f>Raw!AY8</f>
        <v>0</v>
      </c>
      <c r="Y8" s="15">
        <f>Raw!AZ8</f>
        <v>0</v>
      </c>
      <c r="Z8" s="15">
        <f>Raw!BA8</f>
        <v>0</v>
      </c>
      <c r="AA8" s="15">
        <f>Raw!BB8</f>
        <v>0</v>
      </c>
      <c r="AB8" s="15">
        <f>Raw!BC8</f>
        <v>0</v>
      </c>
      <c r="AC8" s="15">
        <f>Raw!BD8</f>
        <v>0</v>
      </c>
      <c r="AD8" s="15">
        <f>Raw!BE8</f>
        <v>0</v>
      </c>
      <c r="AE8" s="15">
        <f>Raw!BF8</f>
        <v>0</v>
      </c>
      <c r="AF8" s="15">
        <f>Raw!BG8</f>
        <v>0</v>
      </c>
      <c r="AG8" s="15">
        <f>Raw!BH8</f>
        <v>0</v>
      </c>
      <c r="AH8" s="15">
        <f>Raw!BI8</f>
        <v>0</v>
      </c>
      <c r="AI8" s="15">
        <f>Raw!BJ8</f>
        <v>0</v>
      </c>
      <c r="AJ8" s="15">
        <f>Raw!BK8</f>
        <v>0</v>
      </c>
      <c r="AK8" s="15">
        <f t="shared" si="2"/>
        <v>0</v>
      </c>
      <c r="AL8" s="11">
        <f ca="1">IFERROR(__xludf.DUMMYFUNCTION("""COMPUTED_VALUE"""),2006)</f>
        <v>2006</v>
      </c>
      <c r="AM8" s="11" t="str">
        <f ca="1">IFERROR(__xludf.DUMMYFUNCTION("""COMPUTED_VALUE"""),"USA")</f>
        <v>USA</v>
      </c>
      <c r="AN8" s="11" t="str">
        <f ca="1">IFERROR(__xludf.DUMMYFUNCTION("""COMPUTED_VALUE"""),"NA")</f>
        <v>NA</v>
      </c>
      <c r="AO8" s="11">
        <f ca="1">IFERROR(__xludf.DUMMYFUNCTION("""COMPUTED_VALUE"""),1)</f>
        <v>1</v>
      </c>
      <c r="AP8" s="11">
        <f ca="1">IFERROR(__xludf.DUMMYFUNCTION("""COMPUTED_VALUE"""),0)</f>
        <v>0</v>
      </c>
      <c r="AQ8" s="11">
        <f ca="1">IFERROR(__xludf.DUMMYFUNCTION("""COMPUTED_VALUE"""),1)</f>
        <v>1</v>
      </c>
      <c r="AR8" s="11">
        <f ca="1">IFERROR(__xludf.DUMMYFUNCTION("""COMPUTED_VALUE"""),1)</f>
        <v>1</v>
      </c>
      <c r="AS8" s="11">
        <f ca="1">IFERROR(__xludf.DUMMYFUNCTION("""COMPUTED_VALUE"""),0.94)</f>
        <v>0.94</v>
      </c>
      <c r="AT8" s="11">
        <f ca="1">IFERROR(__xludf.DUMMYFUNCTION("""COMPUTED_VALUE"""),0)</f>
        <v>0</v>
      </c>
      <c r="AU8" s="11" t="str">
        <f ca="1">IFERROR(__xludf.DUMMYFUNCTION("""COMPUTED_VALUE"""),"Female")</f>
        <v>Female</v>
      </c>
      <c r="AV8" s="11"/>
      <c r="AW8" s="11"/>
      <c r="AX8" s="11"/>
      <c r="AY8" s="11"/>
      <c r="AZ8" s="11"/>
      <c r="BA8" s="11"/>
      <c r="BB8" s="11"/>
      <c r="BC8" s="11"/>
      <c r="BD8" s="11"/>
      <c r="BE8" s="11"/>
      <c r="BF8" s="11"/>
      <c r="BG8" s="11"/>
      <c r="BH8" s="11"/>
      <c r="BI8" s="11"/>
      <c r="BJ8" s="11"/>
      <c r="BK8" s="11"/>
      <c r="BL8" s="11"/>
      <c r="BM8" s="11"/>
      <c r="BN8" s="11"/>
    </row>
    <row r="9" spans="1:66" ht="15.75" customHeight="1">
      <c r="A9" s="11">
        <f>Raw!D9</f>
        <v>6</v>
      </c>
      <c r="B9" s="11" t="str">
        <f>Raw!A9</f>
        <v>Barnett, Ganiban &amp; Cicchetti (1999)</v>
      </c>
      <c r="C9" s="11">
        <f>Raw!G9</f>
        <v>1</v>
      </c>
      <c r="D9" s="11" t="str">
        <f>Raw!E9</f>
        <v>Comparison</v>
      </c>
      <c r="E9" s="11" t="str">
        <f>Processed!E9</f>
        <v>Infancy - Toddlerhood</v>
      </c>
      <c r="F9" s="15">
        <f>Raw!AA9</f>
        <v>7</v>
      </c>
      <c r="G9" s="15">
        <f>Raw!AB9</f>
        <v>5</v>
      </c>
      <c r="H9" s="15">
        <f>Raw!AC9</f>
        <v>6</v>
      </c>
      <c r="I9" s="15">
        <f>Raw!AD9</f>
        <v>2</v>
      </c>
      <c r="J9" s="15">
        <f t="shared" si="0"/>
        <v>20</v>
      </c>
      <c r="K9" s="15">
        <f>Raw!AL9</f>
        <v>0</v>
      </c>
      <c r="L9" s="15">
        <f>Raw!AM9</f>
        <v>0</v>
      </c>
      <c r="M9" s="15">
        <f>Raw!AN9</f>
        <v>0</v>
      </c>
      <c r="N9" s="15">
        <f>Raw!AO9</f>
        <v>0</v>
      </c>
      <c r="O9" s="15">
        <f>Raw!AP9</f>
        <v>0</v>
      </c>
      <c r="P9" s="15">
        <f>Raw!AQ9</f>
        <v>0</v>
      </c>
      <c r="Q9" s="15">
        <f>Raw!AR9</f>
        <v>0</v>
      </c>
      <c r="R9" s="15">
        <f>Raw!AS9</f>
        <v>0</v>
      </c>
      <c r="S9" s="15">
        <f>Raw!AT9</f>
        <v>0</v>
      </c>
      <c r="T9" s="15">
        <f t="shared" si="1"/>
        <v>0</v>
      </c>
      <c r="U9" s="15">
        <f>Raw!AV9</f>
        <v>0</v>
      </c>
      <c r="V9" s="15">
        <f>Raw!AW9</f>
        <v>2</v>
      </c>
      <c r="W9" s="15">
        <f>Raw!AX9</f>
        <v>0</v>
      </c>
      <c r="X9" s="15">
        <f>Raw!AY9</f>
        <v>1</v>
      </c>
      <c r="Y9" s="15">
        <f>Raw!AZ9</f>
        <v>1</v>
      </c>
      <c r="Z9" s="15">
        <f>Raw!BA9</f>
        <v>6</v>
      </c>
      <c r="AA9" s="15">
        <f>Raw!BB9</f>
        <v>1</v>
      </c>
      <c r="AB9" s="15">
        <f>Raw!BC9</f>
        <v>0</v>
      </c>
      <c r="AC9" s="15">
        <f>Raw!BD9</f>
        <v>0</v>
      </c>
      <c r="AD9" s="15">
        <f>Raw!BE9</f>
        <v>1</v>
      </c>
      <c r="AE9" s="15">
        <f>Raw!BF9</f>
        <v>1</v>
      </c>
      <c r="AF9" s="15">
        <f>Raw!BG9</f>
        <v>1</v>
      </c>
      <c r="AG9" s="15">
        <f>Raw!BH9</f>
        <v>0</v>
      </c>
      <c r="AH9" s="15">
        <f>Raw!BI9</f>
        <v>2</v>
      </c>
      <c r="AI9" s="15">
        <f>Raw!BJ9</f>
        <v>0</v>
      </c>
      <c r="AJ9" s="15">
        <f>Raw!BK9</f>
        <v>4</v>
      </c>
      <c r="AK9" s="15">
        <f t="shared" si="2"/>
        <v>20</v>
      </c>
      <c r="AL9" s="11">
        <f ca="1">IFERROR(__xludf.DUMMYFUNCTION("""COMPUTED_VALUE"""),1999)</f>
        <v>1999</v>
      </c>
      <c r="AM9" s="11" t="str">
        <f ca="1">IFERROR(__xludf.DUMMYFUNCTION("""COMPUTED_VALUE"""),"USA")</f>
        <v>USA</v>
      </c>
      <c r="AN9" s="11" t="str">
        <f ca="1">IFERROR(__xludf.DUMMYFUNCTION("""COMPUTED_VALUE"""),"Ainsworth/Ainsworth")</f>
        <v>Ainsworth/Ainsworth</v>
      </c>
      <c r="AO9" s="11">
        <f ca="1">IFERROR(__xludf.DUMMYFUNCTION("""COMPUTED_VALUE"""),1)</f>
        <v>1</v>
      </c>
      <c r="AP9" s="11">
        <f ca="1">IFERROR(__xludf.DUMMYFUNCTION("""COMPUTED_VALUE"""),0)</f>
        <v>0</v>
      </c>
      <c r="AQ9" s="11">
        <f ca="1">IFERROR(__xludf.DUMMYFUNCTION("""COMPUTED_VALUE"""),0)</f>
        <v>0</v>
      </c>
      <c r="AR9" s="11">
        <f ca="1">IFERROR(__xludf.DUMMYFUNCTION("""COMPUTED_VALUE"""),1)</f>
        <v>1</v>
      </c>
      <c r="AS9" s="11">
        <f ca="1">IFERROR(__xludf.DUMMYFUNCTION("""COMPUTED_VALUE"""),0.895)</f>
        <v>0.89500000000000002</v>
      </c>
      <c r="AT9" s="11">
        <f ca="1">IFERROR(__xludf.DUMMYFUNCTION("""COMPUTED_VALUE"""),0)</f>
        <v>0</v>
      </c>
      <c r="AU9" s="11" t="str">
        <f ca="1">IFERROR(__xludf.DUMMYFUNCTION("""COMPUTED_VALUE"""),"Female")</f>
        <v>Female</v>
      </c>
      <c r="AV9" s="11"/>
      <c r="AW9" s="11"/>
      <c r="AX9" s="11"/>
      <c r="AY9" s="11"/>
      <c r="AZ9" s="11"/>
      <c r="BA9" s="11"/>
      <c r="BB9" s="11"/>
      <c r="BC9" s="11"/>
      <c r="BD9" s="11"/>
      <c r="BE9" s="11"/>
      <c r="BF9" s="11"/>
      <c r="BG9" s="11"/>
      <c r="BH9" s="11"/>
      <c r="BI9" s="11"/>
      <c r="BJ9" s="11"/>
      <c r="BK9" s="11"/>
      <c r="BL9" s="11"/>
      <c r="BM9" s="11"/>
      <c r="BN9" s="11"/>
    </row>
    <row r="10" spans="1:66" ht="15.75" customHeight="1">
      <c r="A10" s="11">
        <f>Raw!D10</f>
        <v>6</v>
      </c>
      <c r="B10" s="11" t="str">
        <f>Raw!A10</f>
        <v>Barnett, Ganiban &amp; Cicchetti (1999)</v>
      </c>
      <c r="C10" s="11">
        <f>Raw!G10</f>
        <v>2</v>
      </c>
      <c r="D10" s="11" t="str">
        <f>Raw!E10</f>
        <v>Comparison</v>
      </c>
      <c r="E10" s="11" t="str">
        <f>Processed!E10</f>
        <v>Infancy - Infancy</v>
      </c>
      <c r="F10" s="15">
        <f>Raw!AA10</f>
        <v>8</v>
      </c>
      <c r="G10" s="15">
        <f>Raw!AB10</f>
        <v>4</v>
      </c>
      <c r="H10" s="15">
        <f>Raw!AC10</f>
        <v>7</v>
      </c>
      <c r="I10" s="15">
        <f>Raw!AD10</f>
        <v>2</v>
      </c>
      <c r="J10" s="15">
        <f t="shared" si="0"/>
        <v>21</v>
      </c>
      <c r="K10" s="15">
        <f>Raw!AL10</f>
        <v>0</v>
      </c>
      <c r="L10" s="15">
        <f>Raw!AM10</f>
        <v>0</v>
      </c>
      <c r="M10" s="15">
        <f>Raw!AN10</f>
        <v>0</v>
      </c>
      <c r="N10" s="15">
        <f>Raw!AO10</f>
        <v>0</v>
      </c>
      <c r="O10" s="15">
        <f>Raw!AP10</f>
        <v>0</v>
      </c>
      <c r="P10" s="15">
        <f>Raw!AQ10</f>
        <v>0</v>
      </c>
      <c r="Q10" s="15">
        <f>Raw!AR10</f>
        <v>0</v>
      </c>
      <c r="R10" s="15">
        <f>Raw!AS10</f>
        <v>0</v>
      </c>
      <c r="S10" s="15">
        <f>Raw!AT10</f>
        <v>0</v>
      </c>
      <c r="T10" s="15">
        <f t="shared" si="1"/>
        <v>0</v>
      </c>
      <c r="U10" s="15">
        <f>Raw!AV10</f>
        <v>0</v>
      </c>
      <c r="V10" s="15">
        <f>Raw!AW10</f>
        <v>3</v>
      </c>
      <c r="W10" s="15">
        <f>Raw!AX10</f>
        <v>0</v>
      </c>
      <c r="X10" s="15">
        <f>Raw!AY10</f>
        <v>0</v>
      </c>
      <c r="Y10" s="15">
        <f>Raw!AZ10</f>
        <v>1</v>
      </c>
      <c r="Z10" s="15">
        <f>Raw!BA10</f>
        <v>7</v>
      </c>
      <c r="AA10" s="15">
        <f>Raw!BB10</f>
        <v>0</v>
      </c>
      <c r="AB10" s="15">
        <f>Raw!BC10</f>
        <v>1</v>
      </c>
      <c r="AC10" s="15">
        <f>Raw!BD10</f>
        <v>0</v>
      </c>
      <c r="AD10" s="15">
        <f>Raw!BE10</f>
        <v>0</v>
      </c>
      <c r="AE10" s="15">
        <f>Raw!BF10</f>
        <v>2</v>
      </c>
      <c r="AF10" s="15">
        <f>Raw!BG10</f>
        <v>1</v>
      </c>
      <c r="AG10" s="15">
        <f>Raw!BH10</f>
        <v>0</v>
      </c>
      <c r="AH10" s="15">
        <f>Raw!BI10</f>
        <v>1</v>
      </c>
      <c r="AI10" s="15">
        <f>Raw!BJ10</f>
        <v>1</v>
      </c>
      <c r="AJ10" s="15">
        <f>Raw!BK10</f>
        <v>4</v>
      </c>
      <c r="AK10" s="15">
        <f t="shared" si="2"/>
        <v>21</v>
      </c>
      <c r="AL10" s="11">
        <f ca="1">IFERROR(__xludf.DUMMYFUNCTION("""COMPUTED_VALUE"""),1999)</f>
        <v>1999</v>
      </c>
      <c r="AM10" s="11" t="str">
        <f ca="1">IFERROR(__xludf.DUMMYFUNCTION("""COMPUTED_VALUE"""),"USA")</f>
        <v>USA</v>
      </c>
      <c r="AN10" s="11" t="str">
        <f ca="1">IFERROR(__xludf.DUMMYFUNCTION("""COMPUTED_VALUE"""),"Ainsworth/Ainsworth")</f>
        <v>Ainsworth/Ainsworth</v>
      </c>
      <c r="AO10" s="11">
        <f ca="1">IFERROR(__xludf.DUMMYFUNCTION("""COMPUTED_VALUE"""),1)</f>
        <v>1</v>
      </c>
      <c r="AP10" s="11">
        <f ca="1">IFERROR(__xludf.DUMMYFUNCTION("""COMPUTED_VALUE"""),0)</f>
        <v>0</v>
      </c>
      <c r="AQ10" s="11">
        <f ca="1">IFERROR(__xludf.DUMMYFUNCTION("""COMPUTED_VALUE"""),0)</f>
        <v>0</v>
      </c>
      <c r="AR10" s="11">
        <f ca="1">IFERROR(__xludf.DUMMYFUNCTION("""COMPUTED_VALUE"""),1)</f>
        <v>1</v>
      </c>
      <c r="AS10" s="11">
        <f ca="1">IFERROR(__xludf.DUMMYFUNCTION("""COMPUTED_VALUE"""),0.865)</f>
        <v>0.86499999999999999</v>
      </c>
      <c r="AT10" s="11">
        <f ca="1">IFERROR(__xludf.DUMMYFUNCTION("""COMPUTED_VALUE"""),0)</f>
        <v>0</v>
      </c>
      <c r="AU10" s="11" t="str">
        <f ca="1">IFERROR(__xludf.DUMMYFUNCTION("""COMPUTED_VALUE"""),"Female")</f>
        <v>Female</v>
      </c>
      <c r="AV10" s="11"/>
      <c r="AW10" s="11"/>
      <c r="AX10" s="11"/>
      <c r="AY10" s="11"/>
      <c r="AZ10" s="11"/>
      <c r="BA10" s="11"/>
      <c r="BB10" s="11"/>
      <c r="BC10" s="11"/>
      <c r="BD10" s="11"/>
      <c r="BE10" s="11"/>
      <c r="BF10" s="11"/>
      <c r="BG10" s="11"/>
      <c r="BH10" s="11"/>
      <c r="BI10" s="11"/>
      <c r="BJ10" s="11"/>
      <c r="BK10" s="11"/>
      <c r="BL10" s="11"/>
      <c r="BM10" s="11"/>
      <c r="BN10" s="11"/>
    </row>
    <row r="11" spans="1:66" ht="15.75" customHeight="1">
      <c r="A11" s="11">
        <f>Raw!D11</f>
        <v>6</v>
      </c>
      <c r="B11" s="11" t="str">
        <f>Raw!A11</f>
        <v>Barnett, Ganiban &amp; Cicchetti (1999)</v>
      </c>
      <c r="C11" s="11">
        <f>Raw!G11</f>
        <v>3</v>
      </c>
      <c r="D11" s="11" t="str">
        <f>Raw!E11</f>
        <v>Comparison</v>
      </c>
      <c r="E11" s="11" t="str">
        <f>Processed!E11</f>
        <v>Infancy - Toddlerhood</v>
      </c>
      <c r="F11" s="15">
        <f>Raw!AA11</f>
        <v>7</v>
      </c>
      <c r="G11" s="15">
        <f>Raw!AB11</f>
        <v>3</v>
      </c>
      <c r="H11" s="15">
        <f>Raw!AC11</f>
        <v>8</v>
      </c>
      <c r="I11" s="15">
        <f>Raw!AD11</f>
        <v>2</v>
      </c>
      <c r="J11" s="15">
        <f t="shared" si="0"/>
        <v>20</v>
      </c>
      <c r="K11" s="15">
        <f>Raw!AL11</f>
        <v>0</v>
      </c>
      <c r="L11" s="15">
        <f>Raw!AM11</f>
        <v>0</v>
      </c>
      <c r="M11" s="15">
        <f>Raw!AN11</f>
        <v>0</v>
      </c>
      <c r="N11" s="15">
        <f>Raw!AO11</f>
        <v>0</v>
      </c>
      <c r="O11" s="15">
        <f>Raw!AP11</f>
        <v>0</v>
      </c>
      <c r="P11" s="15">
        <f>Raw!AQ11</f>
        <v>0</v>
      </c>
      <c r="Q11" s="15">
        <f>Raw!AR11</f>
        <v>0</v>
      </c>
      <c r="R11" s="15">
        <f>Raw!AS11</f>
        <v>0</v>
      </c>
      <c r="S11" s="15">
        <f>Raw!AT11</f>
        <v>0</v>
      </c>
      <c r="T11" s="15">
        <f t="shared" si="1"/>
        <v>0</v>
      </c>
      <c r="U11" s="15">
        <f>Raw!AV11</f>
        <v>1</v>
      </c>
      <c r="V11" s="15">
        <f>Raw!AW11</f>
        <v>0</v>
      </c>
      <c r="W11" s="15">
        <f>Raw!AX11</f>
        <v>0</v>
      </c>
      <c r="X11" s="15">
        <f>Raw!AY11</f>
        <v>0</v>
      </c>
      <c r="Y11" s="15">
        <f>Raw!AZ11</f>
        <v>0</v>
      </c>
      <c r="Z11" s="15">
        <f>Raw!BA11</f>
        <v>8</v>
      </c>
      <c r="AA11" s="15">
        <f>Raw!BB11</f>
        <v>1</v>
      </c>
      <c r="AB11" s="15">
        <f>Raw!BC11</f>
        <v>1</v>
      </c>
      <c r="AC11" s="15">
        <f>Raw!BD11</f>
        <v>0</v>
      </c>
      <c r="AD11" s="15">
        <f>Raw!BE11</f>
        <v>1</v>
      </c>
      <c r="AE11" s="15">
        <f>Raw!BF11</f>
        <v>1</v>
      </c>
      <c r="AF11" s="15">
        <f>Raw!BG11</f>
        <v>1</v>
      </c>
      <c r="AG11" s="15">
        <f>Raw!BH11</f>
        <v>0</v>
      </c>
      <c r="AH11" s="15">
        <f>Raw!BI11</f>
        <v>2</v>
      </c>
      <c r="AI11" s="15">
        <f>Raw!BJ11</f>
        <v>0</v>
      </c>
      <c r="AJ11" s="15">
        <f>Raw!BK11</f>
        <v>4</v>
      </c>
      <c r="AK11" s="15">
        <f t="shared" si="2"/>
        <v>20</v>
      </c>
      <c r="AL11" s="11">
        <f ca="1">IFERROR(__xludf.DUMMYFUNCTION("""COMPUTED_VALUE"""),1999)</f>
        <v>1999</v>
      </c>
      <c r="AM11" s="11" t="str">
        <f ca="1">IFERROR(__xludf.DUMMYFUNCTION("""COMPUTED_VALUE"""),"USA")</f>
        <v>USA</v>
      </c>
      <c r="AN11" s="11" t="str">
        <f ca="1">IFERROR(__xludf.DUMMYFUNCTION("""COMPUTED_VALUE"""),"Ainsworth/Ainsworth")</f>
        <v>Ainsworth/Ainsworth</v>
      </c>
      <c r="AO11" s="11">
        <f ca="1">IFERROR(__xludf.DUMMYFUNCTION("""COMPUTED_VALUE"""),1)</f>
        <v>1</v>
      </c>
      <c r="AP11" s="11">
        <f ca="1">IFERROR(__xludf.DUMMYFUNCTION("""COMPUTED_VALUE"""),0)</f>
        <v>0</v>
      </c>
      <c r="AQ11" s="11">
        <f ca="1">IFERROR(__xludf.DUMMYFUNCTION("""COMPUTED_VALUE"""),0)</f>
        <v>0</v>
      </c>
      <c r="AR11" s="11">
        <f ca="1">IFERROR(__xludf.DUMMYFUNCTION("""COMPUTED_VALUE"""),1)</f>
        <v>1</v>
      </c>
      <c r="AS11" s="11">
        <f ca="1">IFERROR(__xludf.DUMMYFUNCTION("""COMPUTED_VALUE"""),0.88)</f>
        <v>0.88</v>
      </c>
      <c r="AT11" s="11">
        <f ca="1">IFERROR(__xludf.DUMMYFUNCTION("""COMPUTED_VALUE"""),0)</f>
        <v>0</v>
      </c>
      <c r="AU11" s="11" t="str">
        <f ca="1">IFERROR(__xludf.DUMMYFUNCTION("""COMPUTED_VALUE"""),"Female")</f>
        <v>Female</v>
      </c>
      <c r="AV11" s="11"/>
      <c r="AW11" s="11"/>
      <c r="AX11" s="11"/>
      <c r="AY11" s="11"/>
      <c r="AZ11" s="11"/>
      <c r="BA11" s="11"/>
      <c r="BB11" s="11"/>
      <c r="BC11" s="11"/>
      <c r="BD11" s="11"/>
      <c r="BE11" s="11"/>
      <c r="BF11" s="11"/>
      <c r="BG11" s="11"/>
      <c r="BH11" s="11"/>
      <c r="BI11" s="11"/>
      <c r="BJ11" s="11"/>
      <c r="BK11" s="11"/>
      <c r="BL11" s="11"/>
      <c r="BM11" s="11"/>
      <c r="BN11" s="11"/>
    </row>
    <row r="12" spans="1:66" ht="15.75" customHeight="1">
      <c r="A12" s="11">
        <f>Raw!D12</f>
        <v>7</v>
      </c>
      <c r="B12" s="11" t="str">
        <f>Raw!A12</f>
        <v>Barnett, Ganiban &amp; Cicchetti (1999)</v>
      </c>
      <c r="C12" s="11">
        <f>Raw!G12</f>
        <v>1</v>
      </c>
      <c r="D12" s="11" t="str">
        <f>Raw!E12</f>
        <v>Maltreated</v>
      </c>
      <c r="E12" s="11" t="str">
        <f>Processed!E12</f>
        <v>Infancy - Toddlerhood</v>
      </c>
      <c r="F12" s="15">
        <f>Raw!AA12</f>
        <v>14</v>
      </c>
      <c r="G12" s="15">
        <f>Raw!AB12</f>
        <v>0</v>
      </c>
      <c r="H12" s="15">
        <f>Raw!AC12</f>
        <v>2</v>
      </c>
      <c r="I12" s="15">
        <f>Raw!AD12</f>
        <v>0</v>
      </c>
      <c r="J12" s="15">
        <f t="shared" si="0"/>
        <v>16</v>
      </c>
      <c r="K12" s="15">
        <f>Raw!AL12</f>
        <v>0</v>
      </c>
      <c r="L12" s="15">
        <f>Raw!AM12</f>
        <v>0</v>
      </c>
      <c r="M12" s="15">
        <f>Raw!AN12</f>
        <v>0</v>
      </c>
      <c r="N12" s="15">
        <f>Raw!AO12</f>
        <v>0</v>
      </c>
      <c r="O12" s="15">
        <f>Raw!AP12</f>
        <v>0</v>
      </c>
      <c r="P12" s="15">
        <f>Raw!AQ12</f>
        <v>0</v>
      </c>
      <c r="Q12" s="15">
        <f>Raw!AR12</f>
        <v>0</v>
      </c>
      <c r="R12" s="15">
        <f>Raw!AS12</f>
        <v>0</v>
      </c>
      <c r="S12" s="15">
        <f>Raw!AT12</f>
        <v>0</v>
      </c>
      <c r="T12" s="15">
        <f t="shared" si="1"/>
        <v>0</v>
      </c>
      <c r="U12" s="15">
        <f>Raw!AV12</f>
        <v>0</v>
      </c>
      <c r="V12" s="15">
        <f>Raw!AW12</f>
        <v>0</v>
      </c>
      <c r="W12" s="15">
        <f>Raw!AX12</f>
        <v>0</v>
      </c>
      <c r="X12" s="15">
        <f>Raw!AY12</f>
        <v>0</v>
      </c>
      <c r="Y12" s="15">
        <f>Raw!AZ12</f>
        <v>0</v>
      </c>
      <c r="Z12" s="15">
        <f>Raw!BA12</f>
        <v>2</v>
      </c>
      <c r="AA12" s="15">
        <f>Raw!BB12</f>
        <v>0</v>
      </c>
      <c r="AB12" s="15">
        <f>Raw!BC12</f>
        <v>0</v>
      </c>
      <c r="AC12" s="15">
        <f>Raw!BD12</f>
        <v>0</v>
      </c>
      <c r="AD12" s="15">
        <f>Raw!BE12</f>
        <v>0</v>
      </c>
      <c r="AE12" s="15">
        <f>Raw!BF12</f>
        <v>0</v>
      </c>
      <c r="AF12" s="15">
        <f>Raw!BG12</f>
        <v>0</v>
      </c>
      <c r="AG12" s="15">
        <f>Raw!BH12</f>
        <v>1</v>
      </c>
      <c r="AH12" s="15">
        <f>Raw!BI12</f>
        <v>0</v>
      </c>
      <c r="AI12" s="15">
        <f>Raw!BJ12</f>
        <v>1</v>
      </c>
      <c r="AJ12" s="15">
        <f>Raw!BK12</f>
        <v>12</v>
      </c>
      <c r="AK12" s="15">
        <f t="shared" si="2"/>
        <v>16</v>
      </c>
      <c r="AL12" s="11">
        <f ca="1">IFERROR(__xludf.DUMMYFUNCTION("""COMPUTED_VALUE"""),1999)</f>
        <v>1999</v>
      </c>
      <c r="AM12" s="11" t="str">
        <f ca="1">IFERROR(__xludf.DUMMYFUNCTION("""COMPUTED_VALUE"""),"USA")</f>
        <v>USA</v>
      </c>
      <c r="AN12" s="11" t="str">
        <f ca="1">IFERROR(__xludf.DUMMYFUNCTION("""COMPUTED_VALUE"""),"Ainsworth/Ainsworth")</f>
        <v>Ainsworth/Ainsworth</v>
      </c>
      <c r="AO12" s="11">
        <f ca="1">IFERROR(__xludf.DUMMYFUNCTION("""COMPUTED_VALUE"""),1)</f>
        <v>1</v>
      </c>
      <c r="AP12" s="11">
        <f ca="1">IFERROR(__xludf.DUMMYFUNCTION("""COMPUTED_VALUE"""),1)</f>
        <v>1</v>
      </c>
      <c r="AQ12" s="11">
        <f ca="1">IFERROR(__xludf.DUMMYFUNCTION("""COMPUTED_VALUE"""),0)</f>
        <v>0</v>
      </c>
      <c r="AR12" s="11">
        <f ca="1">IFERROR(__xludf.DUMMYFUNCTION("""COMPUTED_VALUE"""),1)</f>
        <v>1</v>
      </c>
      <c r="AS12" s="11">
        <f ca="1">IFERROR(__xludf.DUMMYFUNCTION("""COMPUTED_VALUE"""),0.895)</f>
        <v>0.89500000000000002</v>
      </c>
      <c r="AT12" s="11">
        <f ca="1">IFERROR(__xludf.DUMMYFUNCTION("""COMPUTED_VALUE"""),0)</f>
        <v>0</v>
      </c>
      <c r="AU12" s="11" t="str">
        <f ca="1">IFERROR(__xludf.DUMMYFUNCTION("""COMPUTED_VALUE"""),"Female")</f>
        <v>Female</v>
      </c>
      <c r="AV12" s="11"/>
      <c r="AW12" s="11"/>
      <c r="AX12" s="11"/>
      <c r="AY12" s="11"/>
      <c r="AZ12" s="11"/>
      <c r="BA12" s="11"/>
      <c r="BB12" s="11"/>
      <c r="BC12" s="11"/>
      <c r="BD12" s="11"/>
      <c r="BE12" s="11"/>
      <c r="BF12" s="11"/>
      <c r="BG12" s="11"/>
      <c r="BH12" s="11"/>
      <c r="BI12" s="11"/>
      <c r="BJ12" s="11"/>
      <c r="BK12" s="11"/>
      <c r="BL12" s="11"/>
      <c r="BM12" s="11"/>
      <c r="BN12" s="11"/>
    </row>
    <row r="13" spans="1:66" ht="15.75" customHeight="1">
      <c r="A13" s="11">
        <f>Raw!D13</f>
        <v>7</v>
      </c>
      <c r="B13" s="11" t="str">
        <f>Raw!A13</f>
        <v>Barnett, Ganiban &amp; Cicchetti (1999)</v>
      </c>
      <c r="C13" s="11">
        <f>Raw!G13</f>
        <v>2</v>
      </c>
      <c r="D13" s="11" t="str">
        <f>Raw!E13</f>
        <v>Maltreated</v>
      </c>
      <c r="E13" s="11" t="str">
        <f>Processed!E13</f>
        <v>Infancy - Infancy</v>
      </c>
      <c r="F13" s="15">
        <f>Raw!AA13</f>
        <v>13</v>
      </c>
      <c r="G13" s="15">
        <f>Raw!AB13</f>
        <v>2</v>
      </c>
      <c r="H13" s="15">
        <f>Raw!AC13</f>
        <v>2</v>
      </c>
      <c r="I13" s="15">
        <f>Raw!AD13</f>
        <v>1</v>
      </c>
      <c r="J13" s="15">
        <f t="shared" si="0"/>
        <v>18</v>
      </c>
      <c r="K13" s="15">
        <f>Raw!AL13</f>
        <v>0</v>
      </c>
      <c r="L13" s="15">
        <f>Raw!AM13</f>
        <v>0</v>
      </c>
      <c r="M13" s="15">
        <f>Raw!AN13</f>
        <v>0</v>
      </c>
      <c r="N13" s="15">
        <f>Raw!AO13</f>
        <v>0</v>
      </c>
      <c r="O13" s="15">
        <f>Raw!AP13</f>
        <v>0</v>
      </c>
      <c r="P13" s="15">
        <f>Raw!AQ13</f>
        <v>0</v>
      </c>
      <c r="Q13" s="15">
        <f>Raw!AR13</f>
        <v>0</v>
      </c>
      <c r="R13" s="15">
        <f>Raw!AS13</f>
        <v>0</v>
      </c>
      <c r="S13" s="15">
        <f>Raw!AT13</f>
        <v>0</v>
      </c>
      <c r="T13" s="15">
        <f t="shared" si="1"/>
        <v>0</v>
      </c>
      <c r="U13" s="15">
        <f>Raw!AV13</f>
        <v>0</v>
      </c>
      <c r="V13" s="15">
        <f>Raw!AW13</f>
        <v>0</v>
      </c>
      <c r="W13" s="15">
        <f>Raw!AX13</f>
        <v>0</v>
      </c>
      <c r="X13" s="15">
        <f>Raw!AY13</f>
        <v>0</v>
      </c>
      <c r="Y13" s="15">
        <f>Raw!AZ13</f>
        <v>0</v>
      </c>
      <c r="Z13" s="15">
        <f>Raw!BA13</f>
        <v>2</v>
      </c>
      <c r="AA13" s="15">
        <f>Raw!BB13</f>
        <v>0</v>
      </c>
      <c r="AB13" s="15">
        <f>Raw!BC13</f>
        <v>1</v>
      </c>
      <c r="AC13" s="15">
        <f>Raw!BD13</f>
        <v>0</v>
      </c>
      <c r="AD13" s="15">
        <f>Raw!BE13</f>
        <v>0</v>
      </c>
      <c r="AE13" s="15">
        <f>Raw!BF13</f>
        <v>0</v>
      </c>
      <c r="AF13" s="15">
        <f>Raw!BG13</f>
        <v>0</v>
      </c>
      <c r="AG13" s="15">
        <f>Raw!BH13</f>
        <v>1</v>
      </c>
      <c r="AH13" s="15">
        <f>Raw!BI13</f>
        <v>2</v>
      </c>
      <c r="AI13" s="15">
        <f>Raw!BJ13</f>
        <v>2</v>
      </c>
      <c r="AJ13" s="15">
        <f>Raw!BK13</f>
        <v>10</v>
      </c>
      <c r="AK13" s="15">
        <f t="shared" si="2"/>
        <v>18</v>
      </c>
      <c r="AL13" s="11">
        <f ca="1">IFERROR(__xludf.DUMMYFUNCTION("""COMPUTED_VALUE"""),1999)</f>
        <v>1999</v>
      </c>
      <c r="AM13" s="11" t="str">
        <f ca="1">IFERROR(__xludf.DUMMYFUNCTION("""COMPUTED_VALUE"""),"USA")</f>
        <v>USA</v>
      </c>
      <c r="AN13" s="11" t="str">
        <f ca="1">IFERROR(__xludf.DUMMYFUNCTION("""COMPUTED_VALUE"""),"Ainsworth/Ainsworth")</f>
        <v>Ainsworth/Ainsworth</v>
      </c>
      <c r="AO13" s="11">
        <f ca="1">IFERROR(__xludf.DUMMYFUNCTION("""COMPUTED_VALUE"""),1)</f>
        <v>1</v>
      </c>
      <c r="AP13" s="11">
        <f ca="1">IFERROR(__xludf.DUMMYFUNCTION("""COMPUTED_VALUE"""),1)</f>
        <v>1</v>
      </c>
      <c r="AQ13" s="11">
        <f ca="1">IFERROR(__xludf.DUMMYFUNCTION("""COMPUTED_VALUE"""),0)</f>
        <v>0</v>
      </c>
      <c r="AR13" s="11">
        <f ca="1">IFERROR(__xludf.DUMMYFUNCTION("""COMPUTED_VALUE"""),1)</f>
        <v>1</v>
      </c>
      <c r="AS13" s="11">
        <f ca="1">IFERROR(__xludf.DUMMYFUNCTION("""COMPUTED_VALUE"""),0.865)</f>
        <v>0.86499999999999999</v>
      </c>
      <c r="AT13" s="11">
        <f ca="1">IFERROR(__xludf.DUMMYFUNCTION("""COMPUTED_VALUE"""),0)</f>
        <v>0</v>
      </c>
      <c r="AU13" s="11" t="str">
        <f ca="1">IFERROR(__xludf.DUMMYFUNCTION("""COMPUTED_VALUE"""),"Female")</f>
        <v>Female</v>
      </c>
      <c r="AV13" s="11"/>
      <c r="AW13" s="11"/>
      <c r="AX13" s="11"/>
      <c r="AY13" s="11"/>
      <c r="AZ13" s="11"/>
      <c r="BA13" s="11"/>
      <c r="BB13" s="11"/>
      <c r="BC13" s="11"/>
      <c r="BD13" s="11"/>
      <c r="BE13" s="11"/>
      <c r="BF13" s="11"/>
      <c r="BG13" s="11"/>
      <c r="BH13" s="11"/>
      <c r="BI13" s="11"/>
      <c r="BJ13" s="11"/>
      <c r="BK13" s="11"/>
      <c r="BL13" s="11"/>
      <c r="BM13" s="11"/>
      <c r="BN13" s="11"/>
    </row>
    <row r="14" spans="1:66" ht="15.75" customHeight="1">
      <c r="A14" s="11">
        <f>Raw!D14</f>
        <v>7</v>
      </c>
      <c r="B14" s="11" t="str">
        <f>Raw!A14</f>
        <v>Barnett, Ganiban &amp; Cicchetti (1999)</v>
      </c>
      <c r="C14" s="11">
        <f>Raw!G14</f>
        <v>3</v>
      </c>
      <c r="D14" s="11" t="str">
        <f>Raw!E14</f>
        <v>Maltreated</v>
      </c>
      <c r="E14" s="11" t="str">
        <f>Processed!E14</f>
        <v>Infancy - Toddlerhood</v>
      </c>
      <c r="F14" s="15">
        <f>Raw!AA14</f>
        <v>12</v>
      </c>
      <c r="G14" s="15">
        <f>Raw!AB14</f>
        <v>1</v>
      </c>
      <c r="H14" s="15">
        <f>Raw!AC14</f>
        <v>1</v>
      </c>
      <c r="I14" s="15">
        <f>Raw!AD14</f>
        <v>2</v>
      </c>
      <c r="J14" s="15">
        <f t="shared" si="0"/>
        <v>16</v>
      </c>
      <c r="K14" s="15">
        <f>Raw!AL14</f>
        <v>0</v>
      </c>
      <c r="L14" s="15">
        <f>Raw!AM14</f>
        <v>0</v>
      </c>
      <c r="M14" s="15">
        <f>Raw!AN14</f>
        <v>0</v>
      </c>
      <c r="N14" s="15">
        <f>Raw!AO14</f>
        <v>0</v>
      </c>
      <c r="O14" s="15">
        <f>Raw!AP14</f>
        <v>0</v>
      </c>
      <c r="P14" s="15">
        <f>Raw!AQ14</f>
        <v>0</v>
      </c>
      <c r="Q14" s="15">
        <f>Raw!AR14</f>
        <v>0</v>
      </c>
      <c r="R14" s="15">
        <f>Raw!AS14</f>
        <v>0</v>
      </c>
      <c r="S14" s="15">
        <f>Raw!AT14</f>
        <v>0</v>
      </c>
      <c r="T14" s="15">
        <f t="shared" si="1"/>
        <v>0</v>
      </c>
      <c r="U14" s="15">
        <f>Raw!AV14</f>
        <v>0</v>
      </c>
      <c r="V14" s="15">
        <f>Raw!AW14</f>
        <v>0</v>
      </c>
      <c r="W14" s="15">
        <f>Raw!AX14</f>
        <v>0</v>
      </c>
      <c r="X14" s="15">
        <f>Raw!AY14</f>
        <v>1</v>
      </c>
      <c r="Y14" s="15">
        <f>Raw!AZ14</f>
        <v>1</v>
      </c>
      <c r="Z14" s="15">
        <f>Raw!BA14</f>
        <v>1</v>
      </c>
      <c r="AA14" s="15">
        <f>Raw!BB14</f>
        <v>0</v>
      </c>
      <c r="AB14" s="15">
        <f>Raw!BC14</f>
        <v>1</v>
      </c>
      <c r="AC14" s="15">
        <f>Raw!BD14</f>
        <v>0</v>
      </c>
      <c r="AD14" s="15">
        <f>Raw!BE14</f>
        <v>0</v>
      </c>
      <c r="AE14" s="15">
        <f>Raw!BF14</f>
        <v>1</v>
      </c>
      <c r="AF14" s="15">
        <f>Raw!BG14</f>
        <v>1</v>
      </c>
      <c r="AG14" s="15">
        <f>Raw!BH14</f>
        <v>0</v>
      </c>
      <c r="AH14" s="15">
        <f>Raw!BI14</f>
        <v>1</v>
      </c>
      <c r="AI14" s="15">
        <f>Raw!BJ14</f>
        <v>0</v>
      </c>
      <c r="AJ14" s="15">
        <f>Raw!BK14</f>
        <v>9</v>
      </c>
      <c r="AK14" s="15">
        <f t="shared" si="2"/>
        <v>16</v>
      </c>
      <c r="AL14" s="11">
        <f ca="1">IFERROR(__xludf.DUMMYFUNCTION("""COMPUTED_VALUE"""),1999)</f>
        <v>1999</v>
      </c>
      <c r="AM14" s="11" t="str">
        <f ca="1">IFERROR(__xludf.DUMMYFUNCTION("""COMPUTED_VALUE"""),"USA")</f>
        <v>USA</v>
      </c>
      <c r="AN14" s="11" t="str">
        <f ca="1">IFERROR(__xludf.DUMMYFUNCTION("""COMPUTED_VALUE"""),"Ainsworth/Ainsworth")</f>
        <v>Ainsworth/Ainsworth</v>
      </c>
      <c r="AO14" s="11">
        <f ca="1">IFERROR(__xludf.DUMMYFUNCTION("""COMPUTED_VALUE"""),1)</f>
        <v>1</v>
      </c>
      <c r="AP14" s="11">
        <f ca="1">IFERROR(__xludf.DUMMYFUNCTION("""COMPUTED_VALUE"""),1)</f>
        <v>1</v>
      </c>
      <c r="AQ14" s="11">
        <f ca="1">IFERROR(__xludf.DUMMYFUNCTION("""COMPUTED_VALUE"""),0)</f>
        <v>0</v>
      </c>
      <c r="AR14" s="11">
        <f ca="1">IFERROR(__xludf.DUMMYFUNCTION("""COMPUTED_VALUE"""),1)</f>
        <v>1</v>
      </c>
      <c r="AS14" s="11">
        <f ca="1">IFERROR(__xludf.DUMMYFUNCTION("""COMPUTED_VALUE"""),0.88)</f>
        <v>0.88</v>
      </c>
      <c r="AT14" s="11">
        <f ca="1">IFERROR(__xludf.DUMMYFUNCTION("""COMPUTED_VALUE"""),0)</f>
        <v>0</v>
      </c>
      <c r="AU14" s="11" t="str">
        <f ca="1">IFERROR(__xludf.DUMMYFUNCTION("""COMPUTED_VALUE"""),"Female")</f>
        <v>Female</v>
      </c>
      <c r="AV14" s="11"/>
      <c r="AW14" s="11"/>
      <c r="AX14" s="11"/>
      <c r="AY14" s="11"/>
      <c r="AZ14" s="11"/>
      <c r="BA14" s="11"/>
      <c r="BB14" s="11"/>
      <c r="BC14" s="11"/>
      <c r="BD14" s="11"/>
      <c r="BE14" s="11"/>
      <c r="BF14" s="11"/>
      <c r="BG14" s="11"/>
      <c r="BH14" s="11"/>
      <c r="BI14" s="11"/>
      <c r="BJ14" s="11"/>
      <c r="BK14" s="11"/>
      <c r="BL14" s="11"/>
      <c r="BM14" s="11"/>
      <c r="BN14" s="11"/>
    </row>
    <row r="15" spans="1:66" ht="15.75" customHeight="1">
      <c r="A15" s="11">
        <f>Raw!D15</f>
        <v>8</v>
      </c>
      <c r="B15" s="11" t="str">
        <f>Raw!A15</f>
        <v>Cicchetti &amp; Barnett (1991)</v>
      </c>
      <c r="C15" s="11">
        <f>Raw!G15</f>
        <v>1</v>
      </c>
      <c r="D15" s="11" t="str">
        <f>Raw!E15</f>
        <v>Maltreated, 18 month interval</v>
      </c>
      <c r="E15" s="11" t="str">
        <f>Processed!E15</f>
        <v>Toddlerhood - Preschool</v>
      </c>
      <c r="F15" s="15">
        <f>Raw!AA15</f>
        <v>13</v>
      </c>
      <c r="G15" s="15">
        <f>Raw!AB15</f>
        <v>1</v>
      </c>
      <c r="H15" s="15">
        <f>Raw!AC15</f>
        <v>2</v>
      </c>
      <c r="I15" s="15">
        <f>Raw!AD15</f>
        <v>2</v>
      </c>
      <c r="J15" s="15">
        <f t="shared" si="0"/>
        <v>18</v>
      </c>
      <c r="K15" s="15">
        <f>Raw!AL15</f>
        <v>0</v>
      </c>
      <c r="L15" s="15">
        <f>Raw!AM15</f>
        <v>0</v>
      </c>
      <c r="M15" s="15">
        <f>Raw!AN15</f>
        <v>0</v>
      </c>
      <c r="N15" s="15">
        <f>Raw!AO15</f>
        <v>0</v>
      </c>
      <c r="O15" s="15">
        <f>Raw!AP15</f>
        <v>0</v>
      </c>
      <c r="P15" s="15">
        <f>Raw!AQ15</f>
        <v>0</v>
      </c>
      <c r="Q15" s="15">
        <f>Raw!AR15</f>
        <v>0</v>
      </c>
      <c r="R15" s="15">
        <f>Raw!AS15</f>
        <v>0</v>
      </c>
      <c r="S15" s="15">
        <f>Raw!AT15</f>
        <v>0</v>
      </c>
      <c r="T15" s="15">
        <f t="shared" si="1"/>
        <v>0</v>
      </c>
      <c r="U15" s="15">
        <f>Raw!AV15</f>
        <v>3</v>
      </c>
      <c r="V15" s="15">
        <f>Raw!AW15</f>
        <v>0</v>
      </c>
      <c r="W15" s="15">
        <f>Raw!AX15</f>
        <v>0</v>
      </c>
      <c r="X15" s="15">
        <f>Raw!AY15</f>
        <v>1</v>
      </c>
      <c r="Y15" s="15">
        <f>Raw!AZ15</f>
        <v>0</v>
      </c>
      <c r="Z15" s="15">
        <f>Raw!BA15</f>
        <v>2</v>
      </c>
      <c r="AA15" s="15">
        <f>Raw!BB15</f>
        <v>0</v>
      </c>
      <c r="AB15" s="15">
        <f>Raw!BC15</f>
        <v>2</v>
      </c>
      <c r="AC15" s="15">
        <f>Raw!BD15</f>
        <v>1</v>
      </c>
      <c r="AD15" s="15">
        <f>Raw!BE15</f>
        <v>0</v>
      </c>
      <c r="AE15" s="15">
        <f>Raw!BF15</f>
        <v>2</v>
      </c>
      <c r="AF15" s="15">
        <f>Raw!BG15</f>
        <v>0</v>
      </c>
      <c r="AG15" s="15">
        <f>Raw!BH15</f>
        <v>1</v>
      </c>
      <c r="AH15" s="15">
        <f>Raw!BI15</f>
        <v>1</v>
      </c>
      <c r="AI15" s="15">
        <f>Raw!BJ15</f>
        <v>1</v>
      </c>
      <c r="AJ15" s="15">
        <f>Raw!BK15</f>
        <v>4</v>
      </c>
      <c r="AK15" s="15">
        <f t="shared" si="2"/>
        <v>18</v>
      </c>
      <c r="AL15" s="11">
        <f ca="1">IFERROR(__xludf.DUMMYFUNCTION("""COMPUTED_VALUE"""),1991)</f>
        <v>1991</v>
      </c>
      <c r="AM15" s="11" t="str">
        <f ca="1">IFERROR(__xludf.DUMMYFUNCTION("""COMPUTED_VALUE"""),"USA")</f>
        <v>USA</v>
      </c>
      <c r="AN15" s="11" t="str">
        <f ca="1">IFERROR(__xludf.DUMMYFUNCTION("""COMPUTED_VALUE"""),"Cassidy-Marvin/Cassidy-Marvin")</f>
        <v>Cassidy-Marvin/Cassidy-Marvin</v>
      </c>
      <c r="AO15" s="11">
        <f ca="1">IFERROR(__xludf.DUMMYFUNCTION("""COMPUTED_VALUE"""),1)</f>
        <v>1</v>
      </c>
      <c r="AP15" s="11">
        <f ca="1">IFERROR(__xludf.DUMMYFUNCTION("""COMPUTED_VALUE"""),1)</f>
        <v>1</v>
      </c>
      <c r="AQ15" s="11">
        <f ca="1">IFERROR(__xludf.DUMMYFUNCTION("""COMPUTED_VALUE"""),0)</f>
        <v>0</v>
      </c>
      <c r="AR15" s="11">
        <f ca="1">IFERROR(__xludf.DUMMYFUNCTION("""COMPUTED_VALUE"""),1)</f>
        <v>1</v>
      </c>
      <c r="AS15" s="11">
        <f ca="1">IFERROR(__xludf.DUMMYFUNCTION("""COMPUTED_VALUE"""),0.75)</f>
        <v>0.75</v>
      </c>
      <c r="AT15" s="11">
        <f ca="1">IFERROR(__xludf.DUMMYFUNCTION("""COMPUTED_VALUE"""),0)</f>
        <v>0</v>
      </c>
      <c r="AU15" s="11" t="str">
        <f ca="1">IFERROR(__xludf.DUMMYFUNCTION("""COMPUTED_VALUE"""),"Mixed")</f>
        <v>Mixed</v>
      </c>
      <c r="AV15" s="11"/>
      <c r="AW15" s="11"/>
      <c r="AX15" s="11"/>
      <c r="AY15" s="11"/>
      <c r="AZ15" s="11"/>
      <c r="BA15" s="11"/>
      <c r="BB15" s="11"/>
      <c r="BC15" s="11"/>
      <c r="BD15" s="11"/>
      <c r="BE15" s="11"/>
      <c r="BF15" s="11"/>
      <c r="BG15" s="11"/>
      <c r="BH15" s="11"/>
      <c r="BI15" s="11"/>
      <c r="BJ15" s="11"/>
      <c r="BK15" s="11"/>
      <c r="BL15" s="11"/>
      <c r="BM15" s="11"/>
      <c r="BN15" s="11"/>
    </row>
    <row r="16" spans="1:66" ht="15.75" customHeight="1">
      <c r="A16" s="11">
        <f>Raw!D16</f>
        <v>8</v>
      </c>
      <c r="B16" s="11" t="str">
        <f>Raw!A16</f>
        <v>Cicchetti &amp; Barnett (1991)</v>
      </c>
      <c r="C16" s="11">
        <f>Raw!G16</f>
        <v>2</v>
      </c>
      <c r="D16" s="11" t="str">
        <f>Raw!E16</f>
        <v>Maltreated, 12 month interval</v>
      </c>
      <c r="E16" s="11" t="str">
        <f>Processed!E16</f>
        <v>Toddlerhood - Preschool</v>
      </c>
      <c r="F16" s="15">
        <f>Raw!AA16</f>
        <v>15</v>
      </c>
      <c r="G16" s="15">
        <f>Raw!AB16</f>
        <v>4</v>
      </c>
      <c r="H16" s="15">
        <f>Raw!AC16</f>
        <v>2</v>
      </c>
      <c r="I16" s="15">
        <f>Raw!AD16</f>
        <v>4</v>
      </c>
      <c r="J16" s="15">
        <f t="shared" si="0"/>
        <v>25</v>
      </c>
      <c r="K16" s="15">
        <f>Raw!AL16</f>
        <v>0</v>
      </c>
      <c r="L16" s="15">
        <f>Raw!AM16</f>
        <v>0</v>
      </c>
      <c r="M16" s="15">
        <f>Raw!AN16</f>
        <v>0</v>
      </c>
      <c r="N16" s="15">
        <f>Raw!AO16</f>
        <v>0</v>
      </c>
      <c r="O16" s="15">
        <f>Raw!AP16</f>
        <v>0</v>
      </c>
      <c r="P16" s="15">
        <f>Raw!AQ16</f>
        <v>0</v>
      </c>
      <c r="Q16" s="15">
        <f>Raw!AR16</f>
        <v>0</v>
      </c>
      <c r="R16" s="15">
        <f>Raw!AS16</f>
        <v>0</v>
      </c>
      <c r="S16" s="15">
        <f>Raw!AT16</f>
        <v>0</v>
      </c>
      <c r="T16" s="15">
        <f t="shared" si="1"/>
        <v>0</v>
      </c>
      <c r="U16" s="15">
        <f>Raw!AV16</f>
        <v>4</v>
      </c>
      <c r="V16" s="15">
        <f>Raw!AW16</f>
        <v>1</v>
      </c>
      <c r="W16" s="15">
        <f>Raw!AX16</f>
        <v>0</v>
      </c>
      <c r="X16" s="15">
        <f>Raw!AY16</f>
        <v>2</v>
      </c>
      <c r="Y16" s="15">
        <f>Raw!AZ16</f>
        <v>2</v>
      </c>
      <c r="Z16" s="15">
        <f>Raw!BA16</f>
        <v>2</v>
      </c>
      <c r="AA16" s="15">
        <f>Raw!BB16</f>
        <v>0</v>
      </c>
      <c r="AB16" s="15">
        <f>Raw!BC16</f>
        <v>2</v>
      </c>
      <c r="AC16" s="15">
        <f>Raw!BD16</f>
        <v>0</v>
      </c>
      <c r="AD16" s="15">
        <f>Raw!BE16</f>
        <v>0</v>
      </c>
      <c r="AE16" s="15">
        <f>Raw!BF16</f>
        <v>3</v>
      </c>
      <c r="AF16" s="15">
        <f>Raw!BG16</f>
        <v>0</v>
      </c>
      <c r="AG16" s="15">
        <f>Raw!BH16</f>
        <v>2</v>
      </c>
      <c r="AH16" s="15">
        <f>Raw!BI16</f>
        <v>3</v>
      </c>
      <c r="AI16" s="15">
        <f>Raw!BJ16</f>
        <v>1</v>
      </c>
      <c r="AJ16" s="15">
        <f>Raw!BK16</f>
        <v>3</v>
      </c>
      <c r="AK16" s="15">
        <f t="shared" si="2"/>
        <v>25</v>
      </c>
      <c r="AL16" s="11">
        <f ca="1">IFERROR(__xludf.DUMMYFUNCTION("""COMPUTED_VALUE"""),1991)</f>
        <v>1991</v>
      </c>
      <c r="AM16" s="11" t="str">
        <f ca="1">IFERROR(__xludf.DUMMYFUNCTION("""COMPUTED_VALUE"""),"USA")</f>
        <v>USA</v>
      </c>
      <c r="AN16" s="11" t="str">
        <f ca="1">IFERROR(__xludf.DUMMYFUNCTION("""COMPUTED_VALUE"""),"Cassidy-Marvin/Cassidy-Marvin")</f>
        <v>Cassidy-Marvin/Cassidy-Marvin</v>
      </c>
      <c r="AO16" s="11">
        <f ca="1">IFERROR(__xludf.DUMMYFUNCTION("""COMPUTED_VALUE"""),1)</f>
        <v>1</v>
      </c>
      <c r="AP16" s="11">
        <f ca="1">IFERROR(__xludf.DUMMYFUNCTION("""COMPUTED_VALUE"""),1)</f>
        <v>1</v>
      </c>
      <c r="AQ16" s="11">
        <f ca="1">IFERROR(__xludf.DUMMYFUNCTION("""COMPUTED_VALUE"""),0)</f>
        <v>0</v>
      </c>
      <c r="AR16" s="11">
        <f ca="1">IFERROR(__xludf.DUMMYFUNCTION("""COMPUTED_VALUE"""),1)</f>
        <v>1</v>
      </c>
      <c r="AS16" s="11">
        <f ca="1">IFERROR(__xludf.DUMMYFUNCTION("""COMPUTED_VALUE"""),0.75)</f>
        <v>0.75</v>
      </c>
      <c r="AT16" s="11">
        <f ca="1">IFERROR(__xludf.DUMMYFUNCTION("""COMPUTED_VALUE"""),0)</f>
        <v>0</v>
      </c>
      <c r="AU16" s="11" t="str">
        <f ca="1">IFERROR(__xludf.DUMMYFUNCTION("""COMPUTED_VALUE"""),"Mixed")</f>
        <v>Mixed</v>
      </c>
      <c r="AV16" s="11"/>
      <c r="AW16" s="11"/>
      <c r="AX16" s="11"/>
      <c r="AY16" s="11"/>
      <c r="AZ16" s="11"/>
      <c r="BA16" s="11"/>
      <c r="BB16" s="11"/>
      <c r="BC16" s="11"/>
      <c r="BD16" s="11"/>
      <c r="BE16" s="11"/>
      <c r="BF16" s="11"/>
      <c r="BG16" s="11"/>
      <c r="BH16" s="11"/>
      <c r="BI16" s="11"/>
      <c r="BJ16" s="11"/>
      <c r="BK16" s="11"/>
      <c r="BL16" s="11"/>
      <c r="BM16" s="11"/>
      <c r="BN16" s="11"/>
    </row>
    <row r="17" spans="1:66" ht="15.75" customHeight="1">
      <c r="A17" s="11">
        <f>Raw!D17</f>
        <v>9</v>
      </c>
      <c r="B17" s="11" t="str">
        <f>Raw!A17</f>
        <v>Cicchetti &amp; Barnett (1991)</v>
      </c>
      <c r="C17" s="11">
        <f>Raw!G17</f>
        <v>1</v>
      </c>
      <c r="D17" s="11" t="str">
        <f>Raw!E17</f>
        <v>Comparison, 18 month interval</v>
      </c>
      <c r="E17" s="11" t="str">
        <f>Processed!E17</f>
        <v>Toddlerhood - Preschool</v>
      </c>
      <c r="F17" s="15">
        <f>Raw!AA17</f>
        <v>3</v>
      </c>
      <c r="G17" s="15">
        <f>Raw!AB17</f>
        <v>3</v>
      </c>
      <c r="H17" s="15">
        <f>Raw!AC17</f>
        <v>13</v>
      </c>
      <c r="I17" s="15">
        <f>Raw!AD17</f>
        <v>1</v>
      </c>
      <c r="J17" s="15">
        <f t="shared" si="0"/>
        <v>20</v>
      </c>
      <c r="K17" s="15">
        <f>Raw!AL17</f>
        <v>0</v>
      </c>
      <c r="L17" s="15">
        <f>Raw!AM17</f>
        <v>0</v>
      </c>
      <c r="M17" s="15">
        <f>Raw!AN17</f>
        <v>0</v>
      </c>
      <c r="N17" s="15">
        <f>Raw!AO17</f>
        <v>0</v>
      </c>
      <c r="O17" s="15">
        <f>Raw!AP17</f>
        <v>0</v>
      </c>
      <c r="P17" s="15">
        <f>Raw!AQ17</f>
        <v>0</v>
      </c>
      <c r="Q17" s="15">
        <f>Raw!AR17</f>
        <v>0</v>
      </c>
      <c r="R17" s="15">
        <f>Raw!AS17</f>
        <v>0</v>
      </c>
      <c r="S17" s="15">
        <f>Raw!AT17</f>
        <v>0</v>
      </c>
      <c r="T17" s="15">
        <f t="shared" si="1"/>
        <v>0</v>
      </c>
      <c r="U17" s="15">
        <f>Raw!AV17</f>
        <v>0</v>
      </c>
      <c r="V17" s="15">
        <f>Raw!AW17</f>
        <v>2</v>
      </c>
      <c r="W17" s="15">
        <f>Raw!AX17</f>
        <v>0</v>
      </c>
      <c r="X17" s="15">
        <f>Raw!AY17</f>
        <v>0</v>
      </c>
      <c r="Y17" s="15">
        <f>Raw!AZ17</f>
        <v>0</v>
      </c>
      <c r="Z17" s="15">
        <f>Raw!BA17</f>
        <v>9</v>
      </c>
      <c r="AA17" s="15">
        <f>Raw!BB17</f>
        <v>0</v>
      </c>
      <c r="AB17" s="15">
        <f>Raw!BC17</f>
        <v>1</v>
      </c>
      <c r="AC17" s="15">
        <f>Raw!BD17</f>
        <v>0</v>
      </c>
      <c r="AD17" s="15">
        <f>Raw!BE17</f>
        <v>0</v>
      </c>
      <c r="AE17" s="15">
        <f>Raw!BF17</f>
        <v>0</v>
      </c>
      <c r="AF17" s="15">
        <f>Raw!BG17</f>
        <v>1</v>
      </c>
      <c r="AG17" s="15">
        <f>Raw!BH17</f>
        <v>1</v>
      </c>
      <c r="AH17" s="15">
        <f>Raw!BI17</f>
        <v>1</v>
      </c>
      <c r="AI17" s="15">
        <f>Raw!BJ17</f>
        <v>0</v>
      </c>
      <c r="AJ17" s="15">
        <f>Raw!BK17</f>
        <v>0</v>
      </c>
      <c r="AK17" s="15">
        <f t="shared" si="2"/>
        <v>15</v>
      </c>
      <c r="AL17" s="11">
        <f ca="1">IFERROR(__xludf.DUMMYFUNCTION("""COMPUTED_VALUE"""),1991)</f>
        <v>1991</v>
      </c>
      <c r="AM17" s="11" t="str">
        <f ca="1">IFERROR(__xludf.DUMMYFUNCTION("""COMPUTED_VALUE"""),"USA")</f>
        <v>USA</v>
      </c>
      <c r="AN17" s="11" t="str">
        <f ca="1">IFERROR(__xludf.DUMMYFUNCTION("""COMPUTED_VALUE"""),"Cassidy-Marvin/Cassidy-Marvin")</f>
        <v>Cassidy-Marvin/Cassidy-Marvin</v>
      </c>
      <c r="AO17" s="11">
        <f ca="1">IFERROR(__xludf.DUMMYFUNCTION("""COMPUTED_VALUE"""),1)</f>
        <v>1</v>
      </c>
      <c r="AP17" s="11">
        <f ca="1">IFERROR(__xludf.DUMMYFUNCTION("""COMPUTED_VALUE"""),1)</f>
        <v>1</v>
      </c>
      <c r="AQ17" s="11">
        <f ca="1">IFERROR(__xludf.DUMMYFUNCTION("""COMPUTED_VALUE"""),0)</f>
        <v>0</v>
      </c>
      <c r="AR17" s="11">
        <f ca="1">IFERROR(__xludf.DUMMYFUNCTION("""COMPUTED_VALUE"""),1)</f>
        <v>1</v>
      </c>
      <c r="AS17" s="11">
        <f ca="1">IFERROR(__xludf.DUMMYFUNCTION("""COMPUTED_VALUE"""),0.75)</f>
        <v>0.75</v>
      </c>
      <c r="AT17" s="11">
        <f ca="1">IFERROR(__xludf.DUMMYFUNCTION("""COMPUTED_VALUE"""),0)</f>
        <v>0</v>
      </c>
      <c r="AU17" s="11" t="str">
        <f ca="1">IFERROR(__xludf.DUMMYFUNCTION("""COMPUTED_VALUE"""),"Mixed")</f>
        <v>Mixed</v>
      </c>
      <c r="AV17" s="11"/>
      <c r="AW17" s="11"/>
      <c r="AX17" s="11"/>
      <c r="AY17" s="11"/>
      <c r="AZ17" s="11"/>
      <c r="BA17" s="11"/>
      <c r="BB17" s="11"/>
      <c r="BC17" s="11"/>
      <c r="BD17" s="11"/>
      <c r="BE17" s="11"/>
      <c r="BF17" s="11"/>
      <c r="BG17" s="11"/>
      <c r="BH17" s="11"/>
      <c r="BI17" s="11"/>
      <c r="BJ17" s="11"/>
      <c r="BK17" s="11"/>
      <c r="BL17" s="11"/>
      <c r="BM17" s="11"/>
      <c r="BN17" s="11"/>
    </row>
    <row r="18" spans="1:66" ht="15.75" customHeight="1">
      <c r="A18" s="11">
        <f>Raw!D18</f>
        <v>9</v>
      </c>
      <c r="B18" s="11" t="str">
        <f>Raw!A18</f>
        <v>Cicchetti &amp; Barnett (1991)</v>
      </c>
      <c r="C18" s="11">
        <f>Raw!G18</f>
        <v>2</v>
      </c>
      <c r="D18" s="11" t="str">
        <f>Raw!E18</f>
        <v>Comparison, 12 month interval</v>
      </c>
      <c r="E18" s="11" t="str">
        <f>Processed!E18</f>
        <v>Toddlerhood - Preschool</v>
      </c>
      <c r="F18" s="15">
        <f>Raw!AA18</f>
        <v>2</v>
      </c>
      <c r="G18" s="15">
        <f>Raw!AB18</f>
        <v>3</v>
      </c>
      <c r="H18" s="15">
        <f>Raw!AC18</f>
        <v>9</v>
      </c>
      <c r="I18" s="15">
        <f>Raw!AD18</f>
        <v>1</v>
      </c>
      <c r="J18" s="15">
        <f t="shared" si="0"/>
        <v>15</v>
      </c>
      <c r="K18" s="15">
        <f>Raw!AL18</f>
        <v>0</v>
      </c>
      <c r="L18" s="15">
        <f>Raw!AM18</f>
        <v>0</v>
      </c>
      <c r="M18" s="15">
        <f>Raw!AN18</f>
        <v>0</v>
      </c>
      <c r="N18" s="15">
        <f>Raw!AO18</f>
        <v>0</v>
      </c>
      <c r="O18" s="15">
        <f>Raw!AP18</f>
        <v>0</v>
      </c>
      <c r="P18" s="15">
        <f>Raw!AQ18</f>
        <v>0</v>
      </c>
      <c r="Q18" s="15">
        <f>Raw!AR18</f>
        <v>0</v>
      </c>
      <c r="R18" s="15">
        <f>Raw!AS18</f>
        <v>0</v>
      </c>
      <c r="S18" s="15">
        <f>Raw!AT18</f>
        <v>0</v>
      </c>
      <c r="T18" s="15">
        <f t="shared" si="1"/>
        <v>0</v>
      </c>
      <c r="U18" s="15">
        <f>Raw!AV18</f>
        <v>0</v>
      </c>
      <c r="V18" s="15">
        <f>Raw!AW18</f>
        <v>0</v>
      </c>
      <c r="W18" s="15">
        <f>Raw!AX18</f>
        <v>0</v>
      </c>
      <c r="X18" s="15">
        <f>Raw!AY18</f>
        <v>0</v>
      </c>
      <c r="Y18" s="15">
        <f>Raw!AZ18</f>
        <v>1</v>
      </c>
      <c r="Z18" s="15">
        <f>Raw!BA18</f>
        <v>13</v>
      </c>
      <c r="AA18" s="15">
        <f>Raw!BB18</f>
        <v>0</v>
      </c>
      <c r="AB18" s="15">
        <f>Raw!BC18</f>
        <v>0</v>
      </c>
      <c r="AC18" s="15">
        <f>Raw!BD18</f>
        <v>0</v>
      </c>
      <c r="AD18" s="15">
        <f>Raw!BE18</f>
        <v>0</v>
      </c>
      <c r="AE18" s="15">
        <f>Raw!BF18</f>
        <v>0</v>
      </c>
      <c r="AF18" s="15">
        <f>Raw!BG18</f>
        <v>0</v>
      </c>
      <c r="AG18" s="15">
        <f>Raw!BH18</f>
        <v>1</v>
      </c>
      <c r="AH18" s="15">
        <f>Raw!BI18</f>
        <v>3</v>
      </c>
      <c r="AI18" s="15">
        <f>Raw!BJ18</f>
        <v>0</v>
      </c>
      <c r="AJ18" s="15">
        <f>Raw!BK18</f>
        <v>2</v>
      </c>
      <c r="AK18" s="15">
        <f t="shared" si="2"/>
        <v>20</v>
      </c>
      <c r="AL18" s="11">
        <f ca="1">IFERROR(__xludf.DUMMYFUNCTION("""COMPUTED_VALUE"""),1991)</f>
        <v>1991</v>
      </c>
      <c r="AM18" s="11" t="str">
        <f ca="1">IFERROR(__xludf.DUMMYFUNCTION("""COMPUTED_VALUE"""),"USA")</f>
        <v>USA</v>
      </c>
      <c r="AN18" s="11" t="str">
        <f ca="1">IFERROR(__xludf.DUMMYFUNCTION("""COMPUTED_VALUE"""),"Cassidy-Marvin/Cassidy-Marvin")</f>
        <v>Cassidy-Marvin/Cassidy-Marvin</v>
      </c>
      <c r="AO18" s="11">
        <f ca="1">IFERROR(__xludf.DUMMYFUNCTION("""COMPUTED_VALUE"""),1)</f>
        <v>1</v>
      </c>
      <c r="AP18" s="11">
        <f ca="1">IFERROR(__xludf.DUMMYFUNCTION("""COMPUTED_VALUE"""),1)</f>
        <v>1</v>
      </c>
      <c r="AQ18" s="11">
        <f ca="1">IFERROR(__xludf.DUMMYFUNCTION("""COMPUTED_VALUE"""),0)</f>
        <v>0</v>
      </c>
      <c r="AR18" s="11">
        <f ca="1">IFERROR(__xludf.DUMMYFUNCTION("""COMPUTED_VALUE"""),1)</f>
        <v>1</v>
      </c>
      <c r="AS18" s="11">
        <f ca="1">IFERROR(__xludf.DUMMYFUNCTION("""COMPUTED_VALUE"""),0.75)</f>
        <v>0.75</v>
      </c>
      <c r="AT18" s="11">
        <f ca="1">IFERROR(__xludf.DUMMYFUNCTION("""COMPUTED_VALUE"""),0)</f>
        <v>0</v>
      </c>
      <c r="AU18" s="11" t="str">
        <f ca="1">IFERROR(__xludf.DUMMYFUNCTION("""COMPUTED_VALUE"""),"Mixed")</f>
        <v>Mixed</v>
      </c>
      <c r="AV18" s="11"/>
      <c r="AW18" s="11"/>
      <c r="AX18" s="11"/>
      <c r="AY18" s="11"/>
      <c r="AZ18" s="11"/>
      <c r="BA18" s="11"/>
      <c r="BB18" s="11"/>
      <c r="BC18" s="11"/>
      <c r="BD18" s="11"/>
      <c r="BE18" s="11"/>
      <c r="BF18" s="11"/>
      <c r="BG18" s="11"/>
      <c r="BH18" s="11"/>
      <c r="BI18" s="11"/>
      <c r="BJ18" s="11"/>
      <c r="BK18" s="11"/>
      <c r="BL18" s="11"/>
      <c r="BM18" s="11"/>
      <c r="BN18" s="11"/>
    </row>
    <row r="19" spans="1:66" ht="15.75" customHeight="1">
      <c r="A19" s="11">
        <f>Raw!D19</f>
        <v>10</v>
      </c>
      <c r="B19" s="11" t="str">
        <f>Raw!A19</f>
        <v>Cicchetti, Rogosch &amp; Toth (2006)</v>
      </c>
      <c r="C19" s="11">
        <f>Raw!G19</f>
        <v>1</v>
      </c>
      <c r="D19" s="11" t="str">
        <f>Raw!E19</f>
        <v>Maltreated</v>
      </c>
      <c r="E19" s="11" t="str">
        <f>Processed!E19</f>
        <v>Infancy - Toddlerhood</v>
      </c>
      <c r="F19" s="15">
        <f>Raw!AA19</f>
        <v>53</v>
      </c>
      <c r="G19" s="15">
        <f>Raw!AB19</f>
        <v>1</v>
      </c>
      <c r="H19" s="15">
        <f>Raw!AC19</f>
        <v>0</v>
      </c>
      <c r="I19" s="15">
        <f>Raw!AD19</f>
        <v>0</v>
      </c>
      <c r="J19" s="15">
        <f t="shared" si="0"/>
        <v>54</v>
      </c>
      <c r="K19" s="15">
        <f>Raw!AL19</f>
        <v>0</v>
      </c>
      <c r="L19" s="15">
        <f>Raw!AM19</f>
        <v>0</v>
      </c>
      <c r="M19" s="15">
        <f>Raw!AN19</f>
        <v>0</v>
      </c>
      <c r="N19" s="15">
        <f>Raw!AO19</f>
        <v>0</v>
      </c>
      <c r="O19" s="15">
        <f>Raw!AP19</f>
        <v>0</v>
      </c>
      <c r="P19" s="15">
        <f>Raw!AQ19</f>
        <v>0</v>
      </c>
      <c r="Q19" s="15">
        <f>Raw!AR19</f>
        <v>0</v>
      </c>
      <c r="R19" s="15">
        <f>Raw!AS19</f>
        <v>0</v>
      </c>
      <c r="S19" s="15">
        <f>Raw!AT19</f>
        <v>0</v>
      </c>
      <c r="T19" s="15">
        <f t="shared" si="1"/>
        <v>0</v>
      </c>
      <c r="U19" s="15">
        <f>Raw!AV19</f>
        <v>2</v>
      </c>
      <c r="V19" s="15">
        <f>Raw!AW19</f>
        <v>0</v>
      </c>
      <c r="W19" s="15">
        <f>Raw!AX19</f>
        <v>0</v>
      </c>
      <c r="X19" s="15">
        <f>Raw!AY19</f>
        <v>1</v>
      </c>
      <c r="Y19" s="15">
        <f>Raw!AZ19</f>
        <v>0</v>
      </c>
      <c r="Z19" s="15">
        <f>Raw!BA19</f>
        <v>0</v>
      </c>
      <c r="AA19" s="15">
        <f>Raw!BB19</f>
        <v>0</v>
      </c>
      <c r="AB19" s="15">
        <f>Raw!BC19</f>
        <v>0</v>
      </c>
      <c r="AC19" s="15">
        <f>Raw!BD19</f>
        <v>1</v>
      </c>
      <c r="AD19" s="15">
        <f>Raw!BE19</f>
        <v>0</v>
      </c>
      <c r="AE19" s="15">
        <f>Raw!BF19</f>
        <v>0</v>
      </c>
      <c r="AF19" s="15">
        <f>Raw!BG19</f>
        <v>1</v>
      </c>
      <c r="AG19" s="15">
        <f>Raw!BH19</f>
        <v>7</v>
      </c>
      <c r="AH19" s="15">
        <f>Raw!BI19</f>
        <v>1</v>
      </c>
      <c r="AI19" s="15">
        <f>Raw!BJ19</f>
        <v>1</v>
      </c>
      <c r="AJ19" s="15">
        <f>Raw!BK19</f>
        <v>40</v>
      </c>
      <c r="AK19" s="15">
        <f t="shared" si="2"/>
        <v>54</v>
      </c>
      <c r="AL19" s="11">
        <f ca="1">IFERROR(__xludf.DUMMYFUNCTION("""COMPUTED_VALUE"""),2006)</f>
        <v>2006</v>
      </c>
      <c r="AM19" s="11" t="str">
        <f ca="1">IFERROR(__xludf.DUMMYFUNCTION("""COMPUTED_VALUE"""),"USA")</f>
        <v>USA</v>
      </c>
      <c r="AN19" s="11" t="str">
        <f ca="1">IFERROR(__xludf.DUMMYFUNCTION("""COMPUTED_VALUE"""),"Ainsworth/Schneider-Rosen")</f>
        <v>Ainsworth/Schneider-Rosen</v>
      </c>
      <c r="AO19" s="11">
        <f ca="1">IFERROR(__xludf.DUMMYFUNCTION("""COMPUTED_VALUE"""),1)</f>
        <v>1</v>
      </c>
      <c r="AP19" s="11">
        <f ca="1">IFERROR(__xludf.DUMMYFUNCTION("""COMPUTED_VALUE"""),1)</f>
        <v>1</v>
      </c>
      <c r="AQ19" s="11">
        <f ca="1">IFERROR(__xludf.DUMMYFUNCTION("""COMPUTED_VALUE"""),0)</f>
        <v>0</v>
      </c>
      <c r="AR19" s="11">
        <f ca="1">IFERROR(__xludf.DUMMYFUNCTION("""COMPUTED_VALUE"""),1)</f>
        <v>1</v>
      </c>
      <c r="AS19" s="11">
        <f ca="1">IFERROR(__xludf.DUMMYFUNCTION("""COMPUTED_VALUE"""),0.88)</f>
        <v>0.88</v>
      </c>
      <c r="AT19" s="11">
        <f ca="1">IFERROR(__xludf.DUMMYFUNCTION("""COMPUTED_VALUE"""),0)</f>
        <v>0</v>
      </c>
      <c r="AU19" s="11" t="str">
        <f ca="1">IFERROR(__xludf.DUMMYFUNCTION("""COMPUTED_VALUE"""),"Female")</f>
        <v>Female</v>
      </c>
      <c r="AV19" s="11"/>
      <c r="AW19" s="11"/>
      <c r="AX19" s="11"/>
      <c r="AY19" s="11"/>
      <c r="AZ19" s="11"/>
      <c r="BA19" s="11"/>
      <c r="BB19" s="11"/>
      <c r="BC19" s="11"/>
      <c r="BD19" s="11"/>
      <c r="BE19" s="11"/>
      <c r="BF19" s="11"/>
      <c r="BG19" s="11"/>
      <c r="BH19" s="11"/>
      <c r="BI19" s="11"/>
      <c r="BJ19" s="11"/>
      <c r="BK19" s="11"/>
      <c r="BL19" s="11"/>
      <c r="BM19" s="11"/>
      <c r="BN19" s="11"/>
    </row>
    <row r="20" spans="1:66" ht="15.75" customHeight="1">
      <c r="A20" s="11">
        <f>Raw!D20</f>
        <v>11</v>
      </c>
      <c r="B20" s="11" t="str">
        <f>Raw!A20</f>
        <v>Cicchetti, Rogosch &amp; Toth (2006)</v>
      </c>
      <c r="C20" s="11">
        <f>Raw!G20</f>
        <v>1</v>
      </c>
      <c r="D20" s="11" t="str">
        <f>Raw!E20</f>
        <v>Comparison</v>
      </c>
      <c r="E20" s="11" t="str">
        <f>Processed!E20</f>
        <v>Infancy - Toddlerhood</v>
      </c>
      <c r="F20" s="15">
        <f>Raw!AA20</f>
        <v>19</v>
      </c>
      <c r="G20" s="15">
        <f>Raw!AB20</f>
        <v>8</v>
      </c>
      <c r="H20" s="15">
        <f>Raw!AC20</f>
        <v>9</v>
      </c>
      <c r="I20" s="15">
        <f>Raw!AD20</f>
        <v>8</v>
      </c>
      <c r="J20" s="15">
        <f t="shared" si="0"/>
        <v>44</v>
      </c>
      <c r="K20" s="15">
        <f>Raw!AL20</f>
        <v>0</v>
      </c>
      <c r="L20" s="15">
        <f>Raw!AM20</f>
        <v>0</v>
      </c>
      <c r="M20" s="15">
        <f>Raw!AN20</f>
        <v>0</v>
      </c>
      <c r="N20" s="15">
        <f>Raw!AO20</f>
        <v>0</v>
      </c>
      <c r="O20" s="15">
        <f>Raw!AP20</f>
        <v>0</v>
      </c>
      <c r="P20" s="15">
        <f>Raw!AQ20</f>
        <v>0</v>
      </c>
      <c r="Q20" s="15">
        <f>Raw!AR20</f>
        <v>0</v>
      </c>
      <c r="R20" s="15">
        <f>Raw!AS20</f>
        <v>0</v>
      </c>
      <c r="S20" s="15">
        <f>Raw!AT20</f>
        <v>0</v>
      </c>
      <c r="T20" s="15">
        <f t="shared" si="1"/>
        <v>0</v>
      </c>
      <c r="U20" s="15">
        <f>Raw!AV20</f>
        <v>1</v>
      </c>
      <c r="V20" s="15">
        <f>Raw!AW20</f>
        <v>0</v>
      </c>
      <c r="W20" s="15">
        <f>Raw!AX20</f>
        <v>0</v>
      </c>
      <c r="X20" s="15">
        <f>Raw!AY20</f>
        <v>0</v>
      </c>
      <c r="Y20" s="15">
        <f>Raw!AZ20</f>
        <v>2</v>
      </c>
      <c r="Z20" s="15">
        <f>Raw!BA20</f>
        <v>9</v>
      </c>
      <c r="AA20" s="15">
        <f>Raw!BB20</f>
        <v>1</v>
      </c>
      <c r="AB20" s="15">
        <f>Raw!BC20</f>
        <v>5</v>
      </c>
      <c r="AC20" s="15">
        <f>Raw!BD20</f>
        <v>0</v>
      </c>
      <c r="AD20" s="15">
        <f>Raw!BE20</f>
        <v>3</v>
      </c>
      <c r="AE20" s="15">
        <f>Raw!BF20</f>
        <v>1</v>
      </c>
      <c r="AF20" s="15">
        <f>Raw!BG20</f>
        <v>2</v>
      </c>
      <c r="AG20" s="15">
        <f>Raw!BH20</f>
        <v>3</v>
      </c>
      <c r="AH20" s="15">
        <f>Raw!BI20</f>
        <v>5</v>
      </c>
      <c r="AI20" s="15">
        <f>Raw!BJ20</f>
        <v>0</v>
      </c>
      <c r="AJ20" s="15">
        <f>Raw!BK20</f>
        <v>12</v>
      </c>
      <c r="AK20" s="15">
        <f t="shared" si="2"/>
        <v>44</v>
      </c>
      <c r="AL20" s="11">
        <f ca="1">IFERROR(__xludf.DUMMYFUNCTION("""COMPUTED_VALUE"""),2006)</f>
        <v>2006</v>
      </c>
      <c r="AM20" s="11" t="str">
        <f ca="1">IFERROR(__xludf.DUMMYFUNCTION("""COMPUTED_VALUE"""),"USA")</f>
        <v>USA</v>
      </c>
      <c r="AN20" s="11" t="str">
        <f ca="1">IFERROR(__xludf.DUMMYFUNCTION("""COMPUTED_VALUE"""),"Ainsworth/Schneider-Rosen")</f>
        <v>Ainsworth/Schneider-Rosen</v>
      </c>
      <c r="AO20" s="11">
        <f ca="1">IFERROR(__xludf.DUMMYFUNCTION("""COMPUTED_VALUE"""),1)</f>
        <v>1</v>
      </c>
      <c r="AP20" s="11">
        <f ca="1">IFERROR(__xludf.DUMMYFUNCTION("""COMPUTED_VALUE"""),0)</f>
        <v>0</v>
      </c>
      <c r="AQ20" s="11">
        <f ca="1">IFERROR(__xludf.DUMMYFUNCTION("""COMPUTED_VALUE"""),0)</f>
        <v>0</v>
      </c>
      <c r="AR20" s="11">
        <f ca="1">IFERROR(__xludf.DUMMYFUNCTION("""COMPUTED_VALUE"""),1)</f>
        <v>1</v>
      </c>
      <c r="AS20" s="11">
        <f ca="1">IFERROR(__xludf.DUMMYFUNCTION("""COMPUTED_VALUE"""),0.88)</f>
        <v>0.88</v>
      </c>
      <c r="AT20" s="11">
        <f ca="1">IFERROR(__xludf.DUMMYFUNCTION("""COMPUTED_VALUE"""),0)</f>
        <v>0</v>
      </c>
      <c r="AU20" s="11" t="str">
        <f ca="1">IFERROR(__xludf.DUMMYFUNCTION("""COMPUTED_VALUE"""),"Female")</f>
        <v>Female</v>
      </c>
      <c r="AV20" s="11"/>
      <c r="AW20" s="11"/>
      <c r="AX20" s="11"/>
      <c r="AY20" s="11"/>
      <c r="AZ20" s="11"/>
      <c r="BA20" s="11"/>
      <c r="BB20" s="11"/>
      <c r="BC20" s="11"/>
      <c r="BD20" s="11"/>
      <c r="BE20" s="11"/>
      <c r="BF20" s="11"/>
      <c r="BG20" s="11"/>
      <c r="BH20" s="11"/>
      <c r="BI20" s="11"/>
      <c r="BJ20" s="11"/>
      <c r="BK20" s="11"/>
      <c r="BL20" s="11"/>
      <c r="BM20" s="11"/>
      <c r="BN20" s="11"/>
    </row>
    <row r="21" spans="1:66" ht="15.75" customHeight="1">
      <c r="A21" s="11">
        <f>Raw!D21</f>
        <v>12</v>
      </c>
      <c r="B21" s="11" t="str">
        <f>Raw!A21</f>
        <v>Easterbrooks (1989)</v>
      </c>
      <c r="C21" s="11">
        <f>Raw!G21</f>
        <v>1</v>
      </c>
      <c r="D21" s="11" t="str">
        <f>Raw!E21</f>
        <v>Father-child</v>
      </c>
      <c r="E21" s="11" t="str">
        <f>Processed!E21</f>
        <v>Infancy - Toddlerhood</v>
      </c>
      <c r="F21" s="15">
        <f>Raw!AA21</f>
        <v>0</v>
      </c>
      <c r="G21" s="15">
        <f>Raw!AB21</f>
        <v>0</v>
      </c>
      <c r="H21" s="15">
        <f>Raw!AC21</f>
        <v>0</v>
      </c>
      <c r="I21" s="15">
        <f>Raw!AD21</f>
        <v>0</v>
      </c>
      <c r="J21" s="15">
        <f t="shared" si="0"/>
        <v>0</v>
      </c>
      <c r="K21" s="15">
        <f>Raw!AL21</f>
        <v>0</v>
      </c>
      <c r="L21" s="15">
        <f>Raw!AM21</f>
        <v>0</v>
      </c>
      <c r="M21" s="15">
        <f>Raw!AN21</f>
        <v>0</v>
      </c>
      <c r="N21" s="15">
        <f>Raw!AO21</f>
        <v>0</v>
      </c>
      <c r="O21" s="15">
        <f>Raw!AP21</f>
        <v>0</v>
      </c>
      <c r="P21" s="15">
        <f>Raw!AQ21</f>
        <v>0</v>
      </c>
      <c r="Q21" s="15">
        <f>Raw!AR21</f>
        <v>0</v>
      </c>
      <c r="R21" s="15">
        <f>Raw!AS21</f>
        <v>0</v>
      </c>
      <c r="S21" s="15">
        <f>Raw!AT21</f>
        <v>0</v>
      </c>
      <c r="T21" s="15">
        <f t="shared" si="1"/>
        <v>0</v>
      </c>
      <c r="U21" s="15">
        <f>Raw!AV21</f>
        <v>0</v>
      </c>
      <c r="V21" s="15">
        <f>Raw!AW21</f>
        <v>0</v>
      </c>
      <c r="W21" s="15">
        <f>Raw!AX21</f>
        <v>0</v>
      </c>
      <c r="X21" s="15">
        <f>Raw!AY21</f>
        <v>0</v>
      </c>
      <c r="Y21" s="15">
        <f>Raw!AZ21</f>
        <v>0</v>
      </c>
      <c r="Z21" s="15">
        <f>Raw!BA21</f>
        <v>0</v>
      </c>
      <c r="AA21" s="15">
        <f>Raw!BB21</f>
        <v>0</v>
      </c>
      <c r="AB21" s="15">
        <f>Raw!BC21</f>
        <v>0</v>
      </c>
      <c r="AC21" s="15">
        <f>Raw!BD21</f>
        <v>0</v>
      </c>
      <c r="AD21" s="15">
        <f>Raw!BE21</f>
        <v>0</v>
      </c>
      <c r="AE21" s="15">
        <f>Raw!BF21</f>
        <v>0</v>
      </c>
      <c r="AF21" s="15">
        <f>Raw!BG21</f>
        <v>0</v>
      </c>
      <c r="AG21" s="15">
        <f>Raw!BH21</f>
        <v>0</v>
      </c>
      <c r="AH21" s="15">
        <f>Raw!BI21</f>
        <v>0</v>
      </c>
      <c r="AI21" s="15">
        <f>Raw!BJ21</f>
        <v>0</v>
      </c>
      <c r="AJ21" s="15">
        <f>Raw!BK21</f>
        <v>0</v>
      </c>
      <c r="AK21" s="15">
        <f t="shared" si="2"/>
        <v>0</v>
      </c>
      <c r="AL21" s="11">
        <f ca="1">IFERROR(__xludf.DUMMYFUNCTION("""COMPUTED_VALUE"""),1989)</f>
        <v>1989</v>
      </c>
      <c r="AM21" s="11" t="str">
        <f ca="1">IFERROR(__xludf.DUMMYFUNCTION("""COMPUTED_VALUE"""),"USA")</f>
        <v>USA</v>
      </c>
      <c r="AN21" s="11" t="str">
        <f ca="1">IFERROR(__xludf.DUMMYFUNCTION("""COMPUTED_VALUE"""),"Ainsworth/Ainsworth")</f>
        <v>Ainsworth/Ainsworth</v>
      </c>
      <c r="AO21" s="11">
        <f ca="1">IFERROR(__xludf.DUMMYFUNCTION("""COMPUTED_VALUE"""),1)</f>
        <v>1</v>
      </c>
      <c r="AP21" s="11">
        <f ca="1">IFERROR(__xludf.DUMMYFUNCTION("""COMPUTED_VALUE"""),0)</f>
        <v>0</v>
      </c>
      <c r="AQ21" s="11">
        <f ca="1">IFERROR(__xludf.DUMMYFUNCTION("""COMPUTED_VALUE"""),0)</f>
        <v>0</v>
      </c>
      <c r="AR21" s="11">
        <f ca="1">IFERROR(__xludf.DUMMYFUNCTION("""COMPUTED_VALUE"""),1)</f>
        <v>1</v>
      </c>
      <c r="AS21" s="11" t="str">
        <f ca="1">IFERROR(__xludf.DUMMYFUNCTION("""COMPUTED_VALUE"""),"")</f>
        <v/>
      </c>
      <c r="AT21" s="11">
        <f ca="1">IFERROR(__xludf.DUMMYFUNCTION("""COMPUTED_VALUE"""),0)</f>
        <v>0</v>
      </c>
      <c r="AU21" s="11" t="str">
        <f ca="1">IFERROR(__xludf.DUMMYFUNCTION("""COMPUTED_VALUE"""),"Male")</f>
        <v>Male</v>
      </c>
      <c r="AV21" s="11"/>
      <c r="AW21" s="11"/>
      <c r="AX21" s="11"/>
      <c r="AY21" s="11"/>
      <c r="AZ21" s="11"/>
      <c r="BA21" s="11"/>
      <c r="BB21" s="11"/>
      <c r="BC21" s="11"/>
      <c r="BD21" s="11"/>
      <c r="BE21" s="11"/>
      <c r="BF21" s="11"/>
      <c r="BG21" s="11"/>
      <c r="BH21" s="11"/>
      <c r="BI21" s="11"/>
      <c r="BJ21" s="11"/>
      <c r="BK21" s="11"/>
      <c r="BL21" s="11"/>
      <c r="BM21" s="11"/>
      <c r="BN21" s="11"/>
    </row>
    <row r="22" spans="1:66" ht="15.75" customHeight="1">
      <c r="A22" s="11">
        <f>Raw!D22</f>
        <v>12</v>
      </c>
      <c r="B22" s="11" t="str">
        <f>Raw!A22</f>
        <v>Easterbrooks (1989)</v>
      </c>
      <c r="C22" s="11">
        <f>Raw!G22</f>
        <v>2</v>
      </c>
      <c r="D22" s="11" t="str">
        <f>Raw!E22</f>
        <v>Mother-child</v>
      </c>
      <c r="E22" s="11" t="str">
        <f>Processed!E22</f>
        <v>Infancy - Toddlerhood</v>
      </c>
      <c r="F22" s="15">
        <f>Raw!AA22</f>
        <v>0</v>
      </c>
      <c r="G22" s="15">
        <f>Raw!AB22</f>
        <v>0</v>
      </c>
      <c r="H22" s="15">
        <f>Raw!AC22</f>
        <v>0</v>
      </c>
      <c r="I22" s="15">
        <f>Raw!AD22</f>
        <v>0</v>
      </c>
      <c r="J22" s="15">
        <f t="shared" si="0"/>
        <v>0</v>
      </c>
      <c r="K22" s="15">
        <f>Raw!AL22</f>
        <v>0</v>
      </c>
      <c r="L22" s="15">
        <f>Raw!AM22</f>
        <v>0</v>
      </c>
      <c r="M22" s="15">
        <f>Raw!AN22</f>
        <v>0</v>
      </c>
      <c r="N22" s="15">
        <f>Raw!AO22</f>
        <v>0</v>
      </c>
      <c r="O22" s="15">
        <f>Raw!AP22</f>
        <v>0</v>
      </c>
      <c r="P22" s="15">
        <f>Raw!AQ22</f>
        <v>0</v>
      </c>
      <c r="Q22" s="15">
        <f>Raw!AR22</f>
        <v>0</v>
      </c>
      <c r="R22" s="15">
        <f>Raw!AS22</f>
        <v>0</v>
      </c>
      <c r="S22" s="15">
        <f>Raw!AT22</f>
        <v>0</v>
      </c>
      <c r="T22" s="15">
        <f t="shared" si="1"/>
        <v>0</v>
      </c>
      <c r="U22" s="15">
        <f>Raw!AV22</f>
        <v>0</v>
      </c>
      <c r="V22" s="15">
        <f>Raw!AW22</f>
        <v>0</v>
      </c>
      <c r="W22" s="15">
        <f>Raw!AX22</f>
        <v>0</v>
      </c>
      <c r="X22" s="15">
        <f>Raw!AY22</f>
        <v>0</v>
      </c>
      <c r="Y22" s="15">
        <f>Raw!AZ22</f>
        <v>0</v>
      </c>
      <c r="Z22" s="15">
        <f>Raw!BA22</f>
        <v>0</v>
      </c>
      <c r="AA22" s="15">
        <f>Raw!BB22</f>
        <v>0</v>
      </c>
      <c r="AB22" s="15">
        <f>Raw!BC22</f>
        <v>0</v>
      </c>
      <c r="AC22" s="15">
        <f>Raw!BD22</f>
        <v>0</v>
      </c>
      <c r="AD22" s="15">
        <f>Raw!BE22</f>
        <v>0</v>
      </c>
      <c r="AE22" s="15">
        <f>Raw!BF22</f>
        <v>0</v>
      </c>
      <c r="AF22" s="15">
        <f>Raw!BG22</f>
        <v>0</v>
      </c>
      <c r="AG22" s="15">
        <f>Raw!BH22</f>
        <v>0</v>
      </c>
      <c r="AH22" s="15">
        <f>Raw!BI22</f>
        <v>0</v>
      </c>
      <c r="AI22" s="15">
        <f>Raw!BJ22</f>
        <v>0</v>
      </c>
      <c r="AJ22" s="15">
        <f>Raw!BK22</f>
        <v>0</v>
      </c>
      <c r="AK22" s="15">
        <f t="shared" si="2"/>
        <v>0</v>
      </c>
      <c r="AL22" s="11">
        <f ca="1">IFERROR(__xludf.DUMMYFUNCTION("""COMPUTED_VALUE"""),1989)</f>
        <v>1989</v>
      </c>
      <c r="AM22" s="11" t="str">
        <f ca="1">IFERROR(__xludf.DUMMYFUNCTION("""COMPUTED_VALUE"""),"USA")</f>
        <v>USA</v>
      </c>
      <c r="AN22" s="11" t="str">
        <f ca="1">IFERROR(__xludf.DUMMYFUNCTION("""COMPUTED_VALUE"""),"Ainsworth/Ainsworth")</f>
        <v>Ainsworth/Ainsworth</v>
      </c>
      <c r="AO22" s="11">
        <f ca="1">IFERROR(__xludf.DUMMYFUNCTION("""COMPUTED_VALUE"""),1)</f>
        <v>1</v>
      </c>
      <c r="AP22" s="11">
        <f ca="1">IFERROR(__xludf.DUMMYFUNCTION("""COMPUTED_VALUE"""),0)</f>
        <v>0</v>
      </c>
      <c r="AQ22" s="11">
        <f ca="1">IFERROR(__xludf.DUMMYFUNCTION("""COMPUTED_VALUE"""),0)</f>
        <v>0</v>
      </c>
      <c r="AR22" s="11">
        <f ca="1">IFERROR(__xludf.DUMMYFUNCTION("""COMPUTED_VALUE"""),1)</f>
        <v>1</v>
      </c>
      <c r="AS22" s="11" t="str">
        <f ca="1">IFERROR(__xludf.DUMMYFUNCTION("""COMPUTED_VALUE"""),"")</f>
        <v/>
      </c>
      <c r="AT22" s="11">
        <f ca="1">IFERROR(__xludf.DUMMYFUNCTION("""COMPUTED_VALUE"""),0)</f>
        <v>0</v>
      </c>
      <c r="AU22" s="11" t="str">
        <f ca="1">IFERROR(__xludf.DUMMYFUNCTION("""COMPUTED_VALUE"""),"Female")</f>
        <v>Female</v>
      </c>
      <c r="AV22" s="11"/>
      <c r="AW22" s="11"/>
      <c r="AX22" s="11"/>
      <c r="AY22" s="11"/>
      <c r="AZ22" s="11"/>
      <c r="BA22" s="11"/>
      <c r="BB22" s="11"/>
      <c r="BC22" s="11"/>
      <c r="BD22" s="11"/>
      <c r="BE22" s="11"/>
      <c r="BF22" s="11"/>
      <c r="BG22" s="11"/>
      <c r="BH22" s="11"/>
      <c r="BI22" s="11"/>
      <c r="BJ22" s="11"/>
      <c r="BK22" s="11"/>
      <c r="BL22" s="11"/>
      <c r="BM22" s="11"/>
      <c r="BN22" s="11"/>
    </row>
    <row r="23" spans="1:66" ht="15.75" customHeight="1">
      <c r="A23" s="11">
        <f>Raw!D23</f>
        <v>13</v>
      </c>
      <c r="B23" s="11" t="str">
        <f>Raw!A23</f>
        <v>Fish (2004)</v>
      </c>
      <c r="C23" s="11">
        <f>Raw!G23</f>
        <v>1</v>
      </c>
      <c r="D23" s="11" t="str">
        <f>Raw!E23</f>
        <v>Single sample</v>
      </c>
      <c r="E23" s="11" t="str">
        <f>Processed!E23</f>
        <v>Infancy - Preschool</v>
      </c>
      <c r="F23" s="15">
        <f>Raw!AA23</f>
        <v>20</v>
      </c>
      <c r="G23" s="15">
        <f>Raw!AB23</f>
        <v>19</v>
      </c>
      <c r="H23" s="15">
        <f>Raw!AC23</f>
        <v>31</v>
      </c>
      <c r="I23" s="15">
        <f>Raw!AD23</f>
        <v>12</v>
      </c>
      <c r="J23" s="15">
        <f t="shared" si="0"/>
        <v>82</v>
      </c>
      <c r="K23" s="15">
        <f>Raw!AL23</f>
        <v>0</v>
      </c>
      <c r="L23" s="15">
        <f>Raw!AM23</f>
        <v>0</v>
      </c>
      <c r="M23" s="15">
        <f>Raw!AN23</f>
        <v>0</v>
      </c>
      <c r="N23" s="15">
        <f>Raw!AO23</f>
        <v>0</v>
      </c>
      <c r="O23" s="15">
        <f>Raw!AP23</f>
        <v>0</v>
      </c>
      <c r="P23" s="15">
        <f>Raw!AQ23</f>
        <v>0</v>
      </c>
      <c r="Q23" s="15">
        <f>Raw!AR23</f>
        <v>0</v>
      </c>
      <c r="R23" s="15">
        <f>Raw!AS23</f>
        <v>0</v>
      </c>
      <c r="S23" s="15">
        <f>Raw!AT23</f>
        <v>0</v>
      </c>
      <c r="T23" s="15">
        <f t="shared" si="1"/>
        <v>0</v>
      </c>
      <c r="U23" s="15">
        <f>Raw!AV23</f>
        <v>1</v>
      </c>
      <c r="V23" s="15">
        <f>Raw!AW23</f>
        <v>6</v>
      </c>
      <c r="W23" s="15">
        <f>Raw!AX23</f>
        <v>2</v>
      </c>
      <c r="X23" s="15">
        <f>Raw!AY23</f>
        <v>5</v>
      </c>
      <c r="Y23" s="15">
        <f>Raw!AZ23</f>
        <v>5</v>
      </c>
      <c r="Z23" s="15">
        <f>Raw!BA23</f>
        <v>31</v>
      </c>
      <c r="AA23" s="15">
        <f>Raw!BB23</f>
        <v>1</v>
      </c>
      <c r="AB23" s="15">
        <f>Raw!BC23</f>
        <v>6</v>
      </c>
      <c r="AC23" s="15">
        <f>Raw!BD23</f>
        <v>0</v>
      </c>
      <c r="AD23" s="15">
        <f>Raw!BE23</f>
        <v>1</v>
      </c>
      <c r="AE23" s="15">
        <f>Raw!BF23</f>
        <v>1</v>
      </c>
      <c r="AF23" s="15">
        <f>Raw!BG23</f>
        <v>2</v>
      </c>
      <c r="AG23" s="15">
        <f>Raw!BH23</f>
        <v>1</v>
      </c>
      <c r="AH23" s="15">
        <f>Raw!BI23</f>
        <v>12</v>
      </c>
      <c r="AI23" s="15">
        <f>Raw!BJ23</f>
        <v>4</v>
      </c>
      <c r="AJ23" s="15">
        <f>Raw!BK23</f>
        <v>4</v>
      </c>
      <c r="AK23" s="15">
        <f t="shared" si="2"/>
        <v>82</v>
      </c>
      <c r="AL23" s="11">
        <f ca="1">IFERROR(__xludf.DUMMYFUNCTION("""COMPUTED_VALUE"""),2004)</f>
        <v>2004</v>
      </c>
      <c r="AM23" s="11" t="str">
        <f ca="1">IFERROR(__xludf.DUMMYFUNCTION("""COMPUTED_VALUE"""),"USA")</f>
        <v>USA</v>
      </c>
      <c r="AN23" s="11" t="str">
        <f ca="1">IFERROR(__xludf.DUMMYFUNCTION("""COMPUTED_VALUE"""),"Ainsworth/Cassidy-Marvin")</f>
        <v>Ainsworth/Cassidy-Marvin</v>
      </c>
      <c r="AO23" s="11">
        <f ca="1">IFERROR(__xludf.DUMMYFUNCTION("""COMPUTED_VALUE"""),1)</f>
        <v>1</v>
      </c>
      <c r="AP23" s="11">
        <f ca="1">IFERROR(__xludf.DUMMYFUNCTION("""COMPUTED_VALUE"""),1)</f>
        <v>1</v>
      </c>
      <c r="AQ23" s="11">
        <f ca="1">IFERROR(__xludf.DUMMYFUNCTION("""COMPUTED_VALUE"""),0)</f>
        <v>0</v>
      </c>
      <c r="AR23" s="11">
        <f ca="1">IFERROR(__xludf.DUMMYFUNCTION("""COMPUTED_VALUE"""),1)</f>
        <v>1</v>
      </c>
      <c r="AS23" s="11">
        <f ca="1">IFERROR(__xludf.DUMMYFUNCTION("""COMPUTED_VALUE"""),0.769)</f>
        <v>0.76900000000000002</v>
      </c>
      <c r="AT23" s="11">
        <f ca="1">IFERROR(__xludf.DUMMYFUNCTION("""COMPUTED_VALUE"""),0)</f>
        <v>0</v>
      </c>
      <c r="AU23" s="11" t="str">
        <f ca="1">IFERROR(__xludf.DUMMYFUNCTION("""COMPUTED_VALUE"""),"Female")</f>
        <v>Female</v>
      </c>
      <c r="AV23" s="11"/>
      <c r="AW23" s="11"/>
      <c r="AX23" s="11"/>
      <c r="AY23" s="11"/>
      <c r="AZ23" s="11"/>
      <c r="BA23" s="11"/>
      <c r="BB23" s="11"/>
      <c r="BC23" s="11"/>
      <c r="BD23" s="11"/>
      <c r="BE23" s="11"/>
      <c r="BF23" s="11"/>
      <c r="BG23" s="11"/>
      <c r="BH23" s="11"/>
      <c r="BI23" s="11"/>
      <c r="BJ23" s="11"/>
      <c r="BK23" s="11"/>
      <c r="BL23" s="11"/>
      <c r="BM23" s="11"/>
      <c r="BN23" s="11"/>
    </row>
    <row r="24" spans="1:66" ht="15.75" customHeight="1">
      <c r="A24" s="11">
        <f>Raw!D24</f>
        <v>14</v>
      </c>
      <c r="B24" s="11" t="str">
        <f>Raw!A24</f>
        <v>Ganiban, Barnett &amp; Cicchetti (2000)</v>
      </c>
      <c r="C24" s="11">
        <f>Raw!G24</f>
        <v>1</v>
      </c>
      <c r="D24" s="11" t="str">
        <f>Raw!E24</f>
        <v>Single sample</v>
      </c>
      <c r="E24" s="11" t="str">
        <f>Processed!E24</f>
        <v>Infancy - Toddlerhood</v>
      </c>
      <c r="F24" s="15">
        <f>Raw!AA24</f>
        <v>11</v>
      </c>
      <c r="G24" s="15">
        <f>Raw!AB24</f>
        <v>3</v>
      </c>
      <c r="H24" s="15">
        <f>Raw!AC24</f>
        <v>10</v>
      </c>
      <c r="I24" s="15">
        <f>Raw!AD24</f>
        <v>6</v>
      </c>
      <c r="J24" s="15">
        <f t="shared" si="0"/>
        <v>30</v>
      </c>
      <c r="K24" s="15">
        <f>Raw!AL24</f>
        <v>0</v>
      </c>
      <c r="L24" s="15">
        <f>Raw!AM24</f>
        <v>0</v>
      </c>
      <c r="M24" s="15">
        <f>Raw!AN24</f>
        <v>0</v>
      </c>
      <c r="N24" s="15">
        <f>Raw!AO24</f>
        <v>0</v>
      </c>
      <c r="O24" s="15">
        <f>Raw!AP24</f>
        <v>0</v>
      </c>
      <c r="P24" s="15">
        <f>Raw!AQ24</f>
        <v>0</v>
      </c>
      <c r="Q24" s="15">
        <f>Raw!AR24</f>
        <v>0</v>
      </c>
      <c r="R24" s="15">
        <f>Raw!AS24</f>
        <v>0</v>
      </c>
      <c r="S24" s="15">
        <f>Raw!AT24</f>
        <v>0</v>
      </c>
      <c r="T24" s="15">
        <f t="shared" si="1"/>
        <v>0</v>
      </c>
      <c r="U24" s="15">
        <f>Raw!AV24</f>
        <v>3</v>
      </c>
      <c r="V24" s="15">
        <f>Raw!AW24</f>
        <v>0</v>
      </c>
      <c r="W24" s="15">
        <f>Raw!AX24</f>
        <v>0</v>
      </c>
      <c r="X24" s="15">
        <f>Raw!AY24</f>
        <v>0</v>
      </c>
      <c r="Y24" s="15">
        <f>Raw!AZ24</f>
        <v>2</v>
      </c>
      <c r="Z24" s="15">
        <f>Raw!BA24</f>
        <v>10</v>
      </c>
      <c r="AA24" s="15">
        <f>Raw!BB24</f>
        <v>0</v>
      </c>
      <c r="AB24" s="15">
        <f>Raw!BC24</f>
        <v>4</v>
      </c>
      <c r="AC24" s="15">
        <f>Raw!BD24</f>
        <v>0</v>
      </c>
      <c r="AD24" s="15">
        <f>Raw!BE24</f>
        <v>1</v>
      </c>
      <c r="AE24" s="15">
        <f>Raw!BF24</f>
        <v>0</v>
      </c>
      <c r="AF24" s="15">
        <f>Raw!BG24</f>
        <v>3</v>
      </c>
      <c r="AG24" s="15">
        <f>Raw!BH24</f>
        <v>2</v>
      </c>
      <c r="AH24" s="15">
        <f>Raw!BI24</f>
        <v>2</v>
      </c>
      <c r="AI24" s="15">
        <f>Raw!BJ24</f>
        <v>1</v>
      </c>
      <c r="AJ24" s="15">
        <f>Raw!BK24</f>
        <v>2</v>
      </c>
      <c r="AK24" s="15">
        <f t="shared" si="2"/>
        <v>30</v>
      </c>
      <c r="AL24" s="11">
        <f ca="1">IFERROR(__xludf.DUMMYFUNCTION("""COMPUTED_VALUE"""),2000)</f>
        <v>2000</v>
      </c>
      <c r="AM24" s="11" t="str">
        <f ca="1">IFERROR(__xludf.DUMMYFUNCTION("""COMPUTED_VALUE"""),"USA")</f>
        <v>USA</v>
      </c>
      <c r="AN24" s="11" t="str">
        <f ca="1">IFERROR(__xludf.DUMMYFUNCTION("""COMPUTED_VALUE"""),"Ainsworth/Ainsworth")</f>
        <v>Ainsworth/Ainsworth</v>
      </c>
      <c r="AO24" s="11">
        <f ca="1">IFERROR(__xludf.DUMMYFUNCTION("""COMPUTED_VALUE"""),1)</f>
        <v>1</v>
      </c>
      <c r="AP24" s="11">
        <f ca="1">IFERROR(__xludf.DUMMYFUNCTION("""COMPUTED_VALUE"""),0)</f>
        <v>0</v>
      </c>
      <c r="AQ24" s="11">
        <f ca="1">IFERROR(__xludf.DUMMYFUNCTION("""COMPUTED_VALUE"""),1)</f>
        <v>1</v>
      </c>
      <c r="AR24" s="11">
        <f ca="1">IFERROR(__xludf.DUMMYFUNCTION("""COMPUTED_VALUE"""),1)</f>
        <v>1</v>
      </c>
      <c r="AS24" s="11">
        <f ca="1">IFERROR(__xludf.DUMMYFUNCTION("""COMPUTED_VALUE"""),1)</f>
        <v>1</v>
      </c>
      <c r="AT24" s="11">
        <f ca="1">IFERROR(__xludf.DUMMYFUNCTION("""COMPUTED_VALUE"""),0)</f>
        <v>0</v>
      </c>
      <c r="AU24" s="11" t="str">
        <f ca="1">IFERROR(__xludf.DUMMYFUNCTION("""COMPUTED_VALUE"""),"Female")</f>
        <v>Female</v>
      </c>
      <c r="AV24" s="11"/>
      <c r="AW24" s="11"/>
      <c r="AX24" s="11"/>
      <c r="AY24" s="11"/>
      <c r="AZ24" s="11"/>
      <c r="BA24" s="11"/>
      <c r="BB24" s="11"/>
      <c r="BC24" s="11"/>
      <c r="BD24" s="11"/>
      <c r="BE24" s="11"/>
      <c r="BF24" s="11"/>
      <c r="BG24" s="11"/>
      <c r="BH24" s="11"/>
      <c r="BI24" s="11"/>
      <c r="BJ24" s="11"/>
      <c r="BK24" s="11"/>
      <c r="BL24" s="11"/>
      <c r="BM24" s="11"/>
      <c r="BN24" s="11"/>
    </row>
    <row r="25" spans="1:66" ht="15.75" customHeight="1">
      <c r="A25" s="11">
        <f>Raw!D25</f>
        <v>15</v>
      </c>
      <c r="B25" s="11" t="str">
        <f>Raw!A25</f>
        <v>Hautamaki et al. (2010)</v>
      </c>
      <c r="C25" s="11">
        <f>Raw!G25</f>
        <v>1</v>
      </c>
      <c r="D25" s="11" t="str">
        <f>Raw!E25</f>
        <v>Mother-child</v>
      </c>
      <c r="E25" s="11" t="str">
        <f>Processed!E25</f>
        <v>Infancy - Toddlerhood</v>
      </c>
      <c r="F25" s="15">
        <f>Raw!AA25</f>
        <v>22</v>
      </c>
      <c r="G25" s="15">
        <f>Raw!AB25</f>
        <v>1</v>
      </c>
      <c r="H25" s="15">
        <f>Raw!AC25</f>
        <v>8</v>
      </c>
      <c r="I25" s="15">
        <f>Raw!AD25</f>
        <v>2</v>
      </c>
      <c r="J25" s="15">
        <f t="shared" si="0"/>
        <v>33</v>
      </c>
      <c r="K25" s="15">
        <f>Raw!AL25</f>
        <v>10</v>
      </c>
      <c r="L25" s="15">
        <f>Raw!AM25</f>
        <v>0</v>
      </c>
      <c r="M25" s="15">
        <f>Raw!AN25</f>
        <v>3</v>
      </c>
      <c r="N25" s="15">
        <f>Raw!AO25</f>
        <v>0</v>
      </c>
      <c r="O25" s="15">
        <f>Raw!AP25</f>
        <v>8</v>
      </c>
      <c r="P25" s="15">
        <f>Raw!AQ25</f>
        <v>2</v>
      </c>
      <c r="Q25" s="15">
        <f>Raw!AR25</f>
        <v>7</v>
      </c>
      <c r="R25" s="15">
        <f>Raw!AS25</f>
        <v>1</v>
      </c>
      <c r="S25" s="15">
        <f>Raw!AT25</f>
        <v>2</v>
      </c>
      <c r="T25" s="15">
        <f t="shared" si="1"/>
        <v>33</v>
      </c>
      <c r="U25" s="15">
        <f>Raw!AV25</f>
        <v>0</v>
      </c>
      <c r="V25" s="15">
        <f>Raw!AW25</f>
        <v>0</v>
      </c>
      <c r="W25" s="15">
        <f>Raw!AX25</f>
        <v>0</v>
      </c>
      <c r="X25" s="15">
        <f>Raw!AY25</f>
        <v>0</v>
      </c>
      <c r="Y25" s="15">
        <f>Raw!AZ25</f>
        <v>0</v>
      </c>
      <c r="Z25" s="15">
        <f>Raw!BA25</f>
        <v>0</v>
      </c>
      <c r="AA25" s="15">
        <f>Raw!BB25</f>
        <v>0</v>
      </c>
      <c r="AB25" s="15">
        <f>Raw!BC25</f>
        <v>0</v>
      </c>
      <c r="AC25" s="15">
        <f>Raw!BD25</f>
        <v>0</v>
      </c>
      <c r="AD25" s="15">
        <f>Raw!BE25</f>
        <v>0</v>
      </c>
      <c r="AE25" s="15">
        <f>Raw!BF25</f>
        <v>0</v>
      </c>
      <c r="AF25" s="15">
        <f>Raw!BG25</f>
        <v>0</v>
      </c>
      <c r="AG25" s="15">
        <f>Raw!BH25</f>
        <v>0</v>
      </c>
      <c r="AH25" s="15">
        <f>Raw!BI25</f>
        <v>0</v>
      </c>
      <c r="AI25" s="15">
        <f>Raw!BJ25</f>
        <v>0</v>
      </c>
      <c r="AJ25" s="15">
        <f>Raw!BK25</f>
        <v>0</v>
      </c>
      <c r="AK25" s="15">
        <f t="shared" si="2"/>
        <v>0</v>
      </c>
      <c r="AL25" s="11">
        <f ca="1">IFERROR(__xludf.DUMMYFUNCTION("""COMPUTED_VALUE"""),2010)</f>
        <v>2010</v>
      </c>
      <c r="AM25" s="11" t="str">
        <f ca="1">IFERROR(__xludf.DUMMYFUNCTION("""COMPUTED_VALUE"""),"Non-USA")</f>
        <v>Non-USA</v>
      </c>
      <c r="AN25" s="11" t="str">
        <f ca="1">IFERROR(__xludf.DUMMYFUNCTION("""COMPUTED_VALUE"""),"Ainsworth/Crittenden")</f>
        <v>Ainsworth/Crittenden</v>
      </c>
      <c r="AO25" s="11">
        <f ca="1">IFERROR(__xludf.DUMMYFUNCTION("""COMPUTED_VALUE"""),1)</f>
        <v>1</v>
      </c>
      <c r="AP25" s="11">
        <f ca="1">IFERROR(__xludf.DUMMYFUNCTION("""COMPUTED_VALUE"""),0)</f>
        <v>0</v>
      </c>
      <c r="AQ25" s="11">
        <f ca="1">IFERROR(__xludf.DUMMYFUNCTION("""COMPUTED_VALUE"""),0)</f>
        <v>0</v>
      </c>
      <c r="AR25" s="11">
        <f ca="1">IFERROR(__xludf.DUMMYFUNCTION("""COMPUTED_VALUE"""),1)</f>
        <v>1</v>
      </c>
      <c r="AS25" s="11">
        <f ca="1">IFERROR(__xludf.DUMMYFUNCTION("""COMPUTED_VALUE"""),0.975)</f>
        <v>0.97499999999999998</v>
      </c>
      <c r="AT25" s="11">
        <f ca="1">IFERROR(__xludf.DUMMYFUNCTION("""COMPUTED_VALUE"""),0)</f>
        <v>0</v>
      </c>
      <c r="AU25" s="11" t="str">
        <f ca="1">IFERROR(__xludf.DUMMYFUNCTION("""COMPUTED_VALUE"""),"Mixed")</f>
        <v>Mixed</v>
      </c>
      <c r="AV25" s="11"/>
      <c r="AW25" s="11"/>
      <c r="AX25" s="11"/>
      <c r="AY25" s="11"/>
      <c r="AZ25" s="11"/>
      <c r="BA25" s="11"/>
      <c r="BB25" s="11"/>
      <c r="BC25" s="11"/>
      <c r="BD25" s="11"/>
      <c r="BE25" s="11"/>
      <c r="BF25" s="11"/>
      <c r="BG25" s="11"/>
      <c r="BH25" s="11"/>
      <c r="BI25" s="11"/>
      <c r="BJ25" s="11"/>
      <c r="BK25" s="11"/>
      <c r="BL25" s="11"/>
      <c r="BM25" s="11"/>
      <c r="BN25" s="11"/>
    </row>
    <row r="26" spans="1:66" ht="15.75" customHeight="1">
      <c r="A26" s="11">
        <f>Raw!D26</f>
        <v>16</v>
      </c>
      <c r="B26" s="11" t="str">
        <f>Raw!A26</f>
        <v>Howes &amp; Hamilton (1992)</v>
      </c>
      <c r="C26" s="11">
        <f>Raw!G26</f>
        <v>1</v>
      </c>
      <c r="D26" s="11" t="str">
        <f>Raw!E26</f>
        <v>Sample 2</v>
      </c>
      <c r="E26" s="11" t="str">
        <f>Processed!E26</f>
        <v>Infancy - Preschool</v>
      </c>
      <c r="F26" s="15">
        <f>Raw!AA26</f>
        <v>17</v>
      </c>
      <c r="G26" s="15">
        <f>Raw!AB26</f>
        <v>16</v>
      </c>
      <c r="H26" s="15">
        <f>Raw!AC26</f>
        <v>50</v>
      </c>
      <c r="I26" s="15">
        <f>Raw!AD26</f>
        <v>6</v>
      </c>
      <c r="J26" s="15">
        <f t="shared" si="0"/>
        <v>89</v>
      </c>
      <c r="K26" s="15">
        <f>Raw!AL26</f>
        <v>50</v>
      </c>
      <c r="L26" s="15">
        <f>Raw!AM26</f>
        <v>4</v>
      </c>
      <c r="M26" s="15">
        <f>Raw!AN26</f>
        <v>2</v>
      </c>
      <c r="N26" s="15">
        <f>Raw!AO26</f>
        <v>13</v>
      </c>
      <c r="O26" s="15">
        <f>Raw!AP26</f>
        <v>5</v>
      </c>
      <c r="P26" s="15">
        <f>Raw!AQ26</f>
        <v>4</v>
      </c>
      <c r="Q26" s="15">
        <f>Raw!AR26</f>
        <v>3</v>
      </c>
      <c r="R26" s="15">
        <f>Raw!AS26</f>
        <v>0</v>
      </c>
      <c r="S26" s="15">
        <f>Raw!AT26</f>
        <v>8</v>
      </c>
      <c r="T26" s="15">
        <f t="shared" si="1"/>
        <v>89</v>
      </c>
      <c r="U26" s="15">
        <f>Raw!AV26</f>
        <v>0</v>
      </c>
      <c r="V26" s="15">
        <f>Raw!AW26</f>
        <v>0</v>
      </c>
      <c r="W26" s="15">
        <f>Raw!AX26</f>
        <v>0</v>
      </c>
      <c r="X26" s="15">
        <f>Raw!AY26</f>
        <v>0</v>
      </c>
      <c r="Y26" s="15">
        <f>Raw!AZ26</f>
        <v>0</v>
      </c>
      <c r="Z26" s="15">
        <f>Raw!BA26</f>
        <v>0</v>
      </c>
      <c r="AA26" s="15">
        <f>Raw!BB26</f>
        <v>0</v>
      </c>
      <c r="AB26" s="15">
        <f>Raw!BC26</f>
        <v>0</v>
      </c>
      <c r="AC26" s="15">
        <f>Raw!BD26</f>
        <v>0</v>
      </c>
      <c r="AD26" s="15">
        <f>Raw!BE26</f>
        <v>0</v>
      </c>
      <c r="AE26" s="15">
        <f>Raw!BF26</f>
        <v>0</v>
      </c>
      <c r="AF26" s="15">
        <f>Raw!BG26</f>
        <v>0</v>
      </c>
      <c r="AG26" s="15">
        <f>Raw!BH26</f>
        <v>0</v>
      </c>
      <c r="AH26" s="15">
        <f>Raw!BI26</f>
        <v>0</v>
      </c>
      <c r="AI26" s="15">
        <f>Raw!BJ26</f>
        <v>0</v>
      </c>
      <c r="AJ26" s="15">
        <f>Raw!BK26</f>
        <v>0</v>
      </c>
      <c r="AK26" s="15">
        <f t="shared" si="2"/>
        <v>0</v>
      </c>
      <c r="AL26" s="11">
        <f ca="1">IFERROR(__xludf.DUMMYFUNCTION("""COMPUTED_VALUE"""),1992)</f>
        <v>1992</v>
      </c>
      <c r="AM26" s="11" t="str">
        <f ca="1">IFERROR(__xludf.DUMMYFUNCTION("""COMPUTED_VALUE"""),"USA")</f>
        <v>USA</v>
      </c>
      <c r="AN26" s="11" t="str">
        <f ca="1">IFERROR(__xludf.DUMMYFUNCTION("""COMPUTED_VALUE"""),"Ainsworth/Cassidy-Marvin")</f>
        <v>Ainsworth/Cassidy-Marvin</v>
      </c>
      <c r="AO26" s="11">
        <f ca="1">IFERROR(__xludf.DUMMYFUNCTION("""COMPUTED_VALUE"""),1)</f>
        <v>1</v>
      </c>
      <c r="AP26" s="11">
        <f ca="1">IFERROR(__xludf.DUMMYFUNCTION("""COMPUTED_VALUE"""),0)</f>
        <v>0</v>
      </c>
      <c r="AQ26" s="11">
        <f ca="1">IFERROR(__xludf.DUMMYFUNCTION("""COMPUTED_VALUE"""),0)</f>
        <v>0</v>
      </c>
      <c r="AR26" s="11">
        <f ca="1">IFERROR(__xludf.DUMMYFUNCTION("""COMPUTED_VALUE"""),1)</f>
        <v>1</v>
      </c>
      <c r="AS26" s="11" t="str">
        <f ca="1">IFERROR(__xludf.DUMMYFUNCTION("""COMPUTED_VALUE"""),"")</f>
        <v/>
      </c>
      <c r="AT26" s="11">
        <f ca="1">IFERROR(__xludf.DUMMYFUNCTION("""COMPUTED_VALUE"""),0)</f>
        <v>0</v>
      </c>
      <c r="AU26" s="11" t="str">
        <f ca="1">IFERROR(__xludf.DUMMYFUNCTION("""COMPUTED_VALUE"""),"Female")</f>
        <v>Female</v>
      </c>
      <c r="AV26" s="11"/>
      <c r="AW26" s="11"/>
      <c r="AX26" s="11"/>
      <c r="AY26" s="11"/>
      <c r="AZ26" s="11"/>
      <c r="BA26" s="11"/>
      <c r="BB26" s="11"/>
      <c r="BC26" s="11"/>
      <c r="BD26" s="11"/>
      <c r="BE26" s="11"/>
      <c r="BF26" s="11"/>
      <c r="BG26" s="11"/>
      <c r="BH26" s="11"/>
      <c r="BI26" s="11"/>
      <c r="BJ26" s="11"/>
      <c r="BK26" s="11"/>
      <c r="BL26" s="11"/>
      <c r="BM26" s="11"/>
      <c r="BN26" s="11"/>
    </row>
    <row r="27" spans="1:66" ht="15.75" customHeight="1">
      <c r="A27" s="11">
        <f>Raw!D27</f>
        <v>17</v>
      </c>
      <c r="B27" s="11" t="str">
        <f>Raw!A27</f>
        <v>Jacobsen et al. (1997)</v>
      </c>
      <c r="C27" s="11">
        <f>Raw!G27</f>
        <v>1</v>
      </c>
      <c r="D27" s="11" t="str">
        <f>Raw!E27</f>
        <v>60 month interval</v>
      </c>
      <c r="E27" s="11" t="str">
        <f>Processed!E27</f>
        <v>Infancy - Preschool</v>
      </c>
      <c r="F27" s="15">
        <f>Raw!AA27</f>
        <v>0</v>
      </c>
      <c r="G27" s="15">
        <f>Raw!AB27</f>
        <v>0</v>
      </c>
      <c r="H27" s="15">
        <f>Raw!AC27</f>
        <v>0</v>
      </c>
      <c r="I27" s="15">
        <f>Raw!AD27</f>
        <v>0</v>
      </c>
      <c r="J27" s="15">
        <f t="shared" si="0"/>
        <v>0</v>
      </c>
      <c r="K27" s="15">
        <f>Raw!AL27</f>
        <v>0</v>
      </c>
      <c r="L27" s="15">
        <f>Raw!AM27</f>
        <v>0</v>
      </c>
      <c r="M27" s="15">
        <f>Raw!AN27</f>
        <v>0</v>
      </c>
      <c r="N27" s="15">
        <f>Raw!AO27</f>
        <v>0</v>
      </c>
      <c r="O27" s="15">
        <f>Raw!AP27</f>
        <v>0</v>
      </c>
      <c r="P27" s="15">
        <f>Raw!AQ27</f>
        <v>0</v>
      </c>
      <c r="Q27" s="15">
        <f>Raw!AR27</f>
        <v>0</v>
      </c>
      <c r="R27" s="15">
        <f>Raw!AS27</f>
        <v>0</v>
      </c>
      <c r="S27" s="15">
        <f>Raw!AT27</f>
        <v>0</v>
      </c>
      <c r="T27" s="15">
        <f t="shared" si="1"/>
        <v>0</v>
      </c>
      <c r="U27" s="15">
        <f>Raw!AV27</f>
        <v>0</v>
      </c>
      <c r="V27" s="15">
        <f>Raw!AW27</f>
        <v>0</v>
      </c>
      <c r="W27" s="15">
        <f>Raw!AX27</f>
        <v>0</v>
      </c>
      <c r="X27" s="15">
        <f>Raw!AY27</f>
        <v>0</v>
      </c>
      <c r="Y27" s="15">
        <f>Raw!AZ27</f>
        <v>0</v>
      </c>
      <c r="Z27" s="15">
        <f>Raw!BA27</f>
        <v>0</v>
      </c>
      <c r="AA27" s="15">
        <f>Raw!BB27</f>
        <v>0</v>
      </c>
      <c r="AB27" s="15">
        <f>Raw!BC27</f>
        <v>0</v>
      </c>
      <c r="AC27" s="15">
        <f>Raw!BD27</f>
        <v>0</v>
      </c>
      <c r="AD27" s="15">
        <f>Raw!BE27</f>
        <v>0</v>
      </c>
      <c r="AE27" s="15">
        <f>Raw!BF27</f>
        <v>0</v>
      </c>
      <c r="AF27" s="15">
        <f>Raw!BG27</f>
        <v>0</v>
      </c>
      <c r="AG27" s="15">
        <f>Raw!BH27</f>
        <v>0</v>
      </c>
      <c r="AH27" s="15">
        <f>Raw!BI27</f>
        <v>0</v>
      </c>
      <c r="AI27" s="15">
        <f>Raw!BJ27</f>
        <v>0</v>
      </c>
      <c r="AJ27" s="15">
        <f>Raw!BK27</f>
        <v>0</v>
      </c>
      <c r="AK27" s="15">
        <f t="shared" si="2"/>
        <v>0</v>
      </c>
      <c r="AL27" s="11">
        <f ca="1">IFERROR(__xludf.DUMMYFUNCTION("""COMPUTED_VALUE"""),1997)</f>
        <v>1997</v>
      </c>
      <c r="AM27" s="11" t="str">
        <f ca="1">IFERROR(__xludf.DUMMYFUNCTION("""COMPUTED_VALUE"""),"Non-USA")</f>
        <v>Non-USA</v>
      </c>
      <c r="AN27" s="11" t="str">
        <f ca="1">IFERROR(__xludf.DUMMYFUNCTION("""COMPUTED_VALUE"""),"Ainsworth/Main-Cassidy")</f>
        <v>Ainsworth/Main-Cassidy</v>
      </c>
      <c r="AO27" s="11">
        <f ca="1">IFERROR(__xludf.DUMMYFUNCTION("""COMPUTED_VALUE"""),1)</f>
        <v>1</v>
      </c>
      <c r="AP27" s="11">
        <f ca="1">IFERROR(__xludf.DUMMYFUNCTION("""COMPUTED_VALUE"""),0)</f>
        <v>0</v>
      </c>
      <c r="AQ27" s="11">
        <f ca="1">IFERROR(__xludf.DUMMYFUNCTION("""COMPUTED_VALUE"""),0)</f>
        <v>0</v>
      </c>
      <c r="AR27" s="11">
        <f ca="1">IFERROR(__xludf.DUMMYFUNCTION("""COMPUTED_VALUE"""),1)</f>
        <v>1</v>
      </c>
      <c r="AS27" s="11" t="str">
        <f ca="1">IFERROR(__xludf.DUMMYFUNCTION("""COMPUTED_VALUE"""),"")</f>
        <v/>
      </c>
      <c r="AT27" s="11">
        <f ca="1">IFERROR(__xludf.DUMMYFUNCTION("""COMPUTED_VALUE"""),1)</f>
        <v>1</v>
      </c>
      <c r="AU27" s="11" t="str">
        <f ca="1">IFERROR(__xludf.DUMMYFUNCTION("""COMPUTED_VALUE"""),"Female")</f>
        <v>Female</v>
      </c>
      <c r="AV27" s="11"/>
      <c r="AW27" s="11"/>
      <c r="AX27" s="11"/>
      <c r="AY27" s="11"/>
      <c r="AZ27" s="11"/>
      <c r="BA27" s="11"/>
      <c r="BB27" s="11"/>
      <c r="BC27" s="11"/>
      <c r="BD27" s="11"/>
      <c r="BE27" s="11"/>
      <c r="BF27" s="11"/>
      <c r="BG27" s="11"/>
      <c r="BH27" s="11"/>
      <c r="BI27" s="11"/>
      <c r="BJ27" s="11"/>
      <c r="BK27" s="11"/>
      <c r="BL27" s="11"/>
      <c r="BM27" s="11"/>
      <c r="BN27" s="11"/>
    </row>
    <row r="28" spans="1:66" ht="12.9">
      <c r="A28" s="11">
        <f>Raw!D28</f>
        <v>17</v>
      </c>
      <c r="B28" s="11" t="str">
        <f>Raw!A28</f>
        <v>Jacobsen et al. (1997)</v>
      </c>
      <c r="C28" s="11">
        <f>Raw!G28</f>
        <v>2</v>
      </c>
      <c r="D28" s="11" t="str">
        <f>Raw!E28</f>
        <v>54 month interval</v>
      </c>
      <c r="E28" s="11" t="str">
        <f>Processed!E28</f>
        <v>Infancy - Preschool</v>
      </c>
      <c r="F28" s="15">
        <f>Raw!AA28</f>
        <v>0</v>
      </c>
      <c r="G28" s="15">
        <f>Raw!AB28</f>
        <v>0</v>
      </c>
      <c r="H28" s="15">
        <f>Raw!AC28</f>
        <v>0</v>
      </c>
      <c r="I28" s="15">
        <f>Raw!AD28</f>
        <v>0</v>
      </c>
      <c r="J28" s="15">
        <f t="shared" si="0"/>
        <v>0</v>
      </c>
      <c r="K28" s="15">
        <f>Raw!AL28</f>
        <v>0</v>
      </c>
      <c r="L28" s="15">
        <f>Raw!AM28</f>
        <v>0</v>
      </c>
      <c r="M28" s="15">
        <f>Raw!AN28</f>
        <v>0</v>
      </c>
      <c r="N28" s="15">
        <f>Raw!AO28</f>
        <v>0</v>
      </c>
      <c r="O28" s="15">
        <f>Raw!AP28</f>
        <v>0</v>
      </c>
      <c r="P28" s="15">
        <f>Raw!AQ28</f>
        <v>0</v>
      </c>
      <c r="Q28" s="15">
        <f>Raw!AR28</f>
        <v>0</v>
      </c>
      <c r="R28" s="15">
        <f>Raw!AS28</f>
        <v>0</v>
      </c>
      <c r="S28" s="15">
        <f>Raw!AT28</f>
        <v>0</v>
      </c>
      <c r="T28" s="15">
        <f t="shared" si="1"/>
        <v>0</v>
      </c>
      <c r="U28" s="15">
        <f>Raw!AV28</f>
        <v>0</v>
      </c>
      <c r="V28" s="15">
        <f>Raw!AW28</f>
        <v>0</v>
      </c>
      <c r="W28" s="15">
        <f>Raw!AX28</f>
        <v>0</v>
      </c>
      <c r="X28" s="15">
        <f>Raw!AY28</f>
        <v>0</v>
      </c>
      <c r="Y28" s="15">
        <f>Raw!AZ28</f>
        <v>0</v>
      </c>
      <c r="Z28" s="15">
        <f>Raw!BA28</f>
        <v>0</v>
      </c>
      <c r="AA28" s="15">
        <f>Raw!BB28</f>
        <v>0</v>
      </c>
      <c r="AB28" s="15">
        <f>Raw!BC28</f>
        <v>0</v>
      </c>
      <c r="AC28" s="15">
        <f>Raw!BD28</f>
        <v>0</v>
      </c>
      <c r="AD28" s="15">
        <f>Raw!BE28</f>
        <v>0</v>
      </c>
      <c r="AE28" s="15">
        <f>Raw!BF28</f>
        <v>0</v>
      </c>
      <c r="AF28" s="15">
        <f>Raw!BG28</f>
        <v>0</v>
      </c>
      <c r="AG28" s="15">
        <f>Raw!BH28</f>
        <v>0</v>
      </c>
      <c r="AH28" s="15">
        <f>Raw!BI28</f>
        <v>0</v>
      </c>
      <c r="AI28" s="15">
        <f>Raw!BJ28</f>
        <v>0</v>
      </c>
      <c r="AJ28" s="15">
        <f>Raw!BK28</f>
        <v>0</v>
      </c>
      <c r="AK28" s="15">
        <f t="shared" si="2"/>
        <v>0</v>
      </c>
      <c r="AL28" s="11">
        <f ca="1">IFERROR(__xludf.DUMMYFUNCTION("""COMPUTED_VALUE"""),1997)</f>
        <v>1997</v>
      </c>
      <c r="AM28" s="11" t="str">
        <f ca="1">IFERROR(__xludf.DUMMYFUNCTION("""COMPUTED_VALUE"""),"Non-USA")</f>
        <v>Non-USA</v>
      </c>
      <c r="AN28" s="11" t="str">
        <f ca="1">IFERROR(__xludf.DUMMYFUNCTION("""COMPUTED_VALUE"""),"Ainsworth/Main-Cassidy")</f>
        <v>Ainsworth/Main-Cassidy</v>
      </c>
      <c r="AO28" s="11">
        <f ca="1">IFERROR(__xludf.DUMMYFUNCTION("""COMPUTED_VALUE"""),1)</f>
        <v>1</v>
      </c>
      <c r="AP28" s="11">
        <f ca="1">IFERROR(__xludf.DUMMYFUNCTION("""COMPUTED_VALUE"""),0)</f>
        <v>0</v>
      </c>
      <c r="AQ28" s="11">
        <f ca="1">IFERROR(__xludf.DUMMYFUNCTION("""COMPUTED_VALUE"""),0)</f>
        <v>0</v>
      </c>
      <c r="AR28" s="11">
        <f ca="1">IFERROR(__xludf.DUMMYFUNCTION("""COMPUTED_VALUE"""),1)</f>
        <v>1</v>
      </c>
      <c r="AS28" s="11" t="str">
        <f ca="1">IFERROR(__xludf.DUMMYFUNCTION("""COMPUTED_VALUE"""),"")</f>
        <v/>
      </c>
      <c r="AT28" s="11">
        <f ca="1">IFERROR(__xludf.DUMMYFUNCTION("""COMPUTED_VALUE"""),0)</f>
        <v>0</v>
      </c>
      <c r="AU28" s="11" t="str">
        <f ca="1">IFERROR(__xludf.DUMMYFUNCTION("""COMPUTED_VALUE"""),"Female")</f>
        <v>Female</v>
      </c>
      <c r="AV28" s="11"/>
      <c r="AW28" s="11"/>
      <c r="AX28" s="11"/>
      <c r="AY28" s="11"/>
      <c r="AZ28" s="11"/>
      <c r="BA28" s="11"/>
      <c r="BB28" s="11"/>
      <c r="BC28" s="11"/>
      <c r="BD28" s="11"/>
      <c r="BE28" s="11"/>
      <c r="BF28" s="11"/>
      <c r="BG28" s="11"/>
      <c r="BH28" s="11"/>
      <c r="BI28" s="11"/>
      <c r="BJ28" s="11"/>
      <c r="BK28" s="11"/>
      <c r="BL28" s="11"/>
      <c r="BM28" s="11"/>
      <c r="BN28" s="11"/>
    </row>
    <row r="29" spans="1:66" ht="12.9">
      <c r="A29" s="11">
        <f>Raw!D29</f>
        <v>18</v>
      </c>
      <c r="B29" s="11" t="str">
        <f>Raw!A29</f>
        <v>Jacobsen et al. (2014)</v>
      </c>
      <c r="C29" s="11">
        <f>Raw!G29</f>
        <v>1</v>
      </c>
      <c r="D29" s="11" t="str">
        <f>Raw!E29</f>
        <v>Foster children</v>
      </c>
      <c r="E29" s="11" t="str">
        <f>Processed!E29</f>
        <v>Toddlerhood - Preschool</v>
      </c>
      <c r="F29" s="15">
        <f>Raw!AA29</f>
        <v>7</v>
      </c>
      <c r="G29" s="15">
        <f>Raw!AB29</f>
        <v>11</v>
      </c>
      <c r="H29" s="15">
        <f>Raw!AC29</f>
        <v>26</v>
      </c>
      <c r="I29" s="15">
        <f>Raw!AD29</f>
        <v>11</v>
      </c>
      <c r="J29" s="15">
        <f t="shared" si="0"/>
        <v>55</v>
      </c>
      <c r="K29" s="15">
        <f>Raw!AL29</f>
        <v>0</v>
      </c>
      <c r="L29" s="15">
        <f>Raw!AM29</f>
        <v>0</v>
      </c>
      <c r="M29" s="15">
        <f>Raw!AN29</f>
        <v>0</v>
      </c>
      <c r="N29" s="15">
        <f>Raw!AO29</f>
        <v>0</v>
      </c>
      <c r="O29" s="15">
        <f>Raw!AP29</f>
        <v>0</v>
      </c>
      <c r="P29" s="15">
        <f>Raw!AQ29</f>
        <v>0</v>
      </c>
      <c r="Q29" s="15">
        <f>Raw!AR29</f>
        <v>0</v>
      </c>
      <c r="R29" s="15">
        <f>Raw!AS29</f>
        <v>0</v>
      </c>
      <c r="S29" s="15">
        <f>Raw!AT29</f>
        <v>0</v>
      </c>
      <c r="T29" s="15">
        <f t="shared" si="1"/>
        <v>0</v>
      </c>
      <c r="U29" s="15">
        <f>Raw!AV29</f>
        <v>0</v>
      </c>
      <c r="V29" s="15">
        <f>Raw!AW29</f>
        <v>0</v>
      </c>
      <c r="W29" s="15">
        <f>Raw!AX29</f>
        <v>0</v>
      </c>
      <c r="X29" s="15">
        <f>Raw!AY29</f>
        <v>0</v>
      </c>
      <c r="Y29" s="15">
        <f>Raw!AZ29</f>
        <v>0</v>
      </c>
      <c r="Z29" s="15">
        <f>Raw!BA29</f>
        <v>0</v>
      </c>
      <c r="AA29" s="15">
        <f>Raw!BB29</f>
        <v>0</v>
      </c>
      <c r="AB29" s="15">
        <f>Raw!BC29</f>
        <v>0</v>
      </c>
      <c r="AC29" s="15">
        <f>Raw!BD29</f>
        <v>0</v>
      </c>
      <c r="AD29" s="15">
        <f>Raw!BE29</f>
        <v>0</v>
      </c>
      <c r="AE29" s="15">
        <f>Raw!BF29</f>
        <v>0</v>
      </c>
      <c r="AF29" s="15">
        <f>Raw!BG29</f>
        <v>0</v>
      </c>
      <c r="AG29" s="15">
        <f>Raw!BH29</f>
        <v>0</v>
      </c>
      <c r="AH29" s="15">
        <f>Raw!BI29</f>
        <v>0</v>
      </c>
      <c r="AI29" s="15">
        <f>Raw!BJ29</f>
        <v>0</v>
      </c>
      <c r="AJ29" s="15">
        <f>Raw!BK29</f>
        <v>0</v>
      </c>
      <c r="AK29" s="15">
        <f t="shared" si="2"/>
        <v>0</v>
      </c>
      <c r="AL29" s="11">
        <f ca="1">IFERROR(__xludf.DUMMYFUNCTION("""COMPUTED_VALUE"""),2014)</f>
        <v>2014</v>
      </c>
      <c r="AM29" s="11" t="str">
        <f ca="1">IFERROR(__xludf.DUMMYFUNCTION("""COMPUTED_VALUE"""),"Non-USA")</f>
        <v>Non-USA</v>
      </c>
      <c r="AN29" s="11" t="str">
        <f ca="1">IFERROR(__xludf.DUMMYFUNCTION("""COMPUTED_VALUE"""),"Ainsworth/Cassidy-Marvin")</f>
        <v>Ainsworth/Cassidy-Marvin</v>
      </c>
      <c r="AO29" s="11">
        <f ca="1">IFERROR(__xludf.DUMMYFUNCTION("""COMPUTED_VALUE"""),0)</f>
        <v>0</v>
      </c>
      <c r="AP29" s="11">
        <f ca="1">IFERROR(__xludf.DUMMYFUNCTION("""COMPUTED_VALUE"""),1)</f>
        <v>1</v>
      </c>
      <c r="AQ29" s="11">
        <f ca="1">IFERROR(__xludf.DUMMYFUNCTION("""COMPUTED_VALUE"""),0)</f>
        <v>0</v>
      </c>
      <c r="AR29" s="11">
        <f ca="1">IFERROR(__xludf.DUMMYFUNCTION("""COMPUTED_VALUE"""),1)</f>
        <v>1</v>
      </c>
      <c r="AS29" s="11">
        <f ca="1">IFERROR(__xludf.DUMMYFUNCTION("""COMPUTED_VALUE"""),0.82)</f>
        <v>0.82</v>
      </c>
      <c r="AT29" s="11">
        <f ca="1">IFERROR(__xludf.DUMMYFUNCTION("""COMPUTED_VALUE"""),0)</f>
        <v>0</v>
      </c>
      <c r="AU29" s="11" t="str">
        <f ca="1">IFERROR(__xludf.DUMMYFUNCTION("""COMPUTED_VALUE"""),"Female")</f>
        <v>Female</v>
      </c>
      <c r="AV29" s="11"/>
      <c r="AW29" s="11"/>
      <c r="AX29" s="11"/>
      <c r="AY29" s="11"/>
      <c r="AZ29" s="11"/>
      <c r="BA29" s="11"/>
      <c r="BB29" s="11"/>
      <c r="BC29" s="11"/>
      <c r="BD29" s="11"/>
      <c r="BE29" s="11"/>
      <c r="BF29" s="11"/>
      <c r="BG29" s="11"/>
      <c r="BH29" s="11"/>
      <c r="BI29" s="11"/>
      <c r="BJ29" s="11"/>
      <c r="BK29" s="11"/>
      <c r="BL29" s="11"/>
      <c r="BM29" s="11"/>
      <c r="BN29" s="11"/>
    </row>
    <row r="30" spans="1:66" ht="12.9">
      <c r="A30" s="11">
        <f>Raw!D30</f>
        <v>19</v>
      </c>
      <c r="B30" s="11" t="str">
        <f>Raw!A30</f>
        <v>Jacobsen et al. (2014)</v>
      </c>
      <c r="C30" s="11">
        <f>Raw!G30</f>
        <v>1</v>
      </c>
      <c r="D30" s="11" t="str">
        <f>Raw!E30</f>
        <v>Comparison</v>
      </c>
      <c r="E30" s="11" t="str">
        <f>Processed!E30</f>
        <v>Toddlerhood - Preschool</v>
      </c>
      <c r="F30" s="15">
        <f>Raw!AA30</f>
        <v>4</v>
      </c>
      <c r="G30" s="15">
        <f>Raw!AB30</f>
        <v>7</v>
      </c>
      <c r="H30" s="15">
        <f>Raw!AC30</f>
        <v>23</v>
      </c>
      <c r="I30" s="15">
        <f>Raw!AD30</f>
        <v>6</v>
      </c>
      <c r="J30" s="15">
        <f t="shared" si="0"/>
        <v>40</v>
      </c>
      <c r="K30" s="15">
        <f>Raw!AL30</f>
        <v>0</v>
      </c>
      <c r="L30" s="15">
        <f>Raw!AM30</f>
        <v>0</v>
      </c>
      <c r="M30" s="15">
        <f>Raw!AN30</f>
        <v>0</v>
      </c>
      <c r="N30" s="15">
        <f>Raw!AO30</f>
        <v>0</v>
      </c>
      <c r="O30" s="15">
        <f>Raw!AP30</f>
        <v>0</v>
      </c>
      <c r="P30" s="15">
        <f>Raw!AQ30</f>
        <v>0</v>
      </c>
      <c r="Q30" s="15">
        <f>Raw!AR30</f>
        <v>0</v>
      </c>
      <c r="R30" s="15">
        <f>Raw!AS30</f>
        <v>0</v>
      </c>
      <c r="S30" s="15">
        <f>Raw!AT30</f>
        <v>0</v>
      </c>
      <c r="T30" s="15">
        <f t="shared" si="1"/>
        <v>0</v>
      </c>
      <c r="U30" s="15">
        <f>Raw!AV30</f>
        <v>0</v>
      </c>
      <c r="V30" s="15">
        <f>Raw!AW30</f>
        <v>0</v>
      </c>
      <c r="W30" s="15">
        <f>Raw!AX30</f>
        <v>0</v>
      </c>
      <c r="X30" s="15">
        <f>Raw!AY30</f>
        <v>0</v>
      </c>
      <c r="Y30" s="15">
        <f>Raw!AZ30</f>
        <v>0</v>
      </c>
      <c r="Z30" s="15">
        <f>Raw!BA30</f>
        <v>0</v>
      </c>
      <c r="AA30" s="15">
        <f>Raw!BB30</f>
        <v>0</v>
      </c>
      <c r="AB30" s="15">
        <f>Raw!BC30</f>
        <v>0</v>
      </c>
      <c r="AC30" s="15">
        <f>Raw!BD30</f>
        <v>0</v>
      </c>
      <c r="AD30" s="15">
        <f>Raw!BE30</f>
        <v>0</v>
      </c>
      <c r="AE30" s="15">
        <f>Raw!BF30</f>
        <v>0</v>
      </c>
      <c r="AF30" s="15">
        <f>Raw!BG30</f>
        <v>0</v>
      </c>
      <c r="AG30" s="15">
        <f>Raw!BH30</f>
        <v>0</v>
      </c>
      <c r="AH30" s="15">
        <f>Raw!BI30</f>
        <v>0</v>
      </c>
      <c r="AI30" s="15">
        <f>Raw!BJ30</f>
        <v>0</v>
      </c>
      <c r="AJ30" s="15">
        <f>Raw!BK30</f>
        <v>0</v>
      </c>
      <c r="AK30" s="15">
        <f t="shared" si="2"/>
        <v>0</v>
      </c>
      <c r="AL30" s="11">
        <f ca="1">IFERROR(__xludf.DUMMYFUNCTION("""COMPUTED_VALUE"""),2014)</f>
        <v>2014</v>
      </c>
      <c r="AM30" s="11" t="str">
        <f ca="1">IFERROR(__xludf.DUMMYFUNCTION("""COMPUTED_VALUE"""),"Non-USA")</f>
        <v>Non-USA</v>
      </c>
      <c r="AN30" s="11" t="str">
        <f ca="1">IFERROR(__xludf.DUMMYFUNCTION("""COMPUTED_VALUE"""),"Cassidy-Marvin/Cassidy-Marvin")</f>
        <v>Cassidy-Marvin/Cassidy-Marvin</v>
      </c>
      <c r="AO30" s="11">
        <f ca="1">IFERROR(__xludf.DUMMYFUNCTION("""COMPUTED_VALUE"""),0)</f>
        <v>0</v>
      </c>
      <c r="AP30" s="11">
        <f ca="1">IFERROR(__xludf.DUMMYFUNCTION("""COMPUTED_VALUE"""),0)</f>
        <v>0</v>
      </c>
      <c r="AQ30" s="11">
        <f ca="1">IFERROR(__xludf.DUMMYFUNCTION("""COMPUTED_VALUE"""),0)</f>
        <v>0</v>
      </c>
      <c r="AR30" s="11">
        <f ca="1">IFERROR(__xludf.DUMMYFUNCTION("""COMPUTED_VALUE"""),1)</f>
        <v>1</v>
      </c>
      <c r="AS30" s="11">
        <f ca="1">IFERROR(__xludf.DUMMYFUNCTION("""COMPUTED_VALUE"""),0.82)</f>
        <v>0.82</v>
      </c>
      <c r="AT30" s="11">
        <f ca="1">IFERROR(__xludf.DUMMYFUNCTION("""COMPUTED_VALUE"""),0)</f>
        <v>0</v>
      </c>
      <c r="AU30" s="11" t="str">
        <f ca="1">IFERROR(__xludf.DUMMYFUNCTION("""COMPUTED_VALUE"""),"Female")</f>
        <v>Female</v>
      </c>
      <c r="AV30" s="11"/>
      <c r="AW30" s="11"/>
      <c r="AX30" s="11"/>
      <c r="AY30" s="11"/>
      <c r="AZ30" s="11"/>
      <c r="BA30" s="11"/>
      <c r="BB30" s="11"/>
      <c r="BC30" s="11"/>
      <c r="BD30" s="11"/>
      <c r="BE30" s="11"/>
      <c r="BF30" s="11"/>
      <c r="BG30" s="11"/>
      <c r="BH30" s="11"/>
      <c r="BI30" s="11"/>
      <c r="BJ30" s="11"/>
      <c r="BK30" s="11"/>
      <c r="BL30" s="11"/>
      <c r="BM30" s="11"/>
      <c r="BN30" s="11"/>
    </row>
    <row r="31" spans="1:66" ht="12.9">
      <c r="A31" s="11">
        <f>Raw!D31</f>
        <v>20</v>
      </c>
      <c r="B31" s="11" t="str">
        <f>Raw!A31</f>
        <v xml:space="preserve">Korntheuer, Lissmann &amp; Lohaus (2010) </v>
      </c>
      <c r="C31" s="11">
        <f>Raw!G31</f>
        <v>1</v>
      </c>
      <c r="D31" s="11" t="str">
        <f>Raw!E31</f>
        <v>Single sample</v>
      </c>
      <c r="E31" s="11" t="str">
        <f>Processed!E31</f>
        <v>Infancy - Toddlerhood</v>
      </c>
      <c r="F31" s="15">
        <f>Raw!AA31</f>
        <v>23</v>
      </c>
      <c r="G31" s="15">
        <f>Raw!AB31</f>
        <v>16</v>
      </c>
      <c r="H31" s="15">
        <f>Raw!AC31</f>
        <v>28</v>
      </c>
      <c r="I31" s="15">
        <f>Raw!AD31</f>
        <v>14</v>
      </c>
      <c r="J31" s="15">
        <f t="shared" si="0"/>
        <v>81</v>
      </c>
      <c r="K31" s="15">
        <f>Raw!AL31</f>
        <v>0</v>
      </c>
      <c r="L31" s="15">
        <f>Raw!AM31</f>
        <v>0</v>
      </c>
      <c r="M31" s="15">
        <f>Raw!AN31</f>
        <v>0</v>
      </c>
      <c r="N31" s="15">
        <f>Raw!AO31</f>
        <v>0</v>
      </c>
      <c r="O31" s="15">
        <f>Raw!AP31</f>
        <v>0</v>
      </c>
      <c r="P31" s="15">
        <f>Raw!AQ31</f>
        <v>0</v>
      </c>
      <c r="Q31" s="15">
        <f>Raw!AR31</f>
        <v>0</v>
      </c>
      <c r="R31" s="15">
        <f>Raw!AS31</f>
        <v>0</v>
      </c>
      <c r="S31" s="15">
        <f>Raw!AT31</f>
        <v>0</v>
      </c>
      <c r="T31" s="15">
        <f t="shared" si="1"/>
        <v>0</v>
      </c>
      <c r="U31" s="15">
        <f>Raw!AV31</f>
        <v>0</v>
      </c>
      <c r="V31" s="15">
        <f>Raw!AW31</f>
        <v>0</v>
      </c>
      <c r="W31" s="15">
        <f>Raw!AX31</f>
        <v>0</v>
      </c>
      <c r="X31" s="15">
        <f>Raw!AY31</f>
        <v>0</v>
      </c>
      <c r="Y31" s="15">
        <f>Raw!AZ31</f>
        <v>0</v>
      </c>
      <c r="Z31" s="15">
        <f>Raw!BA31</f>
        <v>0</v>
      </c>
      <c r="AA31" s="15">
        <f>Raw!BB31</f>
        <v>0</v>
      </c>
      <c r="AB31" s="15">
        <f>Raw!BC31</f>
        <v>0</v>
      </c>
      <c r="AC31" s="15">
        <f>Raw!BD31</f>
        <v>0</v>
      </c>
      <c r="AD31" s="15">
        <f>Raw!BE31</f>
        <v>0</v>
      </c>
      <c r="AE31" s="15">
        <f>Raw!BF31</f>
        <v>0</v>
      </c>
      <c r="AF31" s="15">
        <f>Raw!BG31</f>
        <v>0</v>
      </c>
      <c r="AG31" s="15">
        <f>Raw!BH31</f>
        <v>0</v>
      </c>
      <c r="AH31" s="15">
        <f>Raw!BI31</f>
        <v>0</v>
      </c>
      <c r="AI31" s="15">
        <f>Raw!BJ31</f>
        <v>0</v>
      </c>
      <c r="AJ31" s="15">
        <f>Raw!BK31</f>
        <v>0</v>
      </c>
      <c r="AK31" s="15">
        <f t="shared" si="2"/>
        <v>0</v>
      </c>
      <c r="AL31" s="11">
        <f ca="1">IFERROR(__xludf.DUMMYFUNCTION("""COMPUTED_VALUE"""),2010)</f>
        <v>2010</v>
      </c>
      <c r="AM31" s="11" t="str">
        <f ca="1">IFERROR(__xludf.DUMMYFUNCTION("""COMPUTED_VALUE"""),"Non-USA")</f>
        <v>Non-USA</v>
      </c>
      <c r="AN31" s="11" t="str">
        <f ca="1">IFERROR(__xludf.DUMMYFUNCTION("""COMPUTED_VALUE"""),"Ainsworth/Grossmann")</f>
        <v>Ainsworth/Grossmann</v>
      </c>
      <c r="AO31" s="11">
        <f ca="1">IFERROR(__xludf.DUMMYFUNCTION("""COMPUTED_VALUE"""),1)</f>
        <v>1</v>
      </c>
      <c r="AP31" s="11">
        <f ca="1">IFERROR(__xludf.DUMMYFUNCTION("""COMPUTED_VALUE"""),0)</f>
        <v>0</v>
      </c>
      <c r="AQ31" s="11">
        <f ca="1">IFERROR(__xludf.DUMMYFUNCTION("""COMPUTED_VALUE"""),0)</f>
        <v>0</v>
      </c>
      <c r="AR31" s="11">
        <f ca="1">IFERROR(__xludf.DUMMYFUNCTION("""COMPUTED_VALUE"""),1)</f>
        <v>1</v>
      </c>
      <c r="AS31" s="11" t="str">
        <f ca="1">IFERROR(__xludf.DUMMYFUNCTION("""COMPUTED_VALUE"""),"")</f>
        <v/>
      </c>
      <c r="AT31" s="11">
        <f ca="1">IFERROR(__xludf.DUMMYFUNCTION("""COMPUTED_VALUE"""),0)</f>
        <v>0</v>
      </c>
      <c r="AU31" s="11" t="str">
        <f ca="1">IFERROR(__xludf.DUMMYFUNCTION("""COMPUTED_VALUE"""),"Female")</f>
        <v>Female</v>
      </c>
      <c r="AV31" s="11"/>
      <c r="AW31" s="11"/>
      <c r="AX31" s="11"/>
      <c r="AY31" s="11"/>
      <c r="AZ31" s="11"/>
      <c r="BA31" s="11"/>
      <c r="BB31" s="11"/>
      <c r="BC31" s="11"/>
      <c r="BD31" s="11"/>
      <c r="BE31" s="11"/>
      <c r="BF31" s="11"/>
      <c r="BG31" s="11"/>
      <c r="BH31" s="11"/>
      <c r="BI31" s="11"/>
      <c r="BJ31" s="11"/>
      <c r="BK31" s="11"/>
      <c r="BL31" s="11"/>
      <c r="BM31" s="11"/>
      <c r="BN31" s="11"/>
    </row>
    <row r="32" spans="1:66" ht="12.9">
      <c r="A32" s="11">
        <f>Raw!D32</f>
        <v>21</v>
      </c>
      <c r="B32" s="11" t="str">
        <f>Raw!A32</f>
        <v>Levendosky et al. (2011)</v>
      </c>
      <c r="C32" s="11">
        <f>Raw!G32</f>
        <v>1</v>
      </c>
      <c r="D32" s="11" t="str">
        <f>Raw!E32</f>
        <v>Domestic violence dyads</v>
      </c>
      <c r="E32" s="11" t="str">
        <f>Processed!E32</f>
        <v>Infancy - Preschool</v>
      </c>
      <c r="F32" s="15">
        <f>Raw!AA32</f>
        <v>28</v>
      </c>
      <c r="G32" s="15">
        <f>Raw!AB32</f>
        <v>38</v>
      </c>
      <c r="H32" s="15">
        <f>Raw!AC32</f>
        <v>58</v>
      </c>
      <c r="I32" s="15">
        <f>Raw!AD32</f>
        <v>26</v>
      </c>
      <c r="J32" s="15">
        <f t="shared" si="0"/>
        <v>150</v>
      </c>
      <c r="K32" s="15">
        <f>Raw!AL32</f>
        <v>0</v>
      </c>
      <c r="L32" s="15">
        <f>Raw!AM32</f>
        <v>0</v>
      </c>
      <c r="M32" s="15">
        <f>Raw!AN32</f>
        <v>0</v>
      </c>
      <c r="N32" s="15">
        <f>Raw!AO32</f>
        <v>0</v>
      </c>
      <c r="O32" s="15">
        <f>Raw!AP32</f>
        <v>0</v>
      </c>
      <c r="P32" s="15">
        <f>Raw!AQ32</f>
        <v>0</v>
      </c>
      <c r="Q32" s="15">
        <f>Raw!AR32</f>
        <v>0</v>
      </c>
      <c r="R32" s="15">
        <f>Raw!AS32</f>
        <v>0</v>
      </c>
      <c r="S32" s="15">
        <f>Raw!AT32</f>
        <v>0</v>
      </c>
      <c r="T32" s="15">
        <f t="shared" si="1"/>
        <v>0</v>
      </c>
      <c r="U32" s="15">
        <f>Raw!AV32</f>
        <v>5</v>
      </c>
      <c r="V32" s="15">
        <f>Raw!AW32</f>
        <v>13</v>
      </c>
      <c r="W32" s="15">
        <f>Raw!AX32</f>
        <v>1</v>
      </c>
      <c r="X32" s="15">
        <f>Raw!AY32</f>
        <v>7</v>
      </c>
      <c r="Y32" s="15">
        <f>Raw!AZ32</f>
        <v>14</v>
      </c>
      <c r="Z32" s="15">
        <f>Raw!BA32</f>
        <v>58</v>
      </c>
      <c r="AA32" s="15">
        <f>Raw!BB32</f>
        <v>2</v>
      </c>
      <c r="AB32" s="15">
        <f>Raw!BC32</f>
        <v>10</v>
      </c>
      <c r="AC32" s="15">
        <f>Raw!BD32</f>
        <v>5</v>
      </c>
      <c r="AD32" s="15">
        <f>Raw!BE32</f>
        <v>16</v>
      </c>
      <c r="AE32" s="15">
        <f>Raw!BF32</f>
        <v>2</v>
      </c>
      <c r="AF32" s="15">
        <f>Raw!BG32</f>
        <v>1</v>
      </c>
      <c r="AG32" s="15">
        <f>Raw!BH32</f>
        <v>4</v>
      </c>
      <c r="AH32" s="15">
        <f>Raw!BI32</f>
        <v>9</v>
      </c>
      <c r="AI32" s="15">
        <f>Raw!BJ32</f>
        <v>0</v>
      </c>
      <c r="AJ32" s="15">
        <f>Raw!BK32</f>
        <v>3</v>
      </c>
      <c r="AK32" s="15">
        <f t="shared" si="2"/>
        <v>150</v>
      </c>
      <c r="AL32" s="11">
        <f ca="1">IFERROR(__xludf.DUMMYFUNCTION("""COMPUTED_VALUE"""),2011)</f>
        <v>2011</v>
      </c>
      <c r="AM32" s="11" t="str">
        <f ca="1">IFERROR(__xludf.DUMMYFUNCTION("""COMPUTED_VALUE"""),"USA")</f>
        <v>USA</v>
      </c>
      <c r="AN32" s="11" t="str">
        <f ca="1">IFERROR(__xludf.DUMMYFUNCTION("""COMPUTED_VALUE"""),"Ainsworth/Cassidy-Marvin")</f>
        <v>Ainsworth/Cassidy-Marvin</v>
      </c>
      <c r="AO32" s="11">
        <f ca="1">IFERROR(__xludf.DUMMYFUNCTION("""COMPUTED_VALUE"""),1)</f>
        <v>1</v>
      </c>
      <c r="AP32" s="11">
        <f ca="1">IFERROR(__xludf.DUMMYFUNCTION("""COMPUTED_VALUE"""),1)</f>
        <v>1</v>
      </c>
      <c r="AQ32" s="11">
        <f ca="1">IFERROR(__xludf.DUMMYFUNCTION("""COMPUTED_VALUE"""),0)</f>
        <v>0</v>
      </c>
      <c r="AR32" s="11">
        <f ca="1">IFERROR(__xludf.DUMMYFUNCTION("""COMPUTED_VALUE"""),1)</f>
        <v>1</v>
      </c>
      <c r="AS32" s="11">
        <f ca="1">IFERROR(__xludf.DUMMYFUNCTION("""COMPUTED_VALUE"""),0.83)</f>
        <v>0.83</v>
      </c>
      <c r="AT32" s="11">
        <f ca="1">IFERROR(__xludf.DUMMYFUNCTION("""COMPUTED_VALUE"""),0)</f>
        <v>0</v>
      </c>
      <c r="AU32" s="11" t="str">
        <f ca="1">IFERROR(__xludf.DUMMYFUNCTION("""COMPUTED_VALUE"""),"Female")</f>
        <v>Female</v>
      </c>
      <c r="AV32" s="11"/>
      <c r="AW32" s="11"/>
      <c r="AX32" s="11"/>
      <c r="AY32" s="11"/>
      <c r="AZ32" s="11"/>
      <c r="BA32" s="11"/>
      <c r="BB32" s="11"/>
      <c r="BC32" s="11"/>
      <c r="BD32" s="11"/>
      <c r="BE32" s="11"/>
      <c r="BF32" s="11"/>
      <c r="BG32" s="11"/>
      <c r="BH32" s="11"/>
      <c r="BI32" s="11"/>
      <c r="BJ32" s="11"/>
      <c r="BK32" s="11"/>
      <c r="BL32" s="11"/>
      <c r="BM32" s="11"/>
      <c r="BN32" s="11"/>
    </row>
    <row r="33" spans="1:66" ht="12.9">
      <c r="A33" s="11">
        <f>Raw!D33</f>
        <v>22</v>
      </c>
      <c r="B33" s="11" t="str">
        <f>Raw!A33</f>
        <v>Lounds et al. (2005)</v>
      </c>
      <c r="C33" s="11">
        <f>Raw!G33</f>
        <v>1</v>
      </c>
      <c r="D33" s="11" t="str">
        <f>Raw!E33</f>
        <v>Single sample</v>
      </c>
      <c r="E33" s="11" t="str">
        <f>Processed!E33</f>
        <v>Infancy - Preschool</v>
      </c>
      <c r="F33" s="15">
        <f>Raw!AA33</f>
        <v>37</v>
      </c>
      <c r="G33" s="15">
        <f>Raw!AB33</f>
        <v>17</v>
      </c>
      <c r="H33" s="15">
        <f>Raw!AC33</f>
        <v>15</v>
      </c>
      <c r="I33" s="15">
        <f>Raw!AD33</f>
        <v>9</v>
      </c>
      <c r="J33" s="15">
        <f t="shared" si="0"/>
        <v>78</v>
      </c>
      <c r="K33" s="15">
        <f>Raw!AL33</f>
        <v>0</v>
      </c>
      <c r="L33" s="15">
        <f>Raw!AM33</f>
        <v>0</v>
      </c>
      <c r="M33" s="15">
        <f>Raw!AN33</f>
        <v>0</v>
      </c>
      <c r="N33" s="15">
        <f>Raw!AO33</f>
        <v>0</v>
      </c>
      <c r="O33" s="15">
        <f>Raw!AP33</f>
        <v>0</v>
      </c>
      <c r="P33" s="15">
        <f>Raw!AQ33</f>
        <v>0</v>
      </c>
      <c r="Q33" s="15">
        <f>Raw!AR33</f>
        <v>0</v>
      </c>
      <c r="R33" s="15">
        <f>Raw!AS33</f>
        <v>0</v>
      </c>
      <c r="S33" s="15">
        <f>Raw!AT33</f>
        <v>0</v>
      </c>
      <c r="T33" s="15">
        <f t="shared" si="1"/>
        <v>0</v>
      </c>
      <c r="U33" s="15">
        <f>Raw!AV33</f>
        <v>0</v>
      </c>
      <c r="V33" s="15">
        <f>Raw!AW33</f>
        <v>0</v>
      </c>
      <c r="W33" s="15">
        <f>Raw!AX33</f>
        <v>0</v>
      </c>
      <c r="X33" s="15">
        <f>Raw!AY33</f>
        <v>0</v>
      </c>
      <c r="Y33" s="15">
        <f>Raw!AZ33</f>
        <v>0</v>
      </c>
      <c r="Z33" s="15">
        <f>Raw!BA33</f>
        <v>0</v>
      </c>
      <c r="AA33" s="15">
        <f>Raw!BB33</f>
        <v>0</v>
      </c>
      <c r="AB33" s="15">
        <f>Raw!BC33</f>
        <v>0</v>
      </c>
      <c r="AC33" s="15">
        <f>Raw!BD33</f>
        <v>0</v>
      </c>
      <c r="AD33" s="15">
        <f>Raw!BE33</f>
        <v>0</v>
      </c>
      <c r="AE33" s="15">
        <f>Raw!BF33</f>
        <v>0</v>
      </c>
      <c r="AF33" s="15">
        <f>Raw!BG33</f>
        <v>0</v>
      </c>
      <c r="AG33" s="15">
        <f>Raw!BH33</f>
        <v>0</v>
      </c>
      <c r="AH33" s="15">
        <f>Raw!BI33</f>
        <v>0</v>
      </c>
      <c r="AI33" s="15">
        <f>Raw!BJ33</f>
        <v>0</v>
      </c>
      <c r="AJ33" s="15">
        <f>Raw!BK33</f>
        <v>0</v>
      </c>
      <c r="AK33" s="15">
        <f t="shared" si="2"/>
        <v>0</v>
      </c>
      <c r="AL33" s="11">
        <f ca="1">IFERROR(__xludf.DUMMYFUNCTION("""COMPUTED_VALUE"""),2005)</f>
        <v>2005</v>
      </c>
      <c r="AM33" s="11" t="str">
        <f ca="1">IFERROR(__xludf.DUMMYFUNCTION("""COMPUTED_VALUE"""),"USA")</f>
        <v>USA</v>
      </c>
      <c r="AN33" s="11" t="str">
        <f ca="1">IFERROR(__xludf.DUMMYFUNCTION("""COMPUTED_VALUE"""),"Ainsworth/Cassidy-Marvin")</f>
        <v>Ainsworth/Cassidy-Marvin</v>
      </c>
      <c r="AO33" s="11">
        <f ca="1">IFERROR(__xludf.DUMMYFUNCTION("""COMPUTED_VALUE"""),1)</f>
        <v>1</v>
      </c>
      <c r="AP33" s="11">
        <f ca="1">IFERROR(__xludf.DUMMYFUNCTION("""COMPUTED_VALUE"""),1)</f>
        <v>1</v>
      </c>
      <c r="AQ33" s="11">
        <f ca="1">IFERROR(__xludf.DUMMYFUNCTION("""COMPUTED_VALUE"""),0)</f>
        <v>0</v>
      </c>
      <c r="AR33" s="11">
        <f ca="1">IFERROR(__xludf.DUMMYFUNCTION("""COMPUTED_VALUE"""),1)</f>
        <v>1</v>
      </c>
      <c r="AS33" s="11" t="str">
        <f ca="1">IFERROR(__xludf.DUMMYFUNCTION("""COMPUTED_VALUE"""),"")</f>
        <v/>
      </c>
      <c r="AT33" s="11">
        <f ca="1">IFERROR(__xludf.DUMMYFUNCTION("""COMPUTED_VALUE"""),0)</f>
        <v>0</v>
      </c>
      <c r="AU33" s="11" t="str">
        <f ca="1">IFERROR(__xludf.DUMMYFUNCTION("""COMPUTED_VALUE"""),"Female")</f>
        <v>Female</v>
      </c>
      <c r="AV33" s="11"/>
      <c r="AW33" s="11"/>
      <c r="AX33" s="11"/>
      <c r="AY33" s="11"/>
      <c r="AZ33" s="11"/>
      <c r="BA33" s="11"/>
      <c r="BB33" s="11"/>
      <c r="BC33" s="11"/>
      <c r="BD33" s="11"/>
      <c r="BE33" s="11"/>
      <c r="BF33" s="11"/>
      <c r="BG33" s="11"/>
      <c r="BH33" s="11"/>
      <c r="BI33" s="11"/>
      <c r="BJ33" s="11"/>
      <c r="BK33" s="11"/>
      <c r="BL33" s="11"/>
      <c r="BM33" s="11"/>
      <c r="BN33" s="11"/>
    </row>
    <row r="34" spans="1:66" ht="12.9">
      <c r="A34" s="11">
        <f>Raw!D34</f>
        <v>23</v>
      </c>
      <c r="B34" s="11" t="str">
        <f>Raw!A34</f>
        <v>Main &amp; Cassidy (1988)</v>
      </c>
      <c r="C34" s="11">
        <f>Raw!G34</f>
        <v>1</v>
      </c>
      <c r="D34" s="11" t="str">
        <f>Raw!E34</f>
        <v>Mother-child</v>
      </c>
      <c r="E34" s="11" t="str">
        <f>Processed!E34</f>
        <v>Infancy - Preschool</v>
      </c>
      <c r="F34" s="15">
        <f>Raw!AA34</f>
        <v>0</v>
      </c>
      <c r="G34" s="15">
        <f>Raw!AB34</f>
        <v>0</v>
      </c>
      <c r="H34" s="15">
        <f>Raw!AC34</f>
        <v>0</v>
      </c>
      <c r="I34" s="15">
        <f>Raw!AD34</f>
        <v>0</v>
      </c>
      <c r="J34" s="15">
        <f t="shared" si="0"/>
        <v>0</v>
      </c>
      <c r="K34" s="15">
        <f>Raw!AL34</f>
        <v>0</v>
      </c>
      <c r="L34" s="15">
        <f>Raw!AM34</f>
        <v>0</v>
      </c>
      <c r="M34" s="15">
        <f>Raw!AN34</f>
        <v>0</v>
      </c>
      <c r="N34" s="15">
        <f>Raw!AO34</f>
        <v>0</v>
      </c>
      <c r="O34" s="15">
        <f>Raw!AP34</f>
        <v>0</v>
      </c>
      <c r="P34" s="15">
        <f>Raw!AQ34</f>
        <v>0</v>
      </c>
      <c r="Q34" s="15">
        <f>Raw!AR34</f>
        <v>0</v>
      </c>
      <c r="R34" s="15">
        <f>Raw!AS34</f>
        <v>0</v>
      </c>
      <c r="S34" s="15">
        <f>Raw!AT34</f>
        <v>0</v>
      </c>
      <c r="T34" s="15">
        <f t="shared" si="1"/>
        <v>0</v>
      </c>
      <c r="U34" s="15">
        <f>Raw!AV34</f>
        <v>6</v>
      </c>
      <c r="V34" s="15">
        <f>Raw!AW34</f>
        <v>1</v>
      </c>
      <c r="W34" s="15">
        <f>Raw!AX34</f>
        <v>0</v>
      </c>
      <c r="X34" s="15">
        <f>Raw!AY34</f>
        <v>1</v>
      </c>
      <c r="Y34" s="15">
        <f>Raw!AZ34</f>
        <v>0</v>
      </c>
      <c r="Z34" s="15">
        <f>Raw!BA34</f>
        <v>12</v>
      </c>
      <c r="AA34" s="15">
        <f>Raw!BB34</f>
        <v>0</v>
      </c>
      <c r="AB34" s="15">
        <f>Raw!BC34</f>
        <v>0</v>
      </c>
      <c r="AC34" s="15">
        <f>Raw!BD34</f>
        <v>0</v>
      </c>
      <c r="AD34" s="15">
        <f>Raw!BE34</f>
        <v>0</v>
      </c>
      <c r="AE34" s="15">
        <f>Raw!BF34</f>
        <v>0</v>
      </c>
      <c r="AF34" s="15">
        <f>Raw!BG34</f>
        <v>0</v>
      </c>
      <c r="AG34" s="15">
        <f>Raw!BH34</f>
        <v>1</v>
      </c>
      <c r="AH34" s="15">
        <f>Raw!BI34</f>
        <v>2</v>
      </c>
      <c r="AI34" s="15">
        <f>Raw!BJ34</f>
        <v>0</v>
      </c>
      <c r="AJ34" s="15">
        <f>Raw!BK34</f>
        <v>9</v>
      </c>
      <c r="AK34" s="15">
        <f t="shared" si="2"/>
        <v>32</v>
      </c>
      <c r="AL34" s="11">
        <f ca="1">IFERROR(__xludf.DUMMYFUNCTION("""COMPUTED_VALUE"""),1988)</f>
        <v>1988</v>
      </c>
      <c r="AM34" s="11" t="str">
        <f ca="1">IFERROR(__xludf.DUMMYFUNCTION("""COMPUTED_VALUE"""),"USA")</f>
        <v>USA</v>
      </c>
      <c r="AN34" s="11" t="str">
        <f ca="1">IFERROR(__xludf.DUMMYFUNCTION("""COMPUTED_VALUE"""),"Ainsworth/Main-Cassidy")</f>
        <v>Ainsworth/Main-Cassidy</v>
      </c>
      <c r="AO34" s="11">
        <f ca="1">IFERROR(__xludf.DUMMYFUNCTION("""COMPUTED_VALUE"""),1)</f>
        <v>1</v>
      </c>
      <c r="AP34" s="11">
        <f ca="1">IFERROR(__xludf.DUMMYFUNCTION("""COMPUTED_VALUE"""),0)</f>
        <v>0</v>
      </c>
      <c r="AQ34" s="11">
        <f ca="1">IFERROR(__xludf.DUMMYFUNCTION("""COMPUTED_VALUE"""),0)</f>
        <v>0</v>
      </c>
      <c r="AR34" s="11">
        <f ca="1">IFERROR(__xludf.DUMMYFUNCTION("""COMPUTED_VALUE"""),1)</f>
        <v>1</v>
      </c>
      <c r="AS34" s="11">
        <f ca="1">IFERROR(__xludf.DUMMYFUNCTION("""COMPUTED_VALUE"""),0.83)</f>
        <v>0.83</v>
      </c>
      <c r="AT34" s="11">
        <f ca="1">IFERROR(__xludf.DUMMYFUNCTION("""COMPUTED_VALUE"""),1)</f>
        <v>1</v>
      </c>
      <c r="AU34" s="11" t="str">
        <f ca="1">IFERROR(__xludf.DUMMYFUNCTION("""COMPUTED_VALUE"""),"Female")</f>
        <v>Female</v>
      </c>
      <c r="AV34" s="11"/>
      <c r="AW34" s="11"/>
      <c r="AX34" s="11"/>
      <c r="AY34" s="11"/>
      <c r="AZ34" s="11"/>
      <c r="BA34" s="11"/>
      <c r="BB34" s="11"/>
      <c r="BC34" s="11"/>
      <c r="BD34" s="11"/>
      <c r="BE34" s="11"/>
      <c r="BF34" s="11"/>
      <c r="BG34" s="11"/>
      <c r="BH34" s="11"/>
      <c r="BI34" s="11"/>
      <c r="BJ34" s="11"/>
      <c r="BK34" s="11"/>
      <c r="BL34" s="11"/>
      <c r="BM34" s="11"/>
      <c r="BN34" s="11"/>
    </row>
    <row r="35" spans="1:66" ht="12.9">
      <c r="A35" s="11">
        <f>Raw!D35</f>
        <v>23</v>
      </c>
      <c r="B35" s="11" t="str">
        <f>Raw!A35</f>
        <v>Main &amp; Cassidy (1988)</v>
      </c>
      <c r="C35" s="11">
        <f>Raw!G35</f>
        <v>2</v>
      </c>
      <c r="D35" s="11" t="str">
        <f>Raw!E35</f>
        <v>Father-child</v>
      </c>
      <c r="E35" s="11" t="str">
        <f>Processed!E35</f>
        <v>Infancy - Preschool</v>
      </c>
      <c r="F35" s="15">
        <f>Raw!AA35</f>
        <v>0</v>
      </c>
      <c r="G35" s="15">
        <f>Raw!AB35</f>
        <v>0</v>
      </c>
      <c r="H35" s="15">
        <f>Raw!AC35</f>
        <v>0</v>
      </c>
      <c r="I35" s="15">
        <f>Raw!AD35</f>
        <v>0</v>
      </c>
      <c r="J35" s="15">
        <f t="shared" si="0"/>
        <v>0</v>
      </c>
      <c r="K35" s="15">
        <f>Raw!AL35</f>
        <v>0</v>
      </c>
      <c r="L35" s="15">
        <f>Raw!AM35</f>
        <v>0</v>
      </c>
      <c r="M35" s="15">
        <f>Raw!AN35</f>
        <v>0</v>
      </c>
      <c r="N35" s="15">
        <f>Raw!AO35</f>
        <v>0</v>
      </c>
      <c r="O35" s="15">
        <f>Raw!AP35</f>
        <v>0</v>
      </c>
      <c r="P35" s="15">
        <f>Raw!AQ35</f>
        <v>0</v>
      </c>
      <c r="Q35" s="15">
        <f>Raw!AR35</f>
        <v>0</v>
      </c>
      <c r="R35" s="15">
        <f>Raw!AS35</f>
        <v>0</v>
      </c>
      <c r="S35" s="15">
        <f>Raw!AT35</f>
        <v>0</v>
      </c>
      <c r="T35" s="15">
        <f t="shared" si="1"/>
        <v>0</v>
      </c>
      <c r="U35" s="15">
        <f>Raw!AV35</f>
        <v>4</v>
      </c>
      <c r="V35" s="15">
        <f>Raw!AW35</f>
        <v>3</v>
      </c>
      <c r="W35" s="15">
        <f>Raw!AX35</f>
        <v>0</v>
      </c>
      <c r="X35" s="15">
        <f>Raw!AY35</f>
        <v>2</v>
      </c>
      <c r="Y35" s="15">
        <f>Raw!AZ35</f>
        <v>5</v>
      </c>
      <c r="Z35" s="15">
        <f>Raw!BA35</f>
        <v>15</v>
      </c>
      <c r="AA35" s="15">
        <f>Raw!BB35</f>
        <v>0</v>
      </c>
      <c r="AB35" s="15">
        <f>Raw!BC35</f>
        <v>2</v>
      </c>
      <c r="AC35" s="15">
        <f>Raw!BD35</f>
        <v>0</v>
      </c>
      <c r="AD35" s="15">
        <f>Raw!BE35</f>
        <v>0</v>
      </c>
      <c r="AE35" s="15">
        <f>Raw!BF35</f>
        <v>0</v>
      </c>
      <c r="AF35" s="15">
        <f>Raw!BG35</f>
        <v>0</v>
      </c>
      <c r="AG35" s="15">
        <f>Raw!BH35</f>
        <v>1</v>
      </c>
      <c r="AH35" s="15">
        <f>Raw!BI35</f>
        <v>0</v>
      </c>
      <c r="AI35" s="15">
        <f>Raw!BJ35</f>
        <v>0</v>
      </c>
      <c r="AJ35" s="15">
        <f>Raw!BK35</f>
        <v>1</v>
      </c>
      <c r="AK35" s="15">
        <f t="shared" si="2"/>
        <v>33</v>
      </c>
      <c r="AL35" s="11">
        <f ca="1">IFERROR(__xludf.DUMMYFUNCTION("""COMPUTED_VALUE"""),1988)</f>
        <v>1988</v>
      </c>
      <c r="AM35" s="11" t="str">
        <f ca="1">IFERROR(__xludf.DUMMYFUNCTION("""COMPUTED_VALUE"""),"USA")</f>
        <v>USA</v>
      </c>
      <c r="AN35" s="11" t="str">
        <f ca="1">IFERROR(__xludf.DUMMYFUNCTION("""COMPUTED_VALUE"""),"Ainsworth/Main-Cassidy")</f>
        <v>Ainsworth/Main-Cassidy</v>
      </c>
      <c r="AO35" s="11">
        <f ca="1">IFERROR(__xludf.DUMMYFUNCTION("""COMPUTED_VALUE"""),1)</f>
        <v>1</v>
      </c>
      <c r="AP35" s="11">
        <f ca="1">IFERROR(__xludf.DUMMYFUNCTION("""COMPUTED_VALUE"""),0)</f>
        <v>0</v>
      </c>
      <c r="AQ35" s="11">
        <f ca="1">IFERROR(__xludf.DUMMYFUNCTION("""COMPUTED_VALUE"""),0)</f>
        <v>0</v>
      </c>
      <c r="AR35" s="11">
        <f ca="1">IFERROR(__xludf.DUMMYFUNCTION("""COMPUTED_VALUE"""),1)</f>
        <v>1</v>
      </c>
      <c r="AS35" s="11">
        <f ca="1">IFERROR(__xludf.DUMMYFUNCTION("""COMPUTED_VALUE"""),0.77)</f>
        <v>0.77</v>
      </c>
      <c r="AT35" s="11">
        <f ca="1">IFERROR(__xludf.DUMMYFUNCTION("""COMPUTED_VALUE"""),1)</f>
        <v>1</v>
      </c>
      <c r="AU35" s="11" t="str">
        <f ca="1">IFERROR(__xludf.DUMMYFUNCTION("""COMPUTED_VALUE"""),"Male")</f>
        <v>Male</v>
      </c>
      <c r="AV35" s="11"/>
      <c r="AW35" s="11"/>
      <c r="AX35" s="11"/>
      <c r="AY35" s="11"/>
      <c r="AZ35" s="11"/>
      <c r="BA35" s="11"/>
      <c r="BB35" s="11"/>
      <c r="BC35" s="11"/>
      <c r="BD35" s="11"/>
      <c r="BE35" s="11"/>
      <c r="BF35" s="11"/>
      <c r="BG35" s="11"/>
      <c r="BH35" s="11"/>
      <c r="BI35" s="11"/>
      <c r="BJ35" s="11"/>
      <c r="BK35" s="11"/>
      <c r="BL35" s="11"/>
      <c r="BM35" s="11"/>
      <c r="BN35" s="11"/>
    </row>
    <row r="36" spans="1:66" ht="12.9">
      <c r="A36" s="11">
        <f>Raw!D36</f>
        <v>24</v>
      </c>
      <c r="B36" s="11" t="str">
        <f>Raw!A36</f>
        <v>Maris et al. (2000)</v>
      </c>
      <c r="C36" s="11">
        <f>Raw!G36</f>
        <v>1</v>
      </c>
      <c r="D36" s="11" t="str">
        <f>Raw!E36</f>
        <v>Cleft lip and palate</v>
      </c>
      <c r="E36" s="11" t="str">
        <f>Processed!E36</f>
        <v>Infancy - Toddlerhood</v>
      </c>
      <c r="F36" s="15">
        <f>Raw!AA36</f>
        <v>0</v>
      </c>
      <c r="G36" s="15">
        <f>Raw!AB36</f>
        <v>3</v>
      </c>
      <c r="H36" s="15">
        <f>Raw!AC36</f>
        <v>14</v>
      </c>
      <c r="I36" s="15">
        <f>Raw!AD36</f>
        <v>7</v>
      </c>
      <c r="J36" s="15">
        <f t="shared" si="0"/>
        <v>24</v>
      </c>
      <c r="K36" s="15">
        <f>Raw!AL36</f>
        <v>0</v>
      </c>
      <c r="L36" s="15">
        <f>Raw!AM36</f>
        <v>0</v>
      </c>
      <c r="M36" s="15">
        <f>Raw!AN36</f>
        <v>0</v>
      </c>
      <c r="N36" s="15">
        <f>Raw!AO36</f>
        <v>0</v>
      </c>
      <c r="O36" s="15">
        <f>Raw!AP36</f>
        <v>0</v>
      </c>
      <c r="P36" s="15">
        <f>Raw!AQ36</f>
        <v>0</v>
      </c>
      <c r="Q36" s="15">
        <f>Raw!AR36</f>
        <v>0</v>
      </c>
      <c r="R36" s="15">
        <f>Raw!AS36</f>
        <v>0</v>
      </c>
      <c r="S36" s="15">
        <f>Raw!AT36</f>
        <v>0</v>
      </c>
      <c r="T36" s="15">
        <f t="shared" si="1"/>
        <v>0</v>
      </c>
      <c r="U36" s="15">
        <f>Raw!AV36</f>
        <v>0</v>
      </c>
      <c r="V36" s="15">
        <f>Raw!AW36</f>
        <v>0</v>
      </c>
      <c r="W36" s="15">
        <f>Raw!AX36</f>
        <v>0</v>
      </c>
      <c r="X36" s="15">
        <f>Raw!AY36</f>
        <v>0</v>
      </c>
      <c r="Y36" s="15">
        <f>Raw!AZ36</f>
        <v>0</v>
      </c>
      <c r="Z36" s="15">
        <f>Raw!BA36</f>
        <v>0</v>
      </c>
      <c r="AA36" s="15">
        <f>Raw!BB36</f>
        <v>0</v>
      </c>
      <c r="AB36" s="15">
        <f>Raw!BC36</f>
        <v>0</v>
      </c>
      <c r="AC36" s="15">
        <f>Raw!BD36</f>
        <v>0</v>
      </c>
      <c r="AD36" s="15">
        <f>Raw!BE36</f>
        <v>0</v>
      </c>
      <c r="AE36" s="15">
        <f>Raw!BF36</f>
        <v>0</v>
      </c>
      <c r="AF36" s="15">
        <f>Raw!BG36</f>
        <v>0</v>
      </c>
      <c r="AG36" s="15">
        <f>Raw!BH36</f>
        <v>0</v>
      </c>
      <c r="AH36" s="15">
        <f>Raw!BI36</f>
        <v>0</v>
      </c>
      <c r="AI36" s="15">
        <f>Raw!BJ36</f>
        <v>0</v>
      </c>
      <c r="AJ36" s="15">
        <f>Raw!BK36</f>
        <v>0</v>
      </c>
      <c r="AK36" s="15">
        <f t="shared" si="2"/>
        <v>0</v>
      </c>
      <c r="AL36" s="11">
        <f ca="1">IFERROR(__xludf.DUMMYFUNCTION("""COMPUTED_VALUE"""),2000)</f>
        <v>2000</v>
      </c>
      <c r="AM36" s="11" t="str">
        <f ca="1">IFERROR(__xludf.DUMMYFUNCTION("""COMPUTED_VALUE"""),"USA")</f>
        <v>USA</v>
      </c>
      <c r="AN36" s="11" t="str">
        <f ca="1">IFERROR(__xludf.DUMMYFUNCTION("""COMPUTED_VALUE"""),"Ainsworth/Cassidy-Marvin")</f>
        <v>Ainsworth/Cassidy-Marvin</v>
      </c>
      <c r="AO36" s="11">
        <f ca="1">IFERROR(__xludf.DUMMYFUNCTION("""COMPUTED_VALUE"""),1)</f>
        <v>1</v>
      </c>
      <c r="AP36" s="11">
        <f ca="1">IFERROR(__xludf.DUMMYFUNCTION("""COMPUTED_VALUE"""),0)</f>
        <v>0</v>
      </c>
      <c r="AQ36" s="11">
        <f ca="1">IFERROR(__xludf.DUMMYFUNCTION("""COMPUTED_VALUE"""),1)</f>
        <v>1</v>
      </c>
      <c r="AR36" s="11">
        <f ca="1">IFERROR(__xludf.DUMMYFUNCTION("""COMPUTED_VALUE"""),1)</f>
        <v>1</v>
      </c>
      <c r="AS36" s="11">
        <f ca="1">IFERROR(__xludf.DUMMYFUNCTION("""COMPUTED_VALUE"""),0.83)</f>
        <v>0.83</v>
      </c>
      <c r="AT36" s="11">
        <f ca="1">IFERROR(__xludf.DUMMYFUNCTION("""COMPUTED_VALUE"""),0)</f>
        <v>0</v>
      </c>
      <c r="AU36" s="11" t="str">
        <f ca="1">IFERROR(__xludf.DUMMYFUNCTION("""COMPUTED_VALUE"""),"Female")</f>
        <v>Female</v>
      </c>
      <c r="AV36" s="11"/>
      <c r="AW36" s="11"/>
      <c r="AX36" s="11"/>
      <c r="AY36" s="11"/>
      <c r="AZ36" s="11"/>
      <c r="BA36" s="11"/>
      <c r="BB36" s="11"/>
      <c r="BC36" s="11"/>
      <c r="BD36" s="11"/>
      <c r="BE36" s="11"/>
      <c r="BF36" s="11"/>
      <c r="BG36" s="11"/>
      <c r="BH36" s="11"/>
      <c r="BI36" s="11"/>
      <c r="BJ36" s="11"/>
      <c r="BK36" s="11"/>
      <c r="BL36" s="11"/>
      <c r="BM36" s="11"/>
      <c r="BN36" s="11"/>
    </row>
    <row r="37" spans="1:66" ht="12.9">
      <c r="A37" s="11">
        <f>Raw!D37</f>
        <v>25</v>
      </c>
      <c r="B37" s="11" t="str">
        <f>Raw!A37</f>
        <v>Maris et al. (2000)</v>
      </c>
      <c r="C37" s="11">
        <f>Raw!G37</f>
        <v>1</v>
      </c>
      <c r="D37" s="11" t="str">
        <f>Raw!E37</f>
        <v>Comparison</v>
      </c>
      <c r="E37" s="11" t="str">
        <f>Processed!E37</f>
        <v>Infancy - Toddlerhood</v>
      </c>
      <c r="F37" s="15">
        <f>Raw!AA37</f>
        <v>9</v>
      </c>
      <c r="G37" s="15">
        <f>Raw!AB37</f>
        <v>7</v>
      </c>
      <c r="H37" s="15">
        <f>Raw!AC37</f>
        <v>29</v>
      </c>
      <c r="I37" s="15">
        <f>Raw!AD37</f>
        <v>16</v>
      </c>
      <c r="J37" s="15">
        <f t="shared" si="0"/>
        <v>61</v>
      </c>
      <c r="K37" s="15">
        <f>Raw!AL37</f>
        <v>0</v>
      </c>
      <c r="L37" s="15">
        <f>Raw!AM37</f>
        <v>0</v>
      </c>
      <c r="M37" s="15">
        <f>Raw!AN37</f>
        <v>0</v>
      </c>
      <c r="N37" s="15">
        <f>Raw!AO37</f>
        <v>0</v>
      </c>
      <c r="O37" s="15">
        <f>Raw!AP37</f>
        <v>0</v>
      </c>
      <c r="P37" s="15">
        <f>Raw!AQ37</f>
        <v>0</v>
      </c>
      <c r="Q37" s="15">
        <f>Raw!AR37</f>
        <v>0</v>
      </c>
      <c r="R37" s="15">
        <f>Raw!AS37</f>
        <v>0</v>
      </c>
      <c r="S37" s="15">
        <f>Raw!AT37</f>
        <v>0</v>
      </c>
      <c r="T37" s="15">
        <f t="shared" si="1"/>
        <v>0</v>
      </c>
      <c r="U37" s="15">
        <f>Raw!AV37</f>
        <v>0</v>
      </c>
      <c r="V37" s="15">
        <f>Raw!AW37</f>
        <v>0</v>
      </c>
      <c r="W37" s="15">
        <f>Raw!AX37</f>
        <v>0</v>
      </c>
      <c r="X37" s="15">
        <f>Raw!AY37</f>
        <v>0</v>
      </c>
      <c r="Y37" s="15">
        <f>Raw!AZ37</f>
        <v>0</v>
      </c>
      <c r="Z37" s="15">
        <f>Raw!BA37</f>
        <v>0</v>
      </c>
      <c r="AA37" s="15">
        <f>Raw!BB37</f>
        <v>0</v>
      </c>
      <c r="AB37" s="15">
        <f>Raw!BC37</f>
        <v>0</v>
      </c>
      <c r="AC37" s="15">
        <f>Raw!BD37</f>
        <v>0</v>
      </c>
      <c r="AD37" s="15">
        <f>Raw!BE37</f>
        <v>0</v>
      </c>
      <c r="AE37" s="15">
        <f>Raw!BF37</f>
        <v>0</v>
      </c>
      <c r="AF37" s="15">
        <f>Raw!BG37</f>
        <v>0</v>
      </c>
      <c r="AG37" s="15">
        <f>Raw!BH37</f>
        <v>0</v>
      </c>
      <c r="AH37" s="15">
        <f>Raw!BI37</f>
        <v>0</v>
      </c>
      <c r="AI37" s="15">
        <f>Raw!BJ37</f>
        <v>0</v>
      </c>
      <c r="AJ37" s="15">
        <f>Raw!BK37</f>
        <v>0</v>
      </c>
      <c r="AK37" s="15">
        <f t="shared" si="2"/>
        <v>0</v>
      </c>
      <c r="AL37" s="11">
        <f ca="1">IFERROR(__xludf.DUMMYFUNCTION("""COMPUTED_VALUE"""),2000)</f>
        <v>2000</v>
      </c>
      <c r="AM37" s="11" t="str">
        <f ca="1">IFERROR(__xludf.DUMMYFUNCTION("""COMPUTED_VALUE"""),"USA")</f>
        <v>USA</v>
      </c>
      <c r="AN37" s="11" t="str">
        <f ca="1">IFERROR(__xludf.DUMMYFUNCTION("""COMPUTED_VALUE"""),"Ainsworth/Cassidy-Marvin")</f>
        <v>Ainsworth/Cassidy-Marvin</v>
      </c>
      <c r="AO37" s="11">
        <f ca="1">IFERROR(__xludf.DUMMYFUNCTION("""COMPUTED_VALUE"""),1)</f>
        <v>1</v>
      </c>
      <c r="AP37" s="11">
        <f ca="1">IFERROR(__xludf.DUMMYFUNCTION("""COMPUTED_VALUE"""),0)</f>
        <v>0</v>
      </c>
      <c r="AQ37" s="11">
        <f ca="1">IFERROR(__xludf.DUMMYFUNCTION("""COMPUTED_VALUE"""),0)</f>
        <v>0</v>
      </c>
      <c r="AR37" s="11">
        <f ca="1">IFERROR(__xludf.DUMMYFUNCTION("""COMPUTED_VALUE"""),1)</f>
        <v>1</v>
      </c>
      <c r="AS37" s="11">
        <f ca="1">IFERROR(__xludf.DUMMYFUNCTION("""COMPUTED_VALUE"""),0.83)</f>
        <v>0.83</v>
      </c>
      <c r="AT37" s="11">
        <f ca="1">IFERROR(__xludf.DUMMYFUNCTION("""COMPUTED_VALUE"""),0)</f>
        <v>0</v>
      </c>
      <c r="AU37" s="11" t="str">
        <f ca="1">IFERROR(__xludf.DUMMYFUNCTION("""COMPUTED_VALUE"""),"Female")</f>
        <v>Female</v>
      </c>
      <c r="AV37" s="11"/>
      <c r="AW37" s="11"/>
      <c r="AX37" s="11"/>
      <c r="AY37" s="11"/>
      <c r="AZ37" s="11"/>
      <c r="BA37" s="11"/>
      <c r="BB37" s="11"/>
      <c r="BC37" s="11"/>
      <c r="BD37" s="11"/>
      <c r="BE37" s="11"/>
      <c r="BF37" s="11"/>
      <c r="BG37" s="11"/>
      <c r="BH37" s="11"/>
      <c r="BI37" s="11"/>
      <c r="BJ37" s="11"/>
      <c r="BK37" s="11"/>
      <c r="BL37" s="11"/>
      <c r="BM37" s="11"/>
      <c r="BN37" s="11"/>
    </row>
    <row r="38" spans="1:66" ht="12.9">
      <c r="A38" s="11">
        <f>Raw!D38</f>
        <v>26</v>
      </c>
      <c r="B38" s="11" t="str">
        <f>Raw!A38</f>
        <v>Maris et al. (2000)</v>
      </c>
      <c r="C38" s="11">
        <f>Raw!G38</f>
        <v>1</v>
      </c>
      <c r="D38" s="11" t="str">
        <f>Raw!E38</f>
        <v>Cleft palate only</v>
      </c>
      <c r="E38" s="11" t="str">
        <f>Processed!E38</f>
        <v>Infancy - Toddlerhood</v>
      </c>
      <c r="F38" s="15">
        <f>Raw!AA38</f>
        <v>1</v>
      </c>
      <c r="G38" s="15">
        <f>Raw!AB38</f>
        <v>10</v>
      </c>
      <c r="H38" s="15">
        <f>Raw!AC38</f>
        <v>7</v>
      </c>
      <c r="I38" s="15">
        <f>Raw!AD38</f>
        <v>4</v>
      </c>
      <c r="J38" s="15">
        <f t="shared" si="0"/>
        <v>22</v>
      </c>
      <c r="K38" s="15">
        <f>Raw!AL38</f>
        <v>0</v>
      </c>
      <c r="L38" s="15">
        <f>Raw!AM38</f>
        <v>0</v>
      </c>
      <c r="M38" s="15">
        <f>Raw!AN38</f>
        <v>0</v>
      </c>
      <c r="N38" s="15">
        <f>Raw!AO38</f>
        <v>0</v>
      </c>
      <c r="O38" s="15">
        <f>Raw!AP38</f>
        <v>0</v>
      </c>
      <c r="P38" s="15">
        <f>Raw!AQ38</f>
        <v>0</v>
      </c>
      <c r="Q38" s="15">
        <f>Raw!AR38</f>
        <v>0</v>
      </c>
      <c r="R38" s="15">
        <f>Raw!AS38</f>
        <v>0</v>
      </c>
      <c r="S38" s="15">
        <f>Raw!AT38</f>
        <v>0</v>
      </c>
      <c r="T38" s="15">
        <f t="shared" si="1"/>
        <v>0</v>
      </c>
      <c r="U38" s="15">
        <f>Raw!AV38</f>
        <v>0</v>
      </c>
      <c r="V38" s="15">
        <f>Raw!AW38</f>
        <v>0</v>
      </c>
      <c r="W38" s="15">
        <f>Raw!AX38</f>
        <v>0</v>
      </c>
      <c r="X38" s="15">
        <f>Raw!AY38</f>
        <v>0</v>
      </c>
      <c r="Y38" s="15">
        <f>Raw!AZ38</f>
        <v>0</v>
      </c>
      <c r="Z38" s="15">
        <f>Raw!BA38</f>
        <v>0</v>
      </c>
      <c r="AA38" s="15">
        <f>Raw!BB38</f>
        <v>0</v>
      </c>
      <c r="AB38" s="15">
        <f>Raw!BC38</f>
        <v>0</v>
      </c>
      <c r="AC38" s="15">
        <f>Raw!BD38</f>
        <v>0</v>
      </c>
      <c r="AD38" s="15">
        <f>Raw!BE38</f>
        <v>0</v>
      </c>
      <c r="AE38" s="15">
        <f>Raw!BF38</f>
        <v>0</v>
      </c>
      <c r="AF38" s="15">
        <f>Raw!BG38</f>
        <v>0</v>
      </c>
      <c r="AG38" s="15">
        <f>Raw!BH38</f>
        <v>0</v>
      </c>
      <c r="AH38" s="15">
        <f>Raw!BI38</f>
        <v>0</v>
      </c>
      <c r="AI38" s="15">
        <f>Raw!BJ38</f>
        <v>0</v>
      </c>
      <c r="AJ38" s="15">
        <f>Raw!BK38</f>
        <v>0</v>
      </c>
      <c r="AK38" s="15">
        <f t="shared" si="2"/>
        <v>0</v>
      </c>
      <c r="AL38" s="11">
        <f ca="1">IFERROR(__xludf.DUMMYFUNCTION("""COMPUTED_VALUE"""),2000)</f>
        <v>2000</v>
      </c>
      <c r="AM38" s="11" t="str">
        <f ca="1">IFERROR(__xludf.DUMMYFUNCTION("""COMPUTED_VALUE"""),"USA")</f>
        <v>USA</v>
      </c>
      <c r="AN38" s="11" t="str">
        <f ca="1">IFERROR(__xludf.DUMMYFUNCTION("""COMPUTED_VALUE"""),"Ainsworth/Cassidy-Marvin")</f>
        <v>Ainsworth/Cassidy-Marvin</v>
      </c>
      <c r="AO38" s="11">
        <f ca="1">IFERROR(__xludf.DUMMYFUNCTION("""COMPUTED_VALUE"""),1)</f>
        <v>1</v>
      </c>
      <c r="AP38" s="11">
        <f ca="1">IFERROR(__xludf.DUMMYFUNCTION("""COMPUTED_VALUE"""),0)</f>
        <v>0</v>
      </c>
      <c r="AQ38" s="11">
        <f ca="1">IFERROR(__xludf.DUMMYFUNCTION("""COMPUTED_VALUE"""),1)</f>
        <v>1</v>
      </c>
      <c r="AR38" s="11">
        <f ca="1">IFERROR(__xludf.DUMMYFUNCTION("""COMPUTED_VALUE"""),1)</f>
        <v>1</v>
      </c>
      <c r="AS38" s="11">
        <f ca="1">IFERROR(__xludf.DUMMYFUNCTION("""COMPUTED_VALUE"""),0.83)</f>
        <v>0.83</v>
      </c>
      <c r="AT38" s="11">
        <f ca="1">IFERROR(__xludf.DUMMYFUNCTION("""COMPUTED_VALUE"""),0)</f>
        <v>0</v>
      </c>
      <c r="AU38" s="11" t="str">
        <f ca="1">IFERROR(__xludf.DUMMYFUNCTION("""COMPUTED_VALUE"""),"Female")</f>
        <v>Female</v>
      </c>
      <c r="AV38" s="11"/>
      <c r="AW38" s="11"/>
      <c r="AX38" s="11"/>
      <c r="AY38" s="11"/>
      <c r="AZ38" s="11"/>
      <c r="BA38" s="11"/>
      <c r="BB38" s="11"/>
      <c r="BC38" s="11"/>
      <c r="BD38" s="11"/>
      <c r="BE38" s="11"/>
      <c r="BF38" s="11"/>
      <c r="BG38" s="11"/>
      <c r="BH38" s="11"/>
      <c r="BI38" s="11"/>
      <c r="BJ38" s="11"/>
      <c r="BK38" s="11"/>
      <c r="BL38" s="11"/>
      <c r="BM38" s="11"/>
      <c r="BN38" s="11"/>
    </row>
    <row r="39" spans="1:66" ht="12.9">
      <c r="A39" s="11">
        <f>Raw!D39</f>
        <v>27</v>
      </c>
      <c r="B39" s="11" t="str">
        <f>Raw!A39</f>
        <v>Milentijevic, Altman &amp; Ward (1995)</v>
      </c>
      <c r="C39" s="11">
        <f>Raw!G39</f>
        <v>1</v>
      </c>
      <c r="D39" s="11" t="str">
        <f>Raw!E39</f>
        <v>Single sample</v>
      </c>
      <c r="E39" s="11" t="str">
        <f>Processed!E39</f>
        <v>Infancy - Preschool</v>
      </c>
      <c r="F39" s="15">
        <f>Raw!AA39</f>
        <v>19</v>
      </c>
      <c r="G39" s="15">
        <f>Raw!AB39</f>
        <v>27</v>
      </c>
      <c r="H39" s="15">
        <f>Raw!AC39</f>
        <v>24</v>
      </c>
      <c r="I39" s="15">
        <f>Raw!AD39</f>
        <v>16</v>
      </c>
      <c r="J39" s="15">
        <f t="shared" si="0"/>
        <v>86</v>
      </c>
      <c r="K39" s="15">
        <f>Raw!AL39</f>
        <v>0</v>
      </c>
      <c r="L39" s="15">
        <f>Raw!AM39</f>
        <v>0</v>
      </c>
      <c r="M39" s="15">
        <f>Raw!AN39</f>
        <v>0</v>
      </c>
      <c r="N39" s="15">
        <f>Raw!AO39</f>
        <v>0</v>
      </c>
      <c r="O39" s="15">
        <f>Raw!AP39</f>
        <v>0</v>
      </c>
      <c r="P39" s="15">
        <f>Raw!AQ39</f>
        <v>0</v>
      </c>
      <c r="Q39" s="15">
        <f>Raw!AR39</f>
        <v>0</v>
      </c>
      <c r="R39" s="15">
        <f>Raw!AS39</f>
        <v>0</v>
      </c>
      <c r="S39" s="15">
        <f>Raw!AT39</f>
        <v>0</v>
      </c>
      <c r="T39" s="15">
        <f t="shared" si="1"/>
        <v>0</v>
      </c>
      <c r="U39" s="15">
        <f>Raw!AV39</f>
        <v>3</v>
      </c>
      <c r="V39" s="15">
        <f>Raw!AW39</f>
        <v>13</v>
      </c>
      <c r="W39" s="15">
        <f>Raw!AX39</f>
        <v>1</v>
      </c>
      <c r="X39" s="15">
        <f>Raw!AY39</f>
        <v>6</v>
      </c>
      <c r="Y39" s="15">
        <f>Raw!AZ39</f>
        <v>3</v>
      </c>
      <c r="Z39" s="15">
        <f>Raw!BA39</f>
        <v>24</v>
      </c>
      <c r="AA39" s="15">
        <f>Raw!BB39</f>
        <v>4</v>
      </c>
      <c r="AB39" s="15">
        <f>Raw!BC39</f>
        <v>9</v>
      </c>
      <c r="AC39" s="15">
        <f>Raw!BD39</f>
        <v>0</v>
      </c>
      <c r="AD39" s="15">
        <f>Raw!BE39</f>
        <v>3</v>
      </c>
      <c r="AE39" s="15">
        <f>Raw!BF39</f>
        <v>0</v>
      </c>
      <c r="AF39" s="15">
        <f>Raw!BG39</f>
        <v>0</v>
      </c>
      <c r="AG39" s="15">
        <f>Raw!BH39</f>
        <v>0</v>
      </c>
      <c r="AH39" s="15">
        <f>Raw!BI39</f>
        <v>11</v>
      </c>
      <c r="AI39" s="15">
        <f>Raw!BJ39</f>
        <v>1</v>
      </c>
      <c r="AJ39" s="15">
        <f>Raw!BK39</f>
        <v>8</v>
      </c>
      <c r="AK39" s="15">
        <f t="shared" si="2"/>
        <v>86</v>
      </c>
      <c r="AL39" s="11">
        <f ca="1">IFERROR(__xludf.DUMMYFUNCTION("""COMPUTED_VALUE"""),1995)</f>
        <v>1995</v>
      </c>
      <c r="AM39" s="11" t="str">
        <f ca="1">IFERROR(__xludf.DUMMYFUNCTION("""COMPUTED_VALUE"""),"USA")</f>
        <v>USA</v>
      </c>
      <c r="AN39" s="11" t="str">
        <f ca="1">IFERROR(__xludf.DUMMYFUNCTION("""COMPUTED_VALUE"""),"Ainsworth/Cassidy-Marvin")</f>
        <v>Ainsworth/Cassidy-Marvin</v>
      </c>
      <c r="AO39" s="11">
        <f ca="1">IFERROR(__xludf.DUMMYFUNCTION("""COMPUTED_VALUE"""),0)</f>
        <v>0</v>
      </c>
      <c r="AP39" s="11">
        <f ca="1">IFERROR(__xludf.DUMMYFUNCTION("""COMPUTED_VALUE"""),1)</f>
        <v>1</v>
      </c>
      <c r="AQ39" s="11">
        <f ca="1">IFERROR(__xludf.DUMMYFUNCTION("""COMPUTED_VALUE"""),0)</f>
        <v>0</v>
      </c>
      <c r="AR39" s="11">
        <f ca="1">IFERROR(__xludf.DUMMYFUNCTION("""COMPUTED_VALUE"""),0)</f>
        <v>0</v>
      </c>
      <c r="AS39" s="11">
        <f ca="1">IFERROR(__xludf.DUMMYFUNCTION("""COMPUTED_VALUE"""),0.8)</f>
        <v>0.8</v>
      </c>
      <c r="AT39" s="11">
        <f ca="1">IFERROR(__xludf.DUMMYFUNCTION("""COMPUTED_VALUE"""),1)</f>
        <v>1</v>
      </c>
      <c r="AU39" s="11" t="str">
        <f ca="1">IFERROR(__xludf.DUMMYFUNCTION("""COMPUTED_VALUE"""),"Female")</f>
        <v>Female</v>
      </c>
      <c r="AV39" s="11"/>
      <c r="AW39" s="11"/>
      <c r="AX39" s="11"/>
      <c r="AY39" s="11"/>
      <c r="AZ39" s="11"/>
      <c r="BA39" s="11"/>
      <c r="BB39" s="11"/>
      <c r="BC39" s="11"/>
      <c r="BD39" s="11"/>
      <c r="BE39" s="11"/>
      <c r="BF39" s="11"/>
      <c r="BG39" s="11"/>
      <c r="BH39" s="11"/>
      <c r="BI39" s="11"/>
      <c r="BJ39" s="11"/>
      <c r="BK39" s="11"/>
      <c r="BL39" s="11"/>
      <c r="BM39" s="11"/>
      <c r="BN39" s="11"/>
    </row>
    <row r="40" spans="1:66" ht="12.9">
      <c r="A40" s="11">
        <f>Raw!D40</f>
        <v>28</v>
      </c>
      <c r="B40" s="11" t="str">
        <f>Raw!A40</f>
        <v>Moss et al. (2005)</v>
      </c>
      <c r="C40" s="11">
        <f>Raw!G40</f>
        <v>1</v>
      </c>
      <c r="D40" s="11" t="str">
        <f>Raw!E40</f>
        <v>Single sample</v>
      </c>
      <c r="E40" s="11" t="str">
        <f>Processed!E40</f>
        <v>Preschool - Preschool</v>
      </c>
      <c r="F40" s="15">
        <f>Raw!AA40</f>
        <v>36</v>
      </c>
      <c r="G40" s="15">
        <f>Raw!AB40</f>
        <v>6</v>
      </c>
      <c r="H40" s="15">
        <f>Raw!AC40</f>
        <v>56</v>
      </c>
      <c r="I40" s="15">
        <f>Raw!AD40</f>
        <v>22</v>
      </c>
      <c r="J40" s="15">
        <f t="shared" si="0"/>
        <v>120</v>
      </c>
      <c r="K40" s="15">
        <f>Raw!AL40</f>
        <v>0</v>
      </c>
      <c r="L40" s="15">
        <f>Raw!AM40</f>
        <v>0</v>
      </c>
      <c r="M40" s="15">
        <f>Raw!AN40</f>
        <v>0</v>
      </c>
      <c r="N40" s="15">
        <f>Raw!AO40</f>
        <v>0</v>
      </c>
      <c r="O40" s="15">
        <f>Raw!AP40</f>
        <v>0</v>
      </c>
      <c r="P40" s="15">
        <f>Raw!AQ40</f>
        <v>0</v>
      </c>
      <c r="Q40" s="15">
        <f>Raw!AR40</f>
        <v>0</v>
      </c>
      <c r="R40" s="15">
        <f>Raw!AS40</f>
        <v>0</v>
      </c>
      <c r="S40" s="15">
        <f>Raw!AT40</f>
        <v>0</v>
      </c>
      <c r="T40" s="15">
        <f t="shared" si="1"/>
        <v>0</v>
      </c>
      <c r="U40" s="15">
        <f>Raw!AV40</f>
        <v>7</v>
      </c>
      <c r="V40" s="15">
        <f>Raw!AW40</f>
        <v>4</v>
      </c>
      <c r="W40" s="15">
        <f>Raw!AX40</f>
        <v>3</v>
      </c>
      <c r="X40" s="15">
        <f>Raw!AY40</f>
        <v>2</v>
      </c>
      <c r="Y40" s="15">
        <f>Raw!AZ40</f>
        <v>7</v>
      </c>
      <c r="Z40" s="15">
        <f>Raw!BA40</f>
        <v>56</v>
      </c>
      <c r="AA40" s="15">
        <f>Raw!BB40</f>
        <v>6</v>
      </c>
      <c r="AB40" s="15">
        <f>Raw!BC40</f>
        <v>9</v>
      </c>
      <c r="AC40" s="15">
        <f>Raw!BD40</f>
        <v>1</v>
      </c>
      <c r="AD40" s="15">
        <f>Raw!BE40</f>
        <v>2</v>
      </c>
      <c r="AE40" s="15">
        <f>Raw!BF40</f>
        <v>8</v>
      </c>
      <c r="AF40" s="15">
        <f>Raw!BG40</f>
        <v>2</v>
      </c>
      <c r="AG40" s="15">
        <f>Raw!BH40</f>
        <v>2</v>
      </c>
      <c r="AH40" s="15">
        <f>Raw!BI40</f>
        <v>0</v>
      </c>
      <c r="AI40" s="15">
        <f>Raw!BJ40</f>
        <v>1</v>
      </c>
      <c r="AJ40" s="15">
        <f>Raw!BK40</f>
        <v>10</v>
      </c>
      <c r="AK40" s="15">
        <f t="shared" si="2"/>
        <v>120</v>
      </c>
      <c r="AL40" s="11">
        <f ca="1">IFERROR(__xludf.DUMMYFUNCTION("""COMPUTED_VALUE"""),2005)</f>
        <v>2005</v>
      </c>
      <c r="AM40" s="11" t="str">
        <f ca="1">IFERROR(__xludf.DUMMYFUNCTION("""COMPUTED_VALUE"""),"Non-USA")</f>
        <v>Non-USA</v>
      </c>
      <c r="AN40" s="11" t="str">
        <f ca="1">IFERROR(__xludf.DUMMYFUNCTION("""COMPUTED_VALUE"""),"Cassidy-Marvin/Main-Cassidy")</f>
        <v>Cassidy-Marvin/Main-Cassidy</v>
      </c>
      <c r="AO40" s="11">
        <f ca="1">IFERROR(__xludf.DUMMYFUNCTION("""COMPUTED_VALUE"""),1)</f>
        <v>1</v>
      </c>
      <c r="AP40" s="11">
        <f ca="1">IFERROR(__xludf.DUMMYFUNCTION("""COMPUTED_VALUE"""),0)</f>
        <v>0</v>
      </c>
      <c r="AQ40" s="11">
        <f ca="1">IFERROR(__xludf.DUMMYFUNCTION("""COMPUTED_VALUE"""),0)</f>
        <v>0</v>
      </c>
      <c r="AR40" s="11">
        <f ca="1">IFERROR(__xludf.DUMMYFUNCTION("""COMPUTED_VALUE"""),1)</f>
        <v>1</v>
      </c>
      <c r="AS40" s="11">
        <f ca="1">IFERROR(__xludf.DUMMYFUNCTION("""COMPUTED_VALUE"""),0.895)</f>
        <v>0.89500000000000002</v>
      </c>
      <c r="AT40" s="11">
        <f ca="1">IFERROR(__xludf.DUMMYFUNCTION("""COMPUTED_VALUE"""),0)</f>
        <v>0</v>
      </c>
      <c r="AU40" s="11" t="str">
        <f ca="1">IFERROR(__xludf.DUMMYFUNCTION("""COMPUTED_VALUE"""),"Female")</f>
        <v>Female</v>
      </c>
      <c r="AV40" s="11"/>
      <c r="AW40" s="11"/>
      <c r="AX40" s="11"/>
      <c r="AY40" s="11"/>
      <c r="AZ40" s="11"/>
      <c r="BA40" s="11"/>
      <c r="BB40" s="11"/>
      <c r="BC40" s="11"/>
      <c r="BD40" s="11"/>
      <c r="BE40" s="11"/>
      <c r="BF40" s="11"/>
      <c r="BG40" s="11"/>
      <c r="BH40" s="11"/>
      <c r="BI40" s="11"/>
      <c r="BJ40" s="11"/>
      <c r="BK40" s="11"/>
      <c r="BL40" s="11"/>
      <c r="BM40" s="11"/>
      <c r="BN40" s="11"/>
    </row>
    <row r="41" spans="1:66" ht="12.9">
      <c r="A41" s="11">
        <f>Raw!D41</f>
        <v>29</v>
      </c>
      <c r="B41" s="11" t="str">
        <f>Raw!A41</f>
        <v>NICHD (2001)</v>
      </c>
      <c r="C41" s="11">
        <f>Raw!G41</f>
        <v>1</v>
      </c>
      <c r="D41" s="11" t="str">
        <f>Raw!E41</f>
        <v>Single sample</v>
      </c>
      <c r="E41" s="11" t="str">
        <f>Processed!E41</f>
        <v>Infancy - Toddlerhood</v>
      </c>
      <c r="F41" s="15">
        <f>Raw!AA41</f>
        <v>164</v>
      </c>
      <c r="G41" s="15">
        <f>Raw!AB41</f>
        <v>242</v>
      </c>
      <c r="H41" s="15">
        <f>Raw!AC41</f>
        <v>419</v>
      </c>
      <c r="I41" s="15">
        <f>Raw!AD41</f>
        <v>235</v>
      </c>
      <c r="J41" s="15">
        <f t="shared" si="0"/>
        <v>1060</v>
      </c>
      <c r="K41" s="15">
        <f>Raw!AL41</f>
        <v>0</v>
      </c>
      <c r="L41" s="15">
        <f>Raw!AM41</f>
        <v>0</v>
      </c>
      <c r="M41" s="15">
        <f>Raw!AN41</f>
        <v>0</v>
      </c>
      <c r="N41" s="15">
        <f>Raw!AO41</f>
        <v>0</v>
      </c>
      <c r="O41" s="15">
        <f>Raw!AP41</f>
        <v>0</v>
      </c>
      <c r="P41" s="15">
        <f>Raw!AQ41</f>
        <v>0</v>
      </c>
      <c r="Q41" s="15">
        <f>Raw!AR41</f>
        <v>0</v>
      </c>
      <c r="R41" s="15">
        <f>Raw!AS41</f>
        <v>0</v>
      </c>
      <c r="S41" s="15">
        <f>Raw!AT41</f>
        <v>0</v>
      </c>
      <c r="T41" s="15">
        <f t="shared" si="1"/>
        <v>0</v>
      </c>
      <c r="U41" s="15">
        <f>Raw!AV41</f>
        <v>15</v>
      </c>
      <c r="V41" s="15">
        <f>Raw!AW41</f>
        <v>82</v>
      </c>
      <c r="W41" s="15">
        <f>Raw!AX41</f>
        <v>24</v>
      </c>
      <c r="X41" s="15">
        <f>Raw!AY41</f>
        <v>23</v>
      </c>
      <c r="Y41" s="15">
        <f>Raw!AZ41</f>
        <v>27</v>
      </c>
      <c r="Z41" s="15">
        <f>Raw!BA41</f>
        <v>419</v>
      </c>
      <c r="AA41" s="15">
        <f>Raw!BB41</f>
        <v>105</v>
      </c>
      <c r="AB41" s="15">
        <f>Raw!BC41</f>
        <v>103</v>
      </c>
      <c r="AC41" s="15">
        <f>Raw!BD41</f>
        <v>1</v>
      </c>
      <c r="AD41" s="15">
        <f>Raw!BE41</f>
        <v>63</v>
      </c>
      <c r="AE41" s="15">
        <f>Raw!BF41</f>
        <v>25</v>
      </c>
      <c r="AF41" s="15">
        <f>Raw!BG41</f>
        <v>8</v>
      </c>
      <c r="AG41" s="15">
        <f>Raw!BH41</f>
        <v>11</v>
      </c>
      <c r="AH41" s="15">
        <f>Raw!BI41</f>
        <v>97</v>
      </c>
      <c r="AI41" s="15">
        <f>Raw!BJ41</f>
        <v>24</v>
      </c>
      <c r="AJ41" s="15">
        <f>Raw!BK41</f>
        <v>33</v>
      </c>
      <c r="AK41" s="15">
        <f t="shared" si="2"/>
        <v>1060</v>
      </c>
      <c r="AL41" s="11">
        <f ca="1">IFERROR(__xludf.DUMMYFUNCTION("""COMPUTED_VALUE"""),2001)</f>
        <v>2001</v>
      </c>
      <c r="AM41" s="11" t="str">
        <f ca="1">IFERROR(__xludf.DUMMYFUNCTION("""COMPUTED_VALUE"""),"USA")</f>
        <v>USA</v>
      </c>
      <c r="AN41" s="11" t="str">
        <f ca="1">IFERROR(__xludf.DUMMYFUNCTION("""COMPUTED_VALUE"""),"Ainsworth/Cassidy-Marvin")</f>
        <v>Ainsworth/Cassidy-Marvin</v>
      </c>
      <c r="AO41" s="11">
        <f ca="1">IFERROR(__xludf.DUMMYFUNCTION("""COMPUTED_VALUE"""),1)</f>
        <v>1</v>
      </c>
      <c r="AP41" s="11">
        <f ca="1">IFERROR(__xludf.DUMMYFUNCTION("""COMPUTED_VALUE"""),0)</f>
        <v>0</v>
      </c>
      <c r="AQ41" s="11">
        <f ca="1">IFERROR(__xludf.DUMMYFUNCTION("""COMPUTED_VALUE"""),0)</f>
        <v>0</v>
      </c>
      <c r="AR41" s="11">
        <f ca="1">IFERROR(__xludf.DUMMYFUNCTION("""COMPUTED_VALUE"""),1)</f>
        <v>1</v>
      </c>
      <c r="AS41" s="11">
        <f ca="1">IFERROR(__xludf.DUMMYFUNCTION("""COMPUTED_VALUE"""),0.7885)</f>
        <v>0.78849999999999998</v>
      </c>
      <c r="AT41" s="11">
        <f ca="1">IFERROR(__xludf.DUMMYFUNCTION("""COMPUTED_VALUE"""),0)</f>
        <v>0</v>
      </c>
      <c r="AU41" s="11" t="str">
        <f ca="1">IFERROR(__xludf.DUMMYFUNCTION("""COMPUTED_VALUE"""),"Female")</f>
        <v>Female</v>
      </c>
      <c r="AV41" s="11"/>
      <c r="AW41" s="11"/>
      <c r="AX41" s="11"/>
      <c r="AY41" s="11"/>
      <c r="AZ41" s="11"/>
      <c r="BA41" s="11"/>
      <c r="BB41" s="11"/>
      <c r="BC41" s="11"/>
      <c r="BD41" s="11"/>
      <c r="BE41" s="11"/>
      <c r="BF41" s="11"/>
      <c r="BG41" s="11"/>
      <c r="BH41" s="11"/>
      <c r="BI41" s="11"/>
      <c r="BJ41" s="11"/>
      <c r="BK41" s="11"/>
      <c r="BL41" s="11"/>
      <c r="BM41" s="11"/>
      <c r="BN41" s="11"/>
    </row>
    <row r="42" spans="1:66" ht="12.9">
      <c r="A42" s="11">
        <f>Raw!D42</f>
        <v>30</v>
      </c>
      <c r="B42" s="11" t="str">
        <f>Raw!A42</f>
        <v>Rauh et al. (2000)</v>
      </c>
      <c r="C42" s="11">
        <f>Raw!G42</f>
        <v>1</v>
      </c>
      <c r="D42" s="11" t="str">
        <f>Raw!E42</f>
        <v>Ainsworth-Ainsworth</v>
      </c>
      <c r="E42" s="11" t="str">
        <f>Processed!E42</f>
        <v>Infancy - Toddlerhood</v>
      </c>
      <c r="F42" s="15">
        <f>Raw!AA42</f>
        <v>10</v>
      </c>
      <c r="G42" s="15">
        <f>Raw!AB42</f>
        <v>20</v>
      </c>
      <c r="H42" s="15">
        <f>Raw!AC42</f>
        <v>37</v>
      </c>
      <c r="I42" s="15">
        <f>Raw!AD42</f>
        <v>8</v>
      </c>
      <c r="J42" s="15">
        <f t="shared" si="0"/>
        <v>75</v>
      </c>
      <c r="K42" s="15">
        <f>Raw!AL42</f>
        <v>0</v>
      </c>
      <c r="L42" s="15">
        <f>Raw!AM42</f>
        <v>0</v>
      </c>
      <c r="M42" s="15">
        <f>Raw!AN42</f>
        <v>0</v>
      </c>
      <c r="N42" s="15">
        <f>Raw!AO42</f>
        <v>0</v>
      </c>
      <c r="O42" s="15">
        <f>Raw!AP42</f>
        <v>0</v>
      </c>
      <c r="P42" s="15">
        <f>Raw!AQ42</f>
        <v>0</v>
      </c>
      <c r="Q42" s="15">
        <f>Raw!AR42</f>
        <v>0</v>
      </c>
      <c r="R42" s="15">
        <f>Raw!AS42</f>
        <v>0</v>
      </c>
      <c r="S42" s="15">
        <f>Raw!AT42</f>
        <v>0</v>
      </c>
      <c r="T42" s="15">
        <f t="shared" si="1"/>
        <v>0</v>
      </c>
      <c r="U42" s="15">
        <f>Raw!AV42</f>
        <v>3</v>
      </c>
      <c r="V42" s="15">
        <f>Raw!AW42</f>
        <v>12</v>
      </c>
      <c r="W42" s="15">
        <f>Raw!AX42</f>
        <v>1</v>
      </c>
      <c r="X42" s="15">
        <f>Raw!AY42</f>
        <v>2</v>
      </c>
      <c r="Y42" s="15">
        <f>Raw!AZ42</f>
        <v>4</v>
      </c>
      <c r="Z42" s="15">
        <f>Raw!BA42</f>
        <v>37</v>
      </c>
      <c r="AA42" s="15">
        <f>Raw!BB42</f>
        <v>3</v>
      </c>
      <c r="AB42" s="15">
        <f>Raw!BC42</f>
        <v>1</v>
      </c>
      <c r="AC42" s="15">
        <f>Raw!BD42</f>
        <v>1</v>
      </c>
      <c r="AD42" s="15">
        <f>Raw!BE42</f>
        <v>4</v>
      </c>
      <c r="AE42" s="15">
        <f>Raw!BF42</f>
        <v>2</v>
      </c>
      <c r="AF42" s="15">
        <f>Raw!BG42</f>
        <v>0</v>
      </c>
      <c r="AG42" s="15">
        <f>Raw!BH42</f>
        <v>0</v>
      </c>
      <c r="AH42" s="15">
        <f>Raw!BI42</f>
        <v>4</v>
      </c>
      <c r="AI42" s="15">
        <f>Raw!BJ42</f>
        <v>1</v>
      </c>
      <c r="AJ42" s="15">
        <f>Raw!BK42</f>
        <v>0</v>
      </c>
      <c r="AK42" s="15">
        <f t="shared" si="2"/>
        <v>75</v>
      </c>
      <c r="AL42" s="11">
        <f ca="1">IFERROR(__xludf.DUMMYFUNCTION("""COMPUTED_VALUE"""),2000)</f>
        <v>2000</v>
      </c>
      <c r="AM42" s="11" t="str">
        <f ca="1">IFERROR(__xludf.DUMMYFUNCTION("""COMPUTED_VALUE"""),"Non-USA")</f>
        <v>Non-USA</v>
      </c>
      <c r="AN42" s="11" t="str">
        <f ca="1">IFERROR(__xludf.DUMMYFUNCTION("""COMPUTED_VALUE"""),"Ainsworth/Ainsworth")</f>
        <v>Ainsworth/Ainsworth</v>
      </c>
      <c r="AO42" s="11">
        <f ca="1">IFERROR(__xludf.DUMMYFUNCTION("""COMPUTED_VALUE"""),1)</f>
        <v>1</v>
      </c>
      <c r="AP42" s="11">
        <f ca="1">IFERROR(__xludf.DUMMYFUNCTION("""COMPUTED_VALUE"""),0)</f>
        <v>0</v>
      </c>
      <c r="AQ42" s="11">
        <f ca="1">IFERROR(__xludf.DUMMYFUNCTION("""COMPUTED_VALUE"""),0)</f>
        <v>0</v>
      </c>
      <c r="AR42" s="11">
        <f ca="1">IFERROR(__xludf.DUMMYFUNCTION("""COMPUTED_VALUE"""),1)</f>
        <v>1</v>
      </c>
      <c r="AS42" s="11">
        <f ca="1">IFERROR(__xludf.DUMMYFUNCTION("""COMPUTED_VALUE"""),0.94)</f>
        <v>0.94</v>
      </c>
      <c r="AT42" s="11">
        <f ca="1">IFERROR(__xludf.DUMMYFUNCTION("""COMPUTED_VALUE"""),1)</f>
        <v>1</v>
      </c>
      <c r="AU42" s="11" t="str">
        <f ca="1">IFERROR(__xludf.DUMMYFUNCTION("""COMPUTED_VALUE"""),"Female")</f>
        <v>Female</v>
      </c>
      <c r="AV42" s="11"/>
      <c r="AW42" s="11"/>
      <c r="AX42" s="11"/>
      <c r="AY42" s="11"/>
      <c r="AZ42" s="11"/>
      <c r="BA42" s="11"/>
      <c r="BB42" s="11"/>
      <c r="BC42" s="11"/>
      <c r="BD42" s="11"/>
      <c r="BE42" s="11"/>
      <c r="BF42" s="11"/>
      <c r="BG42" s="11"/>
      <c r="BH42" s="11"/>
      <c r="BI42" s="11"/>
      <c r="BJ42" s="11"/>
      <c r="BK42" s="11"/>
      <c r="BL42" s="11"/>
      <c r="BM42" s="11"/>
      <c r="BN42" s="11"/>
    </row>
    <row r="43" spans="1:66" ht="12.9">
      <c r="A43" s="11">
        <f>Raw!D43</f>
        <v>30</v>
      </c>
      <c r="B43" s="11" t="str">
        <f>Raw!A43</f>
        <v>Rauh et al. (2000)</v>
      </c>
      <c r="C43" s="11">
        <f>Raw!G43</f>
        <v>2</v>
      </c>
      <c r="D43" s="11" t="str">
        <f>Raw!E43</f>
        <v>Main-Main</v>
      </c>
      <c r="E43" s="11" t="str">
        <f>Processed!E43</f>
        <v>Infancy - Toddlerhood</v>
      </c>
      <c r="F43" s="15">
        <f>Raw!AA43</f>
        <v>26</v>
      </c>
      <c r="G43" s="15">
        <f>Raw!AB43</f>
        <v>20</v>
      </c>
      <c r="H43" s="15">
        <f>Raw!AC43</f>
        <v>19</v>
      </c>
      <c r="I43" s="15">
        <f>Raw!AD43</f>
        <v>10</v>
      </c>
      <c r="J43" s="15">
        <f t="shared" si="0"/>
        <v>75</v>
      </c>
      <c r="K43" s="15">
        <f>Raw!AL43</f>
        <v>0</v>
      </c>
      <c r="L43" s="15">
        <f>Raw!AM43</f>
        <v>0</v>
      </c>
      <c r="M43" s="15">
        <f>Raw!AN43</f>
        <v>0</v>
      </c>
      <c r="N43" s="15">
        <f>Raw!AO43</f>
        <v>0</v>
      </c>
      <c r="O43" s="15">
        <f>Raw!AP43</f>
        <v>0</v>
      </c>
      <c r="P43" s="15">
        <f>Raw!AQ43</f>
        <v>0</v>
      </c>
      <c r="Q43" s="15">
        <f>Raw!AR43</f>
        <v>0</v>
      </c>
      <c r="R43" s="15">
        <f>Raw!AS43</f>
        <v>0</v>
      </c>
      <c r="S43" s="15">
        <f>Raw!AT43</f>
        <v>0</v>
      </c>
      <c r="T43" s="15">
        <f t="shared" si="1"/>
        <v>0</v>
      </c>
      <c r="U43" s="15">
        <f>Raw!AV43</f>
        <v>0</v>
      </c>
      <c r="V43" s="15">
        <f>Raw!AW43</f>
        <v>6</v>
      </c>
      <c r="W43" s="15">
        <f>Raw!AX43</f>
        <v>0</v>
      </c>
      <c r="X43" s="15">
        <f>Raw!AY43</f>
        <v>5</v>
      </c>
      <c r="Y43" s="15">
        <f>Raw!AZ43</f>
        <v>1</v>
      </c>
      <c r="Z43" s="15">
        <f>Raw!BA43</f>
        <v>19</v>
      </c>
      <c r="AA43" s="15">
        <f>Raw!BB43</f>
        <v>2</v>
      </c>
      <c r="AB43" s="15">
        <f>Raw!BC43</f>
        <v>7</v>
      </c>
      <c r="AC43" s="15">
        <f>Raw!BD43</f>
        <v>1</v>
      </c>
      <c r="AD43" s="15">
        <f>Raw!BE43</f>
        <v>3</v>
      </c>
      <c r="AE43" s="15">
        <f>Raw!BF43</f>
        <v>0</v>
      </c>
      <c r="AF43" s="15">
        <f>Raw!BG43</f>
        <v>1</v>
      </c>
      <c r="AG43" s="15">
        <f>Raw!BH43</f>
        <v>0</v>
      </c>
      <c r="AH43" s="15">
        <f>Raw!BI43</f>
        <v>11</v>
      </c>
      <c r="AI43" s="15">
        <f>Raw!BJ43</f>
        <v>0</v>
      </c>
      <c r="AJ43" s="15">
        <f>Raw!BK43</f>
        <v>19</v>
      </c>
      <c r="AK43" s="15">
        <f t="shared" si="2"/>
        <v>75</v>
      </c>
      <c r="AL43" s="11">
        <f ca="1">IFERROR(__xludf.DUMMYFUNCTION("""COMPUTED_VALUE"""),2000)</f>
        <v>2000</v>
      </c>
      <c r="AM43" s="11" t="str">
        <f ca="1">IFERROR(__xludf.DUMMYFUNCTION("""COMPUTED_VALUE"""),"Non-USA")</f>
        <v>Non-USA</v>
      </c>
      <c r="AN43" s="11" t="str">
        <f ca="1">IFERROR(__xludf.DUMMYFUNCTION("""COMPUTED_VALUE"""),"Main-Cassidy/Main-Cassidy")</f>
        <v>Main-Cassidy/Main-Cassidy</v>
      </c>
      <c r="AO43" s="11">
        <f ca="1">IFERROR(__xludf.DUMMYFUNCTION("""COMPUTED_VALUE"""),1)</f>
        <v>1</v>
      </c>
      <c r="AP43" s="11">
        <f ca="1">IFERROR(__xludf.DUMMYFUNCTION("""COMPUTED_VALUE"""),0)</f>
        <v>0</v>
      </c>
      <c r="AQ43" s="11">
        <f ca="1">IFERROR(__xludf.DUMMYFUNCTION("""COMPUTED_VALUE"""),0)</f>
        <v>0</v>
      </c>
      <c r="AR43" s="11">
        <f ca="1">IFERROR(__xludf.DUMMYFUNCTION("""COMPUTED_VALUE"""),1)</f>
        <v>1</v>
      </c>
      <c r="AS43" s="11">
        <f ca="1">IFERROR(__xludf.DUMMYFUNCTION("""COMPUTED_VALUE"""),0.94)</f>
        <v>0.94</v>
      </c>
      <c r="AT43" s="11">
        <f ca="1">IFERROR(__xludf.DUMMYFUNCTION("""COMPUTED_VALUE"""),0)</f>
        <v>0</v>
      </c>
      <c r="AU43" s="11" t="str">
        <f ca="1">IFERROR(__xludf.DUMMYFUNCTION("""COMPUTED_VALUE"""),"Female")</f>
        <v>Female</v>
      </c>
      <c r="AV43" s="11"/>
      <c r="AW43" s="11"/>
      <c r="AX43" s="11"/>
      <c r="AY43" s="11"/>
      <c r="AZ43" s="11"/>
      <c r="BA43" s="11"/>
      <c r="BB43" s="11"/>
      <c r="BC43" s="11"/>
      <c r="BD43" s="11"/>
      <c r="BE43" s="11"/>
      <c r="BF43" s="11"/>
      <c r="BG43" s="11"/>
      <c r="BH43" s="11"/>
      <c r="BI43" s="11"/>
      <c r="BJ43" s="11"/>
      <c r="BK43" s="11"/>
      <c r="BL43" s="11"/>
      <c r="BM43" s="11"/>
      <c r="BN43" s="11"/>
    </row>
    <row r="44" spans="1:66" ht="12.9">
      <c r="A44" s="11">
        <f>Raw!D44</f>
        <v>30</v>
      </c>
      <c r="B44" s="11" t="str">
        <f>Raw!A44</f>
        <v>Rauh et al. (2000)</v>
      </c>
      <c r="C44" s="11">
        <f>Raw!G44</f>
        <v>3</v>
      </c>
      <c r="D44" s="11" t="str">
        <f>Raw!E44</f>
        <v>Main-Ainsworth</v>
      </c>
      <c r="E44" s="11" t="str">
        <f>Processed!E44</f>
        <v>Infancy - Toddlerhood</v>
      </c>
      <c r="F44" s="15">
        <f>Raw!AA44</f>
        <v>13</v>
      </c>
      <c r="G44" s="15">
        <f>Raw!AB44</f>
        <v>33</v>
      </c>
      <c r="H44" s="15">
        <f>Raw!AC44</f>
        <v>24</v>
      </c>
      <c r="I44" s="15">
        <f>Raw!AD44</f>
        <v>5</v>
      </c>
      <c r="J44" s="15">
        <f t="shared" si="0"/>
        <v>75</v>
      </c>
      <c r="K44" s="15">
        <f>Raw!AL44</f>
        <v>0</v>
      </c>
      <c r="L44" s="15">
        <f>Raw!AM44</f>
        <v>0</v>
      </c>
      <c r="M44" s="15">
        <f>Raw!AN44</f>
        <v>0</v>
      </c>
      <c r="N44" s="15">
        <f>Raw!AO44</f>
        <v>0</v>
      </c>
      <c r="O44" s="15">
        <f>Raw!AP44</f>
        <v>0</v>
      </c>
      <c r="P44" s="15">
        <f>Raw!AQ44</f>
        <v>0</v>
      </c>
      <c r="Q44" s="15">
        <f>Raw!AR44</f>
        <v>0</v>
      </c>
      <c r="R44" s="15">
        <f>Raw!AS44</f>
        <v>0</v>
      </c>
      <c r="S44" s="15">
        <f>Raw!AT44</f>
        <v>0</v>
      </c>
      <c r="T44" s="15">
        <f t="shared" si="1"/>
        <v>0</v>
      </c>
      <c r="U44" s="15">
        <f>Raw!AV44</f>
        <v>2</v>
      </c>
      <c r="V44" s="15">
        <f>Raw!AW44</f>
        <v>8</v>
      </c>
      <c r="W44" s="15">
        <f>Raw!AX44</f>
        <v>0</v>
      </c>
      <c r="X44" s="15">
        <f>Raw!AY44</f>
        <v>1</v>
      </c>
      <c r="Y44" s="15">
        <f>Raw!AZ44</f>
        <v>1</v>
      </c>
      <c r="Z44" s="15">
        <f>Raw!BA44</f>
        <v>24</v>
      </c>
      <c r="AA44" s="15">
        <f>Raw!BB44</f>
        <v>3</v>
      </c>
      <c r="AB44" s="15">
        <f>Raw!BC44</f>
        <v>1</v>
      </c>
      <c r="AC44" s="15">
        <f>Raw!BD44</f>
        <v>1</v>
      </c>
      <c r="AD44" s="15">
        <f>Raw!BE44</f>
        <v>4</v>
      </c>
      <c r="AE44" s="15">
        <f>Raw!BF44</f>
        <v>0</v>
      </c>
      <c r="AF44" s="15">
        <f>Raw!BG44</f>
        <v>0</v>
      </c>
      <c r="AG44" s="15">
        <f>Raw!BH44</f>
        <v>4</v>
      </c>
      <c r="AH44" s="15">
        <f>Raw!BI44</f>
        <v>21</v>
      </c>
      <c r="AI44" s="15">
        <f>Raw!BJ44</f>
        <v>4</v>
      </c>
      <c r="AJ44" s="15">
        <f>Raw!BK44</f>
        <v>1</v>
      </c>
      <c r="AK44" s="15">
        <f t="shared" si="2"/>
        <v>75</v>
      </c>
      <c r="AL44" s="11">
        <f ca="1">IFERROR(__xludf.DUMMYFUNCTION("""COMPUTED_VALUE"""),2000)</f>
        <v>2000</v>
      </c>
      <c r="AM44" s="11" t="str">
        <f ca="1">IFERROR(__xludf.DUMMYFUNCTION("""COMPUTED_VALUE"""),"Non-USA")</f>
        <v>Non-USA</v>
      </c>
      <c r="AN44" s="11" t="str">
        <f ca="1">IFERROR(__xludf.DUMMYFUNCTION("""COMPUTED_VALUE"""),"Main-Cassidy/Ainsworth")</f>
        <v>Main-Cassidy/Ainsworth</v>
      </c>
      <c r="AO44" s="11">
        <f ca="1">IFERROR(__xludf.DUMMYFUNCTION("""COMPUTED_VALUE"""),1)</f>
        <v>1</v>
      </c>
      <c r="AP44" s="11">
        <f ca="1">IFERROR(__xludf.DUMMYFUNCTION("""COMPUTED_VALUE"""),0)</f>
        <v>0</v>
      </c>
      <c r="AQ44" s="11">
        <f ca="1">IFERROR(__xludf.DUMMYFUNCTION("""COMPUTED_VALUE"""),0)</f>
        <v>0</v>
      </c>
      <c r="AR44" s="11">
        <f ca="1">IFERROR(__xludf.DUMMYFUNCTION("""COMPUTED_VALUE"""),1)</f>
        <v>1</v>
      </c>
      <c r="AS44" s="11">
        <f ca="1">IFERROR(__xludf.DUMMYFUNCTION("""COMPUTED_VALUE"""),0.94)</f>
        <v>0.94</v>
      </c>
      <c r="AT44" s="11">
        <f ca="1">IFERROR(__xludf.DUMMYFUNCTION("""COMPUTED_VALUE"""),0)</f>
        <v>0</v>
      </c>
      <c r="AU44" s="11" t="str">
        <f ca="1">IFERROR(__xludf.DUMMYFUNCTION("""COMPUTED_VALUE"""),"Female")</f>
        <v>Female</v>
      </c>
      <c r="AV44" s="11"/>
      <c r="AW44" s="11"/>
      <c r="AX44" s="11"/>
      <c r="AY44" s="11"/>
      <c r="AZ44" s="11"/>
      <c r="BA44" s="11"/>
      <c r="BB44" s="11"/>
      <c r="BC44" s="11"/>
      <c r="BD44" s="11"/>
      <c r="BE44" s="11"/>
      <c r="BF44" s="11"/>
      <c r="BG44" s="11"/>
      <c r="BH44" s="11"/>
      <c r="BI44" s="11"/>
      <c r="BJ44" s="11"/>
      <c r="BK44" s="11"/>
      <c r="BL44" s="11"/>
      <c r="BM44" s="11"/>
      <c r="BN44" s="11"/>
    </row>
    <row r="45" spans="1:66" ht="12.9">
      <c r="A45" s="11">
        <f>Raw!D45</f>
        <v>30</v>
      </c>
      <c r="B45" s="11" t="str">
        <f>Raw!A45</f>
        <v>Rauh et al. (2000)</v>
      </c>
      <c r="C45" s="11">
        <f>Raw!G45</f>
        <v>4</v>
      </c>
      <c r="D45" s="11" t="str">
        <f>Raw!E45</f>
        <v>Ainsworth-Main</v>
      </c>
      <c r="E45" s="11" t="str">
        <f>Processed!E45</f>
        <v>Infancy - Toddlerhood</v>
      </c>
      <c r="F45" s="15">
        <f>Raw!AA45</f>
        <v>17</v>
      </c>
      <c r="G45" s="15">
        <f>Raw!AB45</f>
        <v>13</v>
      </c>
      <c r="H45" s="15">
        <f>Raw!AC45</f>
        <v>26</v>
      </c>
      <c r="I45" s="15">
        <f>Raw!AD45</f>
        <v>19</v>
      </c>
      <c r="J45" s="15">
        <f t="shared" si="0"/>
        <v>75</v>
      </c>
      <c r="K45" s="15">
        <f>Raw!AL45</f>
        <v>0</v>
      </c>
      <c r="L45" s="15">
        <f>Raw!AM45</f>
        <v>0</v>
      </c>
      <c r="M45" s="15">
        <f>Raw!AN45</f>
        <v>0</v>
      </c>
      <c r="N45" s="15">
        <f>Raw!AO45</f>
        <v>0</v>
      </c>
      <c r="O45" s="15">
        <f>Raw!AP45</f>
        <v>0</v>
      </c>
      <c r="P45" s="15">
        <f>Raw!AQ45</f>
        <v>0</v>
      </c>
      <c r="Q45" s="15">
        <f>Raw!AR45</f>
        <v>0</v>
      </c>
      <c r="R45" s="15">
        <f>Raw!AS45</f>
        <v>0</v>
      </c>
      <c r="S45" s="15">
        <f>Raw!AT45</f>
        <v>0</v>
      </c>
      <c r="T45" s="15">
        <f t="shared" si="1"/>
        <v>0</v>
      </c>
      <c r="U45" s="15">
        <f>Raw!AV45</f>
        <v>0</v>
      </c>
      <c r="V45" s="15">
        <f>Raw!AW45</f>
        <v>8</v>
      </c>
      <c r="W45" s="15">
        <f>Raw!AX45</f>
        <v>0</v>
      </c>
      <c r="X45" s="15">
        <f>Raw!AY45</f>
        <v>10</v>
      </c>
      <c r="Y45" s="15">
        <f>Raw!AZ45</f>
        <v>1</v>
      </c>
      <c r="Z45" s="15">
        <f>Raw!BA45</f>
        <v>26</v>
      </c>
      <c r="AA45" s="15">
        <f>Raw!BB45</f>
        <v>2</v>
      </c>
      <c r="AB45" s="15">
        <f>Raw!BC45</f>
        <v>16</v>
      </c>
      <c r="AC45" s="15">
        <f>Raw!BD45</f>
        <v>1</v>
      </c>
      <c r="AD45" s="15">
        <f>Raw!BE45</f>
        <v>3</v>
      </c>
      <c r="AE45" s="15">
        <f>Raw!BF45</f>
        <v>0</v>
      </c>
      <c r="AF45" s="15">
        <f>Raw!BG45</f>
        <v>3</v>
      </c>
      <c r="AG45" s="15">
        <f>Raw!BH45</f>
        <v>0</v>
      </c>
      <c r="AH45" s="15">
        <f>Raw!BI45</f>
        <v>2</v>
      </c>
      <c r="AI45" s="15">
        <f>Raw!BJ45</f>
        <v>0</v>
      </c>
      <c r="AJ45" s="15">
        <f>Raw!BK45</f>
        <v>3</v>
      </c>
      <c r="AK45" s="15">
        <f t="shared" si="2"/>
        <v>75</v>
      </c>
      <c r="AL45" s="11">
        <f ca="1">IFERROR(__xludf.DUMMYFUNCTION("""COMPUTED_VALUE"""),2000)</f>
        <v>2000</v>
      </c>
      <c r="AM45" s="11" t="str">
        <f ca="1">IFERROR(__xludf.DUMMYFUNCTION("""COMPUTED_VALUE"""),"Non-USA")</f>
        <v>Non-USA</v>
      </c>
      <c r="AN45" s="11" t="str">
        <f ca="1">IFERROR(__xludf.DUMMYFUNCTION("""COMPUTED_VALUE"""),"Ainsworth/Main-Cassidy")</f>
        <v>Ainsworth/Main-Cassidy</v>
      </c>
      <c r="AO45" s="11">
        <f ca="1">IFERROR(__xludf.DUMMYFUNCTION("""COMPUTED_VALUE"""),1)</f>
        <v>1</v>
      </c>
      <c r="AP45" s="11">
        <f ca="1">IFERROR(__xludf.DUMMYFUNCTION("""COMPUTED_VALUE"""),0)</f>
        <v>0</v>
      </c>
      <c r="AQ45" s="11">
        <f ca="1">IFERROR(__xludf.DUMMYFUNCTION("""COMPUTED_VALUE"""),0)</f>
        <v>0</v>
      </c>
      <c r="AR45" s="11">
        <f ca="1">IFERROR(__xludf.DUMMYFUNCTION("""COMPUTED_VALUE"""),1)</f>
        <v>1</v>
      </c>
      <c r="AS45" s="11">
        <f ca="1">IFERROR(__xludf.DUMMYFUNCTION("""COMPUTED_VALUE"""),0.94)</f>
        <v>0.94</v>
      </c>
      <c r="AT45" s="11">
        <f ca="1">IFERROR(__xludf.DUMMYFUNCTION("""COMPUTED_VALUE"""),0)</f>
        <v>0</v>
      </c>
      <c r="AU45" s="11" t="str">
        <f ca="1">IFERROR(__xludf.DUMMYFUNCTION("""COMPUTED_VALUE"""),"Female")</f>
        <v>Female</v>
      </c>
      <c r="AV45" s="11"/>
      <c r="AW45" s="11"/>
      <c r="AX45" s="11"/>
      <c r="AY45" s="11"/>
      <c r="AZ45" s="11"/>
      <c r="BA45" s="11"/>
      <c r="BB45" s="11"/>
      <c r="BC45" s="11"/>
      <c r="BD45" s="11"/>
      <c r="BE45" s="11"/>
      <c r="BF45" s="11"/>
      <c r="BG45" s="11"/>
      <c r="BH45" s="11"/>
      <c r="BI45" s="11"/>
      <c r="BJ45" s="11"/>
      <c r="BK45" s="11"/>
      <c r="BL45" s="11"/>
      <c r="BM45" s="11"/>
      <c r="BN45" s="11"/>
    </row>
    <row r="46" spans="1:66" ht="12.9">
      <c r="A46" s="11">
        <f>Raw!D46</f>
        <v>30</v>
      </c>
      <c r="B46" s="11" t="str">
        <f>Raw!A46</f>
        <v>Rauh et al. (2000)</v>
      </c>
      <c r="C46" s="11">
        <f>Raw!G46</f>
        <v>5</v>
      </c>
      <c r="D46" s="11" t="str">
        <f>Raw!E46</f>
        <v>Main-Crittenden</v>
      </c>
      <c r="E46" s="11" t="str">
        <f>Processed!E46</f>
        <v>Infancy - Toddlerhood</v>
      </c>
      <c r="F46" s="15">
        <f>Raw!AA46</f>
        <v>42</v>
      </c>
      <c r="G46" s="15">
        <f>Raw!AB46</f>
        <v>4</v>
      </c>
      <c r="H46" s="15">
        <f>Raw!AC46</f>
        <v>9</v>
      </c>
      <c r="I46" s="15">
        <f>Raw!AD46</f>
        <v>20</v>
      </c>
      <c r="J46" s="15">
        <f t="shared" si="0"/>
        <v>75</v>
      </c>
      <c r="K46" s="15">
        <f>Raw!AL46</f>
        <v>0</v>
      </c>
      <c r="L46" s="15">
        <f>Raw!AM46</f>
        <v>0</v>
      </c>
      <c r="M46" s="15">
        <f>Raw!AN46</f>
        <v>0</v>
      </c>
      <c r="N46" s="15">
        <f>Raw!AO46</f>
        <v>0</v>
      </c>
      <c r="O46" s="15">
        <f>Raw!AP46</f>
        <v>0</v>
      </c>
      <c r="P46" s="15">
        <f>Raw!AQ46</f>
        <v>0</v>
      </c>
      <c r="Q46" s="15">
        <f>Raw!AR46</f>
        <v>0</v>
      </c>
      <c r="R46" s="15">
        <f>Raw!AS46</f>
        <v>0</v>
      </c>
      <c r="S46" s="15">
        <f>Raw!AT46</f>
        <v>0</v>
      </c>
      <c r="T46" s="15">
        <f t="shared" si="1"/>
        <v>0</v>
      </c>
      <c r="U46" s="15">
        <f>Raw!AV46</f>
        <v>3</v>
      </c>
      <c r="V46" s="15">
        <f>Raw!AW46</f>
        <v>1</v>
      </c>
      <c r="W46" s="15">
        <f>Raw!AX46</f>
        <v>5</v>
      </c>
      <c r="X46" s="15">
        <f>Raw!AY46</f>
        <v>2</v>
      </c>
      <c r="Y46" s="15">
        <f>Raw!AZ46</f>
        <v>9</v>
      </c>
      <c r="Z46" s="15">
        <f>Raw!BA46</f>
        <v>9</v>
      </c>
      <c r="AA46" s="15">
        <f>Raw!BB46</f>
        <v>9</v>
      </c>
      <c r="AB46" s="15">
        <f>Raw!BC46</f>
        <v>2</v>
      </c>
      <c r="AC46" s="15">
        <f>Raw!BD46</f>
        <v>0</v>
      </c>
      <c r="AD46" s="15">
        <f>Raw!BE46</f>
        <v>1</v>
      </c>
      <c r="AE46" s="15">
        <f>Raw!BF46</f>
        <v>2</v>
      </c>
      <c r="AF46" s="15">
        <f>Raw!BG46</f>
        <v>2</v>
      </c>
      <c r="AG46" s="15">
        <f>Raw!BH46</f>
        <v>11</v>
      </c>
      <c r="AH46" s="15">
        <f>Raw!BI46</f>
        <v>2</v>
      </c>
      <c r="AI46" s="15">
        <f>Raw!BJ46</f>
        <v>14</v>
      </c>
      <c r="AJ46" s="15">
        <f>Raw!BK46</f>
        <v>3</v>
      </c>
      <c r="AK46" s="15">
        <f t="shared" si="2"/>
        <v>75</v>
      </c>
      <c r="AL46" s="11">
        <f ca="1">IFERROR(__xludf.DUMMYFUNCTION("""COMPUTED_VALUE"""),2000)</f>
        <v>2000</v>
      </c>
      <c r="AM46" s="11" t="str">
        <f ca="1">IFERROR(__xludf.DUMMYFUNCTION("""COMPUTED_VALUE"""),"Non-USA")</f>
        <v>Non-USA</v>
      </c>
      <c r="AN46" s="11" t="str">
        <f ca="1">IFERROR(__xludf.DUMMYFUNCTION("""COMPUTED_VALUE"""),"Main-Cassidy/Crittenden")</f>
        <v>Main-Cassidy/Crittenden</v>
      </c>
      <c r="AO46" s="11">
        <f ca="1">IFERROR(__xludf.DUMMYFUNCTION("""COMPUTED_VALUE"""),1)</f>
        <v>1</v>
      </c>
      <c r="AP46" s="11">
        <f ca="1">IFERROR(__xludf.DUMMYFUNCTION("""COMPUTED_VALUE"""),0)</f>
        <v>0</v>
      </c>
      <c r="AQ46" s="11">
        <f ca="1">IFERROR(__xludf.DUMMYFUNCTION("""COMPUTED_VALUE"""),0)</f>
        <v>0</v>
      </c>
      <c r="AR46" s="11">
        <f ca="1">IFERROR(__xludf.DUMMYFUNCTION("""COMPUTED_VALUE"""),1)</f>
        <v>1</v>
      </c>
      <c r="AS46" s="11">
        <f ca="1">IFERROR(__xludf.DUMMYFUNCTION("""COMPUTED_VALUE"""),0.94)</f>
        <v>0.94</v>
      </c>
      <c r="AT46" s="11">
        <f ca="1">IFERROR(__xludf.DUMMYFUNCTION("""COMPUTED_VALUE"""),0)</f>
        <v>0</v>
      </c>
      <c r="AU46" s="11" t="str">
        <f ca="1">IFERROR(__xludf.DUMMYFUNCTION("""COMPUTED_VALUE"""),"Female")</f>
        <v>Female</v>
      </c>
      <c r="AV46" s="11"/>
      <c r="AW46" s="11"/>
      <c r="AX46" s="11"/>
      <c r="AY46" s="11"/>
      <c r="AZ46" s="11"/>
      <c r="BA46" s="11"/>
      <c r="BB46" s="11"/>
      <c r="BC46" s="11"/>
      <c r="BD46" s="11"/>
      <c r="BE46" s="11"/>
      <c r="BF46" s="11"/>
      <c r="BG46" s="11"/>
      <c r="BH46" s="11"/>
      <c r="BI46" s="11"/>
      <c r="BJ46" s="11"/>
      <c r="BK46" s="11"/>
      <c r="BL46" s="11"/>
      <c r="BM46" s="11"/>
      <c r="BN46" s="11"/>
    </row>
    <row r="47" spans="1:66" ht="12.9">
      <c r="A47" s="11">
        <f>Raw!D47</f>
        <v>30</v>
      </c>
      <c r="B47" s="11" t="str">
        <f>Raw!A47</f>
        <v>Rauh et al. (2000)</v>
      </c>
      <c r="C47" s="11">
        <f>Raw!G47</f>
        <v>6</v>
      </c>
      <c r="D47" s="11" t="str">
        <f>Raw!E47</f>
        <v>Ainsworth-Crittenden</v>
      </c>
      <c r="E47" s="11" t="str">
        <f>Processed!E47</f>
        <v>Infancy - Toddlerhood</v>
      </c>
      <c r="F47" s="15">
        <f>Raw!AA47</f>
        <v>27</v>
      </c>
      <c r="G47" s="15">
        <f>Raw!AB47</f>
        <v>3</v>
      </c>
      <c r="H47" s="15">
        <f>Raw!AC47</f>
        <v>10</v>
      </c>
      <c r="I47" s="15">
        <f>Raw!AD47</f>
        <v>35</v>
      </c>
      <c r="J47" s="15">
        <f t="shared" si="0"/>
        <v>75</v>
      </c>
      <c r="K47" s="15">
        <f>Raw!AL47</f>
        <v>0</v>
      </c>
      <c r="L47" s="15">
        <f>Raw!AM47</f>
        <v>0</v>
      </c>
      <c r="M47" s="15">
        <f>Raw!AN47</f>
        <v>0</v>
      </c>
      <c r="N47" s="15">
        <f>Raw!AO47</f>
        <v>0</v>
      </c>
      <c r="O47" s="15">
        <f>Raw!AP47</f>
        <v>0</v>
      </c>
      <c r="P47" s="15">
        <f>Raw!AQ47</f>
        <v>0</v>
      </c>
      <c r="Q47" s="15">
        <f>Raw!AR47</f>
        <v>0</v>
      </c>
      <c r="R47" s="15">
        <f>Raw!AS47</f>
        <v>0</v>
      </c>
      <c r="S47" s="15">
        <f>Raw!AT47</f>
        <v>0</v>
      </c>
      <c r="T47" s="15">
        <f t="shared" si="1"/>
        <v>0</v>
      </c>
      <c r="U47" s="15">
        <f>Raw!AV47</f>
        <v>5</v>
      </c>
      <c r="V47" s="15">
        <f>Raw!AW47</f>
        <v>2</v>
      </c>
      <c r="W47" s="15">
        <f>Raw!AX47</f>
        <v>9</v>
      </c>
      <c r="X47" s="15">
        <f>Raw!AY47</f>
        <v>2</v>
      </c>
      <c r="Y47" s="15">
        <f>Raw!AZ47</f>
        <v>16</v>
      </c>
      <c r="Z47" s="15">
        <f>Raw!BA47</f>
        <v>10</v>
      </c>
      <c r="AA47" s="15">
        <f>Raw!BB47</f>
        <v>15</v>
      </c>
      <c r="AB47" s="15">
        <f>Raw!BC47</f>
        <v>4</v>
      </c>
      <c r="AC47" s="15">
        <f>Raw!BD47</f>
        <v>0</v>
      </c>
      <c r="AD47" s="15">
        <f>Raw!BE47</f>
        <v>1</v>
      </c>
      <c r="AE47" s="15">
        <f>Raw!BF47</f>
        <v>4</v>
      </c>
      <c r="AF47" s="15">
        <f>Raw!BG47</f>
        <v>2</v>
      </c>
      <c r="AG47" s="15">
        <f>Raw!BH47</f>
        <v>2</v>
      </c>
      <c r="AH47" s="15">
        <f>Raw!BI47</f>
        <v>0</v>
      </c>
      <c r="AI47" s="15">
        <f>Raw!BJ47</f>
        <v>2</v>
      </c>
      <c r="AJ47" s="15">
        <f>Raw!BK47</f>
        <v>1</v>
      </c>
      <c r="AK47" s="15">
        <f t="shared" si="2"/>
        <v>75</v>
      </c>
      <c r="AL47" s="11">
        <f ca="1">IFERROR(__xludf.DUMMYFUNCTION("""COMPUTED_VALUE"""),2000)</f>
        <v>2000</v>
      </c>
      <c r="AM47" s="11" t="str">
        <f ca="1">IFERROR(__xludf.DUMMYFUNCTION("""COMPUTED_VALUE"""),"Non-USA")</f>
        <v>Non-USA</v>
      </c>
      <c r="AN47" s="11" t="str">
        <f ca="1">IFERROR(__xludf.DUMMYFUNCTION("""COMPUTED_VALUE"""),"Ainsworth/Crittenden")</f>
        <v>Ainsworth/Crittenden</v>
      </c>
      <c r="AO47" s="11">
        <f ca="1">IFERROR(__xludf.DUMMYFUNCTION("""COMPUTED_VALUE"""),1)</f>
        <v>1</v>
      </c>
      <c r="AP47" s="11">
        <f ca="1">IFERROR(__xludf.DUMMYFUNCTION("""COMPUTED_VALUE"""),0)</f>
        <v>0</v>
      </c>
      <c r="AQ47" s="11">
        <f ca="1">IFERROR(__xludf.DUMMYFUNCTION("""COMPUTED_VALUE"""),0)</f>
        <v>0</v>
      </c>
      <c r="AR47" s="11">
        <f ca="1">IFERROR(__xludf.DUMMYFUNCTION("""COMPUTED_VALUE"""),1)</f>
        <v>1</v>
      </c>
      <c r="AS47" s="11">
        <f ca="1">IFERROR(__xludf.DUMMYFUNCTION("""COMPUTED_VALUE"""),0.94)</f>
        <v>0.94</v>
      </c>
      <c r="AT47" s="11">
        <f ca="1">IFERROR(__xludf.DUMMYFUNCTION("""COMPUTED_VALUE"""),0)</f>
        <v>0</v>
      </c>
      <c r="AU47" s="11" t="str">
        <f ca="1">IFERROR(__xludf.DUMMYFUNCTION("""COMPUTED_VALUE"""),"Female")</f>
        <v>Female</v>
      </c>
      <c r="AV47" s="11"/>
      <c r="AW47" s="11"/>
      <c r="AX47" s="11"/>
      <c r="AY47" s="11"/>
      <c r="AZ47" s="11"/>
      <c r="BA47" s="11"/>
      <c r="BB47" s="11"/>
      <c r="BC47" s="11"/>
      <c r="BD47" s="11"/>
      <c r="BE47" s="11"/>
      <c r="BF47" s="11"/>
      <c r="BG47" s="11"/>
      <c r="BH47" s="11"/>
      <c r="BI47" s="11"/>
      <c r="BJ47" s="11"/>
      <c r="BK47" s="11"/>
      <c r="BL47" s="11"/>
      <c r="BM47" s="11"/>
      <c r="BN47" s="11"/>
    </row>
    <row r="48" spans="1:66" ht="12.9">
      <c r="A48" s="11">
        <f>Raw!D48</f>
        <v>31</v>
      </c>
      <c r="B48" s="11" t="str">
        <f>Raw!A48</f>
        <v xml:space="preserve">Seifer et al. (2004) </v>
      </c>
      <c r="C48" s="11">
        <f>Raw!G48</f>
        <v>1</v>
      </c>
      <c r="D48" s="11" t="str">
        <f>Raw!E48</f>
        <v>Single sample</v>
      </c>
      <c r="E48" s="11" t="str">
        <f>Processed!E48</f>
        <v>Infancy - Toddlerhood</v>
      </c>
      <c r="F48" s="15">
        <f>Raw!AA48</f>
        <v>68</v>
      </c>
      <c r="G48" s="15">
        <f>Raw!AB48</f>
        <v>144</v>
      </c>
      <c r="H48" s="15">
        <f>Raw!AC48</f>
        <v>293</v>
      </c>
      <c r="I48" s="15">
        <f>Raw!AD48</f>
        <v>96</v>
      </c>
      <c r="J48" s="15">
        <f t="shared" si="0"/>
        <v>601</v>
      </c>
      <c r="K48" s="15">
        <f>Raw!AL48</f>
        <v>0</v>
      </c>
      <c r="L48" s="15">
        <f>Raw!AM48</f>
        <v>0</v>
      </c>
      <c r="M48" s="15">
        <f>Raw!AN48</f>
        <v>0</v>
      </c>
      <c r="N48" s="15">
        <f>Raw!AO48</f>
        <v>0</v>
      </c>
      <c r="O48" s="15">
        <f>Raw!AP48</f>
        <v>0</v>
      </c>
      <c r="P48" s="15">
        <f>Raw!AQ48</f>
        <v>0</v>
      </c>
      <c r="Q48" s="15">
        <f>Raw!AR48</f>
        <v>0</v>
      </c>
      <c r="R48" s="15">
        <f>Raw!AS48</f>
        <v>0</v>
      </c>
      <c r="S48" s="15">
        <f>Raw!AT48</f>
        <v>0</v>
      </c>
      <c r="T48" s="15">
        <f t="shared" si="1"/>
        <v>0</v>
      </c>
      <c r="U48" s="15">
        <f>Raw!AV48</f>
        <v>12</v>
      </c>
      <c r="V48" s="15">
        <f>Raw!AW48</f>
        <v>51</v>
      </c>
      <c r="W48" s="15">
        <f>Raw!AX48</f>
        <v>5</v>
      </c>
      <c r="X48" s="15">
        <f>Raw!AY48</f>
        <v>4</v>
      </c>
      <c r="Y48" s="15">
        <f>Raw!AZ48</f>
        <v>28</v>
      </c>
      <c r="Z48" s="15">
        <f>Raw!BA48</f>
        <v>293</v>
      </c>
      <c r="AA48" s="15">
        <f>Raw!BB48</f>
        <v>43</v>
      </c>
      <c r="AB48" s="15">
        <f>Raw!BC48</f>
        <v>25</v>
      </c>
      <c r="AC48" s="15">
        <f>Raw!BD48</f>
        <v>4</v>
      </c>
      <c r="AD48" s="15">
        <f>Raw!BE48</f>
        <v>36</v>
      </c>
      <c r="AE48" s="15">
        <f>Raw!BF48</f>
        <v>12</v>
      </c>
      <c r="AF48" s="15">
        <f>Raw!BG48</f>
        <v>5</v>
      </c>
      <c r="AG48" s="15">
        <f>Raw!BH48</f>
        <v>7</v>
      </c>
      <c r="AH48" s="15">
        <f>Raw!BI48</f>
        <v>57</v>
      </c>
      <c r="AI48" s="15">
        <f>Raw!BJ48</f>
        <v>17</v>
      </c>
      <c r="AJ48" s="15">
        <f>Raw!BK48</f>
        <v>2</v>
      </c>
      <c r="AK48" s="15">
        <f t="shared" si="2"/>
        <v>601</v>
      </c>
      <c r="AL48" s="11">
        <f ca="1">IFERROR(__xludf.DUMMYFUNCTION("""COMPUTED_VALUE"""),2004)</f>
        <v>2004</v>
      </c>
      <c r="AM48" s="11" t="str">
        <f ca="1">IFERROR(__xludf.DUMMYFUNCTION("""COMPUTED_VALUE"""),"USA")</f>
        <v>USA</v>
      </c>
      <c r="AN48" s="11" t="str">
        <f ca="1">IFERROR(__xludf.DUMMYFUNCTION("""COMPUTED_VALUE"""),"Ainsworth/Cassidy-Marvin")</f>
        <v>Ainsworth/Cassidy-Marvin</v>
      </c>
      <c r="AO48" s="11">
        <f ca="1">IFERROR(__xludf.DUMMYFUNCTION("""COMPUTED_VALUE"""),1)</f>
        <v>1</v>
      </c>
      <c r="AP48" s="11">
        <f ca="1">IFERROR(__xludf.DUMMYFUNCTION("""COMPUTED_VALUE"""),1)</f>
        <v>1</v>
      </c>
      <c r="AQ48" s="11">
        <f ca="1">IFERROR(__xludf.DUMMYFUNCTION("""COMPUTED_VALUE"""),0)</f>
        <v>0</v>
      </c>
      <c r="AR48" s="11">
        <f ca="1">IFERROR(__xludf.DUMMYFUNCTION("""COMPUTED_VALUE"""),1)</f>
        <v>1</v>
      </c>
      <c r="AS48" s="11">
        <f ca="1">IFERROR(__xludf.DUMMYFUNCTION("""COMPUTED_VALUE"""),0.900244462224634)</f>
        <v>0.90024446222463395</v>
      </c>
      <c r="AT48" s="11">
        <f ca="1">IFERROR(__xludf.DUMMYFUNCTION("""COMPUTED_VALUE"""),0)</f>
        <v>0</v>
      </c>
      <c r="AU48" s="11" t="str">
        <f ca="1">IFERROR(__xludf.DUMMYFUNCTION("""COMPUTED_VALUE"""),"Female")</f>
        <v>Female</v>
      </c>
      <c r="AV48" s="11"/>
      <c r="AW48" s="11"/>
      <c r="AX48" s="11"/>
      <c r="AY48" s="11"/>
      <c r="AZ48" s="11"/>
      <c r="BA48" s="11"/>
      <c r="BB48" s="11"/>
      <c r="BC48" s="11"/>
      <c r="BD48" s="11"/>
      <c r="BE48" s="11"/>
      <c r="BF48" s="11"/>
      <c r="BG48" s="11"/>
      <c r="BH48" s="11"/>
      <c r="BI48" s="11"/>
      <c r="BJ48" s="11"/>
      <c r="BK48" s="11"/>
      <c r="BL48" s="11"/>
      <c r="BM48" s="11"/>
      <c r="BN48" s="11"/>
    </row>
    <row r="49" spans="1:66" ht="12.9">
      <c r="A49" s="11">
        <f>Raw!D49</f>
        <v>32</v>
      </c>
      <c r="B49" s="11" t="str">
        <f>Raw!A49</f>
        <v>Steele, Steele &amp; Fonagy (1996)</v>
      </c>
      <c r="C49" s="11">
        <f>Raw!G49</f>
        <v>1</v>
      </c>
      <c r="D49" s="11" t="str">
        <f>Raw!E49</f>
        <v>Mother-child</v>
      </c>
      <c r="E49" s="11" t="str">
        <f>Processed!E49</f>
        <v>Infancy - Preschool</v>
      </c>
      <c r="F49" s="15">
        <f>Raw!AA49</f>
        <v>16</v>
      </c>
      <c r="G49" s="15">
        <f>Raw!AB49</f>
        <v>24</v>
      </c>
      <c r="H49" s="15">
        <f>Raw!AC49</f>
        <v>32</v>
      </c>
      <c r="I49" s="15">
        <f>Raw!AD49</f>
        <v>16</v>
      </c>
      <c r="J49" s="15">
        <f t="shared" si="0"/>
        <v>88</v>
      </c>
      <c r="K49" s="15">
        <f>Raw!AL49</f>
        <v>0</v>
      </c>
      <c r="L49" s="15">
        <f>Raw!AM49</f>
        <v>0</v>
      </c>
      <c r="M49" s="15">
        <f>Raw!AN49</f>
        <v>0</v>
      </c>
      <c r="N49" s="15">
        <f>Raw!AO49</f>
        <v>0</v>
      </c>
      <c r="O49" s="15">
        <f>Raw!AP49</f>
        <v>0</v>
      </c>
      <c r="P49" s="15">
        <f>Raw!AQ49</f>
        <v>0</v>
      </c>
      <c r="Q49" s="15">
        <f>Raw!AR49</f>
        <v>0</v>
      </c>
      <c r="R49" s="15">
        <f>Raw!AS49</f>
        <v>0</v>
      </c>
      <c r="S49" s="15">
        <f>Raw!AT49</f>
        <v>0</v>
      </c>
      <c r="T49" s="15">
        <f t="shared" si="1"/>
        <v>0</v>
      </c>
      <c r="U49" s="15">
        <f>Raw!AV49</f>
        <v>7</v>
      </c>
      <c r="V49" s="15">
        <f>Raw!AW49</f>
        <v>14</v>
      </c>
      <c r="W49" s="15">
        <f>Raw!AX49</f>
        <v>3</v>
      </c>
      <c r="X49" s="15">
        <f>Raw!AY49</f>
        <v>2</v>
      </c>
      <c r="Y49" s="15">
        <f>Raw!AZ49</f>
        <v>10</v>
      </c>
      <c r="Z49" s="15">
        <f>Raw!BA49</f>
        <v>32</v>
      </c>
      <c r="AA49" s="15">
        <f>Raw!BB49</f>
        <v>4</v>
      </c>
      <c r="AB49" s="15">
        <f>Raw!BC49</f>
        <v>2</v>
      </c>
      <c r="AC49" s="15">
        <f>Raw!BD49</f>
        <v>2</v>
      </c>
      <c r="AD49" s="15">
        <f>Raw!BE49</f>
        <v>3</v>
      </c>
      <c r="AE49" s="15">
        <f>Raw!BF49</f>
        <v>0</v>
      </c>
      <c r="AF49" s="15">
        <f>Raw!BG49</f>
        <v>0</v>
      </c>
      <c r="AG49" s="15">
        <f>Raw!BH49</f>
        <v>0</v>
      </c>
      <c r="AH49" s="15">
        <f>Raw!BI49</f>
        <v>7</v>
      </c>
      <c r="AI49" s="15">
        <f>Raw!BJ49</f>
        <v>0</v>
      </c>
      <c r="AJ49" s="15">
        <f>Raw!BK49</f>
        <v>2</v>
      </c>
      <c r="AK49" s="15">
        <f t="shared" si="2"/>
        <v>88</v>
      </c>
      <c r="AL49" s="11">
        <f ca="1">IFERROR(__xludf.DUMMYFUNCTION("""COMPUTED_VALUE"""),1996)</f>
        <v>1996</v>
      </c>
      <c r="AM49" s="11" t="str">
        <f ca="1">IFERROR(__xludf.DUMMYFUNCTION("""COMPUTED_VALUE"""),"Non-USA")</f>
        <v>Non-USA</v>
      </c>
      <c r="AN49" s="11" t="str">
        <f ca="1">IFERROR(__xludf.DUMMYFUNCTION("""COMPUTED_VALUE"""),"Ainsworth/Cassidy-Marvin")</f>
        <v>Ainsworth/Cassidy-Marvin</v>
      </c>
      <c r="AO49" s="11">
        <f ca="1">IFERROR(__xludf.DUMMYFUNCTION("""COMPUTED_VALUE"""),0)</f>
        <v>0</v>
      </c>
      <c r="AP49" s="11">
        <f ca="1">IFERROR(__xludf.DUMMYFUNCTION("""COMPUTED_VALUE"""),0)</f>
        <v>0</v>
      </c>
      <c r="AQ49" s="11">
        <f ca="1">IFERROR(__xludf.DUMMYFUNCTION("""COMPUTED_VALUE"""),0)</f>
        <v>0</v>
      </c>
      <c r="AR49" s="11">
        <f ca="1">IFERROR(__xludf.DUMMYFUNCTION("""COMPUTED_VALUE"""),0)</f>
        <v>0</v>
      </c>
      <c r="AS49" s="11">
        <f ca="1">IFERROR(__xludf.DUMMYFUNCTION("""COMPUTED_VALUE"""),0.91)</f>
        <v>0.91</v>
      </c>
      <c r="AT49" s="11">
        <f ca="1">IFERROR(__xludf.DUMMYFUNCTION("""COMPUTED_VALUE"""),1)</f>
        <v>1</v>
      </c>
      <c r="AU49" s="11" t="str">
        <f ca="1">IFERROR(__xludf.DUMMYFUNCTION("""COMPUTED_VALUE"""),"Female")</f>
        <v>Female</v>
      </c>
      <c r="AV49" s="11"/>
      <c r="AW49" s="11"/>
      <c r="AX49" s="11"/>
      <c r="AY49" s="11"/>
      <c r="AZ49" s="11"/>
      <c r="BA49" s="11"/>
      <c r="BB49" s="11"/>
      <c r="BC49" s="11"/>
      <c r="BD49" s="11"/>
      <c r="BE49" s="11"/>
      <c r="BF49" s="11"/>
      <c r="BG49" s="11"/>
      <c r="BH49" s="11"/>
      <c r="BI49" s="11"/>
      <c r="BJ49" s="11"/>
      <c r="BK49" s="11"/>
      <c r="BL49" s="11"/>
      <c r="BM49" s="11"/>
      <c r="BN49" s="11"/>
    </row>
    <row r="50" spans="1:66" ht="12.9">
      <c r="A50" s="11">
        <f>Raw!D50</f>
        <v>32</v>
      </c>
      <c r="B50" s="11" t="str">
        <f>Raw!A50</f>
        <v>Steele, Steele &amp; Fonagy (1996)</v>
      </c>
      <c r="C50" s="11">
        <f>Raw!G50</f>
        <v>1</v>
      </c>
      <c r="D50" s="11" t="str">
        <f>Raw!E50</f>
        <v>Father-child</v>
      </c>
      <c r="E50" s="11" t="str">
        <f>Processed!E50</f>
        <v>Infancy - Preschool</v>
      </c>
      <c r="F50" s="15">
        <f>Raw!AA50</f>
        <v>12</v>
      </c>
      <c r="G50" s="15">
        <f>Raw!AB50</f>
        <v>10</v>
      </c>
      <c r="H50" s="15">
        <f>Raw!AC50</f>
        <v>34</v>
      </c>
      <c r="I50" s="15">
        <f>Raw!AD50</f>
        <v>12</v>
      </c>
      <c r="J50" s="15">
        <f t="shared" si="0"/>
        <v>68</v>
      </c>
      <c r="K50" s="15">
        <f>Raw!AL50</f>
        <v>0</v>
      </c>
      <c r="L50" s="15">
        <f>Raw!AM50</f>
        <v>0</v>
      </c>
      <c r="M50" s="15">
        <f>Raw!AN50</f>
        <v>0</v>
      </c>
      <c r="N50" s="15">
        <f>Raw!AO50</f>
        <v>0</v>
      </c>
      <c r="O50" s="15">
        <f>Raw!AP50</f>
        <v>0</v>
      </c>
      <c r="P50" s="15">
        <f>Raw!AQ50</f>
        <v>0</v>
      </c>
      <c r="Q50" s="15">
        <f>Raw!AR50</f>
        <v>0</v>
      </c>
      <c r="R50" s="15">
        <f>Raw!AS50</f>
        <v>0</v>
      </c>
      <c r="S50" s="15">
        <f>Raw!AT50</f>
        <v>0</v>
      </c>
      <c r="T50" s="15">
        <f t="shared" si="1"/>
        <v>0</v>
      </c>
      <c r="U50" s="15">
        <f>Raw!AV50</f>
        <v>9</v>
      </c>
      <c r="V50" s="15">
        <f>Raw!AW50</f>
        <v>8</v>
      </c>
      <c r="W50" s="15">
        <f>Raw!AX50</f>
        <v>1</v>
      </c>
      <c r="X50" s="15">
        <f>Raw!AY50</f>
        <v>0</v>
      </c>
      <c r="Y50" s="15">
        <f>Raw!AZ50</f>
        <v>11</v>
      </c>
      <c r="Z50" s="15">
        <f>Raw!BA50</f>
        <v>34</v>
      </c>
      <c r="AA50" s="15">
        <f>Raw!BB50</f>
        <v>1</v>
      </c>
      <c r="AB50" s="15">
        <f>Raw!BC50</f>
        <v>0</v>
      </c>
      <c r="AC50" s="15">
        <f>Raw!BD50</f>
        <v>0</v>
      </c>
      <c r="AD50" s="15">
        <f>Raw!BE50</f>
        <v>0</v>
      </c>
      <c r="AE50" s="15">
        <f>Raw!BF50</f>
        <v>0</v>
      </c>
      <c r="AF50" s="15">
        <f>Raw!BG50</f>
        <v>0</v>
      </c>
      <c r="AG50" s="15">
        <f>Raw!BH50</f>
        <v>1</v>
      </c>
      <c r="AH50" s="15">
        <f>Raw!BI50</f>
        <v>2</v>
      </c>
      <c r="AI50" s="15">
        <f>Raw!BJ50</f>
        <v>1</v>
      </c>
      <c r="AJ50" s="15">
        <f>Raw!BK50</f>
        <v>0</v>
      </c>
      <c r="AK50" s="15">
        <f t="shared" si="2"/>
        <v>68</v>
      </c>
      <c r="AL50" s="11">
        <f ca="1">IFERROR(__xludf.DUMMYFUNCTION("""COMPUTED_VALUE"""),1996)</f>
        <v>1996</v>
      </c>
      <c r="AM50" s="11" t="str">
        <f ca="1">IFERROR(__xludf.DUMMYFUNCTION("""COMPUTED_VALUE"""),"Non-USA")</f>
        <v>Non-USA</v>
      </c>
      <c r="AN50" s="11" t="str">
        <f ca="1">IFERROR(__xludf.DUMMYFUNCTION("""COMPUTED_VALUE"""),"Ainsworth/Cassidy-Marvin")</f>
        <v>Ainsworth/Cassidy-Marvin</v>
      </c>
      <c r="AO50" s="11">
        <f ca="1">IFERROR(__xludf.DUMMYFUNCTION("""COMPUTED_VALUE"""),0)</f>
        <v>0</v>
      </c>
      <c r="AP50" s="11">
        <f ca="1">IFERROR(__xludf.DUMMYFUNCTION("""COMPUTED_VALUE"""),0)</f>
        <v>0</v>
      </c>
      <c r="AQ50" s="11">
        <f ca="1">IFERROR(__xludf.DUMMYFUNCTION("""COMPUTED_VALUE"""),0)</f>
        <v>0</v>
      </c>
      <c r="AR50" s="11">
        <f ca="1">IFERROR(__xludf.DUMMYFUNCTION("""COMPUTED_VALUE"""),0)</f>
        <v>0</v>
      </c>
      <c r="AS50" s="11">
        <f ca="1">IFERROR(__xludf.DUMMYFUNCTION("""COMPUTED_VALUE"""),0.91)</f>
        <v>0.91</v>
      </c>
      <c r="AT50" s="11">
        <f ca="1">IFERROR(__xludf.DUMMYFUNCTION("""COMPUTED_VALUE"""),1)</f>
        <v>1</v>
      </c>
      <c r="AU50" s="11" t="str">
        <f ca="1">IFERROR(__xludf.DUMMYFUNCTION("""COMPUTED_VALUE"""),"Male")</f>
        <v>Male</v>
      </c>
      <c r="AV50" s="11"/>
      <c r="AW50" s="11"/>
      <c r="AX50" s="11"/>
      <c r="AY50" s="11"/>
      <c r="AZ50" s="11"/>
      <c r="BA50" s="11"/>
      <c r="BB50" s="11"/>
      <c r="BC50" s="11"/>
      <c r="BD50" s="11"/>
      <c r="BE50" s="11"/>
      <c r="BF50" s="11"/>
      <c r="BG50" s="11"/>
      <c r="BH50" s="11"/>
      <c r="BI50" s="11"/>
      <c r="BJ50" s="11"/>
      <c r="BK50" s="11"/>
      <c r="BL50" s="11"/>
      <c r="BM50" s="11"/>
      <c r="BN50" s="11"/>
    </row>
    <row r="51" spans="1:66" ht="12.9">
      <c r="A51" s="11">
        <f>Raw!D51</f>
        <v>33</v>
      </c>
      <c r="B51" s="11" t="str">
        <f>Raw!A51</f>
        <v>Stevenson-Hinde &amp; Shouldice (1990)</v>
      </c>
      <c r="C51" s="11">
        <f>Raw!G51</f>
        <v>1</v>
      </c>
      <c r="D51" s="11" t="str">
        <f>Raw!E51</f>
        <v>Single sample</v>
      </c>
      <c r="E51" s="11" t="str">
        <f>Processed!E51</f>
        <v>Toddlerhood - Preschool</v>
      </c>
      <c r="F51" s="15">
        <f>Raw!AA51</f>
        <v>26</v>
      </c>
      <c r="G51" s="15">
        <f>Raw!AB51</f>
        <v>10</v>
      </c>
      <c r="H51" s="15">
        <f>Raw!AC51</f>
        <v>31</v>
      </c>
      <c r="I51" s="15">
        <f>Raw!AD51</f>
        <v>11</v>
      </c>
      <c r="J51" s="15">
        <f t="shared" si="0"/>
        <v>78</v>
      </c>
      <c r="K51" s="15">
        <f>Raw!AL51</f>
        <v>0</v>
      </c>
      <c r="L51" s="15">
        <f>Raw!AM51</f>
        <v>0</v>
      </c>
      <c r="M51" s="15">
        <f>Raw!AN51</f>
        <v>0</v>
      </c>
      <c r="N51" s="15">
        <f>Raw!AO51</f>
        <v>0</v>
      </c>
      <c r="O51" s="15">
        <f>Raw!AP51</f>
        <v>0</v>
      </c>
      <c r="P51" s="15">
        <f>Raw!AQ51</f>
        <v>0</v>
      </c>
      <c r="Q51" s="15">
        <f>Raw!AR51</f>
        <v>0</v>
      </c>
      <c r="R51" s="15">
        <f>Raw!AS51</f>
        <v>0</v>
      </c>
      <c r="S51" s="15">
        <f>Raw!AT51</f>
        <v>0</v>
      </c>
      <c r="T51" s="15">
        <f t="shared" si="1"/>
        <v>0</v>
      </c>
      <c r="U51" s="15">
        <f>Raw!AV51</f>
        <v>3</v>
      </c>
      <c r="V51" s="15">
        <f>Raw!AW51</f>
        <v>3</v>
      </c>
      <c r="W51" s="15">
        <f>Raw!AX51</f>
        <v>0</v>
      </c>
      <c r="X51" s="15">
        <f>Raw!AY51</f>
        <v>3</v>
      </c>
      <c r="Y51" s="15">
        <f>Raw!AZ51</f>
        <v>4</v>
      </c>
      <c r="Z51" s="15">
        <f>Raw!BA51</f>
        <v>31</v>
      </c>
      <c r="AA51" s="15">
        <f>Raw!BB51</f>
        <v>5</v>
      </c>
      <c r="AB51" s="15">
        <f>Raw!BC51</f>
        <v>2</v>
      </c>
      <c r="AC51" s="15">
        <f>Raw!BD51</f>
        <v>1</v>
      </c>
      <c r="AD51" s="15">
        <f>Raw!BE51</f>
        <v>5</v>
      </c>
      <c r="AE51" s="15">
        <f>Raw!BF51</f>
        <v>4</v>
      </c>
      <c r="AF51" s="15">
        <f>Raw!BG51</f>
        <v>3</v>
      </c>
      <c r="AG51" s="15">
        <f>Raw!BH51</f>
        <v>2</v>
      </c>
      <c r="AH51" s="15">
        <f>Raw!BI51</f>
        <v>2</v>
      </c>
      <c r="AI51" s="15">
        <f>Raw!BJ51</f>
        <v>1</v>
      </c>
      <c r="AJ51" s="15">
        <f>Raw!BK51</f>
        <v>9</v>
      </c>
      <c r="AK51" s="15">
        <f t="shared" si="2"/>
        <v>78</v>
      </c>
      <c r="AL51" s="11">
        <f ca="1">IFERROR(__xludf.DUMMYFUNCTION("""COMPUTED_VALUE"""),1990)</f>
        <v>1990</v>
      </c>
      <c r="AM51" s="11" t="str">
        <f ca="1">IFERROR(__xludf.DUMMYFUNCTION("""COMPUTED_VALUE"""),"Non-USA")</f>
        <v>Non-USA</v>
      </c>
      <c r="AN51" s="11" t="str">
        <f ca="1">IFERROR(__xludf.DUMMYFUNCTION("""COMPUTED_VALUE"""),"Ainsworth/Cassidy-Marvin")</f>
        <v>Ainsworth/Cassidy-Marvin</v>
      </c>
      <c r="AO51" s="11">
        <f ca="1">IFERROR(__xludf.DUMMYFUNCTION("""COMPUTED_VALUE"""),1)</f>
        <v>1</v>
      </c>
      <c r="AP51" s="11">
        <f ca="1">IFERROR(__xludf.DUMMYFUNCTION("""COMPUTED_VALUE"""),0)</f>
        <v>0</v>
      </c>
      <c r="AQ51" s="11">
        <f ca="1">IFERROR(__xludf.DUMMYFUNCTION("""COMPUTED_VALUE"""),0)</f>
        <v>0</v>
      </c>
      <c r="AR51" s="11">
        <f ca="1">IFERROR(__xludf.DUMMYFUNCTION("""COMPUTED_VALUE"""),1)</f>
        <v>1</v>
      </c>
      <c r="AS51" s="11">
        <f ca="1">IFERROR(__xludf.DUMMYFUNCTION("""COMPUTED_VALUE"""),0.88)</f>
        <v>0.88</v>
      </c>
      <c r="AT51" s="11">
        <f ca="1">IFERROR(__xludf.DUMMYFUNCTION("""COMPUTED_VALUE"""),0)</f>
        <v>0</v>
      </c>
      <c r="AU51" s="11" t="str">
        <f ca="1">IFERROR(__xludf.DUMMYFUNCTION("""COMPUTED_VALUE"""),"Female")</f>
        <v>Female</v>
      </c>
      <c r="AV51" s="11"/>
      <c r="AW51" s="11"/>
      <c r="AX51" s="11"/>
      <c r="AY51" s="11"/>
      <c r="AZ51" s="11"/>
      <c r="BA51" s="11"/>
      <c r="BB51" s="11"/>
      <c r="BC51" s="11"/>
      <c r="BD51" s="11"/>
      <c r="BE51" s="11"/>
      <c r="BF51" s="11"/>
      <c r="BG51" s="11"/>
      <c r="BH51" s="11"/>
      <c r="BI51" s="11"/>
      <c r="BJ51" s="11"/>
      <c r="BK51" s="11"/>
      <c r="BL51" s="11"/>
      <c r="BM51" s="11"/>
      <c r="BN51" s="11"/>
    </row>
    <row r="52" spans="1:66" ht="12.9">
      <c r="A52" s="11">
        <f>Raw!D52</f>
        <v>34</v>
      </c>
      <c r="B52" s="11" t="str">
        <f>Raw!A52</f>
        <v xml:space="preserve">Takahashi (1990) </v>
      </c>
      <c r="C52" s="11">
        <f>Raw!G52</f>
        <v>1</v>
      </c>
      <c r="D52" s="11" t="str">
        <f>Raw!E52</f>
        <v>Single sample</v>
      </c>
      <c r="E52" s="11" t="str">
        <f>Processed!E52</f>
        <v>Infancy - Toddlerhood</v>
      </c>
      <c r="F52" s="15">
        <f>Raw!AA52</f>
        <v>0</v>
      </c>
      <c r="G52" s="15">
        <f>Raw!AB52</f>
        <v>0</v>
      </c>
      <c r="H52" s="15">
        <f>Raw!AC52</f>
        <v>0</v>
      </c>
      <c r="I52" s="15">
        <f>Raw!AD52</f>
        <v>0</v>
      </c>
      <c r="J52" s="15">
        <f t="shared" si="0"/>
        <v>0</v>
      </c>
      <c r="K52" s="11">
        <f>Raw!AL52</f>
        <v>0</v>
      </c>
      <c r="L52" s="11">
        <f>Raw!AM52</f>
        <v>0</v>
      </c>
      <c r="M52" s="11">
        <f>Raw!AN52</f>
        <v>0</v>
      </c>
      <c r="N52" s="11">
        <f>Raw!AO52</f>
        <v>0</v>
      </c>
      <c r="O52" s="11">
        <f>Raw!AP52</f>
        <v>0</v>
      </c>
      <c r="P52" s="11">
        <f>Raw!AQ52</f>
        <v>0</v>
      </c>
      <c r="Q52" s="11">
        <f>Raw!AR52</f>
        <v>0</v>
      </c>
      <c r="R52" s="11">
        <f>Raw!AS52</f>
        <v>0</v>
      </c>
      <c r="S52" s="11">
        <f>Raw!AT52</f>
        <v>0</v>
      </c>
      <c r="T52" s="11">
        <f t="shared" si="1"/>
        <v>0</v>
      </c>
      <c r="U52" s="15">
        <f>Raw!AV52</f>
        <v>0</v>
      </c>
      <c r="V52" s="15">
        <f>Raw!AW52</f>
        <v>0</v>
      </c>
      <c r="W52" s="15">
        <f>Raw!AX52</f>
        <v>0</v>
      </c>
      <c r="X52" s="15">
        <f>Raw!AY52</f>
        <v>0</v>
      </c>
      <c r="Y52" s="15">
        <f>Raw!AZ52</f>
        <v>0</v>
      </c>
      <c r="Z52" s="15">
        <f>Raw!BA52</f>
        <v>0</v>
      </c>
      <c r="AA52" s="15">
        <f>Raw!BB52</f>
        <v>0</v>
      </c>
      <c r="AB52" s="15">
        <f>Raw!BC52</f>
        <v>0</v>
      </c>
      <c r="AC52" s="15">
        <f>Raw!BD52</f>
        <v>0</v>
      </c>
      <c r="AD52" s="15">
        <f>Raw!BE52</f>
        <v>0</v>
      </c>
      <c r="AE52" s="15">
        <f>Raw!BF52</f>
        <v>0</v>
      </c>
      <c r="AF52" s="15">
        <f>Raw!BG52</f>
        <v>0</v>
      </c>
      <c r="AG52" s="15">
        <f>Raw!BH52</f>
        <v>0</v>
      </c>
      <c r="AH52" s="15">
        <f>Raw!BI52</f>
        <v>0</v>
      </c>
      <c r="AI52" s="15">
        <f>Raw!BJ52</f>
        <v>0</v>
      </c>
      <c r="AJ52" s="15">
        <f>Raw!BK52</f>
        <v>0</v>
      </c>
      <c r="AK52" s="15">
        <f t="shared" si="2"/>
        <v>0</v>
      </c>
      <c r="AL52" s="11">
        <f ca="1">IFERROR(__xludf.DUMMYFUNCTION("""COMPUTED_VALUE"""),1990)</f>
        <v>1990</v>
      </c>
      <c r="AM52" s="11" t="str">
        <f ca="1">IFERROR(__xludf.DUMMYFUNCTION("""COMPUTED_VALUE"""),"Non-USA")</f>
        <v>Non-USA</v>
      </c>
      <c r="AN52" s="11" t="str">
        <f ca="1">IFERROR(__xludf.DUMMYFUNCTION("""COMPUTED_VALUE"""),"Ainsworth/Ainsworth")</f>
        <v>Ainsworth/Ainsworth</v>
      </c>
      <c r="AO52" s="11">
        <f ca="1">IFERROR(__xludf.DUMMYFUNCTION("""COMPUTED_VALUE"""),1)</f>
        <v>1</v>
      </c>
      <c r="AP52" s="11">
        <f ca="1">IFERROR(__xludf.DUMMYFUNCTION("""COMPUTED_VALUE"""),0)</f>
        <v>0</v>
      </c>
      <c r="AQ52" s="11">
        <f ca="1">IFERROR(__xludf.DUMMYFUNCTION("""COMPUTED_VALUE"""),0)</f>
        <v>0</v>
      </c>
      <c r="AR52" s="11">
        <f ca="1">IFERROR(__xludf.DUMMYFUNCTION("""COMPUTED_VALUE"""),1)</f>
        <v>1</v>
      </c>
      <c r="AS52" s="11" t="str">
        <f ca="1">IFERROR(__xludf.DUMMYFUNCTION("""COMPUTED_VALUE"""),"")</f>
        <v/>
      </c>
      <c r="AT52" s="11">
        <f ca="1">IFERROR(__xludf.DUMMYFUNCTION("""COMPUTED_VALUE"""),0)</f>
        <v>0</v>
      </c>
      <c r="AU52" s="11" t="str">
        <f ca="1">IFERROR(__xludf.DUMMYFUNCTION("""COMPUTED_VALUE"""),"Female")</f>
        <v>Female</v>
      </c>
      <c r="AV52" s="11"/>
      <c r="AW52" s="11"/>
      <c r="AX52" s="11"/>
      <c r="AY52" s="11"/>
      <c r="AZ52" s="11"/>
      <c r="BA52" s="11"/>
      <c r="BB52" s="11"/>
      <c r="BC52" s="11"/>
      <c r="BD52" s="11"/>
      <c r="BE52" s="11"/>
      <c r="BF52" s="11"/>
      <c r="BG52" s="11"/>
      <c r="BH52" s="11"/>
      <c r="BI52" s="11"/>
      <c r="BJ52" s="11"/>
      <c r="BK52" s="11"/>
      <c r="BL52" s="11"/>
      <c r="BM52" s="11"/>
      <c r="BN52" s="11"/>
    </row>
    <row r="53" spans="1:66" ht="12.9">
      <c r="A53" s="11">
        <f>Raw!D53</f>
        <v>35</v>
      </c>
      <c r="B53" s="11" t="str">
        <f>Raw!A53</f>
        <v xml:space="preserve">Wartner et al. (1994) </v>
      </c>
      <c r="C53" s="11">
        <f>Raw!G53</f>
        <v>1</v>
      </c>
      <c r="D53" s="11" t="str">
        <f>Raw!E53</f>
        <v>Single sample</v>
      </c>
      <c r="E53" s="11" t="str">
        <f>Processed!E53</f>
        <v>Infancy - Preschool</v>
      </c>
      <c r="F53" s="15">
        <f>Raw!AA53</f>
        <v>18</v>
      </c>
      <c r="G53" s="15">
        <f>Raw!AB53</f>
        <v>2</v>
      </c>
      <c r="H53" s="15">
        <f>Raw!AC53</f>
        <v>17</v>
      </c>
      <c r="I53" s="15">
        <f>Raw!AD53</f>
        <v>2</v>
      </c>
      <c r="J53" s="15">
        <f t="shared" si="0"/>
        <v>39</v>
      </c>
      <c r="K53" s="15">
        <f>Raw!AL53</f>
        <v>8</v>
      </c>
      <c r="L53" s="15">
        <f>Raw!AM53</f>
        <v>2</v>
      </c>
      <c r="M53" s="15">
        <f>Raw!AN53</f>
        <v>1</v>
      </c>
      <c r="N53" s="15">
        <f>Raw!AO53</f>
        <v>2</v>
      </c>
      <c r="O53" s="15">
        <f>Raw!AP53</f>
        <v>25</v>
      </c>
      <c r="P53" s="15">
        <f>Raw!AQ53</f>
        <v>0</v>
      </c>
      <c r="Q53" s="15">
        <f>Raw!AR53</f>
        <v>0</v>
      </c>
      <c r="R53" s="15">
        <f>Raw!AS53</f>
        <v>0</v>
      </c>
      <c r="S53" s="15">
        <f>Raw!AT53</f>
        <v>2</v>
      </c>
      <c r="T53" s="15">
        <f t="shared" si="1"/>
        <v>40</v>
      </c>
      <c r="U53" s="15">
        <f>Raw!AV53</f>
        <v>5</v>
      </c>
      <c r="V53" s="15">
        <f>Raw!AW53</f>
        <v>0</v>
      </c>
      <c r="W53" s="15">
        <f>Raw!AX53</f>
        <v>0</v>
      </c>
      <c r="X53" s="15">
        <f>Raw!AY53</f>
        <v>1</v>
      </c>
      <c r="Y53" s="15">
        <f>Raw!AZ53</f>
        <v>0</v>
      </c>
      <c r="Z53" s="15">
        <f>Raw!BA53</f>
        <v>17</v>
      </c>
      <c r="AA53" s="15">
        <f>Raw!BB53</f>
        <v>0</v>
      </c>
      <c r="AB53" s="15">
        <f>Raw!BC53</f>
        <v>2</v>
      </c>
      <c r="AC53" s="15">
        <f>Raw!BD53</f>
        <v>0</v>
      </c>
      <c r="AD53" s="15">
        <f>Raw!BE53</f>
        <v>0</v>
      </c>
      <c r="AE53" s="15">
        <f>Raw!BF53</f>
        <v>1</v>
      </c>
      <c r="AF53" s="15">
        <f>Raw!BG53</f>
        <v>0</v>
      </c>
      <c r="AG53" s="15">
        <f>Raw!BH53</f>
        <v>2</v>
      </c>
      <c r="AH53" s="15">
        <f>Raw!BI53</f>
        <v>2</v>
      </c>
      <c r="AI53" s="15">
        <f>Raw!BJ53</f>
        <v>0</v>
      </c>
      <c r="AJ53" s="15">
        <f>Raw!BK53</f>
        <v>9</v>
      </c>
      <c r="AK53" s="15">
        <f t="shared" si="2"/>
        <v>39</v>
      </c>
      <c r="AL53" s="11">
        <f ca="1">IFERROR(__xludf.DUMMYFUNCTION("""COMPUTED_VALUE"""),1994)</f>
        <v>1994</v>
      </c>
      <c r="AM53" s="11" t="str">
        <f ca="1">IFERROR(__xludf.DUMMYFUNCTION("""COMPUTED_VALUE"""),"Non-USA")</f>
        <v>Non-USA</v>
      </c>
      <c r="AN53" s="11" t="str">
        <f ca="1">IFERROR(__xludf.DUMMYFUNCTION("""COMPUTED_VALUE"""),"Ainsworth/Main-Cassidy")</f>
        <v>Ainsworth/Main-Cassidy</v>
      </c>
      <c r="AO53" s="11">
        <f ca="1">IFERROR(__xludf.DUMMYFUNCTION("""COMPUTED_VALUE"""),0)</f>
        <v>0</v>
      </c>
      <c r="AP53" s="11">
        <f ca="1">IFERROR(__xludf.DUMMYFUNCTION("""COMPUTED_VALUE"""),0)</f>
        <v>0</v>
      </c>
      <c r="AQ53" s="11">
        <f ca="1">IFERROR(__xludf.DUMMYFUNCTION("""COMPUTED_VALUE"""),0)</f>
        <v>0</v>
      </c>
      <c r="AR53" s="11">
        <f ca="1">IFERROR(__xludf.DUMMYFUNCTION("""COMPUTED_VALUE"""),1)</f>
        <v>1</v>
      </c>
      <c r="AS53" s="11">
        <f ca="1">IFERROR(__xludf.DUMMYFUNCTION("""COMPUTED_VALUE"""),0.97)</f>
        <v>0.97</v>
      </c>
      <c r="AT53" s="11">
        <f ca="1">IFERROR(__xludf.DUMMYFUNCTION("""COMPUTED_VALUE"""),1)</f>
        <v>1</v>
      </c>
      <c r="AU53" s="11" t="str">
        <f ca="1">IFERROR(__xludf.DUMMYFUNCTION("""COMPUTED_VALUE"""),"Female")</f>
        <v>Female</v>
      </c>
      <c r="AV53" s="11"/>
      <c r="AW53" s="11"/>
      <c r="AX53" s="11"/>
      <c r="AY53" s="11"/>
      <c r="AZ53" s="11"/>
      <c r="BA53" s="11"/>
      <c r="BB53" s="11"/>
      <c r="BC53" s="11"/>
      <c r="BD53" s="11"/>
      <c r="BE53" s="11"/>
      <c r="BF53" s="11"/>
      <c r="BG53" s="11"/>
      <c r="BH53" s="11"/>
      <c r="BI53" s="11"/>
      <c r="BJ53" s="11"/>
      <c r="BK53" s="11"/>
      <c r="BL53" s="11"/>
      <c r="BM53" s="11"/>
      <c r="BN53" s="11"/>
    </row>
    <row r="54" spans="1:66" ht="12.9">
      <c r="A54" s="11">
        <f>Raw!D54</f>
        <v>36</v>
      </c>
      <c r="B54" s="11" t="str">
        <f>Raw!A54</f>
        <v>Waters &amp; Valenzuela (1999)</v>
      </c>
      <c r="C54" s="11">
        <f>Raw!G54</f>
        <v>1</v>
      </c>
      <c r="D54" s="11" t="str">
        <f>Raw!E54</f>
        <v>Well nourished</v>
      </c>
      <c r="E54" s="11" t="str">
        <f>Processed!E54</f>
        <v>Infancy - Toddlerhood</v>
      </c>
      <c r="F54" s="15">
        <f>Raw!AA54</f>
        <v>8</v>
      </c>
      <c r="G54" s="15">
        <f>Raw!AB54</f>
        <v>9</v>
      </c>
      <c r="H54" s="15">
        <f>Raw!AC54</f>
        <v>14</v>
      </c>
      <c r="I54" s="15">
        <f>Raw!AD54</f>
        <v>3</v>
      </c>
      <c r="J54" s="15">
        <f t="shared" si="0"/>
        <v>34</v>
      </c>
      <c r="K54" s="15">
        <f>Raw!AL54</f>
        <v>0</v>
      </c>
      <c r="L54" s="15">
        <f>Raw!AM54</f>
        <v>0</v>
      </c>
      <c r="M54" s="15">
        <f>Raw!AN54</f>
        <v>0</v>
      </c>
      <c r="N54" s="15">
        <f>Raw!AO54</f>
        <v>0</v>
      </c>
      <c r="O54" s="15">
        <f>Raw!AP54</f>
        <v>0</v>
      </c>
      <c r="P54" s="15">
        <f>Raw!AQ54</f>
        <v>0</v>
      </c>
      <c r="Q54" s="15">
        <f>Raw!AR54</f>
        <v>0</v>
      </c>
      <c r="R54" s="15">
        <f>Raw!AS54</f>
        <v>0</v>
      </c>
      <c r="S54" s="15">
        <f>Raw!AT54</f>
        <v>0</v>
      </c>
      <c r="T54" s="15">
        <f t="shared" si="1"/>
        <v>0</v>
      </c>
      <c r="U54" s="15">
        <f>Raw!AV54</f>
        <v>4</v>
      </c>
      <c r="V54" s="15">
        <f>Raw!AW54</f>
        <v>2</v>
      </c>
      <c r="W54" s="15">
        <f>Raw!AX54</f>
        <v>0</v>
      </c>
      <c r="X54" s="15">
        <f>Raw!AY54</f>
        <v>0</v>
      </c>
      <c r="Y54" s="15">
        <f>Raw!AZ54</f>
        <v>1</v>
      </c>
      <c r="Z54" s="15">
        <f>Raw!BA54</f>
        <v>14</v>
      </c>
      <c r="AA54" s="15">
        <f>Raw!BB54</f>
        <v>1</v>
      </c>
      <c r="AB54" s="15">
        <f>Raw!BC54</f>
        <v>1</v>
      </c>
      <c r="AC54" s="15">
        <f>Raw!BD54</f>
        <v>0</v>
      </c>
      <c r="AD54" s="15">
        <f>Raw!BE54</f>
        <v>3</v>
      </c>
      <c r="AE54" s="15">
        <f>Raw!BF54</f>
        <v>3</v>
      </c>
      <c r="AF54" s="15">
        <f>Raw!BG54</f>
        <v>0</v>
      </c>
      <c r="AG54" s="15">
        <f>Raw!BH54</f>
        <v>1</v>
      </c>
      <c r="AH54" s="15">
        <f>Raw!BI54</f>
        <v>4</v>
      </c>
      <c r="AI54" s="15">
        <f>Raw!BJ54</f>
        <v>0</v>
      </c>
      <c r="AJ54" s="15">
        <f>Raw!BK54</f>
        <v>0</v>
      </c>
      <c r="AK54" s="15">
        <f t="shared" si="2"/>
        <v>34</v>
      </c>
      <c r="AL54" s="11">
        <f ca="1">IFERROR(__xludf.DUMMYFUNCTION("""COMPUTED_VALUE"""),1999)</f>
        <v>1999</v>
      </c>
      <c r="AM54" s="11" t="str">
        <f ca="1">IFERROR(__xludf.DUMMYFUNCTION("""COMPUTED_VALUE"""),"Non-USA")</f>
        <v>Non-USA</v>
      </c>
      <c r="AN54" s="11" t="str">
        <f ca="1">IFERROR(__xludf.DUMMYFUNCTION("""COMPUTED_VALUE"""),"Ainsworth/Ainsworth")</f>
        <v>Ainsworth/Ainsworth</v>
      </c>
      <c r="AO54" s="11">
        <f ca="1">IFERROR(__xludf.DUMMYFUNCTION("""COMPUTED_VALUE"""),0)</f>
        <v>0</v>
      </c>
      <c r="AP54" s="11">
        <f ca="1">IFERROR(__xludf.DUMMYFUNCTION("""COMPUTED_VALUE"""),1)</f>
        <v>1</v>
      </c>
      <c r="AQ54" s="11">
        <f ca="1">IFERROR(__xludf.DUMMYFUNCTION("""COMPUTED_VALUE"""),0)</f>
        <v>0</v>
      </c>
      <c r="AR54" s="11">
        <f ca="1">IFERROR(__xludf.DUMMYFUNCTION("""COMPUTED_VALUE"""),1)</f>
        <v>1</v>
      </c>
      <c r="AS54" s="11">
        <f ca="1">IFERROR(__xludf.DUMMYFUNCTION("""COMPUTED_VALUE"""),0.859499999999999)</f>
        <v>0.85949999999999904</v>
      </c>
      <c r="AT54" s="11">
        <f ca="1">IFERROR(__xludf.DUMMYFUNCTION("""COMPUTED_VALUE"""),0)</f>
        <v>0</v>
      </c>
      <c r="AU54" s="11" t="str">
        <f ca="1">IFERROR(__xludf.DUMMYFUNCTION("""COMPUTED_VALUE"""),"Female")</f>
        <v>Female</v>
      </c>
      <c r="AV54" s="11"/>
      <c r="AW54" s="11"/>
      <c r="AX54" s="11"/>
      <c r="AY54" s="11"/>
      <c r="AZ54" s="11"/>
      <c r="BA54" s="11"/>
      <c r="BB54" s="11"/>
      <c r="BC54" s="11"/>
      <c r="BD54" s="11"/>
      <c r="BE54" s="11"/>
      <c r="BF54" s="11"/>
      <c r="BG54" s="11"/>
      <c r="BH54" s="11"/>
      <c r="BI54" s="11"/>
      <c r="BJ54" s="11"/>
      <c r="BK54" s="11"/>
      <c r="BL54" s="11"/>
      <c r="BM54" s="11"/>
      <c r="BN54" s="11"/>
    </row>
    <row r="55" spans="1:66" ht="12.9">
      <c r="A55" s="11">
        <f>Raw!D55</f>
        <v>37</v>
      </c>
      <c r="B55" s="11" t="str">
        <f>Raw!A55</f>
        <v>Waters &amp; Valenzuela (1999)</v>
      </c>
      <c r="C55" s="11">
        <f>Raw!G55</f>
        <v>1</v>
      </c>
      <c r="D55" s="11" t="str">
        <f>Raw!E55</f>
        <v>Undernourished</v>
      </c>
      <c r="E55" s="11" t="str">
        <f>Processed!E55</f>
        <v>Infancy - Toddlerhood</v>
      </c>
      <c r="F55" s="15">
        <f>Raw!AA55</f>
        <v>24</v>
      </c>
      <c r="G55" s="15">
        <f>Raw!AB55</f>
        <v>10</v>
      </c>
      <c r="H55" s="15">
        <f>Raw!AC55</f>
        <v>0</v>
      </c>
      <c r="I55" s="15">
        <f>Raw!AD55</f>
        <v>3</v>
      </c>
      <c r="J55" s="15">
        <f t="shared" si="0"/>
        <v>37</v>
      </c>
      <c r="K55" s="15">
        <f>Raw!AL55</f>
        <v>0</v>
      </c>
      <c r="L55" s="15">
        <f>Raw!AM55</f>
        <v>0</v>
      </c>
      <c r="M55" s="15">
        <f>Raw!AN55</f>
        <v>0</v>
      </c>
      <c r="N55" s="15">
        <f>Raw!AO55</f>
        <v>0</v>
      </c>
      <c r="O55" s="15">
        <f>Raw!AP55</f>
        <v>0</v>
      </c>
      <c r="P55" s="15">
        <f>Raw!AQ55</f>
        <v>0</v>
      </c>
      <c r="Q55" s="15">
        <f>Raw!AR55</f>
        <v>0</v>
      </c>
      <c r="R55" s="15">
        <f>Raw!AS55</f>
        <v>0</v>
      </c>
      <c r="S55" s="15">
        <f>Raw!AT55</f>
        <v>0</v>
      </c>
      <c r="T55" s="15">
        <f t="shared" si="1"/>
        <v>0</v>
      </c>
      <c r="U55" s="15">
        <f>Raw!AV55</f>
        <v>4</v>
      </c>
      <c r="V55" s="15">
        <f>Raw!AW55</f>
        <v>1</v>
      </c>
      <c r="W55" s="15">
        <f>Raw!AX55</f>
        <v>0</v>
      </c>
      <c r="X55" s="15">
        <f>Raw!AY55</f>
        <v>1</v>
      </c>
      <c r="Y55" s="15">
        <f>Raw!AZ55</f>
        <v>2</v>
      </c>
      <c r="Z55" s="15">
        <f>Raw!BA55</f>
        <v>0</v>
      </c>
      <c r="AA55" s="15">
        <f>Raw!BB55</f>
        <v>1</v>
      </c>
      <c r="AB55" s="15">
        <f>Raw!BC55</f>
        <v>0</v>
      </c>
      <c r="AC55" s="15">
        <f>Raw!BD55</f>
        <v>0</v>
      </c>
      <c r="AD55" s="15">
        <f>Raw!BE55</f>
        <v>1</v>
      </c>
      <c r="AE55" s="15">
        <f>Raw!BF55</f>
        <v>4</v>
      </c>
      <c r="AF55" s="15">
        <f>Raw!BG55</f>
        <v>2</v>
      </c>
      <c r="AG55" s="15">
        <f>Raw!BH55</f>
        <v>5</v>
      </c>
      <c r="AH55" s="15">
        <f>Raw!BI55</f>
        <v>8</v>
      </c>
      <c r="AI55" s="15">
        <f>Raw!BJ55</f>
        <v>4</v>
      </c>
      <c r="AJ55" s="15">
        <f>Raw!BK55</f>
        <v>4</v>
      </c>
      <c r="AK55" s="15">
        <f t="shared" si="2"/>
        <v>37</v>
      </c>
      <c r="AL55" s="11">
        <f ca="1">IFERROR(__xludf.DUMMYFUNCTION("""COMPUTED_VALUE"""),1999)</f>
        <v>1999</v>
      </c>
      <c r="AM55" s="11" t="str">
        <f ca="1">IFERROR(__xludf.DUMMYFUNCTION("""COMPUTED_VALUE"""),"Non-USA")</f>
        <v>Non-USA</v>
      </c>
      <c r="AN55" s="11" t="str">
        <f ca="1">IFERROR(__xludf.DUMMYFUNCTION("""COMPUTED_VALUE"""),"Ainsworth/Ainsworth")</f>
        <v>Ainsworth/Ainsworth</v>
      </c>
      <c r="AO55" s="11">
        <f ca="1">IFERROR(__xludf.DUMMYFUNCTION("""COMPUTED_VALUE"""),0)</f>
        <v>0</v>
      </c>
      <c r="AP55" s="11">
        <f ca="1">IFERROR(__xludf.DUMMYFUNCTION("""COMPUTED_VALUE"""),1)</f>
        <v>1</v>
      </c>
      <c r="AQ55" s="11">
        <f ca="1">IFERROR(__xludf.DUMMYFUNCTION("""COMPUTED_VALUE"""),1)</f>
        <v>1</v>
      </c>
      <c r="AR55" s="11">
        <f ca="1">IFERROR(__xludf.DUMMYFUNCTION("""COMPUTED_VALUE"""),1)</f>
        <v>1</v>
      </c>
      <c r="AS55" s="11">
        <f ca="1">IFERROR(__xludf.DUMMYFUNCTION("""COMPUTED_VALUE"""),0.859499999999999)</f>
        <v>0.85949999999999904</v>
      </c>
      <c r="AT55" s="11">
        <f ca="1">IFERROR(__xludf.DUMMYFUNCTION("""COMPUTED_VALUE"""),0)</f>
        <v>0</v>
      </c>
      <c r="AU55" s="11" t="str">
        <f ca="1">IFERROR(__xludf.DUMMYFUNCTION("""COMPUTED_VALUE"""),"Female")</f>
        <v>Female</v>
      </c>
      <c r="AV55" s="11"/>
      <c r="AW55" s="11"/>
      <c r="AX55" s="11"/>
      <c r="AY55" s="11"/>
      <c r="AZ55" s="11"/>
      <c r="BA55" s="11"/>
      <c r="BB55" s="11"/>
      <c r="BC55" s="11"/>
      <c r="BD55" s="11"/>
      <c r="BE55" s="11"/>
      <c r="BF55" s="11"/>
      <c r="BG55" s="11"/>
      <c r="BH55" s="11"/>
      <c r="BI55" s="11"/>
      <c r="BJ55" s="11"/>
      <c r="BK55" s="11"/>
      <c r="BL55" s="11"/>
      <c r="BM55" s="11"/>
      <c r="BN55" s="11"/>
    </row>
    <row r="56" spans="1:66" ht="12.9">
      <c r="A56" s="11">
        <f>Raw!D56</f>
        <v>38</v>
      </c>
      <c r="B56" s="11" t="str">
        <f>Raw!A56</f>
        <v>Vondra et al. (2001)</v>
      </c>
      <c r="C56" s="11">
        <f>Raw!G56</f>
        <v>1</v>
      </c>
      <c r="D56" s="11" t="str">
        <f>Raw!E56</f>
        <v>12/24 months (12 month interval)</v>
      </c>
      <c r="E56" s="11" t="str">
        <f>Processed!E56</f>
        <v>Infancy - Toddlerhood</v>
      </c>
      <c r="F56" s="15">
        <f>Raw!AA56</f>
        <v>79</v>
      </c>
      <c r="G56" s="15">
        <f>Raw!AB56</f>
        <v>16</v>
      </c>
      <c r="H56" s="15">
        <f>Raw!AC56</f>
        <v>32</v>
      </c>
      <c r="I56" s="15">
        <f>Raw!AD56</f>
        <v>71</v>
      </c>
      <c r="J56" s="15">
        <f t="shared" si="0"/>
        <v>198</v>
      </c>
      <c r="K56" s="15">
        <f>Raw!AL56</f>
        <v>0</v>
      </c>
      <c r="L56" s="15">
        <f>Raw!AM56</f>
        <v>0</v>
      </c>
      <c r="M56" s="15">
        <f>Raw!AN56</f>
        <v>0</v>
      </c>
      <c r="N56" s="15">
        <f>Raw!AO56</f>
        <v>0</v>
      </c>
      <c r="O56" s="15">
        <f>Raw!AP56</f>
        <v>0</v>
      </c>
      <c r="P56" s="15">
        <f>Raw!AQ56</f>
        <v>0</v>
      </c>
      <c r="Q56" s="15">
        <f>Raw!AR56</f>
        <v>0</v>
      </c>
      <c r="R56" s="15">
        <f>Raw!AS56</f>
        <v>0</v>
      </c>
      <c r="S56" s="15">
        <f>Raw!AT56</f>
        <v>0</v>
      </c>
      <c r="T56" s="15">
        <f t="shared" si="1"/>
        <v>0</v>
      </c>
      <c r="U56" s="15">
        <f>Raw!AV56</f>
        <v>18</v>
      </c>
      <c r="V56" s="15">
        <f>Raw!AW56</f>
        <v>7</v>
      </c>
      <c r="W56" s="15">
        <f>Raw!AX56</f>
        <v>13</v>
      </c>
      <c r="X56" s="15">
        <f>Raw!AY56</f>
        <v>0</v>
      </c>
      <c r="Y56" s="15">
        <f>Raw!AZ56</f>
        <v>30</v>
      </c>
      <c r="Z56" s="15">
        <f>Raw!BA56</f>
        <v>32</v>
      </c>
      <c r="AA56" s="15">
        <f>Raw!BB56</f>
        <v>40</v>
      </c>
      <c r="AB56" s="15">
        <f>Raw!BC56</f>
        <v>1</v>
      </c>
      <c r="AC56" s="15">
        <f>Raw!BD56</f>
        <v>14</v>
      </c>
      <c r="AD56" s="15">
        <f>Raw!BE56</f>
        <v>7</v>
      </c>
      <c r="AE56" s="15">
        <f>Raw!BF56</f>
        <v>13</v>
      </c>
      <c r="AF56" s="15">
        <f>Raw!BG56</f>
        <v>1</v>
      </c>
      <c r="AG56" s="15">
        <f>Raw!BH56</f>
        <v>10</v>
      </c>
      <c r="AH56" s="15">
        <f>Raw!BI56</f>
        <v>2</v>
      </c>
      <c r="AI56" s="15">
        <f>Raw!BJ56</f>
        <v>9</v>
      </c>
      <c r="AJ56" s="15">
        <f>Raw!BK56</f>
        <v>1</v>
      </c>
      <c r="AK56" s="15">
        <f t="shared" si="2"/>
        <v>198</v>
      </c>
      <c r="AL56" s="11">
        <f ca="1">IFERROR(__xludf.DUMMYFUNCTION("""COMPUTED_VALUE"""),2001)</f>
        <v>2001</v>
      </c>
      <c r="AM56" s="11" t="str">
        <f ca="1">IFERROR(__xludf.DUMMYFUNCTION("""COMPUTED_VALUE"""),"USA")</f>
        <v>USA</v>
      </c>
      <c r="AN56" s="11" t="str">
        <f ca="1">IFERROR(__xludf.DUMMYFUNCTION("""COMPUTED_VALUE"""),"Ainsworth/Crittenden")</f>
        <v>Ainsworth/Crittenden</v>
      </c>
      <c r="AO56" s="11">
        <f ca="1">IFERROR(__xludf.DUMMYFUNCTION("""COMPUTED_VALUE"""),0)</f>
        <v>0</v>
      </c>
      <c r="AP56" s="11">
        <f ca="1">IFERROR(__xludf.DUMMYFUNCTION("""COMPUTED_VALUE"""),1)</f>
        <v>1</v>
      </c>
      <c r="AQ56" s="11">
        <f ca="1">IFERROR(__xludf.DUMMYFUNCTION("""COMPUTED_VALUE"""),0)</f>
        <v>0</v>
      </c>
      <c r="AR56" s="11">
        <f ca="1">IFERROR(__xludf.DUMMYFUNCTION("""COMPUTED_VALUE"""),1)</f>
        <v>1</v>
      </c>
      <c r="AS56" s="11">
        <f ca="1">IFERROR(__xludf.DUMMYFUNCTION("""COMPUTED_VALUE"""),0.695)</f>
        <v>0.69499999999999995</v>
      </c>
      <c r="AT56" s="11">
        <f ca="1">IFERROR(__xludf.DUMMYFUNCTION("""COMPUTED_VALUE"""),0)</f>
        <v>0</v>
      </c>
      <c r="AU56" s="11" t="str">
        <f ca="1">IFERROR(__xludf.DUMMYFUNCTION("""COMPUTED_VALUE"""),"Female")</f>
        <v>Female</v>
      </c>
      <c r="AV56" s="11"/>
      <c r="AW56" s="11"/>
      <c r="AX56" s="11"/>
      <c r="AY56" s="11"/>
      <c r="AZ56" s="11"/>
      <c r="BA56" s="11"/>
      <c r="BB56" s="11"/>
      <c r="BC56" s="11"/>
      <c r="BD56" s="11"/>
      <c r="BE56" s="11"/>
      <c r="BF56" s="11"/>
      <c r="BG56" s="11"/>
      <c r="BH56" s="11"/>
      <c r="BI56" s="11"/>
      <c r="BJ56" s="11"/>
      <c r="BK56" s="11"/>
      <c r="BL56" s="11"/>
      <c r="BM56" s="11"/>
      <c r="BN56" s="11"/>
    </row>
    <row r="57" spans="1:66" ht="12.9">
      <c r="A57" s="11">
        <f>Raw!D57</f>
        <v>38</v>
      </c>
      <c r="B57" s="11" t="str">
        <f>Raw!A57</f>
        <v>Vondra et al. (2001)</v>
      </c>
      <c r="C57" s="11">
        <f>Raw!G57</f>
        <v>2</v>
      </c>
      <c r="D57" s="11" t="str">
        <f>Raw!E57</f>
        <v>12/18 months (6 month interval)</v>
      </c>
      <c r="E57" s="11" t="str">
        <f>Processed!E57</f>
        <v>Infancy - Infancy</v>
      </c>
      <c r="F57" s="15">
        <f>Raw!AA57</f>
        <v>63</v>
      </c>
      <c r="G57" s="15">
        <f>Raw!AB57</f>
        <v>36</v>
      </c>
      <c r="H57" s="15">
        <f>Raw!AC57</f>
        <v>56</v>
      </c>
      <c r="I57" s="15">
        <f>Raw!AD57</f>
        <v>40</v>
      </c>
      <c r="J57" s="15">
        <f t="shared" si="0"/>
        <v>195</v>
      </c>
      <c r="K57" s="15">
        <f>Raw!AL57</f>
        <v>0</v>
      </c>
      <c r="L57" s="15">
        <f>Raw!AM57</f>
        <v>0</v>
      </c>
      <c r="M57" s="15">
        <f>Raw!AN57</f>
        <v>0</v>
      </c>
      <c r="N57" s="11">
        <f>Raw!AO57</f>
        <v>0</v>
      </c>
      <c r="O57" s="11">
        <f>Raw!AP57</f>
        <v>0</v>
      </c>
      <c r="P57" s="11">
        <f>Raw!AQ57</f>
        <v>0</v>
      </c>
      <c r="Q57" s="15">
        <f>Raw!AR57</f>
        <v>0</v>
      </c>
      <c r="R57" s="15">
        <f>Raw!AS57</f>
        <v>0</v>
      </c>
      <c r="S57" s="15">
        <f>Raw!AT57</f>
        <v>0</v>
      </c>
      <c r="T57" s="15">
        <f t="shared" si="1"/>
        <v>0</v>
      </c>
      <c r="U57" s="15">
        <f>Raw!AV57</f>
        <v>12</v>
      </c>
      <c r="V57" s="15">
        <f>Raw!AW57</f>
        <v>16</v>
      </c>
      <c r="W57" s="15">
        <f>Raw!AX57</f>
        <v>3</v>
      </c>
      <c r="X57" s="15">
        <f>Raw!AY57</f>
        <v>5</v>
      </c>
      <c r="Y57" s="15">
        <f>Raw!AZ57</f>
        <v>19</v>
      </c>
      <c r="Z57" s="15">
        <f>Raw!BA57</f>
        <v>56</v>
      </c>
      <c r="AA57" s="15">
        <f>Raw!BB57</f>
        <v>9</v>
      </c>
      <c r="AB57" s="15">
        <f>Raw!BC57</f>
        <v>12</v>
      </c>
      <c r="AC57" s="15">
        <f>Raw!BD57</f>
        <v>9</v>
      </c>
      <c r="AD57" s="15">
        <f>Raw!BE57</f>
        <v>12</v>
      </c>
      <c r="AE57" s="15">
        <f>Raw!BF57</f>
        <v>4</v>
      </c>
      <c r="AF57" s="15">
        <f>Raw!BG57</f>
        <v>8</v>
      </c>
      <c r="AG57" s="15">
        <f>Raw!BH57</f>
        <v>6</v>
      </c>
      <c r="AH57" s="15">
        <f>Raw!BI57</f>
        <v>8</v>
      </c>
      <c r="AI57" s="15">
        <f>Raw!BJ57</f>
        <v>1</v>
      </c>
      <c r="AJ57" s="15">
        <f>Raw!BK57</f>
        <v>15</v>
      </c>
      <c r="AK57" s="15">
        <f t="shared" si="2"/>
        <v>195</v>
      </c>
      <c r="AL57" s="11">
        <f ca="1">IFERROR(__xludf.DUMMYFUNCTION("""COMPUTED_VALUE"""),2001)</f>
        <v>2001</v>
      </c>
      <c r="AM57" s="11" t="str">
        <f ca="1">IFERROR(__xludf.DUMMYFUNCTION("""COMPUTED_VALUE"""),"USA")</f>
        <v>USA</v>
      </c>
      <c r="AN57" s="11" t="str">
        <f ca="1">IFERROR(__xludf.DUMMYFUNCTION("""COMPUTED_VALUE"""),"Ainsworth/Ainsworth")</f>
        <v>Ainsworth/Ainsworth</v>
      </c>
      <c r="AO57" s="11">
        <f ca="1">IFERROR(__xludf.DUMMYFUNCTION("""COMPUTED_VALUE"""),1)</f>
        <v>1</v>
      </c>
      <c r="AP57" s="11">
        <f ca="1">IFERROR(__xludf.DUMMYFUNCTION("""COMPUTED_VALUE"""),1)</f>
        <v>1</v>
      </c>
      <c r="AQ57" s="11">
        <f ca="1">IFERROR(__xludf.DUMMYFUNCTION("""COMPUTED_VALUE"""),0)</f>
        <v>0</v>
      </c>
      <c r="AR57" s="11">
        <f ca="1">IFERROR(__xludf.DUMMYFUNCTION("""COMPUTED_VALUE"""),1)</f>
        <v>1</v>
      </c>
      <c r="AS57" s="11">
        <f ca="1">IFERROR(__xludf.DUMMYFUNCTION("""COMPUTED_VALUE"""),0.77)</f>
        <v>0.77</v>
      </c>
      <c r="AT57" s="11">
        <f ca="1">IFERROR(__xludf.DUMMYFUNCTION("""COMPUTED_VALUE"""),0)</f>
        <v>0</v>
      </c>
      <c r="AU57" s="11" t="str">
        <f ca="1">IFERROR(__xludf.DUMMYFUNCTION("""COMPUTED_VALUE"""),"Female")</f>
        <v>Female</v>
      </c>
      <c r="AV57" s="11"/>
      <c r="AW57" s="11"/>
      <c r="AX57" s="11"/>
      <c r="AY57" s="11"/>
      <c r="AZ57" s="11"/>
      <c r="BA57" s="11"/>
      <c r="BB57" s="11"/>
      <c r="BC57" s="11"/>
      <c r="BD57" s="11"/>
      <c r="BE57" s="11"/>
      <c r="BF57" s="11"/>
      <c r="BG57" s="11"/>
      <c r="BH57" s="11"/>
      <c r="BI57" s="11"/>
      <c r="BJ57" s="11"/>
      <c r="BK57" s="11"/>
      <c r="BL57" s="11"/>
      <c r="BM57" s="11"/>
      <c r="BN57" s="11"/>
    </row>
    <row r="58" spans="1:66" ht="12.9">
      <c r="A58" s="11">
        <f>Raw!D58</f>
        <v>39</v>
      </c>
      <c r="B58" s="11" t="str">
        <f>Raw!A58</f>
        <v>Xue (2010)</v>
      </c>
      <c r="C58" s="11">
        <f>Raw!G58</f>
        <v>1</v>
      </c>
      <c r="D58" s="11" t="str">
        <f>Raw!E58</f>
        <v>13/42 months (29 month interval)</v>
      </c>
      <c r="E58" s="11" t="str">
        <f>Processed!E58</f>
        <v>Infancy - Preschool</v>
      </c>
      <c r="F58" s="15">
        <f>Raw!AA58</f>
        <v>11</v>
      </c>
      <c r="G58" s="15">
        <f>Raw!AB58</f>
        <v>14</v>
      </c>
      <c r="H58" s="15">
        <f>Raw!AC58</f>
        <v>15</v>
      </c>
      <c r="I58" s="15">
        <f>Raw!AD58</f>
        <v>6</v>
      </c>
      <c r="J58" s="15">
        <f t="shared" si="0"/>
        <v>46</v>
      </c>
      <c r="K58" s="15">
        <f>Raw!AL58</f>
        <v>0</v>
      </c>
      <c r="L58" s="15">
        <f>Raw!AM58</f>
        <v>0</v>
      </c>
      <c r="M58" s="15">
        <f>Raw!AN58</f>
        <v>0</v>
      </c>
      <c r="N58" s="15">
        <f>Raw!AO58</f>
        <v>0</v>
      </c>
      <c r="O58" s="15">
        <f>Raw!AP58</f>
        <v>0</v>
      </c>
      <c r="P58" s="15">
        <f>Raw!AQ58</f>
        <v>0</v>
      </c>
      <c r="Q58" s="15">
        <f>Raw!AR58</f>
        <v>0</v>
      </c>
      <c r="R58" s="15">
        <f>Raw!AS58</f>
        <v>0</v>
      </c>
      <c r="S58" s="15">
        <f>Raw!AT58</f>
        <v>0</v>
      </c>
      <c r="T58" s="15">
        <f t="shared" si="1"/>
        <v>0</v>
      </c>
      <c r="U58" s="15">
        <f>Raw!AV58</f>
        <v>0</v>
      </c>
      <c r="V58" s="15">
        <f>Raw!AW58</f>
        <v>3</v>
      </c>
      <c r="W58" s="15">
        <f>Raw!AX58</f>
        <v>0</v>
      </c>
      <c r="X58" s="15">
        <f>Raw!AY58</f>
        <v>3</v>
      </c>
      <c r="Y58" s="15">
        <f>Raw!AZ58</f>
        <v>0</v>
      </c>
      <c r="Z58" s="15">
        <f>Raw!BA58</f>
        <v>15</v>
      </c>
      <c r="AA58" s="15">
        <f>Raw!BB58</f>
        <v>2</v>
      </c>
      <c r="AB58" s="15">
        <f>Raw!BC58</f>
        <v>4</v>
      </c>
      <c r="AC58" s="15">
        <f>Raw!BD58</f>
        <v>0</v>
      </c>
      <c r="AD58" s="15">
        <f>Raw!BE58</f>
        <v>1</v>
      </c>
      <c r="AE58" s="15">
        <f>Raw!BF58</f>
        <v>0</v>
      </c>
      <c r="AF58" s="15">
        <f>Raw!BG58</f>
        <v>0</v>
      </c>
      <c r="AG58" s="15">
        <f>Raw!BH58</f>
        <v>0</v>
      </c>
      <c r="AH58" s="15">
        <f>Raw!BI58</f>
        <v>10</v>
      </c>
      <c r="AI58" s="15">
        <f>Raw!BJ58</f>
        <v>4</v>
      </c>
      <c r="AJ58" s="15">
        <f>Raw!BK58</f>
        <v>4</v>
      </c>
      <c r="AK58" s="15">
        <f t="shared" si="2"/>
        <v>46</v>
      </c>
      <c r="AL58" s="11">
        <f ca="1">IFERROR(__xludf.DUMMYFUNCTION("""COMPUTED_VALUE"""),2010)</f>
        <v>2010</v>
      </c>
      <c r="AM58" s="11" t="str">
        <f ca="1">IFERROR(__xludf.DUMMYFUNCTION("""COMPUTED_VALUE"""),"Non-USA")</f>
        <v>Non-USA</v>
      </c>
      <c r="AN58" s="11" t="str">
        <f ca="1">IFERROR(__xludf.DUMMYFUNCTION("""COMPUTED_VALUE"""),"Ainsworth/Cassidy-Marvin")</f>
        <v>Ainsworth/Cassidy-Marvin</v>
      </c>
      <c r="AO58" s="11">
        <f ca="1">IFERROR(__xludf.DUMMYFUNCTION("""COMPUTED_VALUE"""),0)</f>
        <v>0</v>
      </c>
      <c r="AP58" s="11">
        <f ca="1">IFERROR(__xludf.DUMMYFUNCTION("""COMPUTED_VALUE"""),0)</f>
        <v>0</v>
      </c>
      <c r="AQ58" s="11">
        <f ca="1">IFERROR(__xludf.DUMMYFUNCTION("""COMPUTED_VALUE"""),0)</f>
        <v>0</v>
      </c>
      <c r="AR58" s="11">
        <f ca="1">IFERROR(__xludf.DUMMYFUNCTION("""COMPUTED_VALUE"""),0)</f>
        <v>0</v>
      </c>
      <c r="AS58" s="11">
        <f ca="1">IFERROR(__xludf.DUMMYFUNCTION("""COMPUTED_VALUE"""),0.89)</f>
        <v>0.89</v>
      </c>
      <c r="AT58" s="11">
        <f ca="1">IFERROR(__xludf.DUMMYFUNCTION("""COMPUTED_VALUE"""),0)</f>
        <v>0</v>
      </c>
      <c r="AU58" s="11" t="str">
        <f ca="1">IFERROR(__xludf.DUMMYFUNCTION("""COMPUTED_VALUE"""),"Female")</f>
        <v>Female</v>
      </c>
      <c r="AV58" s="11"/>
      <c r="AW58" s="11"/>
      <c r="AX58" s="11"/>
      <c r="AY58" s="11"/>
      <c r="AZ58" s="11"/>
      <c r="BA58" s="11"/>
      <c r="BB58" s="11"/>
      <c r="BC58" s="11"/>
      <c r="BD58" s="11"/>
      <c r="BE58" s="11"/>
      <c r="BF58" s="11"/>
      <c r="BG58" s="11"/>
      <c r="BH58" s="11"/>
      <c r="BI58" s="11"/>
      <c r="BJ58" s="11"/>
      <c r="BK58" s="11"/>
      <c r="BL58" s="11"/>
      <c r="BM58" s="11"/>
      <c r="BN58" s="11"/>
    </row>
    <row r="59" spans="1:66" ht="12.9">
      <c r="A59" s="11">
        <f>Raw!D59</f>
        <v>40</v>
      </c>
      <c r="B59" s="11" t="str">
        <f>Raw!A59</f>
        <v>Fargot &amp; Pears (1996)</v>
      </c>
      <c r="C59" s="11">
        <f>Raw!G59</f>
        <v>1</v>
      </c>
      <c r="D59" s="11" t="str">
        <f>Raw!E59</f>
        <v>Single sample</v>
      </c>
      <c r="E59" s="11" t="str">
        <f>Processed!E59</f>
        <v>Infancy - Toddlerhood</v>
      </c>
      <c r="F59" s="15">
        <f>Raw!AA59</f>
        <v>45</v>
      </c>
      <c r="G59" s="15">
        <f>Raw!AB59</f>
        <v>2</v>
      </c>
      <c r="H59" s="15">
        <f>Raw!AC59</f>
        <v>36</v>
      </c>
      <c r="I59" s="15">
        <f>Raw!AD59</f>
        <v>13</v>
      </c>
      <c r="J59" s="15">
        <f t="shared" si="0"/>
        <v>96</v>
      </c>
      <c r="K59" s="15">
        <f>Raw!AL59</f>
        <v>18</v>
      </c>
      <c r="L59" s="15">
        <f>Raw!AM59</f>
        <v>2</v>
      </c>
      <c r="M59" s="15">
        <f>Raw!AN59</f>
        <v>18</v>
      </c>
      <c r="N59" s="15">
        <f>Raw!AO59</f>
        <v>5</v>
      </c>
      <c r="O59" s="15">
        <f>Raw!AP59</f>
        <v>36</v>
      </c>
      <c r="P59" s="15">
        <f>Raw!AQ59</f>
        <v>8</v>
      </c>
      <c r="Q59" s="15">
        <f>Raw!AR59</f>
        <v>0</v>
      </c>
      <c r="R59" s="15">
        <f>Raw!AS59</f>
        <v>0</v>
      </c>
      <c r="S59" s="15">
        <f>Raw!AT59</f>
        <v>9</v>
      </c>
      <c r="T59" s="15">
        <f t="shared" si="1"/>
        <v>96</v>
      </c>
      <c r="U59" s="15">
        <f>Raw!AV59</f>
        <v>0</v>
      </c>
      <c r="V59" s="15">
        <f>Raw!AW59</f>
        <v>0</v>
      </c>
      <c r="W59" s="15">
        <f>Raw!AX59</f>
        <v>0</v>
      </c>
      <c r="X59" s="15">
        <f>Raw!AY59</f>
        <v>0</v>
      </c>
      <c r="Y59" s="15">
        <f>Raw!AZ59</f>
        <v>0</v>
      </c>
      <c r="Z59" s="15">
        <f>Raw!BA59</f>
        <v>0</v>
      </c>
      <c r="AA59" s="15">
        <f>Raw!BB59</f>
        <v>0</v>
      </c>
      <c r="AB59" s="15">
        <f>Raw!BC59</f>
        <v>0</v>
      </c>
      <c r="AC59" s="15">
        <f>Raw!BD59</f>
        <v>0</v>
      </c>
      <c r="AD59" s="15">
        <f>Raw!BE59</f>
        <v>0</v>
      </c>
      <c r="AE59" s="15">
        <f>Raw!BF59</f>
        <v>0</v>
      </c>
      <c r="AF59" s="15">
        <f>Raw!BG59</f>
        <v>0</v>
      </c>
      <c r="AG59" s="15">
        <f>Raw!BH59</f>
        <v>0</v>
      </c>
      <c r="AH59" s="15">
        <f>Raw!BI59</f>
        <v>0</v>
      </c>
      <c r="AI59" s="15">
        <f>Raw!BJ59</f>
        <v>0</v>
      </c>
      <c r="AJ59" s="15">
        <f>Raw!BK59</f>
        <v>0</v>
      </c>
      <c r="AK59" s="15">
        <f t="shared" si="2"/>
        <v>0</v>
      </c>
      <c r="AL59" s="11">
        <f ca="1">IFERROR(__xludf.DUMMYFUNCTION("""COMPUTED_VALUE"""),1996)</f>
        <v>1996</v>
      </c>
      <c r="AM59" s="11" t="str">
        <f ca="1">IFERROR(__xludf.DUMMYFUNCTION("""COMPUTED_VALUE"""),"USA")</f>
        <v>USA</v>
      </c>
      <c r="AN59" s="11" t="str">
        <f ca="1">IFERROR(__xludf.DUMMYFUNCTION("""COMPUTED_VALUE"""),"Ainsworth/Crittenden")</f>
        <v>Ainsworth/Crittenden</v>
      </c>
      <c r="AO59" s="11">
        <f ca="1">IFERROR(__xludf.DUMMYFUNCTION("""COMPUTED_VALUE"""),1)</f>
        <v>1</v>
      </c>
      <c r="AP59" s="11">
        <f ca="1">IFERROR(__xludf.DUMMYFUNCTION("""COMPUTED_VALUE"""),0)</f>
        <v>0</v>
      </c>
      <c r="AQ59" s="11">
        <f ca="1">IFERROR(__xludf.DUMMYFUNCTION("""COMPUTED_VALUE"""),0)</f>
        <v>0</v>
      </c>
      <c r="AR59" s="11">
        <f ca="1">IFERROR(__xludf.DUMMYFUNCTION("""COMPUTED_VALUE"""),1)</f>
        <v>1</v>
      </c>
      <c r="AS59" s="11">
        <f ca="1">IFERROR(__xludf.DUMMYFUNCTION("""COMPUTED_VALUE"""),0.832763671875)</f>
        <v>0.832763671875</v>
      </c>
      <c r="AT59" s="11">
        <f ca="1">IFERROR(__xludf.DUMMYFUNCTION("""COMPUTED_VALUE"""),0)</f>
        <v>0</v>
      </c>
      <c r="AU59" s="11" t="str">
        <f ca="1">IFERROR(__xludf.DUMMYFUNCTION("""COMPUTED_VALUE"""),"Female")</f>
        <v>Female</v>
      </c>
      <c r="AV59" s="11"/>
      <c r="AW59" s="11"/>
      <c r="AX59" s="11"/>
      <c r="AY59" s="11"/>
      <c r="AZ59" s="11"/>
      <c r="BA59" s="11"/>
      <c r="BB59" s="11"/>
      <c r="BC59" s="11"/>
      <c r="BD59" s="11"/>
      <c r="BE59" s="11"/>
      <c r="BF59" s="11"/>
      <c r="BG59" s="11"/>
      <c r="BH59" s="11"/>
      <c r="BI59" s="11"/>
      <c r="BJ59" s="11"/>
      <c r="BK59" s="11"/>
      <c r="BL59" s="11"/>
      <c r="BM59" s="11"/>
      <c r="BN59" s="11"/>
    </row>
    <row r="60" spans="1:66" ht="12.9">
      <c r="A60" s="11">
        <f>Raw!D60</f>
        <v>41</v>
      </c>
      <c r="B60" s="11" t="str">
        <f>Raw!A60</f>
        <v>Toth et al. (2006)</v>
      </c>
      <c r="C60" s="11">
        <f>Raw!G60</f>
        <v>1</v>
      </c>
      <c r="D60" s="11" t="str">
        <f>Raw!E60</f>
        <v>Non-depressed control</v>
      </c>
      <c r="E60" s="11" t="str">
        <f>Processed!E60</f>
        <v>Toddlerhood - Preschool</v>
      </c>
      <c r="F60" s="15">
        <f>Raw!AA60</f>
        <v>20</v>
      </c>
      <c r="G60" s="15">
        <f>Raw!AB60</f>
        <v>9</v>
      </c>
      <c r="H60" s="15">
        <f>Raw!AC60</f>
        <v>21</v>
      </c>
      <c r="I60" s="15">
        <f>Raw!AD60</f>
        <v>13</v>
      </c>
      <c r="J60" s="15">
        <f t="shared" si="0"/>
        <v>63</v>
      </c>
      <c r="K60" s="15">
        <f>Raw!AL60</f>
        <v>0</v>
      </c>
      <c r="L60" s="15">
        <f>Raw!AM60</f>
        <v>0</v>
      </c>
      <c r="M60" s="15">
        <f>Raw!AN60</f>
        <v>0</v>
      </c>
      <c r="N60" s="15">
        <f>Raw!AO60</f>
        <v>0</v>
      </c>
      <c r="O60" s="15">
        <f>Raw!AP60</f>
        <v>0</v>
      </c>
      <c r="P60" s="15">
        <f>Raw!AQ60</f>
        <v>0</v>
      </c>
      <c r="Q60" s="15">
        <f>Raw!AR60</f>
        <v>0</v>
      </c>
      <c r="R60" s="15">
        <f>Raw!AS60</f>
        <v>0</v>
      </c>
      <c r="S60" s="15">
        <f>Raw!AT60</f>
        <v>0</v>
      </c>
      <c r="T60" s="15">
        <f t="shared" si="1"/>
        <v>0</v>
      </c>
      <c r="U60" s="15">
        <f>Raw!AV60</f>
        <v>6</v>
      </c>
      <c r="V60" s="15">
        <f>Raw!AW60</f>
        <v>5</v>
      </c>
      <c r="W60" s="15">
        <f>Raw!AX60</f>
        <v>0</v>
      </c>
      <c r="X60" s="15">
        <f>Raw!AY60</f>
        <v>2</v>
      </c>
      <c r="Y60" s="15">
        <f>Raw!AZ60</f>
        <v>6</v>
      </c>
      <c r="Z60" s="15">
        <f>Raw!BA60</f>
        <v>21</v>
      </c>
      <c r="AA60" s="15">
        <f>Raw!BB60</f>
        <v>3</v>
      </c>
      <c r="AB60" s="15">
        <f>Raw!BC60</f>
        <v>4</v>
      </c>
      <c r="AC60" s="15">
        <f>Raw!BD60</f>
        <v>0</v>
      </c>
      <c r="AD60" s="15">
        <f>Raw!BE60</f>
        <v>0</v>
      </c>
      <c r="AE60" s="15">
        <f>Raw!BF60</f>
        <v>1</v>
      </c>
      <c r="AF60" s="15">
        <f>Raw!BG60</f>
        <v>2</v>
      </c>
      <c r="AG60" s="15">
        <f>Raw!BH60</f>
        <v>4</v>
      </c>
      <c r="AH60" s="15">
        <f>Raw!BI60</f>
        <v>4</v>
      </c>
      <c r="AI60" s="15">
        <f>Raw!BJ60</f>
        <v>0</v>
      </c>
      <c r="AJ60" s="15">
        <f>Raw!BK60</f>
        <v>5</v>
      </c>
      <c r="AK60" s="15">
        <f t="shared" si="2"/>
        <v>63</v>
      </c>
      <c r="AL60" s="11">
        <f ca="1">IFERROR(__xludf.DUMMYFUNCTION("""COMPUTED_VALUE"""),2006)</f>
        <v>2006</v>
      </c>
      <c r="AM60" s="11" t="str">
        <f ca="1">IFERROR(__xludf.DUMMYFUNCTION("""COMPUTED_VALUE"""),"USA")</f>
        <v>USA</v>
      </c>
      <c r="AN60" s="11" t="str">
        <f ca="1">IFERROR(__xludf.DUMMYFUNCTION("""COMPUTED_VALUE"""),"Ainsworth/Cassidy-Marvin")</f>
        <v>Ainsworth/Cassidy-Marvin</v>
      </c>
      <c r="AO60" s="11">
        <f ca="1">IFERROR(__xludf.DUMMYFUNCTION("""COMPUTED_VALUE"""),0)</f>
        <v>0</v>
      </c>
      <c r="AP60" s="11">
        <f ca="1">IFERROR(__xludf.DUMMYFUNCTION("""COMPUTED_VALUE"""),0)</f>
        <v>0</v>
      </c>
      <c r="AQ60" s="11">
        <f ca="1">IFERROR(__xludf.DUMMYFUNCTION("""COMPUTED_VALUE"""),0)</f>
        <v>0</v>
      </c>
      <c r="AR60" s="11">
        <f ca="1">IFERROR(__xludf.DUMMYFUNCTION("""COMPUTED_VALUE"""),1)</f>
        <v>1</v>
      </c>
      <c r="AS60" s="11">
        <f ca="1">IFERROR(__xludf.DUMMYFUNCTION("""COMPUTED_VALUE"""),0.919999999999999)</f>
        <v>0.91999999999999904</v>
      </c>
      <c r="AT60" s="11">
        <f ca="1">IFERROR(__xludf.DUMMYFUNCTION("""COMPUTED_VALUE"""),0)</f>
        <v>0</v>
      </c>
      <c r="AU60" s="11" t="str">
        <f ca="1">IFERROR(__xludf.DUMMYFUNCTION("""COMPUTED_VALUE"""),"Female")</f>
        <v>Female</v>
      </c>
      <c r="AV60" s="11"/>
      <c r="AW60" s="11"/>
      <c r="AX60" s="11"/>
      <c r="AY60" s="11"/>
      <c r="AZ60" s="11"/>
      <c r="BA60" s="11"/>
      <c r="BB60" s="11"/>
      <c r="BC60" s="11"/>
      <c r="BD60" s="11"/>
      <c r="BE60" s="11"/>
      <c r="BF60" s="11"/>
      <c r="BG60" s="11"/>
      <c r="BH60" s="11"/>
      <c r="BI60" s="11"/>
      <c r="BJ60" s="11"/>
      <c r="BK60" s="11"/>
      <c r="BL60" s="11"/>
      <c r="BM60" s="11"/>
      <c r="BN60" s="11"/>
    </row>
    <row r="61" spans="1:66" ht="12.9">
      <c r="A61" s="11">
        <f>Raw!D61</f>
        <v>42</v>
      </c>
      <c r="B61" s="11" t="str">
        <f>Raw!A61</f>
        <v>Toth et al. (2006)</v>
      </c>
      <c r="C61" s="11">
        <f>Raw!G61</f>
        <v>1</v>
      </c>
      <c r="D61" s="11" t="str">
        <f>Raw!E61</f>
        <v>Depressed control</v>
      </c>
      <c r="E61" s="11" t="str">
        <f>Processed!E61</f>
        <v>Toddlerhood - Preschool</v>
      </c>
      <c r="F61" s="15">
        <f>Raw!AA61</f>
        <v>39</v>
      </c>
      <c r="G61" s="15">
        <f>Raw!AB61</f>
        <v>4</v>
      </c>
      <c r="H61" s="15">
        <f>Raw!AC61</f>
        <v>5</v>
      </c>
      <c r="I61" s="15">
        <f>Raw!AD61</f>
        <v>6</v>
      </c>
      <c r="J61" s="15">
        <f t="shared" si="0"/>
        <v>54</v>
      </c>
      <c r="K61" s="15">
        <f>Raw!AL61</f>
        <v>0</v>
      </c>
      <c r="L61" s="15">
        <f>Raw!AM61</f>
        <v>0</v>
      </c>
      <c r="M61" s="15">
        <f>Raw!AN61</f>
        <v>0</v>
      </c>
      <c r="N61" s="15">
        <f>Raw!AO61</f>
        <v>0</v>
      </c>
      <c r="O61" s="15">
        <f>Raw!AP61</f>
        <v>0</v>
      </c>
      <c r="P61" s="15">
        <f>Raw!AQ61</f>
        <v>0</v>
      </c>
      <c r="Q61" s="15">
        <f>Raw!AR61</f>
        <v>0</v>
      </c>
      <c r="R61" s="15">
        <f>Raw!AS61</f>
        <v>0</v>
      </c>
      <c r="S61" s="15">
        <f>Raw!AT61</f>
        <v>0</v>
      </c>
      <c r="T61" s="15">
        <f t="shared" si="1"/>
        <v>0</v>
      </c>
      <c r="U61" s="15">
        <f>Raw!AV61</f>
        <v>9</v>
      </c>
      <c r="V61" s="15">
        <f>Raw!AW61</f>
        <v>1</v>
      </c>
      <c r="W61" s="15">
        <f>Raw!AX61</f>
        <v>0</v>
      </c>
      <c r="X61" s="15">
        <f>Raw!AY61</f>
        <v>4</v>
      </c>
      <c r="Y61" s="15">
        <f>Raw!AZ61</f>
        <v>4</v>
      </c>
      <c r="Z61" s="15">
        <f>Raw!BA61</f>
        <v>5</v>
      </c>
      <c r="AA61" s="15">
        <f>Raw!BB61</f>
        <v>0</v>
      </c>
      <c r="AB61" s="15">
        <f>Raw!BC61</f>
        <v>2</v>
      </c>
      <c r="AC61" s="15">
        <f>Raw!BD61</f>
        <v>0</v>
      </c>
      <c r="AD61" s="15">
        <f>Raw!BE61</f>
        <v>1</v>
      </c>
      <c r="AE61" s="15">
        <f>Raw!BF61</f>
        <v>1</v>
      </c>
      <c r="AF61" s="15">
        <f>Raw!BG61</f>
        <v>2</v>
      </c>
      <c r="AG61" s="15">
        <f>Raw!BH61</f>
        <v>6</v>
      </c>
      <c r="AH61" s="15">
        <f>Raw!BI61</f>
        <v>2</v>
      </c>
      <c r="AI61" s="15">
        <f>Raw!BJ61</f>
        <v>3</v>
      </c>
      <c r="AJ61" s="15">
        <f>Raw!BK61</f>
        <v>14</v>
      </c>
      <c r="AK61" s="15">
        <f t="shared" si="2"/>
        <v>54</v>
      </c>
      <c r="AL61" s="11">
        <f ca="1">IFERROR(__xludf.DUMMYFUNCTION("""COMPUTED_VALUE"""),2006)</f>
        <v>2006</v>
      </c>
      <c r="AM61" s="11" t="str">
        <f ca="1">IFERROR(__xludf.DUMMYFUNCTION("""COMPUTED_VALUE"""),"USA")</f>
        <v>USA</v>
      </c>
      <c r="AN61" s="11" t="str">
        <f ca="1">IFERROR(__xludf.DUMMYFUNCTION("""COMPUTED_VALUE"""),"Ainsworth/Cassidy-Marvin")</f>
        <v>Ainsworth/Cassidy-Marvin</v>
      </c>
      <c r="AO61" s="11">
        <f ca="1">IFERROR(__xludf.DUMMYFUNCTION("""COMPUTED_VALUE"""),0)</f>
        <v>0</v>
      </c>
      <c r="AP61" s="11">
        <f ca="1">IFERROR(__xludf.DUMMYFUNCTION("""COMPUTED_VALUE"""),1)</f>
        <v>1</v>
      </c>
      <c r="AQ61" s="11">
        <f ca="1">IFERROR(__xludf.DUMMYFUNCTION("""COMPUTED_VALUE"""),0)</f>
        <v>0</v>
      </c>
      <c r="AR61" s="11">
        <f ca="1">IFERROR(__xludf.DUMMYFUNCTION("""COMPUTED_VALUE"""),1)</f>
        <v>1</v>
      </c>
      <c r="AS61" s="11">
        <f ca="1">IFERROR(__xludf.DUMMYFUNCTION("""COMPUTED_VALUE"""),0.919999999999999)</f>
        <v>0.91999999999999904</v>
      </c>
      <c r="AT61" s="11">
        <f ca="1">IFERROR(__xludf.DUMMYFUNCTION("""COMPUTED_VALUE"""),0)</f>
        <v>0</v>
      </c>
      <c r="AU61" s="11" t="str">
        <f ca="1">IFERROR(__xludf.DUMMYFUNCTION("""COMPUTED_VALUE"""),"Female")</f>
        <v>Female</v>
      </c>
      <c r="AV61" s="11"/>
      <c r="AW61" s="11"/>
      <c r="AX61" s="11"/>
      <c r="AY61" s="11"/>
      <c r="AZ61" s="11"/>
      <c r="BA61" s="11"/>
      <c r="BB61" s="11"/>
      <c r="BC61" s="11"/>
      <c r="BD61" s="11"/>
      <c r="BE61" s="11"/>
      <c r="BF61" s="11"/>
      <c r="BG61" s="11"/>
      <c r="BH61" s="11"/>
      <c r="BI61" s="11"/>
      <c r="BJ61" s="11"/>
      <c r="BK61" s="11"/>
      <c r="BL61" s="11"/>
      <c r="BM61" s="11"/>
      <c r="BN61" s="11"/>
    </row>
    <row r="62" spans="1:66" ht="12.9">
      <c r="A62" s="11">
        <f>Raw!D62</f>
        <v>43</v>
      </c>
      <c r="B62" s="11" t="str">
        <f>Raw!A62</f>
        <v>Kreppner et al. (2011)</v>
      </c>
      <c r="C62" s="11">
        <f>Raw!G62</f>
        <v>1</v>
      </c>
      <c r="D62" s="11" t="str">
        <f>Raw!E62</f>
        <v>Family care &lt; 6 mo</v>
      </c>
      <c r="E62" s="11" t="str">
        <f>Processed!E62</f>
        <v>Preschool - Preschool</v>
      </c>
      <c r="F62" s="15">
        <f>Raw!AA62</f>
        <v>28</v>
      </c>
      <c r="G62" s="15">
        <f>Raw!AB62</f>
        <v>27</v>
      </c>
      <c r="H62" s="15">
        <f>Raw!AC62</f>
        <v>37</v>
      </c>
      <c r="I62" s="15">
        <f>Raw!AD62</f>
        <v>14</v>
      </c>
      <c r="J62" s="15">
        <f t="shared" si="0"/>
        <v>106</v>
      </c>
      <c r="K62" s="15">
        <f>Raw!AL62</f>
        <v>0</v>
      </c>
      <c r="L62" s="15">
        <f>Raw!AM62</f>
        <v>0</v>
      </c>
      <c r="M62" s="15">
        <f>Raw!AN62</f>
        <v>0</v>
      </c>
      <c r="N62" s="15">
        <f>Raw!AO62</f>
        <v>0</v>
      </c>
      <c r="O62" s="15">
        <f>Raw!AP62</f>
        <v>0</v>
      </c>
      <c r="P62" s="15">
        <f>Raw!AQ62</f>
        <v>0</v>
      </c>
      <c r="Q62" s="15">
        <f>Raw!AR62</f>
        <v>0</v>
      </c>
      <c r="R62" s="15">
        <f>Raw!AS62</f>
        <v>0</v>
      </c>
      <c r="S62" s="15">
        <f>Raw!AT62</f>
        <v>0</v>
      </c>
      <c r="T62" s="15">
        <f t="shared" si="1"/>
        <v>0</v>
      </c>
      <c r="U62" s="15">
        <f>Raw!AV62</f>
        <v>4</v>
      </c>
      <c r="V62" s="15">
        <f>Raw!AW62</f>
        <v>6</v>
      </c>
      <c r="W62" s="15">
        <f>Raw!AX62</f>
        <v>0</v>
      </c>
      <c r="X62" s="15">
        <f>Raw!AY62</f>
        <v>3</v>
      </c>
      <c r="Y62" s="15">
        <f>Raw!AZ62</f>
        <v>5</v>
      </c>
      <c r="Z62" s="15">
        <f>Raw!BA62</f>
        <v>37</v>
      </c>
      <c r="AA62" s="15">
        <f>Raw!BB62</f>
        <v>1</v>
      </c>
      <c r="AB62" s="15">
        <f>Raw!BC62</f>
        <v>8</v>
      </c>
      <c r="AC62" s="15">
        <f>Raw!BD62</f>
        <v>2</v>
      </c>
      <c r="AD62" s="15">
        <f>Raw!BE62</f>
        <v>8</v>
      </c>
      <c r="AE62" s="15">
        <f>Raw!BF62</f>
        <v>1</v>
      </c>
      <c r="AF62" s="15">
        <f>Raw!BG62</f>
        <v>0</v>
      </c>
      <c r="AG62" s="15">
        <f>Raw!BH62</f>
        <v>4</v>
      </c>
      <c r="AH62" s="15">
        <f>Raw!BI62</f>
        <v>13</v>
      </c>
      <c r="AI62" s="15">
        <f>Raw!BJ62</f>
        <v>2</v>
      </c>
      <c r="AJ62" s="15">
        <f>Raw!BK62</f>
        <v>12</v>
      </c>
      <c r="AK62" s="15">
        <f t="shared" si="2"/>
        <v>106</v>
      </c>
      <c r="AL62" s="11">
        <f ca="1">IFERROR(__xludf.DUMMYFUNCTION("""COMPUTED_VALUE"""),2011)</f>
        <v>2011</v>
      </c>
      <c r="AM62" s="11" t="str">
        <f ca="1">IFERROR(__xludf.DUMMYFUNCTION("""COMPUTED_VALUE"""),"Non-USA")</f>
        <v>Non-USA</v>
      </c>
      <c r="AN62" s="11" t="str">
        <f ca="1">IFERROR(__xludf.DUMMYFUNCTION("""COMPUTED_VALUE"""),"Cassidy-Marvin/Cassidy-Marvin")</f>
        <v>Cassidy-Marvin/Cassidy-Marvin</v>
      </c>
      <c r="AO62" s="11">
        <f ca="1">IFERROR(__xludf.DUMMYFUNCTION("""COMPUTED_VALUE"""),0)</f>
        <v>0</v>
      </c>
      <c r="AP62" s="11">
        <f ca="1">IFERROR(__xludf.DUMMYFUNCTION("""COMPUTED_VALUE"""),0)</f>
        <v>0</v>
      </c>
      <c r="AQ62" s="11">
        <f ca="1">IFERROR(__xludf.DUMMYFUNCTION("""COMPUTED_VALUE"""),0)</f>
        <v>0</v>
      </c>
      <c r="AR62" s="11">
        <f ca="1">IFERROR(__xludf.DUMMYFUNCTION("""COMPUTED_VALUE"""),1)</f>
        <v>1</v>
      </c>
      <c r="AS62" s="11">
        <f ca="1">IFERROR(__xludf.DUMMYFUNCTION("""COMPUTED_VALUE"""),0.818814524741901)</f>
        <v>0.81881452474190097</v>
      </c>
      <c r="AT62" s="11">
        <f ca="1">IFERROR(__xludf.DUMMYFUNCTION("""COMPUTED_VALUE"""),0)</f>
        <v>0</v>
      </c>
      <c r="AU62" s="11" t="str">
        <f ca="1">IFERROR(__xludf.DUMMYFUNCTION("""COMPUTED_VALUE"""),"Female")</f>
        <v>Female</v>
      </c>
      <c r="AV62" s="11"/>
      <c r="AW62" s="11"/>
      <c r="AX62" s="11"/>
      <c r="AY62" s="11"/>
      <c r="AZ62" s="11"/>
      <c r="BA62" s="11"/>
      <c r="BB62" s="11"/>
      <c r="BC62" s="11"/>
      <c r="BD62" s="11"/>
      <c r="BE62" s="11"/>
      <c r="BF62" s="11"/>
      <c r="BG62" s="11"/>
      <c r="BH62" s="11"/>
      <c r="BI62" s="11"/>
      <c r="BJ62" s="11"/>
      <c r="BK62" s="11"/>
      <c r="BL62" s="11"/>
      <c r="BM62" s="11"/>
      <c r="BN62" s="11"/>
    </row>
    <row r="63" spans="1:66" ht="12.9">
      <c r="A63" s="11">
        <f>Raw!D63</f>
        <v>44</v>
      </c>
      <c r="B63" s="11" t="str">
        <f>Raw!A63</f>
        <v>Kreppner et al. (2011)</v>
      </c>
      <c r="C63" s="11">
        <f>Raw!G63</f>
        <v>1</v>
      </c>
      <c r="D63" s="11" t="str">
        <f>Raw!E63</f>
        <v>Institutionalised &gt; 6 mo</v>
      </c>
      <c r="E63" s="11" t="str">
        <f>Processed!E63</f>
        <v>Preschool - Preschool</v>
      </c>
      <c r="F63" s="15">
        <f>Raw!AA63</f>
        <v>10</v>
      </c>
      <c r="G63" s="15">
        <f>Raw!AB63</f>
        <v>10</v>
      </c>
      <c r="H63" s="15">
        <f>Raw!AC63</f>
        <v>8</v>
      </c>
      <c r="I63" s="15">
        <f>Raw!AD63</f>
        <v>3</v>
      </c>
      <c r="J63" s="15">
        <f t="shared" si="0"/>
        <v>31</v>
      </c>
      <c r="K63" s="15">
        <f>Raw!AL63</f>
        <v>0</v>
      </c>
      <c r="L63" s="15">
        <f>Raw!AM63</f>
        <v>0</v>
      </c>
      <c r="M63" s="15">
        <f>Raw!AN63</f>
        <v>0</v>
      </c>
      <c r="N63" s="15">
        <f>Raw!AO63</f>
        <v>0</v>
      </c>
      <c r="O63" s="15">
        <f>Raw!AP63</f>
        <v>0</v>
      </c>
      <c r="P63" s="15">
        <f>Raw!AQ63</f>
        <v>0</v>
      </c>
      <c r="Q63" s="15">
        <f>Raw!AR63</f>
        <v>0</v>
      </c>
      <c r="R63" s="15">
        <f>Raw!AS63</f>
        <v>0</v>
      </c>
      <c r="S63" s="15">
        <f>Raw!AT63</f>
        <v>0</v>
      </c>
      <c r="T63" s="15">
        <f t="shared" si="1"/>
        <v>0</v>
      </c>
      <c r="U63" s="15">
        <f>Raw!AV63</f>
        <v>0</v>
      </c>
      <c r="V63" s="15">
        <f>Raw!AW63</f>
        <v>0</v>
      </c>
      <c r="W63" s="15">
        <f>Raw!AX63</f>
        <v>1</v>
      </c>
      <c r="X63" s="15">
        <f>Raw!AY63</f>
        <v>0</v>
      </c>
      <c r="Y63" s="15">
        <f>Raw!AZ63</f>
        <v>1</v>
      </c>
      <c r="Z63" s="15">
        <f>Raw!BA63</f>
        <v>8</v>
      </c>
      <c r="AA63" s="15">
        <f>Raw!BB63</f>
        <v>1</v>
      </c>
      <c r="AB63" s="15">
        <f>Raw!BC63</f>
        <v>1</v>
      </c>
      <c r="AC63" s="15">
        <f>Raw!BD63</f>
        <v>0</v>
      </c>
      <c r="AD63" s="15">
        <f>Raw!BE63</f>
        <v>0</v>
      </c>
      <c r="AE63" s="15">
        <f>Raw!BF63</f>
        <v>0</v>
      </c>
      <c r="AF63" s="15">
        <f>Raw!BG63</f>
        <v>0</v>
      </c>
      <c r="AG63" s="15">
        <f>Raw!BH63</f>
        <v>2</v>
      </c>
      <c r="AH63" s="15">
        <f>Raw!BI63</f>
        <v>10</v>
      </c>
      <c r="AI63" s="15">
        <f>Raw!BJ63</f>
        <v>1</v>
      </c>
      <c r="AJ63" s="15">
        <f>Raw!BK63</f>
        <v>6</v>
      </c>
      <c r="AK63" s="15">
        <f t="shared" si="2"/>
        <v>31</v>
      </c>
      <c r="AL63" s="11">
        <f ca="1">IFERROR(__xludf.DUMMYFUNCTION("""COMPUTED_VALUE"""),2011)</f>
        <v>2011</v>
      </c>
      <c r="AM63" s="11" t="str">
        <f ca="1">IFERROR(__xludf.DUMMYFUNCTION("""COMPUTED_VALUE"""),"Non-USA")</f>
        <v>Non-USA</v>
      </c>
      <c r="AN63" s="11" t="str">
        <f ca="1">IFERROR(__xludf.DUMMYFUNCTION("""COMPUTED_VALUE"""),"Cassidy-Marvin/Cassidy-Marvin")</f>
        <v>Cassidy-Marvin/Cassidy-Marvin</v>
      </c>
      <c r="AO63" s="11">
        <f ca="1">IFERROR(__xludf.DUMMYFUNCTION("""COMPUTED_VALUE"""),0)</f>
        <v>0</v>
      </c>
      <c r="AP63" s="11">
        <f ca="1">IFERROR(__xludf.DUMMYFUNCTION("""COMPUTED_VALUE"""),1)</f>
        <v>1</v>
      </c>
      <c r="AQ63" s="11">
        <f ca="1">IFERROR(__xludf.DUMMYFUNCTION("""COMPUTED_VALUE"""),0)</f>
        <v>0</v>
      </c>
      <c r="AR63" s="11">
        <f ca="1">IFERROR(__xludf.DUMMYFUNCTION("""COMPUTED_VALUE"""),1)</f>
        <v>1</v>
      </c>
      <c r="AS63" s="11">
        <f ca="1">IFERROR(__xludf.DUMMYFUNCTION("""COMPUTED_VALUE"""),0.810790842872008)</f>
        <v>0.81079084287200798</v>
      </c>
      <c r="AT63" s="11">
        <f ca="1">IFERROR(__xludf.DUMMYFUNCTION("""COMPUTED_VALUE"""),0)</f>
        <v>0</v>
      </c>
      <c r="AU63" s="11" t="str">
        <f ca="1">IFERROR(__xludf.DUMMYFUNCTION("""COMPUTED_VALUE"""),"Female")</f>
        <v>Female</v>
      </c>
      <c r="AV63" s="11"/>
      <c r="AW63" s="11"/>
      <c r="AX63" s="11"/>
      <c r="AY63" s="11"/>
      <c r="AZ63" s="11"/>
      <c r="BA63" s="11"/>
      <c r="BB63" s="11"/>
      <c r="BC63" s="11"/>
      <c r="BD63" s="11"/>
      <c r="BE63" s="11"/>
      <c r="BF63" s="11"/>
      <c r="BG63" s="11"/>
      <c r="BH63" s="11"/>
      <c r="BI63" s="11"/>
      <c r="BJ63" s="11"/>
      <c r="BK63" s="11"/>
      <c r="BL63" s="11"/>
      <c r="BM63" s="11"/>
      <c r="BN63" s="11"/>
    </row>
    <row r="64" spans="1:66" ht="12.9">
      <c r="A64" s="11">
        <f>Raw!D64</f>
        <v>45</v>
      </c>
      <c r="B64" s="11" t="str">
        <f>Raw!A64</f>
        <v>Nakano (1984)</v>
      </c>
      <c r="C64" s="11">
        <f>Raw!G64</f>
        <v>1</v>
      </c>
      <c r="D64" s="11" t="str">
        <f>Raw!E64</f>
        <v>Female children only</v>
      </c>
      <c r="E64" s="11" t="str">
        <f>Processed!E64</f>
        <v>Infancy - Toddlerhood</v>
      </c>
      <c r="F64" s="15">
        <f>Raw!AA64</f>
        <v>0</v>
      </c>
      <c r="G64" s="15">
        <f>Raw!AB64</f>
        <v>0</v>
      </c>
      <c r="H64" s="15">
        <f>Raw!AC64</f>
        <v>0</v>
      </c>
      <c r="I64" s="15">
        <f>Raw!AD64</f>
        <v>0</v>
      </c>
      <c r="J64" s="15">
        <f t="shared" si="0"/>
        <v>0</v>
      </c>
      <c r="K64" s="15">
        <f>Raw!AL64</f>
        <v>0</v>
      </c>
      <c r="L64" s="15">
        <f>Raw!AM64</f>
        <v>0</v>
      </c>
      <c r="M64" s="15">
        <f>Raw!AN64</f>
        <v>0</v>
      </c>
      <c r="N64" s="15">
        <f>Raw!AO64</f>
        <v>0</v>
      </c>
      <c r="O64" s="15">
        <f>Raw!AP64</f>
        <v>2</v>
      </c>
      <c r="P64" s="15">
        <f>Raw!AQ64</f>
        <v>1</v>
      </c>
      <c r="Q64" s="15">
        <f>Raw!AR64</f>
        <v>0</v>
      </c>
      <c r="R64" s="15">
        <f>Raw!AS64</f>
        <v>2</v>
      </c>
      <c r="S64" s="15">
        <f>Raw!AT64</f>
        <v>2</v>
      </c>
      <c r="T64" s="15">
        <f t="shared" si="1"/>
        <v>7</v>
      </c>
      <c r="U64" s="15">
        <f>Raw!AV64</f>
        <v>0</v>
      </c>
      <c r="V64" s="15">
        <f>Raw!AW64</f>
        <v>0</v>
      </c>
      <c r="W64" s="15">
        <f>Raw!AX64</f>
        <v>0</v>
      </c>
      <c r="X64" s="15">
        <f>Raw!AY64</f>
        <v>0</v>
      </c>
      <c r="Y64" s="15">
        <f>Raw!AZ64</f>
        <v>0</v>
      </c>
      <c r="Z64" s="15">
        <f>Raw!BA64</f>
        <v>0</v>
      </c>
      <c r="AA64" s="15">
        <f>Raw!BB64</f>
        <v>0</v>
      </c>
      <c r="AB64" s="15">
        <f>Raw!BC64</f>
        <v>0</v>
      </c>
      <c r="AC64" s="15">
        <f>Raw!BD64</f>
        <v>0</v>
      </c>
      <c r="AD64" s="15">
        <f>Raw!BE64</f>
        <v>0</v>
      </c>
      <c r="AE64" s="15">
        <f>Raw!BF64</f>
        <v>0</v>
      </c>
      <c r="AF64" s="15">
        <f>Raw!BG64</f>
        <v>0</v>
      </c>
      <c r="AG64" s="15">
        <f>Raw!BH64</f>
        <v>0</v>
      </c>
      <c r="AH64" s="15">
        <f>Raw!BI64</f>
        <v>0</v>
      </c>
      <c r="AI64" s="15">
        <f>Raw!BJ64</f>
        <v>0</v>
      </c>
      <c r="AJ64" s="15">
        <f>Raw!BK64</f>
        <v>0</v>
      </c>
      <c r="AK64" s="15">
        <f t="shared" si="2"/>
        <v>0</v>
      </c>
      <c r="AL64" s="11">
        <f ca="1">IFERROR(__xludf.DUMMYFUNCTION("""COMPUTED_VALUE"""),1984)</f>
        <v>1984</v>
      </c>
      <c r="AM64" s="11" t="str">
        <f ca="1">IFERROR(__xludf.DUMMYFUNCTION("""COMPUTED_VALUE"""),"Non-USA")</f>
        <v>Non-USA</v>
      </c>
      <c r="AN64" s="11" t="str">
        <f ca="1">IFERROR(__xludf.DUMMYFUNCTION("""COMPUTED_VALUE"""),"Ainsworth/Ainsworth")</f>
        <v>Ainsworth/Ainsworth</v>
      </c>
      <c r="AO64" s="11">
        <f ca="1">IFERROR(__xludf.DUMMYFUNCTION("""COMPUTED_VALUE"""),0)</f>
        <v>0</v>
      </c>
      <c r="AP64" s="11">
        <f ca="1">IFERROR(__xludf.DUMMYFUNCTION("""COMPUTED_VALUE"""),0)</f>
        <v>0</v>
      </c>
      <c r="AQ64" s="11">
        <f ca="1">IFERROR(__xludf.DUMMYFUNCTION("""COMPUTED_VALUE"""),0)</f>
        <v>0</v>
      </c>
      <c r="AR64" s="11">
        <f ca="1">IFERROR(__xludf.DUMMYFUNCTION("""COMPUTED_VALUE"""),0)</f>
        <v>0</v>
      </c>
      <c r="AS64" s="11" t="str">
        <f ca="1">IFERROR(__xludf.DUMMYFUNCTION("""COMPUTED_VALUE"""),"")</f>
        <v/>
      </c>
      <c r="AT64" s="11">
        <f ca="1">IFERROR(__xludf.DUMMYFUNCTION("""COMPUTED_VALUE"""),0)</f>
        <v>0</v>
      </c>
      <c r="AU64" s="11" t="str">
        <f ca="1">IFERROR(__xludf.DUMMYFUNCTION("""COMPUTED_VALUE"""),"Female")</f>
        <v>Female</v>
      </c>
      <c r="AV64" s="11"/>
      <c r="AW64" s="11"/>
      <c r="AX64" s="11"/>
      <c r="AY64" s="11"/>
      <c r="AZ64" s="11"/>
      <c r="BA64" s="11"/>
      <c r="BB64" s="11"/>
      <c r="BC64" s="11"/>
      <c r="BD64" s="11"/>
      <c r="BE64" s="11"/>
      <c r="BF64" s="11"/>
      <c r="BG64" s="11"/>
      <c r="BH64" s="11"/>
      <c r="BI64" s="11"/>
      <c r="BJ64" s="11"/>
      <c r="BK64" s="11"/>
      <c r="BL64" s="11"/>
      <c r="BM64" s="11"/>
      <c r="BN64" s="11"/>
    </row>
    <row r="65" spans="1:66" ht="12.9">
      <c r="A65" s="11">
        <f>Raw!D65</f>
        <v>46</v>
      </c>
      <c r="B65" s="11" t="str">
        <f>Raw!A65</f>
        <v>Frodi, Grolnick &amp; Bridges (1985)</v>
      </c>
      <c r="C65" s="11">
        <f>Raw!G65</f>
        <v>1</v>
      </c>
      <c r="D65" s="11" t="str">
        <f>Raw!E65</f>
        <v>Single sample</v>
      </c>
      <c r="E65" s="11" t="str">
        <f>Processed!E65</f>
        <v>Infancy - Toddlerhood</v>
      </c>
      <c r="F65" s="15">
        <f>Raw!AA65</f>
        <v>3</v>
      </c>
      <c r="G65" s="15">
        <f>Raw!AB65</f>
        <v>5</v>
      </c>
      <c r="H65" s="15">
        <f>Raw!AC65</f>
        <v>23</v>
      </c>
      <c r="I65" s="15">
        <f>Raw!AD65</f>
        <v>7</v>
      </c>
      <c r="J65" s="15">
        <f t="shared" si="0"/>
        <v>38</v>
      </c>
      <c r="K65" s="15">
        <f>Raw!AL65</f>
        <v>1</v>
      </c>
      <c r="L65" s="15">
        <f>Raw!AM65</f>
        <v>2</v>
      </c>
      <c r="M65" s="15">
        <f>Raw!AN65</f>
        <v>0</v>
      </c>
      <c r="N65" s="15">
        <f>Raw!AO65</f>
        <v>4</v>
      </c>
      <c r="O65" s="15">
        <f>Raw!AP65</f>
        <v>23</v>
      </c>
      <c r="P65" s="15">
        <f>Raw!AQ65</f>
        <v>3</v>
      </c>
      <c r="Q65" s="15">
        <f>Raw!AR65</f>
        <v>1</v>
      </c>
      <c r="R65" s="15">
        <f>Raw!AS65</f>
        <v>3</v>
      </c>
      <c r="S65" s="15">
        <f>Raw!AT65</f>
        <v>1</v>
      </c>
      <c r="T65" s="15">
        <f t="shared" si="1"/>
        <v>38</v>
      </c>
      <c r="U65" s="15">
        <f>Raw!AV65</f>
        <v>0</v>
      </c>
      <c r="V65" s="15">
        <f>Raw!AW65</f>
        <v>0</v>
      </c>
      <c r="W65" s="15">
        <f>Raw!AX65</f>
        <v>0</v>
      </c>
      <c r="X65" s="15">
        <f>Raw!AY65</f>
        <v>0</v>
      </c>
      <c r="Y65" s="15">
        <f>Raw!AZ65</f>
        <v>0</v>
      </c>
      <c r="Z65" s="15">
        <f>Raw!BA65</f>
        <v>0</v>
      </c>
      <c r="AA65" s="15">
        <f>Raw!BB65</f>
        <v>0</v>
      </c>
      <c r="AB65" s="15">
        <f>Raw!BC65</f>
        <v>0</v>
      </c>
      <c r="AC65" s="15">
        <f>Raw!BD65</f>
        <v>0</v>
      </c>
      <c r="AD65" s="15">
        <f>Raw!BE65</f>
        <v>0</v>
      </c>
      <c r="AE65" s="15">
        <f>Raw!BF65</f>
        <v>0</v>
      </c>
      <c r="AF65" s="15">
        <f>Raw!BG65</f>
        <v>0</v>
      </c>
      <c r="AG65" s="15">
        <f>Raw!BH65</f>
        <v>0</v>
      </c>
      <c r="AH65" s="15">
        <f>Raw!BI65</f>
        <v>0</v>
      </c>
      <c r="AI65" s="15">
        <f>Raw!BJ65</f>
        <v>0</v>
      </c>
      <c r="AJ65" s="15">
        <f>Raw!BK65</f>
        <v>0</v>
      </c>
      <c r="AK65" s="15">
        <f t="shared" si="2"/>
        <v>0</v>
      </c>
      <c r="AL65" s="11">
        <f ca="1">IFERROR(__xludf.DUMMYFUNCTION("""COMPUTED_VALUE"""),1985)</f>
        <v>1985</v>
      </c>
      <c r="AM65" s="11" t="str">
        <f ca="1">IFERROR(__xludf.DUMMYFUNCTION("""COMPUTED_VALUE"""),"USA")</f>
        <v>USA</v>
      </c>
      <c r="AN65" s="11" t="str">
        <f ca="1">IFERROR(__xludf.DUMMYFUNCTION("""COMPUTED_VALUE"""),"Ainsworth/Ainsworth")</f>
        <v>Ainsworth/Ainsworth</v>
      </c>
      <c r="AO65" s="11">
        <f ca="1">IFERROR(__xludf.DUMMYFUNCTION("""COMPUTED_VALUE"""),1)</f>
        <v>1</v>
      </c>
      <c r="AP65" s="11">
        <f ca="1">IFERROR(__xludf.DUMMYFUNCTION("""COMPUTED_VALUE"""),0)</f>
        <v>0</v>
      </c>
      <c r="AQ65" s="11">
        <f ca="1">IFERROR(__xludf.DUMMYFUNCTION("""COMPUTED_VALUE"""),0)</f>
        <v>0</v>
      </c>
      <c r="AR65" s="11">
        <f ca="1">IFERROR(__xludf.DUMMYFUNCTION("""COMPUTED_VALUE"""),1)</f>
        <v>1</v>
      </c>
      <c r="AS65" s="11">
        <f ca="1">IFERROR(__xludf.DUMMYFUNCTION("""COMPUTED_VALUE"""),0.79)</f>
        <v>0.79</v>
      </c>
      <c r="AT65" s="11">
        <f ca="1">IFERROR(__xludf.DUMMYFUNCTION("""COMPUTED_VALUE"""),0)</f>
        <v>0</v>
      </c>
      <c r="AU65" s="11" t="str">
        <f ca="1">IFERROR(__xludf.DUMMYFUNCTION("""COMPUTED_VALUE"""),"Female")</f>
        <v>Female</v>
      </c>
      <c r="AV65" s="11"/>
      <c r="AW65" s="11"/>
      <c r="AX65" s="11"/>
      <c r="AY65" s="11"/>
      <c r="AZ65" s="11"/>
      <c r="BA65" s="11"/>
      <c r="BB65" s="11"/>
      <c r="BC65" s="11"/>
      <c r="BD65" s="11"/>
      <c r="BE65" s="11"/>
      <c r="BF65" s="11"/>
      <c r="BG65" s="11"/>
      <c r="BH65" s="11"/>
      <c r="BI65" s="11"/>
      <c r="BJ65" s="11"/>
      <c r="BK65" s="11"/>
      <c r="BL65" s="11"/>
      <c r="BM65" s="11"/>
      <c r="BN65" s="11"/>
    </row>
    <row r="66" spans="1:66" ht="12.9">
      <c r="A66" s="11">
        <f>Raw!D66</f>
        <v>47</v>
      </c>
      <c r="B66" s="11" t="str">
        <f>Raw!A66</f>
        <v>Thompson, Lamb &amp; Estes (1982)</v>
      </c>
      <c r="C66" s="11">
        <f>Raw!G66</f>
        <v>1</v>
      </c>
      <c r="D66" s="11" t="str">
        <f>Raw!E66</f>
        <v>Single sample</v>
      </c>
      <c r="E66" s="11" t="str">
        <f>Processed!E66</f>
        <v>Infancy - Toddlerhood</v>
      </c>
      <c r="F66" s="15">
        <f>Raw!AA66</f>
        <v>4</v>
      </c>
      <c r="G66" s="15">
        <f>Raw!AB66</f>
        <v>9</v>
      </c>
      <c r="H66" s="15">
        <f>Raw!AC66</f>
        <v>20</v>
      </c>
      <c r="I66" s="15">
        <f>Raw!AD66</f>
        <v>10</v>
      </c>
      <c r="J66" s="15">
        <f t="shared" si="0"/>
        <v>43</v>
      </c>
      <c r="K66" s="15">
        <f>Raw!AL66</f>
        <v>1</v>
      </c>
      <c r="L66" s="15">
        <f>Raw!AM66</f>
        <v>5</v>
      </c>
      <c r="M66" s="15">
        <f>Raw!AN66</f>
        <v>1</v>
      </c>
      <c r="N66" s="15">
        <f>Raw!AO66</f>
        <v>5</v>
      </c>
      <c r="O66" s="15">
        <f>Raw!AP66</f>
        <v>20</v>
      </c>
      <c r="P66" s="15">
        <f>Raw!AQ66</f>
        <v>5</v>
      </c>
      <c r="Q66" s="15">
        <f>Raw!AR66</f>
        <v>0</v>
      </c>
      <c r="R66" s="15">
        <f>Raw!AS66</f>
        <v>4</v>
      </c>
      <c r="S66" s="15">
        <f>Raw!AT66</f>
        <v>2</v>
      </c>
      <c r="T66" s="15">
        <f t="shared" si="1"/>
        <v>43</v>
      </c>
      <c r="U66" s="15">
        <f>Raw!AV66</f>
        <v>0</v>
      </c>
      <c r="V66" s="15">
        <f>Raw!AW66</f>
        <v>0</v>
      </c>
      <c r="W66" s="15">
        <f>Raw!AX66</f>
        <v>0</v>
      </c>
      <c r="X66" s="15">
        <f>Raw!AY66</f>
        <v>0</v>
      </c>
      <c r="Y66" s="15">
        <f>Raw!AZ66</f>
        <v>0</v>
      </c>
      <c r="Z66" s="15">
        <f>Raw!BA66</f>
        <v>0</v>
      </c>
      <c r="AA66" s="15">
        <f>Raw!BB66</f>
        <v>0</v>
      </c>
      <c r="AB66" s="15">
        <f>Raw!BC66</f>
        <v>0</v>
      </c>
      <c r="AC66" s="15">
        <f>Raw!BD66</f>
        <v>0</v>
      </c>
      <c r="AD66" s="15">
        <f>Raw!BE66</f>
        <v>0</v>
      </c>
      <c r="AE66" s="15">
        <f>Raw!BF66</f>
        <v>0</v>
      </c>
      <c r="AF66" s="15">
        <f>Raw!BG66</f>
        <v>0</v>
      </c>
      <c r="AG66" s="15">
        <f>Raw!BH66</f>
        <v>0</v>
      </c>
      <c r="AH66" s="15">
        <f>Raw!BI66</f>
        <v>0</v>
      </c>
      <c r="AI66" s="15">
        <f>Raw!BJ66</f>
        <v>0</v>
      </c>
      <c r="AJ66" s="15">
        <f>Raw!BK66</f>
        <v>0</v>
      </c>
      <c r="AK66" s="15">
        <f t="shared" si="2"/>
        <v>0</v>
      </c>
      <c r="AL66" s="11">
        <f ca="1">IFERROR(__xludf.DUMMYFUNCTION("""COMPUTED_VALUE"""),1982)</f>
        <v>1982</v>
      </c>
      <c r="AM66" s="11" t="str">
        <f ca="1">IFERROR(__xludf.DUMMYFUNCTION("""COMPUTED_VALUE"""),"USA")</f>
        <v>USA</v>
      </c>
      <c r="AN66" s="11" t="str">
        <f ca="1">IFERROR(__xludf.DUMMYFUNCTION("""COMPUTED_VALUE"""),"Ainsworth/Ainsworth")</f>
        <v>Ainsworth/Ainsworth</v>
      </c>
      <c r="AO66" s="11">
        <f ca="1">IFERROR(__xludf.DUMMYFUNCTION("""COMPUTED_VALUE"""),1)</f>
        <v>1</v>
      </c>
      <c r="AP66" s="11">
        <f ca="1">IFERROR(__xludf.DUMMYFUNCTION("""COMPUTED_VALUE"""),0)</f>
        <v>0</v>
      </c>
      <c r="AQ66" s="11">
        <f ca="1">IFERROR(__xludf.DUMMYFUNCTION("""COMPUTED_VALUE"""),0)</f>
        <v>0</v>
      </c>
      <c r="AR66" s="11">
        <f ca="1">IFERROR(__xludf.DUMMYFUNCTION("""COMPUTED_VALUE"""),1)</f>
        <v>1</v>
      </c>
      <c r="AS66" s="11">
        <f ca="1">IFERROR(__xludf.DUMMYFUNCTION("""COMPUTED_VALUE"""),0.94)</f>
        <v>0.94</v>
      </c>
      <c r="AT66" s="11">
        <f ca="1">IFERROR(__xludf.DUMMYFUNCTION("""COMPUTED_VALUE"""),0)</f>
        <v>0</v>
      </c>
      <c r="AU66" s="11" t="str">
        <f ca="1">IFERROR(__xludf.DUMMYFUNCTION("""COMPUTED_VALUE"""),"Female")</f>
        <v>Female</v>
      </c>
      <c r="AV66" s="11"/>
      <c r="AW66" s="11"/>
      <c r="AX66" s="11"/>
      <c r="AY66" s="11"/>
      <c r="AZ66" s="11"/>
      <c r="BA66" s="11"/>
      <c r="BB66" s="11"/>
      <c r="BC66" s="11"/>
      <c r="BD66" s="11"/>
      <c r="BE66" s="11"/>
      <c r="BF66" s="11"/>
      <c r="BG66" s="11"/>
      <c r="BH66" s="11"/>
      <c r="BI66" s="11"/>
      <c r="BJ66" s="11"/>
      <c r="BK66" s="11"/>
      <c r="BL66" s="11"/>
      <c r="BM66" s="11"/>
      <c r="BN66" s="11"/>
    </row>
    <row r="67" spans="1:66" ht="12.9">
      <c r="A67" s="11">
        <f>Raw!D67</f>
        <v>48</v>
      </c>
      <c r="B67" s="11" t="str">
        <f>Raw!A67</f>
        <v>Owen et al. (1984)</v>
      </c>
      <c r="C67" s="11">
        <f>Raw!G67</f>
        <v>1</v>
      </c>
      <c r="D67" s="11" t="str">
        <f>Raw!E67</f>
        <v>Mother-child</v>
      </c>
      <c r="E67" s="11" t="str">
        <f>Processed!E67</f>
        <v>Infancy - Toddlerhood</v>
      </c>
      <c r="F67" s="15">
        <f>Raw!AA67</f>
        <v>2</v>
      </c>
      <c r="G67" s="15">
        <f>Raw!AB67</f>
        <v>6</v>
      </c>
      <c r="H67" s="15">
        <f>Raw!AC67</f>
        <v>44</v>
      </c>
      <c r="I67" s="15">
        <f>Raw!AD67</f>
        <v>7</v>
      </c>
      <c r="J67" s="15">
        <f t="shared" si="0"/>
        <v>59</v>
      </c>
      <c r="K67" s="15">
        <f>Raw!AL67</f>
        <v>2</v>
      </c>
      <c r="L67" s="15">
        <f>Raw!AM67</f>
        <v>4</v>
      </c>
      <c r="M67" s="15">
        <f>Raw!AN67</f>
        <v>0</v>
      </c>
      <c r="N67" s="15">
        <f>Raw!AO67</f>
        <v>2</v>
      </c>
      <c r="O67" s="15">
        <f>Raw!AP67</f>
        <v>44</v>
      </c>
      <c r="P67" s="15">
        <f>Raw!AQ67</f>
        <v>5</v>
      </c>
      <c r="Q67" s="15">
        <f>Raw!AR67</f>
        <v>0</v>
      </c>
      <c r="R67" s="15">
        <f>Raw!AS67</f>
        <v>2</v>
      </c>
      <c r="S67" s="15">
        <f>Raw!AT67</f>
        <v>0</v>
      </c>
      <c r="T67" s="15">
        <f t="shared" si="1"/>
        <v>59</v>
      </c>
      <c r="U67" s="15">
        <f>Raw!AV67</f>
        <v>0</v>
      </c>
      <c r="V67" s="15">
        <f>Raw!AW67</f>
        <v>0</v>
      </c>
      <c r="W67" s="15">
        <f>Raw!AX67</f>
        <v>0</v>
      </c>
      <c r="X67" s="15">
        <f>Raw!AY67</f>
        <v>0</v>
      </c>
      <c r="Y67" s="15">
        <f>Raw!AZ67</f>
        <v>0</v>
      </c>
      <c r="Z67" s="15">
        <f>Raw!BA67</f>
        <v>0</v>
      </c>
      <c r="AA67" s="15">
        <f>Raw!BB67</f>
        <v>0</v>
      </c>
      <c r="AB67" s="15">
        <f>Raw!BC67</f>
        <v>0</v>
      </c>
      <c r="AC67" s="15">
        <f>Raw!BD67</f>
        <v>0</v>
      </c>
      <c r="AD67" s="15">
        <f>Raw!BE67</f>
        <v>0</v>
      </c>
      <c r="AE67" s="15">
        <f>Raw!BF67</f>
        <v>0</v>
      </c>
      <c r="AF67" s="15">
        <f>Raw!BG67</f>
        <v>0</v>
      </c>
      <c r="AG67" s="15">
        <f>Raw!BH67</f>
        <v>0</v>
      </c>
      <c r="AH67" s="15">
        <f>Raw!BI67</f>
        <v>0</v>
      </c>
      <c r="AI67" s="15">
        <f>Raw!BJ67</f>
        <v>0</v>
      </c>
      <c r="AJ67" s="15">
        <f>Raw!BK67</f>
        <v>0</v>
      </c>
      <c r="AK67" s="15">
        <f t="shared" si="2"/>
        <v>0</v>
      </c>
      <c r="AL67" s="11">
        <f ca="1">IFERROR(__xludf.DUMMYFUNCTION("""COMPUTED_VALUE"""),1984)</f>
        <v>1984</v>
      </c>
      <c r="AM67" s="11" t="str">
        <f ca="1">IFERROR(__xludf.DUMMYFUNCTION("""COMPUTED_VALUE"""),"USA")</f>
        <v>USA</v>
      </c>
      <c r="AN67" s="11" t="str">
        <f ca="1">IFERROR(__xludf.DUMMYFUNCTION("""COMPUTED_VALUE"""),"Ainsworth/Ainsworth")</f>
        <v>Ainsworth/Ainsworth</v>
      </c>
      <c r="AO67" s="11">
        <f ca="1">IFERROR(__xludf.DUMMYFUNCTION("""COMPUTED_VALUE"""),1)</f>
        <v>1</v>
      </c>
      <c r="AP67" s="11">
        <f ca="1">IFERROR(__xludf.DUMMYFUNCTION("""COMPUTED_VALUE"""),0)</f>
        <v>0</v>
      </c>
      <c r="AQ67" s="11">
        <f ca="1">IFERROR(__xludf.DUMMYFUNCTION("""COMPUTED_VALUE"""),0)</f>
        <v>0</v>
      </c>
      <c r="AR67" s="11">
        <f ca="1">IFERROR(__xludf.DUMMYFUNCTION("""COMPUTED_VALUE"""),1)</f>
        <v>1</v>
      </c>
      <c r="AS67" s="11">
        <f ca="1">IFERROR(__xludf.DUMMYFUNCTION("""COMPUTED_VALUE"""),0.945)</f>
        <v>0.94499999999999995</v>
      </c>
      <c r="AT67" s="11">
        <f ca="1">IFERROR(__xludf.DUMMYFUNCTION("""COMPUTED_VALUE"""),0)</f>
        <v>0</v>
      </c>
      <c r="AU67" s="11" t="str">
        <f ca="1">IFERROR(__xludf.DUMMYFUNCTION("""COMPUTED_VALUE"""),"Female")</f>
        <v>Female</v>
      </c>
      <c r="AV67" s="11"/>
      <c r="AW67" s="11"/>
      <c r="AX67" s="11"/>
      <c r="AY67" s="11"/>
      <c r="AZ67" s="11"/>
      <c r="BA67" s="11"/>
      <c r="BB67" s="11"/>
      <c r="BC67" s="11"/>
      <c r="BD67" s="11"/>
      <c r="BE67" s="11"/>
      <c r="BF67" s="11"/>
      <c r="BG67" s="11"/>
      <c r="BH67" s="11"/>
      <c r="BI67" s="11"/>
      <c r="BJ67" s="11"/>
      <c r="BK67" s="11"/>
      <c r="BL67" s="11"/>
      <c r="BM67" s="11"/>
      <c r="BN67" s="11"/>
    </row>
    <row r="68" spans="1:66" ht="12.9">
      <c r="A68" s="11">
        <f>Raw!D68</f>
        <v>48</v>
      </c>
      <c r="B68" s="11" t="str">
        <f>Raw!A68</f>
        <v>Owen et al. (1984)</v>
      </c>
      <c r="C68" s="11">
        <f>Raw!G68</f>
        <v>2</v>
      </c>
      <c r="D68" s="11" t="str">
        <f>Raw!E68</f>
        <v>Father-child</v>
      </c>
      <c r="E68" s="11" t="str">
        <f>Processed!E68</f>
        <v>Infancy - Toddlerhood</v>
      </c>
      <c r="F68" s="15">
        <f>Raw!AA68</f>
        <v>6</v>
      </c>
      <c r="G68" s="15">
        <f>Raw!AB68</f>
        <v>11</v>
      </c>
      <c r="H68" s="15">
        <f>Raw!AC68</f>
        <v>28</v>
      </c>
      <c r="I68" s="15">
        <f>Raw!AD68</f>
        <v>8</v>
      </c>
      <c r="J68" s="15">
        <f t="shared" si="0"/>
        <v>53</v>
      </c>
      <c r="K68" s="15">
        <f>Raw!AL68</f>
        <v>3</v>
      </c>
      <c r="L68" s="15">
        <f>Raw!AM68</f>
        <v>10</v>
      </c>
      <c r="M68" s="15">
        <f>Raw!AN68</f>
        <v>1</v>
      </c>
      <c r="N68" s="15">
        <f>Raw!AO68</f>
        <v>6</v>
      </c>
      <c r="O68" s="15">
        <f>Raw!AP68</f>
        <v>28</v>
      </c>
      <c r="P68" s="15">
        <f>Raw!AQ68</f>
        <v>2</v>
      </c>
      <c r="Q68" s="15">
        <f>Raw!AR68</f>
        <v>0</v>
      </c>
      <c r="R68" s="15">
        <f>Raw!AS68</f>
        <v>1</v>
      </c>
      <c r="S68" s="15">
        <f>Raw!AT68</f>
        <v>2</v>
      </c>
      <c r="T68" s="15">
        <f t="shared" si="1"/>
        <v>53</v>
      </c>
      <c r="U68" s="15">
        <f>Raw!AV68</f>
        <v>0</v>
      </c>
      <c r="V68" s="15">
        <f>Raw!AW68</f>
        <v>0</v>
      </c>
      <c r="W68" s="15">
        <f>Raw!AX68</f>
        <v>0</v>
      </c>
      <c r="X68" s="15">
        <f>Raw!AY68</f>
        <v>0</v>
      </c>
      <c r="Y68" s="15">
        <f>Raw!AZ68</f>
        <v>0</v>
      </c>
      <c r="Z68" s="15">
        <f>Raw!BA68</f>
        <v>0</v>
      </c>
      <c r="AA68" s="15">
        <f>Raw!BB68</f>
        <v>0</v>
      </c>
      <c r="AB68" s="15">
        <f>Raw!BC68</f>
        <v>0</v>
      </c>
      <c r="AC68" s="15">
        <f>Raw!BD68</f>
        <v>0</v>
      </c>
      <c r="AD68" s="15">
        <f>Raw!BE68</f>
        <v>0</v>
      </c>
      <c r="AE68" s="15">
        <f>Raw!BF68</f>
        <v>0</v>
      </c>
      <c r="AF68" s="15">
        <f>Raw!BG68</f>
        <v>0</v>
      </c>
      <c r="AG68" s="15">
        <f>Raw!BH68</f>
        <v>0</v>
      </c>
      <c r="AH68" s="15">
        <f>Raw!BI68</f>
        <v>0</v>
      </c>
      <c r="AI68" s="15">
        <f>Raw!BJ68</f>
        <v>0</v>
      </c>
      <c r="AJ68" s="15">
        <f>Raw!BK68</f>
        <v>0</v>
      </c>
      <c r="AK68" s="15">
        <f t="shared" si="2"/>
        <v>0</v>
      </c>
      <c r="AL68" s="11">
        <f ca="1">IFERROR(__xludf.DUMMYFUNCTION("""COMPUTED_VALUE"""),1984)</f>
        <v>1984</v>
      </c>
      <c r="AM68" s="11" t="str">
        <f ca="1">IFERROR(__xludf.DUMMYFUNCTION("""COMPUTED_VALUE"""),"USA")</f>
        <v>USA</v>
      </c>
      <c r="AN68" s="11" t="str">
        <f ca="1">IFERROR(__xludf.DUMMYFUNCTION("""COMPUTED_VALUE"""),"Ainsworth/Ainsworth")</f>
        <v>Ainsworth/Ainsworth</v>
      </c>
      <c r="AO68" s="11">
        <f ca="1">IFERROR(__xludf.DUMMYFUNCTION("""COMPUTED_VALUE"""),1)</f>
        <v>1</v>
      </c>
      <c r="AP68" s="11">
        <f ca="1">IFERROR(__xludf.DUMMYFUNCTION("""COMPUTED_VALUE"""),0)</f>
        <v>0</v>
      </c>
      <c r="AQ68" s="11">
        <f ca="1">IFERROR(__xludf.DUMMYFUNCTION("""COMPUTED_VALUE"""),0)</f>
        <v>0</v>
      </c>
      <c r="AR68" s="11">
        <f ca="1">IFERROR(__xludf.DUMMYFUNCTION("""COMPUTED_VALUE"""),1)</f>
        <v>1</v>
      </c>
      <c r="AS68" s="11">
        <f ca="1">IFERROR(__xludf.DUMMYFUNCTION("""COMPUTED_VALUE"""),0.945)</f>
        <v>0.94499999999999995</v>
      </c>
      <c r="AT68" s="11">
        <f ca="1">IFERROR(__xludf.DUMMYFUNCTION("""COMPUTED_VALUE"""),0)</f>
        <v>0</v>
      </c>
      <c r="AU68" s="11" t="str">
        <f ca="1">IFERROR(__xludf.DUMMYFUNCTION("""COMPUTED_VALUE"""),"Male")</f>
        <v>Male</v>
      </c>
      <c r="AV68" s="11"/>
      <c r="AW68" s="11"/>
      <c r="AX68" s="11"/>
      <c r="AY68" s="11"/>
      <c r="AZ68" s="11"/>
      <c r="BA68" s="11"/>
      <c r="BB68" s="11"/>
      <c r="BC68" s="11"/>
      <c r="BD68" s="11"/>
      <c r="BE68" s="11"/>
      <c r="BF68" s="11"/>
      <c r="BG68" s="11"/>
      <c r="BH68" s="11"/>
      <c r="BI68" s="11"/>
      <c r="BJ68" s="11"/>
      <c r="BK68" s="11"/>
      <c r="BL68" s="11"/>
      <c r="BM68" s="11"/>
      <c r="BN68" s="11"/>
    </row>
    <row r="69" spans="1:66" ht="12.9">
      <c r="A69" s="11">
        <f>Raw!D69</f>
        <v>49</v>
      </c>
      <c r="B69" s="11" t="str">
        <f>Raw!A69</f>
        <v>Belsky et al. (1996)</v>
      </c>
      <c r="C69" s="11">
        <f>Raw!G69</f>
        <v>1</v>
      </c>
      <c r="D69" s="11" t="str">
        <f>Raw!E69</f>
        <v>Father-son (Penn. State)</v>
      </c>
      <c r="E69" s="11" t="str">
        <f>Processed!E69</f>
        <v>Infancy - Toddlerhood</v>
      </c>
      <c r="F69" s="15">
        <f>Raw!AA69</f>
        <v>16</v>
      </c>
      <c r="G69" s="15">
        <f>Raw!AB69</f>
        <v>31</v>
      </c>
      <c r="H69" s="15">
        <f>Raw!AC69</f>
        <v>44</v>
      </c>
      <c r="I69" s="15">
        <f>Raw!AD69</f>
        <v>29</v>
      </c>
      <c r="J69" s="15">
        <f t="shared" si="0"/>
        <v>120</v>
      </c>
      <c r="K69" s="15">
        <f>Raw!AL69</f>
        <v>7</v>
      </c>
      <c r="L69" s="15">
        <f>Raw!AM69</f>
        <v>17</v>
      </c>
      <c r="M69" s="15">
        <f>Raw!AN69</f>
        <v>1</v>
      </c>
      <c r="N69" s="15">
        <f>Raw!AO69</f>
        <v>19</v>
      </c>
      <c r="O69" s="15">
        <f>Raw!AP69</f>
        <v>44</v>
      </c>
      <c r="P69" s="15">
        <f>Raw!AQ69</f>
        <v>10</v>
      </c>
      <c r="Q69" s="15">
        <f>Raw!AR69</f>
        <v>4</v>
      </c>
      <c r="R69" s="15">
        <f>Raw!AS69</f>
        <v>14</v>
      </c>
      <c r="S69" s="15">
        <f>Raw!AT69</f>
        <v>4</v>
      </c>
      <c r="T69" s="15">
        <f t="shared" si="1"/>
        <v>120</v>
      </c>
      <c r="U69" s="15">
        <f>Raw!AV69</f>
        <v>0</v>
      </c>
      <c r="V69" s="15">
        <f>Raw!AW69</f>
        <v>0</v>
      </c>
      <c r="W69" s="15">
        <f>Raw!AX69</f>
        <v>0</v>
      </c>
      <c r="X69" s="15">
        <f>Raw!AY69</f>
        <v>0</v>
      </c>
      <c r="Y69" s="15">
        <f>Raw!AZ69</f>
        <v>0</v>
      </c>
      <c r="Z69" s="15">
        <f>Raw!BA69</f>
        <v>0</v>
      </c>
      <c r="AA69" s="15">
        <f>Raw!BB69</f>
        <v>0</v>
      </c>
      <c r="AB69" s="15">
        <f>Raw!BC69</f>
        <v>0</v>
      </c>
      <c r="AC69" s="15">
        <f>Raw!BD69</f>
        <v>0</v>
      </c>
      <c r="AD69" s="15">
        <f>Raw!BE69</f>
        <v>0</v>
      </c>
      <c r="AE69" s="15">
        <f>Raw!BF69</f>
        <v>0</v>
      </c>
      <c r="AF69" s="15">
        <f>Raw!BG69</f>
        <v>0</v>
      </c>
      <c r="AG69" s="15">
        <f>Raw!BH69</f>
        <v>0</v>
      </c>
      <c r="AH69" s="15">
        <f>Raw!BI69</f>
        <v>0</v>
      </c>
      <c r="AI69" s="15">
        <f>Raw!BJ69</f>
        <v>0</v>
      </c>
      <c r="AJ69" s="15">
        <f>Raw!BK69</f>
        <v>0</v>
      </c>
      <c r="AK69" s="15">
        <f t="shared" si="2"/>
        <v>0</v>
      </c>
      <c r="AL69" s="11">
        <f ca="1">IFERROR(__xludf.DUMMYFUNCTION("""COMPUTED_VALUE"""),1996)</f>
        <v>1996</v>
      </c>
      <c r="AM69" s="11" t="str">
        <f ca="1">IFERROR(__xludf.DUMMYFUNCTION("""COMPUTED_VALUE"""),"USA")</f>
        <v>USA</v>
      </c>
      <c r="AN69" s="11" t="str">
        <f ca="1">IFERROR(__xludf.DUMMYFUNCTION("""COMPUTED_VALUE"""),"Ainsworth/Ainsworth")</f>
        <v>Ainsworth/Ainsworth</v>
      </c>
      <c r="AO69" s="11">
        <f ca="1">IFERROR(__xludf.DUMMYFUNCTION("""COMPUTED_VALUE"""),1)</f>
        <v>1</v>
      </c>
      <c r="AP69" s="11">
        <f ca="1">IFERROR(__xludf.DUMMYFUNCTION("""COMPUTED_VALUE"""),0)</f>
        <v>0</v>
      </c>
      <c r="AQ69" s="11">
        <f ca="1">IFERROR(__xludf.DUMMYFUNCTION("""COMPUTED_VALUE"""),0)</f>
        <v>0</v>
      </c>
      <c r="AR69" s="11">
        <f ca="1">IFERROR(__xludf.DUMMYFUNCTION("""COMPUTED_VALUE"""),1)</f>
        <v>1</v>
      </c>
      <c r="AS69" s="11">
        <f ca="1">IFERROR(__xludf.DUMMYFUNCTION("""COMPUTED_VALUE"""),0.929177083333333)</f>
        <v>0.92917708333333304</v>
      </c>
      <c r="AT69" s="11">
        <f ca="1">IFERROR(__xludf.DUMMYFUNCTION("""COMPUTED_VALUE"""),0)</f>
        <v>0</v>
      </c>
      <c r="AU69" s="11" t="str">
        <f ca="1">IFERROR(__xludf.DUMMYFUNCTION("""COMPUTED_VALUE"""),"Male")</f>
        <v>Male</v>
      </c>
    </row>
    <row r="70" spans="1:66" ht="12.9">
      <c r="A70" s="11">
        <f>Raw!D70</f>
        <v>49</v>
      </c>
      <c r="B70" s="11" t="str">
        <f>Raw!A70</f>
        <v>Belsky et al. (1996)</v>
      </c>
      <c r="C70" s="11">
        <f>Raw!G70</f>
        <v>2</v>
      </c>
      <c r="D70" s="11" t="str">
        <f>Raw!E70</f>
        <v>Mother-son (Penn. State)</v>
      </c>
      <c r="E70" s="11" t="str">
        <f>Processed!E70</f>
        <v>Infancy - Infancy</v>
      </c>
      <c r="F70" s="15">
        <f>Raw!AA70</f>
        <v>18</v>
      </c>
      <c r="G70" s="15">
        <f>Raw!AB70</f>
        <v>32</v>
      </c>
      <c r="H70" s="15">
        <f>Raw!AC70</f>
        <v>51</v>
      </c>
      <c r="I70" s="15">
        <f>Raw!AD70</f>
        <v>24</v>
      </c>
      <c r="J70" s="15">
        <f t="shared" si="0"/>
        <v>125</v>
      </c>
      <c r="K70" s="15">
        <f>Raw!AL70</f>
        <v>11</v>
      </c>
      <c r="L70" s="15">
        <f>Raw!AM70</f>
        <v>16</v>
      </c>
      <c r="M70" s="15">
        <f>Raw!AN70</f>
        <v>4</v>
      </c>
      <c r="N70" s="15">
        <f>Raw!AO70</f>
        <v>13</v>
      </c>
      <c r="O70" s="15">
        <f>Raw!AP70</f>
        <v>51</v>
      </c>
      <c r="P70" s="15">
        <f>Raw!AQ70</f>
        <v>11</v>
      </c>
      <c r="Q70" s="15">
        <f>Raw!AR70</f>
        <v>0</v>
      </c>
      <c r="R70" s="15">
        <f>Raw!AS70</f>
        <v>16</v>
      </c>
      <c r="S70" s="15">
        <f>Raw!AT70</f>
        <v>3</v>
      </c>
      <c r="T70" s="15">
        <f t="shared" si="1"/>
        <v>125</v>
      </c>
      <c r="U70" s="15">
        <f>Raw!AV70</f>
        <v>0</v>
      </c>
      <c r="V70" s="15">
        <f>Raw!AW70</f>
        <v>0</v>
      </c>
      <c r="W70" s="15">
        <f>Raw!AX70</f>
        <v>0</v>
      </c>
      <c r="X70" s="15">
        <f>Raw!AY70</f>
        <v>0</v>
      </c>
      <c r="Y70" s="15">
        <f>Raw!AZ70</f>
        <v>0</v>
      </c>
      <c r="Z70" s="15">
        <f>Raw!BA70</f>
        <v>0</v>
      </c>
      <c r="AA70" s="15">
        <f>Raw!BB70</f>
        <v>0</v>
      </c>
      <c r="AB70" s="15">
        <f>Raw!BC70</f>
        <v>0</v>
      </c>
      <c r="AC70" s="15">
        <f>Raw!BD70</f>
        <v>0</v>
      </c>
      <c r="AD70" s="15">
        <f>Raw!BE70</f>
        <v>0</v>
      </c>
      <c r="AE70" s="15">
        <f>Raw!BF70</f>
        <v>0</v>
      </c>
      <c r="AF70" s="15">
        <f>Raw!BG70</f>
        <v>0</v>
      </c>
      <c r="AG70" s="15">
        <f>Raw!BH70</f>
        <v>0</v>
      </c>
      <c r="AH70" s="15">
        <f>Raw!BI70</f>
        <v>0</v>
      </c>
      <c r="AI70" s="15">
        <f>Raw!BJ70</f>
        <v>0</v>
      </c>
      <c r="AJ70" s="15">
        <f>Raw!BK70</f>
        <v>0</v>
      </c>
      <c r="AK70" s="15">
        <f t="shared" si="2"/>
        <v>0</v>
      </c>
      <c r="AL70" s="11">
        <f ca="1">IFERROR(__xludf.DUMMYFUNCTION("""COMPUTED_VALUE"""),1996)</f>
        <v>1996</v>
      </c>
      <c r="AM70" s="11" t="str">
        <f ca="1">IFERROR(__xludf.DUMMYFUNCTION("""COMPUTED_VALUE"""),"USA")</f>
        <v>USA</v>
      </c>
      <c r="AN70" s="11" t="str">
        <f ca="1">IFERROR(__xludf.DUMMYFUNCTION("""COMPUTED_VALUE"""),"Ainsworth/Ainsworth")</f>
        <v>Ainsworth/Ainsworth</v>
      </c>
      <c r="AO70" s="11">
        <f ca="1">IFERROR(__xludf.DUMMYFUNCTION("""COMPUTED_VALUE"""),1)</f>
        <v>1</v>
      </c>
      <c r="AP70" s="11">
        <f ca="1">IFERROR(__xludf.DUMMYFUNCTION("""COMPUTED_VALUE"""),0)</f>
        <v>0</v>
      </c>
      <c r="AQ70" s="11">
        <f ca="1">IFERROR(__xludf.DUMMYFUNCTION("""COMPUTED_VALUE"""),0)</f>
        <v>0</v>
      </c>
      <c r="AR70" s="11">
        <f ca="1">IFERROR(__xludf.DUMMYFUNCTION("""COMPUTED_VALUE"""),1)</f>
        <v>1</v>
      </c>
      <c r="AS70" s="11">
        <f ca="1">IFERROR(__xludf.DUMMYFUNCTION("""COMPUTED_VALUE"""),0.93082752)</f>
        <v>0.93082752000000002</v>
      </c>
      <c r="AT70" s="11">
        <f ca="1">IFERROR(__xludf.DUMMYFUNCTION("""COMPUTED_VALUE"""),0)</f>
        <v>0</v>
      </c>
      <c r="AU70" s="11" t="str">
        <f ca="1">IFERROR(__xludf.DUMMYFUNCTION("""COMPUTED_VALUE"""),"Female")</f>
        <v>Female</v>
      </c>
    </row>
    <row r="71" spans="1:66" ht="12.9">
      <c r="A71" s="11">
        <f>Raw!D71</f>
        <v>50</v>
      </c>
      <c r="B71" s="11" t="str">
        <f>Raw!A71</f>
        <v>Belsky et al. (1996)</v>
      </c>
      <c r="C71" s="11">
        <f>Raw!G71</f>
        <v>1</v>
      </c>
      <c r="D71" s="11" t="str">
        <f>Raw!E71</f>
        <v>Mother-child (Univ. Pitt.)</v>
      </c>
      <c r="E71" s="11" t="str">
        <f>Processed!E71</f>
        <v>Infancy - Infancy</v>
      </c>
      <c r="F71" s="15">
        <f>Raw!AA71</f>
        <v>15</v>
      </c>
      <c r="G71" s="15">
        <f>Raw!AB71</f>
        <v>20</v>
      </c>
      <c r="H71" s="15">
        <f>Raw!AC71</f>
        <v>30</v>
      </c>
      <c r="I71" s="15">
        <f>Raw!AD71</f>
        <v>25</v>
      </c>
      <c r="J71" s="15">
        <f t="shared" si="0"/>
        <v>90</v>
      </c>
      <c r="K71" s="15">
        <f>Raw!AL71</f>
        <v>10</v>
      </c>
      <c r="L71" s="15">
        <f>Raw!AM71</f>
        <v>15</v>
      </c>
      <c r="M71" s="15">
        <f>Raw!AN71</f>
        <v>2</v>
      </c>
      <c r="N71" s="15">
        <f>Raw!AO71</f>
        <v>22</v>
      </c>
      <c r="O71" s="15">
        <f>Raw!AP71</f>
        <v>30</v>
      </c>
      <c r="P71" s="15">
        <f>Raw!AQ71</f>
        <v>3</v>
      </c>
      <c r="Q71" s="15">
        <f>Raw!AR71</f>
        <v>2</v>
      </c>
      <c r="R71" s="15">
        <f>Raw!AS71</f>
        <v>5</v>
      </c>
      <c r="S71" s="15">
        <f>Raw!AT71</f>
        <v>1</v>
      </c>
      <c r="T71" s="15">
        <f t="shared" si="1"/>
        <v>90</v>
      </c>
      <c r="U71" s="15">
        <f>Raw!AV71</f>
        <v>0</v>
      </c>
      <c r="V71" s="15">
        <f>Raw!AW71</f>
        <v>0</v>
      </c>
      <c r="W71" s="15">
        <f>Raw!AX71</f>
        <v>0</v>
      </c>
      <c r="X71" s="15">
        <f>Raw!AY71</f>
        <v>0</v>
      </c>
      <c r="Y71" s="15">
        <f>Raw!AZ71</f>
        <v>0</v>
      </c>
      <c r="Z71" s="15">
        <f>Raw!BA71</f>
        <v>0</v>
      </c>
      <c r="AA71" s="15">
        <f>Raw!BB71</f>
        <v>0</v>
      </c>
      <c r="AB71" s="15">
        <f>Raw!BC71</f>
        <v>0</v>
      </c>
      <c r="AC71" s="15">
        <f>Raw!BD71</f>
        <v>0</v>
      </c>
      <c r="AD71" s="15">
        <f>Raw!BE71</f>
        <v>0</v>
      </c>
      <c r="AE71" s="15">
        <f>Raw!BF71</f>
        <v>0</v>
      </c>
      <c r="AF71" s="15">
        <f>Raw!BG71</f>
        <v>0</v>
      </c>
      <c r="AG71" s="15">
        <f>Raw!BH71</f>
        <v>0</v>
      </c>
      <c r="AH71" s="15">
        <f>Raw!BI71</f>
        <v>0</v>
      </c>
      <c r="AI71" s="15">
        <f>Raw!BJ71</f>
        <v>0</v>
      </c>
      <c r="AJ71" s="15">
        <f>Raw!BK71</f>
        <v>0</v>
      </c>
      <c r="AK71" s="15">
        <f t="shared" si="2"/>
        <v>0</v>
      </c>
      <c r="AL71" s="11">
        <f ca="1">IFERROR(__xludf.DUMMYFUNCTION("""COMPUTED_VALUE"""),1996)</f>
        <v>1996</v>
      </c>
      <c r="AM71" s="11" t="str">
        <f ca="1">IFERROR(__xludf.DUMMYFUNCTION("""COMPUTED_VALUE"""),"USA")</f>
        <v>USA</v>
      </c>
      <c r="AN71" s="11" t="str">
        <f ca="1">IFERROR(__xludf.DUMMYFUNCTION("""COMPUTED_VALUE"""),"Ainsworth/Ainsworth")</f>
        <v>Ainsworth/Ainsworth</v>
      </c>
      <c r="AO71" s="11">
        <f ca="1">IFERROR(__xludf.DUMMYFUNCTION("""COMPUTED_VALUE"""),1)</f>
        <v>1</v>
      </c>
      <c r="AP71" s="11">
        <f ca="1">IFERROR(__xludf.DUMMYFUNCTION("""COMPUTED_VALUE"""),0)</f>
        <v>0</v>
      </c>
      <c r="AQ71" s="11">
        <f ca="1">IFERROR(__xludf.DUMMYFUNCTION("""COMPUTED_VALUE"""),0)</f>
        <v>0</v>
      </c>
      <c r="AR71" s="11">
        <f ca="1">IFERROR(__xludf.DUMMYFUNCTION("""COMPUTED_VALUE"""),1)</f>
        <v>1</v>
      </c>
      <c r="AS71" s="11">
        <f ca="1">IFERROR(__xludf.DUMMYFUNCTION("""COMPUTED_VALUE"""),0.956701234567901)</f>
        <v>0.95670123456790102</v>
      </c>
      <c r="AT71" s="11">
        <f ca="1">IFERROR(__xludf.DUMMYFUNCTION("""COMPUTED_VALUE"""),0)</f>
        <v>0</v>
      </c>
      <c r="AU71" s="11" t="str">
        <f ca="1">IFERROR(__xludf.DUMMYFUNCTION("""COMPUTED_VALUE"""),"Female")</f>
        <v>Female</v>
      </c>
    </row>
    <row r="72" spans="1:66" ht="12.9">
      <c r="A72" s="11">
        <f>Raw!D72</f>
        <v>51</v>
      </c>
      <c r="B72" s="11" t="str">
        <f>Raw!A72</f>
        <v>Main &amp; Weston (1981)</v>
      </c>
      <c r="C72" s="11">
        <f>Raw!G72</f>
        <v>1</v>
      </c>
      <c r="D72" s="11" t="str">
        <f>Raw!E72</f>
        <v>Mother-child</v>
      </c>
      <c r="E72" s="11" t="str">
        <f>Processed!E72</f>
        <v>Infancy - Toddlerhood</v>
      </c>
      <c r="F72" s="15">
        <f>Raw!AA72</f>
        <v>0</v>
      </c>
      <c r="G72" s="15">
        <f>Raw!AB72</f>
        <v>0</v>
      </c>
      <c r="H72" s="15">
        <f>Raw!AC72</f>
        <v>0</v>
      </c>
      <c r="I72" s="15">
        <f>Raw!AD72</f>
        <v>0</v>
      </c>
      <c r="J72" s="15">
        <f t="shared" si="0"/>
        <v>0</v>
      </c>
      <c r="K72" s="15">
        <f>Raw!AL72</f>
        <v>0</v>
      </c>
      <c r="L72" s="15">
        <f>Raw!AM72</f>
        <v>0</v>
      </c>
      <c r="M72" s="15">
        <f>Raw!AN72</f>
        <v>0</v>
      </c>
      <c r="N72" s="15">
        <f>Raw!AO72</f>
        <v>0</v>
      </c>
      <c r="O72" s="15">
        <f>Raw!AP72</f>
        <v>0</v>
      </c>
      <c r="P72" s="15">
        <f>Raw!AQ72</f>
        <v>0</v>
      </c>
      <c r="Q72" s="15">
        <f>Raw!AR72</f>
        <v>0</v>
      </c>
      <c r="R72" s="15">
        <f>Raw!AS72</f>
        <v>0</v>
      </c>
      <c r="S72" s="15">
        <f>Raw!AT72</f>
        <v>0</v>
      </c>
      <c r="T72" s="15">
        <f t="shared" si="1"/>
        <v>0</v>
      </c>
      <c r="U72" s="15">
        <f>Raw!AV72</f>
        <v>0</v>
      </c>
      <c r="V72" s="15">
        <f>Raw!AW72</f>
        <v>0</v>
      </c>
      <c r="W72" s="15">
        <f>Raw!AX72</f>
        <v>0</v>
      </c>
      <c r="X72" s="15">
        <f>Raw!AY72</f>
        <v>0</v>
      </c>
      <c r="Y72" s="15">
        <f>Raw!AZ72</f>
        <v>0</v>
      </c>
      <c r="Z72" s="15">
        <f>Raw!BA72</f>
        <v>0</v>
      </c>
      <c r="AA72" s="15">
        <f>Raw!BB72</f>
        <v>0</v>
      </c>
      <c r="AB72" s="15">
        <f>Raw!BC72</f>
        <v>0</v>
      </c>
      <c r="AC72" s="15">
        <f>Raw!BD72</f>
        <v>0</v>
      </c>
      <c r="AD72" s="15">
        <f>Raw!BE72</f>
        <v>0</v>
      </c>
      <c r="AE72" s="15">
        <f>Raw!BF72</f>
        <v>0</v>
      </c>
      <c r="AF72" s="15">
        <f>Raw!BG72</f>
        <v>0</v>
      </c>
      <c r="AG72" s="15">
        <f>Raw!BH72</f>
        <v>0</v>
      </c>
      <c r="AH72" s="15">
        <f>Raw!BI72</f>
        <v>0</v>
      </c>
      <c r="AI72" s="15">
        <f>Raw!BJ72</f>
        <v>0</v>
      </c>
      <c r="AJ72" s="15">
        <f>Raw!BK72</f>
        <v>0</v>
      </c>
      <c r="AK72" s="15">
        <f t="shared" si="2"/>
        <v>0</v>
      </c>
      <c r="AL72" s="11">
        <f ca="1">IFERROR(__xludf.DUMMYFUNCTION("""COMPUTED_VALUE"""),1981)</f>
        <v>1981</v>
      </c>
      <c r="AM72" s="11" t="str">
        <f ca="1">IFERROR(__xludf.DUMMYFUNCTION("""COMPUTED_VALUE"""),"USA")</f>
        <v>USA</v>
      </c>
      <c r="AN72" s="11" t="str">
        <f ca="1">IFERROR(__xludf.DUMMYFUNCTION("""COMPUTED_VALUE"""),"Ainsworth/Ainsworth")</f>
        <v>Ainsworth/Ainsworth</v>
      </c>
      <c r="AO72" s="11">
        <f ca="1">IFERROR(__xludf.DUMMYFUNCTION("""COMPUTED_VALUE"""),1)</f>
        <v>1</v>
      </c>
      <c r="AP72" s="11">
        <f ca="1">IFERROR(__xludf.DUMMYFUNCTION("""COMPUTED_VALUE"""),0)</f>
        <v>0</v>
      </c>
      <c r="AQ72" s="11">
        <f ca="1">IFERROR(__xludf.DUMMYFUNCTION("""COMPUTED_VALUE"""),0)</f>
        <v>0</v>
      </c>
      <c r="AR72" s="11">
        <f ca="1">IFERROR(__xludf.DUMMYFUNCTION("""COMPUTED_VALUE"""),1)</f>
        <v>1</v>
      </c>
      <c r="AS72" s="11">
        <f ca="1">IFERROR(__xludf.DUMMYFUNCTION("""COMPUTED_VALUE"""),0.94)</f>
        <v>0.94</v>
      </c>
      <c r="AT72" s="11">
        <f ca="1">IFERROR(__xludf.DUMMYFUNCTION("""COMPUTED_VALUE"""),0)</f>
        <v>0</v>
      </c>
      <c r="AU72" s="11" t="str">
        <f ca="1">IFERROR(__xludf.DUMMYFUNCTION("""COMPUTED_VALUE"""),"Female")</f>
        <v>Female</v>
      </c>
    </row>
    <row r="73" spans="1:66" ht="12.9">
      <c r="A73" s="11">
        <f>Raw!D73</f>
        <v>51</v>
      </c>
      <c r="B73" s="11" t="str">
        <f>Raw!A73</f>
        <v>Main &amp; Weston (1981)</v>
      </c>
      <c r="C73" s="11">
        <f>Raw!G73</f>
        <v>2</v>
      </c>
      <c r="D73" s="11" t="str">
        <f>Raw!E73</f>
        <v>Father-child</v>
      </c>
      <c r="E73" s="11" t="str">
        <f>Processed!E73</f>
        <v>Infancy - Toddlerhood</v>
      </c>
      <c r="F73" s="15">
        <f>Raw!AA73</f>
        <v>0</v>
      </c>
      <c r="G73" s="15">
        <f>Raw!AB73</f>
        <v>0</v>
      </c>
      <c r="H73" s="15">
        <f>Raw!AC73</f>
        <v>0</v>
      </c>
      <c r="I73" s="15">
        <f>Raw!AD73</f>
        <v>0</v>
      </c>
      <c r="J73" s="15">
        <f t="shared" si="0"/>
        <v>0</v>
      </c>
      <c r="K73" s="15">
        <f>Raw!AL73</f>
        <v>0</v>
      </c>
      <c r="L73" s="15">
        <f>Raw!AM73</f>
        <v>0</v>
      </c>
      <c r="M73" s="15">
        <f>Raw!AN73</f>
        <v>0</v>
      </c>
      <c r="N73" s="15">
        <f>Raw!AO73</f>
        <v>0</v>
      </c>
      <c r="O73" s="15">
        <f>Raw!AP73</f>
        <v>0</v>
      </c>
      <c r="P73" s="15">
        <f>Raw!AQ73</f>
        <v>0</v>
      </c>
      <c r="Q73" s="15">
        <f>Raw!AR73</f>
        <v>0</v>
      </c>
      <c r="R73" s="15">
        <f>Raw!AS73</f>
        <v>0</v>
      </c>
      <c r="S73" s="15">
        <f>Raw!AT73</f>
        <v>0</v>
      </c>
      <c r="T73" s="15">
        <f t="shared" si="1"/>
        <v>0</v>
      </c>
      <c r="U73" s="15">
        <f>Raw!AV73</f>
        <v>0</v>
      </c>
      <c r="V73" s="15">
        <f>Raw!AW73</f>
        <v>0</v>
      </c>
      <c r="W73" s="15">
        <f>Raw!AX73</f>
        <v>0</v>
      </c>
      <c r="X73" s="15">
        <f>Raw!AY73</f>
        <v>0</v>
      </c>
      <c r="Y73" s="15">
        <f>Raw!AZ73</f>
        <v>0</v>
      </c>
      <c r="Z73" s="15">
        <f>Raw!BA73</f>
        <v>0</v>
      </c>
      <c r="AA73" s="15">
        <f>Raw!BB73</f>
        <v>0</v>
      </c>
      <c r="AB73" s="15">
        <f>Raw!BC73</f>
        <v>0</v>
      </c>
      <c r="AC73" s="15">
        <f>Raw!BD73</f>
        <v>0</v>
      </c>
      <c r="AD73" s="15">
        <f>Raw!BE73</f>
        <v>0</v>
      </c>
      <c r="AE73" s="15">
        <f>Raw!BF73</f>
        <v>0</v>
      </c>
      <c r="AF73" s="15">
        <f>Raw!BG73</f>
        <v>0</v>
      </c>
      <c r="AG73" s="15">
        <f>Raw!BH73</f>
        <v>0</v>
      </c>
      <c r="AH73" s="15">
        <f>Raw!BI73</f>
        <v>0</v>
      </c>
      <c r="AI73" s="15">
        <f>Raw!BJ73</f>
        <v>0</v>
      </c>
      <c r="AJ73" s="15">
        <f>Raw!BK73</f>
        <v>0</v>
      </c>
      <c r="AK73" s="15">
        <f t="shared" si="2"/>
        <v>0</v>
      </c>
      <c r="AL73" s="11">
        <f ca="1">IFERROR(__xludf.DUMMYFUNCTION("""COMPUTED_VALUE"""),1981)</f>
        <v>1981</v>
      </c>
      <c r="AM73" s="11" t="str">
        <f ca="1">IFERROR(__xludf.DUMMYFUNCTION("""COMPUTED_VALUE"""),"USA")</f>
        <v>USA</v>
      </c>
      <c r="AN73" s="11" t="str">
        <f ca="1">IFERROR(__xludf.DUMMYFUNCTION("""COMPUTED_VALUE"""),"Ainsworth/Ainsworth")</f>
        <v>Ainsworth/Ainsworth</v>
      </c>
      <c r="AO73" s="11">
        <f ca="1">IFERROR(__xludf.DUMMYFUNCTION("""COMPUTED_VALUE"""),1)</f>
        <v>1</v>
      </c>
      <c r="AP73" s="11">
        <f ca="1">IFERROR(__xludf.DUMMYFUNCTION("""COMPUTED_VALUE"""),0)</f>
        <v>0</v>
      </c>
      <c r="AQ73" s="11">
        <f ca="1">IFERROR(__xludf.DUMMYFUNCTION("""COMPUTED_VALUE"""),0)</f>
        <v>0</v>
      </c>
      <c r="AR73" s="11">
        <f ca="1">IFERROR(__xludf.DUMMYFUNCTION("""COMPUTED_VALUE"""),1)</f>
        <v>1</v>
      </c>
      <c r="AS73" s="11">
        <f ca="1">IFERROR(__xludf.DUMMYFUNCTION("""COMPUTED_VALUE"""),0.94)</f>
        <v>0.94</v>
      </c>
      <c r="AT73" s="11">
        <f ca="1">IFERROR(__xludf.DUMMYFUNCTION("""COMPUTED_VALUE"""),0)</f>
        <v>0</v>
      </c>
      <c r="AU73" s="11" t="str">
        <f ca="1">IFERROR(__xludf.DUMMYFUNCTION("""COMPUTED_VALUE"""),"Male")</f>
        <v>Male</v>
      </c>
    </row>
    <row r="74" spans="1:66" ht="12.9">
      <c r="A74" s="11">
        <f>Raw!D74</f>
        <v>52</v>
      </c>
      <c r="B74" s="11" t="str">
        <f>Raw!A74</f>
        <v>Meins, Bureau &amp; Fernyhough (2017)</v>
      </c>
      <c r="C74" s="11">
        <f>Raw!G74</f>
        <v>1</v>
      </c>
      <c r="D74" s="11" t="str">
        <f>Raw!E74</f>
        <v>Mother-child</v>
      </c>
      <c r="E74" s="11" t="str">
        <f>Processed!E74</f>
        <v>Infancy - Preschool</v>
      </c>
      <c r="F74" s="15">
        <f>Raw!AA74</f>
        <v>39</v>
      </c>
      <c r="G74" s="15">
        <f>Raw!AB74</f>
        <v>15</v>
      </c>
      <c r="H74" s="15">
        <f>Raw!AC74</f>
        <v>72</v>
      </c>
      <c r="I74" s="15">
        <f>Raw!AD74</f>
        <v>38</v>
      </c>
      <c r="J74" s="15">
        <f t="shared" si="0"/>
        <v>164</v>
      </c>
      <c r="K74" s="15">
        <f>Raw!AL74</f>
        <v>0</v>
      </c>
      <c r="L74" s="15">
        <f>Raw!AM74</f>
        <v>0</v>
      </c>
      <c r="M74" s="15">
        <f>Raw!AN74</f>
        <v>0</v>
      </c>
      <c r="N74" s="15">
        <f>Raw!AO74</f>
        <v>0</v>
      </c>
      <c r="O74" s="15">
        <f>Raw!AP74</f>
        <v>0</v>
      </c>
      <c r="P74" s="15">
        <f>Raw!AQ74</f>
        <v>0</v>
      </c>
      <c r="Q74" s="15">
        <f>Raw!AR74</f>
        <v>0</v>
      </c>
      <c r="R74" s="15">
        <f>Raw!AS74</f>
        <v>0</v>
      </c>
      <c r="S74" s="15">
        <f>Raw!AT74</f>
        <v>0</v>
      </c>
      <c r="T74" s="15">
        <f t="shared" si="1"/>
        <v>0</v>
      </c>
      <c r="U74" s="15">
        <f>Raw!AV74</f>
        <v>5</v>
      </c>
      <c r="V74" s="15">
        <f>Raw!AW74</f>
        <v>9</v>
      </c>
      <c r="W74" s="15">
        <f>Raw!AX74</f>
        <v>4</v>
      </c>
      <c r="X74" s="15">
        <f>Raw!AY74</f>
        <v>12</v>
      </c>
      <c r="Y74" s="15">
        <f>Raw!AZ74</f>
        <v>4</v>
      </c>
      <c r="Z74" s="15">
        <f>Raw!BA74</f>
        <v>72</v>
      </c>
      <c r="AA74" s="15">
        <f>Raw!BB74</f>
        <v>11</v>
      </c>
      <c r="AB74" s="15">
        <f>Raw!BC74</f>
        <v>23</v>
      </c>
      <c r="AC74" s="15">
        <f>Raw!BD74</f>
        <v>0</v>
      </c>
      <c r="AD74" s="15">
        <f>Raw!BE74</f>
        <v>4</v>
      </c>
      <c r="AE74" s="15">
        <f>Raw!BF74</f>
        <v>4</v>
      </c>
      <c r="AF74" s="15">
        <f>Raw!BG74</f>
        <v>0</v>
      </c>
      <c r="AG74" s="15">
        <f>Raw!BH74</f>
        <v>2</v>
      </c>
      <c r="AH74" s="15">
        <f>Raw!BI74</f>
        <v>2</v>
      </c>
      <c r="AI74" s="15">
        <f>Raw!BJ74</f>
        <v>1</v>
      </c>
      <c r="AJ74" s="15">
        <f>Raw!BK74</f>
        <v>11</v>
      </c>
      <c r="AK74" s="15">
        <f t="shared" si="2"/>
        <v>164</v>
      </c>
      <c r="AL74" s="11">
        <f ca="1">IFERROR(__xludf.DUMMYFUNCTION("""COMPUTED_VALUE"""),2017)</f>
        <v>2017</v>
      </c>
      <c r="AM74" s="11" t="str">
        <f ca="1">IFERROR(__xludf.DUMMYFUNCTION("""COMPUTED_VALUE"""),"Non-USA")</f>
        <v>Non-USA</v>
      </c>
      <c r="AN74" s="11" t="str">
        <f ca="1">IFERROR(__xludf.DUMMYFUNCTION("""COMPUTED_VALUE"""),"Ainsworth/Cassidy-Marvin")</f>
        <v>Ainsworth/Cassidy-Marvin</v>
      </c>
      <c r="AO74" s="11">
        <f ca="1">IFERROR(__xludf.DUMMYFUNCTION("""COMPUTED_VALUE"""),0)</f>
        <v>0</v>
      </c>
      <c r="AP74" s="11">
        <f ca="1">IFERROR(__xludf.DUMMYFUNCTION("""COMPUTED_VALUE"""),0)</f>
        <v>0</v>
      </c>
      <c r="AQ74" s="11">
        <f ca="1">IFERROR(__xludf.DUMMYFUNCTION("""COMPUTED_VALUE"""),0)</f>
        <v>0</v>
      </c>
      <c r="AR74" s="11">
        <f ca="1">IFERROR(__xludf.DUMMYFUNCTION("""COMPUTED_VALUE"""),1)</f>
        <v>1</v>
      </c>
      <c r="AS74" s="11">
        <f ca="1">IFERROR(__xludf.DUMMYFUNCTION("""COMPUTED_VALUE"""),0.877286585365853)</f>
        <v>0.87728658536585302</v>
      </c>
      <c r="AT74" s="11">
        <f ca="1">IFERROR(__xludf.DUMMYFUNCTION("""COMPUTED_VALUE"""),0)</f>
        <v>0</v>
      </c>
      <c r="AU74" s="11" t="str">
        <f ca="1">IFERROR(__xludf.DUMMYFUNCTION("""COMPUTED_VALUE"""),"Female")</f>
        <v>Female</v>
      </c>
    </row>
    <row r="75" spans="1:66" ht="12.9">
      <c r="A75" s="11">
        <f>Raw!D75</f>
        <v>52</v>
      </c>
      <c r="B75" s="11" t="str">
        <f>Raw!A75</f>
        <v>Meins, Bureau &amp; Fernyhough (2017)</v>
      </c>
      <c r="C75" s="11">
        <f>Raw!G75</f>
        <v>2</v>
      </c>
      <c r="D75" s="11" t="str">
        <f>Raw!E75</f>
        <v>Mother-child</v>
      </c>
      <c r="E75" s="11" t="str">
        <f>Processed!E75</f>
        <v>Infancy - Preschool</v>
      </c>
      <c r="F75" s="15">
        <f>Raw!AA75</f>
        <v>25</v>
      </c>
      <c r="G75" s="15">
        <f>Raw!AB75</f>
        <v>19</v>
      </c>
      <c r="H75" s="15">
        <f>Raw!AC75</f>
        <v>56</v>
      </c>
      <c r="I75" s="15">
        <f>Raw!AD75</f>
        <v>28</v>
      </c>
      <c r="J75" s="15">
        <f t="shared" si="0"/>
        <v>128</v>
      </c>
      <c r="K75" s="15">
        <f>Raw!AL75</f>
        <v>0</v>
      </c>
      <c r="L75" s="15">
        <f>Raw!AM75</f>
        <v>0</v>
      </c>
      <c r="M75" s="15">
        <f>Raw!AN75</f>
        <v>0</v>
      </c>
      <c r="N75" s="15">
        <f>Raw!AO75</f>
        <v>0</v>
      </c>
      <c r="O75" s="15">
        <f>Raw!AP75</f>
        <v>0</v>
      </c>
      <c r="P75" s="15">
        <f>Raw!AQ75</f>
        <v>0</v>
      </c>
      <c r="Q75" s="15">
        <f>Raw!AR75</f>
        <v>0</v>
      </c>
      <c r="R75" s="15">
        <f>Raw!AS75</f>
        <v>0</v>
      </c>
      <c r="S75" s="15">
        <f>Raw!AT75</f>
        <v>0</v>
      </c>
      <c r="T75" s="15">
        <f t="shared" si="1"/>
        <v>0</v>
      </c>
      <c r="U75" s="15">
        <f>Raw!AV75</f>
        <v>3</v>
      </c>
      <c r="V75" s="15">
        <f>Raw!AW75</f>
        <v>9</v>
      </c>
      <c r="W75" s="15">
        <f>Raw!AX75</f>
        <v>7</v>
      </c>
      <c r="X75" s="15">
        <f>Raw!AY75</f>
        <v>4</v>
      </c>
      <c r="Y75" s="15">
        <f>Raw!AZ75</f>
        <v>4</v>
      </c>
      <c r="Z75" s="15">
        <f>Raw!BA75</f>
        <v>56</v>
      </c>
      <c r="AA75" s="15">
        <f>Raw!BB75</f>
        <v>9</v>
      </c>
      <c r="AB75" s="15">
        <f>Raw!BC75</f>
        <v>15</v>
      </c>
      <c r="AC75" s="15">
        <f>Raw!BD75</f>
        <v>0</v>
      </c>
      <c r="AD75" s="15">
        <f>Raw!BE75</f>
        <v>6</v>
      </c>
      <c r="AE75" s="15">
        <f>Raw!BF75</f>
        <v>1</v>
      </c>
      <c r="AF75" s="15">
        <f>Raw!BG75</f>
        <v>0</v>
      </c>
      <c r="AG75" s="15">
        <f>Raw!BH75</f>
        <v>4</v>
      </c>
      <c r="AH75" s="15">
        <f>Raw!BI75</f>
        <v>4</v>
      </c>
      <c r="AI75" s="15">
        <f>Raw!BJ75</f>
        <v>2</v>
      </c>
      <c r="AJ75" s="15">
        <f>Raw!BK75</f>
        <v>4</v>
      </c>
      <c r="AK75" s="15">
        <f t="shared" si="2"/>
        <v>128</v>
      </c>
      <c r="AL75" s="11">
        <f ca="1">IFERROR(__xludf.DUMMYFUNCTION("""COMPUTED_VALUE"""),2017)</f>
        <v>2017</v>
      </c>
      <c r="AM75" s="11" t="str">
        <f ca="1">IFERROR(__xludf.DUMMYFUNCTION("""COMPUTED_VALUE"""),"Non-USA")</f>
        <v>Non-USA</v>
      </c>
      <c r="AN75" s="11" t="str">
        <f ca="1">IFERROR(__xludf.DUMMYFUNCTION("""COMPUTED_VALUE"""),"Ainsworth/Cassidy-Marvin")</f>
        <v>Ainsworth/Cassidy-Marvin</v>
      </c>
      <c r="AO75" s="11">
        <f ca="1">IFERROR(__xludf.DUMMYFUNCTION("""COMPUTED_VALUE"""),0)</f>
        <v>0</v>
      </c>
      <c r="AP75" s="11">
        <f ca="1">IFERROR(__xludf.DUMMYFUNCTION("""COMPUTED_VALUE"""),0)</f>
        <v>0</v>
      </c>
      <c r="AQ75" s="11">
        <f ca="1">IFERROR(__xludf.DUMMYFUNCTION("""COMPUTED_VALUE"""),0)</f>
        <v>0</v>
      </c>
      <c r="AR75" s="11">
        <f ca="1">IFERROR(__xludf.DUMMYFUNCTION("""COMPUTED_VALUE"""),1)</f>
        <v>1</v>
      </c>
      <c r="AS75" s="11">
        <f ca="1">IFERROR(__xludf.DUMMYFUNCTION("""COMPUTED_VALUE"""),0.86837890625)</f>
        <v>0.86837890625000003</v>
      </c>
      <c r="AT75" s="11">
        <f ca="1">IFERROR(__xludf.DUMMYFUNCTION("""COMPUTED_VALUE"""),0)</f>
        <v>0</v>
      </c>
      <c r="AU75" s="11" t="str">
        <f ca="1">IFERROR(__xludf.DUMMYFUNCTION("""COMPUTED_VALUE"""),"Female")</f>
        <v>Female</v>
      </c>
    </row>
    <row r="76" spans="1:66" ht="12.9">
      <c r="A76" s="11">
        <f>Raw!D76</f>
        <v>53</v>
      </c>
      <c r="B76" s="11" t="str">
        <f>Raw!A76</f>
        <v>Waters (1978)</v>
      </c>
      <c r="C76" s="11">
        <f>Raw!G76</f>
        <v>1</v>
      </c>
      <c r="D76" s="11" t="str">
        <f>Raw!E76</f>
        <v>Mother-child</v>
      </c>
      <c r="E76" s="11" t="str">
        <f>Processed!E76</f>
        <v>Infancy - Infancy</v>
      </c>
      <c r="F76" s="11">
        <f>Raw!AA76</f>
        <v>18</v>
      </c>
      <c r="G76" s="11">
        <f>Raw!AB76</f>
        <v>2</v>
      </c>
      <c r="H76" s="11">
        <f>Raw!AC76</f>
        <v>30</v>
      </c>
      <c r="I76" s="11">
        <f>Raw!AD76</f>
        <v>0</v>
      </c>
      <c r="J76" s="11">
        <f t="shared" si="0"/>
        <v>50</v>
      </c>
      <c r="K76" s="11">
        <f>Raw!AL76</f>
        <v>9</v>
      </c>
      <c r="L76" s="11">
        <f>Raw!AM76</f>
        <v>1</v>
      </c>
      <c r="M76" s="11">
        <f>Raw!AN76</f>
        <v>0</v>
      </c>
      <c r="N76" s="11">
        <f>Raw!AO76</f>
        <v>0</v>
      </c>
      <c r="O76" s="11">
        <f>Raw!AP76</f>
        <v>30</v>
      </c>
      <c r="P76" s="15">
        <f>Raw!AQ76</f>
        <v>0</v>
      </c>
      <c r="Q76" s="15">
        <f>Raw!AR76</f>
        <v>0</v>
      </c>
      <c r="R76" s="15">
        <f>Raw!AS76</f>
        <v>1</v>
      </c>
      <c r="S76" s="15">
        <f>Raw!AT76</f>
        <v>9</v>
      </c>
      <c r="T76" s="11">
        <f t="shared" si="1"/>
        <v>50</v>
      </c>
      <c r="U76" s="15">
        <f>Raw!AV76</f>
        <v>0</v>
      </c>
      <c r="V76" s="15">
        <f>Raw!AW76</f>
        <v>0</v>
      </c>
      <c r="W76" s="15">
        <f>Raw!AX76</f>
        <v>0</v>
      </c>
      <c r="X76" s="15">
        <f>Raw!AY76</f>
        <v>0</v>
      </c>
      <c r="Y76" s="15">
        <f>Raw!AZ76</f>
        <v>0</v>
      </c>
      <c r="Z76" s="15">
        <f>Raw!BA76</f>
        <v>0</v>
      </c>
      <c r="AA76" s="15">
        <f>Raw!BB76</f>
        <v>0</v>
      </c>
      <c r="AB76" s="15">
        <f>Raw!BC76</f>
        <v>0</v>
      </c>
      <c r="AC76" s="15">
        <f>Raw!BD76</f>
        <v>0</v>
      </c>
      <c r="AD76" s="15">
        <f>Raw!BE76</f>
        <v>0</v>
      </c>
      <c r="AE76" s="15">
        <f>Raw!BF76</f>
        <v>0</v>
      </c>
      <c r="AF76" s="15">
        <f>Raw!BG76</f>
        <v>0</v>
      </c>
      <c r="AG76" s="15">
        <f>Raw!BH76</f>
        <v>0</v>
      </c>
      <c r="AH76" s="15">
        <f>Raw!BI76</f>
        <v>0</v>
      </c>
      <c r="AI76" s="15">
        <f>Raw!BJ76</f>
        <v>0</v>
      </c>
      <c r="AJ76" s="15">
        <f>Raw!BK76</f>
        <v>0</v>
      </c>
      <c r="AK76" s="15">
        <f t="shared" si="2"/>
        <v>0</v>
      </c>
      <c r="AL76" s="11">
        <f ca="1">IFERROR(__xludf.DUMMYFUNCTION("""COMPUTED_VALUE"""),1978)</f>
        <v>1978</v>
      </c>
      <c r="AM76" s="11" t="str">
        <f ca="1">IFERROR(__xludf.DUMMYFUNCTION("""COMPUTED_VALUE"""),"USA")</f>
        <v>USA</v>
      </c>
      <c r="AN76" s="11" t="str">
        <f ca="1">IFERROR(__xludf.DUMMYFUNCTION("""COMPUTED_VALUE"""),"Ainsworth/Ainsworth")</f>
        <v>Ainsworth/Ainsworth</v>
      </c>
      <c r="AO76" s="11">
        <f ca="1">IFERROR(__xludf.DUMMYFUNCTION("""COMPUTED_VALUE"""),1)</f>
        <v>1</v>
      </c>
      <c r="AP76" s="11">
        <f ca="1">IFERROR(__xludf.DUMMYFUNCTION("""COMPUTED_VALUE"""),0)</f>
        <v>0</v>
      </c>
      <c r="AQ76" s="11">
        <f ca="1">IFERROR(__xludf.DUMMYFUNCTION("""COMPUTED_VALUE"""),0)</f>
        <v>0</v>
      </c>
      <c r="AR76" s="11">
        <f ca="1">IFERROR(__xludf.DUMMYFUNCTION("""COMPUTED_VALUE"""),1)</f>
        <v>1</v>
      </c>
      <c r="AS76" s="11">
        <f ca="1">IFERROR(__xludf.DUMMYFUNCTION("""COMPUTED_VALUE"""),0.92)</f>
        <v>0.92</v>
      </c>
      <c r="AT76" s="11">
        <f ca="1">IFERROR(__xludf.DUMMYFUNCTION("""COMPUTED_VALUE"""),0)</f>
        <v>0</v>
      </c>
      <c r="AU76" s="11" t="str">
        <f ca="1">IFERROR(__xludf.DUMMYFUNCTION("""COMPUTED_VALUE"""),"Female")</f>
        <v>Female</v>
      </c>
    </row>
    <row r="77" spans="1:66" ht="12.9">
      <c r="A77" s="11">
        <f>Raw!D77</f>
        <v>54</v>
      </c>
      <c r="B77" s="11" t="str">
        <f>Raw!A77</f>
        <v>Lyons-Ruth et al. (1991)</v>
      </c>
      <c r="C77" s="11">
        <f>Raw!G77</f>
        <v>1</v>
      </c>
      <c r="D77" s="11" t="str">
        <f>Raw!E77</f>
        <v>Low income</v>
      </c>
      <c r="E77" s="11" t="str">
        <f>Processed!E77</f>
        <v>Infancy - Infancy</v>
      </c>
      <c r="F77" s="11">
        <f>Raw!AA77</f>
        <v>16</v>
      </c>
      <c r="G77" s="11">
        <f>Raw!AB77</f>
        <v>9</v>
      </c>
      <c r="H77" s="11">
        <f>Raw!AC77</f>
        <v>7</v>
      </c>
      <c r="I77" s="11">
        <f>Raw!AD77</f>
        <v>14</v>
      </c>
      <c r="J77" s="11">
        <f t="shared" si="0"/>
        <v>46</v>
      </c>
      <c r="K77" s="11">
        <f>Raw!AL77</f>
        <v>0</v>
      </c>
      <c r="L77" s="11">
        <f>Raw!AM77</f>
        <v>0</v>
      </c>
      <c r="M77" s="11">
        <f>Raw!AN77</f>
        <v>0</v>
      </c>
      <c r="N77" s="11">
        <f>Raw!AO77</f>
        <v>0</v>
      </c>
      <c r="O77" s="11">
        <f>Raw!AP77</f>
        <v>0</v>
      </c>
      <c r="P77" s="15">
        <f>Raw!AQ77</f>
        <v>0</v>
      </c>
      <c r="Q77" s="15">
        <f>Raw!AR77</f>
        <v>0</v>
      </c>
      <c r="R77" s="15">
        <f>Raw!AS77</f>
        <v>0</v>
      </c>
      <c r="S77" s="15">
        <f>Raw!AT77</f>
        <v>0</v>
      </c>
      <c r="T77" s="11">
        <f t="shared" si="1"/>
        <v>0</v>
      </c>
      <c r="U77" s="15">
        <f>Raw!AV77</f>
        <v>0</v>
      </c>
      <c r="V77" s="15">
        <f>Raw!AW77</f>
        <v>0</v>
      </c>
      <c r="W77" s="15">
        <f>Raw!AX77</f>
        <v>0</v>
      </c>
      <c r="X77" s="15">
        <f>Raw!AY77</f>
        <v>0</v>
      </c>
      <c r="Y77" s="15">
        <f>Raw!AZ77</f>
        <v>0</v>
      </c>
      <c r="Z77" s="15">
        <f>Raw!BA77</f>
        <v>0</v>
      </c>
      <c r="AA77" s="15">
        <f>Raw!BB77</f>
        <v>0</v>
      </c>
      <c r="AB77" s="15">
        <f>Raw!BC77</f>
        <v>0</v>
      </c>
      <c r="AC77" s="15">
        <f>Raw!BD77</f>
        <v>0</v>
      </c>
      <c r="AD77" s="15">
        <f>Raw!BE77</f>
        <v>0</v>
      </c>
      <c r="AE77" s="15">
        <f>Raw!BF77</f>
        <v>0</v>
      </c>
      <c r="AF77" s="15">
        <f>Raw!BG77</f>
        <v>0</v>
      </c>
      <c r="AG77" s="15">
        <f>Raw!BH77</f>
        <v>0</v>
      </c>
      <c r="AH77" s="15">
        <f>Raw!BI77</f>
        <v>0</v>
      </c>
      <c r="AI77" s="15">
        <f>Raw!BJ77</f>
        <v>0</v>
      </c>
      <c r="AJ77" s="15">
        <f>Raw!BK77</f>
        <v>0</v>
      </c>
      <c r="AK77" s="15">
        <f t="shared" si="2"/>
        <v>0</v>
      </c>
      <c r="AL77" s="11">
        <f ca="1">IFERROR(__xludf.DUMMYFUNCTION("""COMPUTED_VALUE"""),1991)</f>
        <v>1991</v>
      </c>
      <c r="AM77" s="11" t="str">
        <f ca="1">IFERROR(__xludf.DUMMYFUNCTION("""COMPUTED_VALUE"""),"USA")</f>
        <v>USA</v>
      </c>
      <c r="AN77" s="11" t="str">
        <f ca="1">IFERROR(__xludf.DUMMYFUNCTION("""COMPUTED_VALUE"""),"Ainsworth/Ainsworth")</f>
        <v>Ainsworth/Ainsworth</v>
      </c>
      <c r="AO77" s="11">
        <f ca="1">IFERROR(__xludf.DUMMYFUNCTION("""COMPUTED_VALUE"""),1)</f>
        <v>1</v>
      </c>
      <c r="AP77" s="11">
        <f ca="1">IFERROR(__xludf.DUMMYFUNCTION("""COMPUTED_VALUE"""),1)</f>
        <v>1</v>
      </c>
      <c r="AQ77" s="11">
        <f ca="1">IFERROR(__xludf.DUMMYFUNCTION("""COMPUTED_VALUE"""),0)</f>
        <v>0</v>
      </c>
      <c r="AR77" s="11">
        <f ca="1">IFERROR(__xludf.DUMMYFUNCTION("""COMPUTED_VALUE"""),1)</f>
        <v>1</v>
      </c>
      <c r="AS77" s="11">
        <f ca="1">IFERROR(__xludf.DUMMYFUNCTION("""COMPUTED_VALUE"""),0.86)</f>
        <v>0.86</v>
      </c>
      <c r="AT77" s="11">
        <f ca="1">IFERROR(__xludf.DUMMYFUNCTION("""COMPUTED_VALUE"""),1)</f>
        <v>1</v>
      </c>
      <c r="AU77" s="11" t="str">
        <f ca="1">IFERROR(__xludf.DUMMYFUNCTION("""COMPUTED_VALUE"""),"Female")</f>
        <v>Female</v>
      </c>
    </row>
    <row r="78" spans="1:66" ht="12.9">
      <c r="A78" s="11">
        <f>Raw!D78</f>
        <v>55</v>
      </c>
      <c r="B78" s="11" t="str">
        <f>Raw!A78</f>
        <v>Ziegenhain &amp; Wolff (2000)</v>
      </c>
      <c r="C78" s="11">
        <f>Raw!G78</f>
        <v>1</v>
      </c>
      <c r="D78" s="11" t="str">
        <f>Raw!E78</f>
        <v>Mother-child</v>
      </c>
      <c r="E78" s="11" t="str">
        <f>Processed!E78</f>
        <v>Infancy - Infancy</v>
      </c>
      <c r="F78" s="11">
        <f>Raw!AA78</f>
        <v>12</v>
      </c>
      <c r="G78" s="11">
        <f>Raw!AB78</f>
        <v>7</v>
      </c>
      <c r="H78" s="11">
        <f>Raw!AC78</f>
        <v>10</v>
      </c>
      <c r="I78" s="11">
        <f>Raw!AD78</f>
        <v>6</v>
      </c>
      <c r="J78" s="11">
        <f t="shared" si="0"/>
        <v>35</v>
      </c>
      <c r="K78" s="11">
        <f>Raw!AL78</f>
        <v>0</v>
      </c>
      <c r="L78" s="11">
        <f>Raw!AM78</f>
        <v>0</v>
      </c>
      <c r="M78" s="11">
        <f>Raw!AN78</f>
        <v>0</v>
      </c>
      <c r="N78" s="11">
        <f>Raw!AO78</f>
        <v>0</v>
      </c>
      <c r="O78" s="11">
        <f>Raw!AP78</f>
        <v>0</v>
      </c>
      <c r="P78" s="15">
        <f>Raw!AQ78</f>
        <v>0</v>
      </c>
      <c r="Q78" s="15">
        <f>Raw!AR78</f>
        <v>0</v>
      </c>
      <c r="R78" s="15">
        <f>Raw!AS78</f>
        <v>0</v>
      </c>
      <c r="S78" s="15">
        <f>Raw!AT78</f>
        <v>0</v>
      </c>
      <c r="T78" s="11">
        <f t="shared" si="1"/>
        <v>0</v>
      </c>
      <c r="U78" s="11">
        <f>Raw!AV78</f>
        <v>4</v>
      </c>
      <c r="V78" s="11">
        <f>Raw!AW78</f>
        <v>3</v>
      </c>
      <c r="W78" s="11">
        <f>Raw!AX78</f>
        <v>0</v>
      </c>
      <c r="X78" s="15">
        <f>Raw!AY78</f>
        <v>1</v>
      </c>
      <c r="Y78" s="11">
        <f>Raw!AZ78</f>
        <v>2</v>
      </c>
      <c r="Z78" s="11">
        <f>Raw!BA78</f>
        <v>10</v>
      </c>
      <c r="AA78" s="15">
        <f>Raw!BB78</f>
        <v>2</v>
      </c>
      <c r="AB78" s="15">
        <f>Raw!BC78</f>
        <v>2</v>
      </c>
      <c r="AC78" s="15">
        <f>Raw!BD78</f>
        <v>0</v>
      </c>
      <c r="AD78" s="15">
        <f>Raw!BE78</f>
        <v>0</v>
      </c>
      <c r="AE78" s="15">
        <f>Raw!BF78</f>
        <v>0</v>
      </c>
      <c r="AF78" s="15">
        <f>Raw!BG78</f>
        <v>0</v>
      </c>
      <c r="AG78" s="15">
        <f>Raw!BH78</f>
        <v>3</v>
      </c>
      <c r="AH78" s="15">
        <f>Raw!BI78</f>
        <v>4</v>
      </c>
      <c r="AI78" s="15">
        <f>Raw!BJ78</f>
        <v>0</v>
      </c>
      <c r="AJ78" s="15">
        <f>Raw!BK78</f>
        <v>4</v>
      </c>
      <c r="AK78" s="11">
        <f t="shared" si="2"/>
        <v>35</v>
      </c>
      <c r="AL78" s="11">
        <f ca="1">IFERROR(__xludf.DUMMYFUNCTION("""COMPUTED_VALUE"""),2000)</f>
        <v>2000</v>
      </c>
      <c r="AM78" s="11" t="str">
        <f ca="1">IFERROR(__xludf.DUMMYFUNCTION("""COMPUTED_VALUE"""),"Non-USA")</f>
        <v>Non-USA</v>
      </c>
      <c r="AN78" s="11" t="str">
        <f ca="1">IFERROR(__xludf.DUMMYFUNCTION("""COMPUTED_VALUE"""),"Ainsworth/Ainsworth")</f>
        <v>Ainsworth/Ainsworth</v>
      </c>
      <c r="AO78" s="11">
        <f ca="1">IFERROR(__xludf.DUMMYFUNCTION("""COMPUTED_VALUE"""),1)</f>
        <v>1</v>
      </c>
      <c r="AP78" s="11">
        <f ca="1">IFERROR(__xludf.DUMMYFUNCTION("""COMPUTED_VALUE"""),0)</f>
        <v>0</v>
      </c>
      <c r="AQ78" s="11">
        <f ca="1">IFERROR(__xludf.DUMMYFUNCTION("""COMPUTED_VALUE"""),0)</f>
        <v>0</v>
      </c>
      <c r="AR78" s="11">
        <f ca="1">IFERROR(__xludf.DUMMYFUNCTION("""COMPUTED_VALUE"""),1)</f>
        <v>1</v>
      </c>
      <c r="AS78" s="11" t="str">
        <f ca="1">IFERROR(__xludf.DUMMYFUNCTION("""COMPUTED_VALUE"""),"")</f>
        <v/>
      </c>
      <c r="AT78" s="11">
        <f ca="1">IFERROR(__xludf.DUMMYFUNCTION("""COMPUTED_VALUE"""),0)</f>
        <v>0</v>
      </c>
      <c r="AU78" s="11" t="str">
        <f ca="1">IFERROR(__xludf.DUMMYFUNCTION("""COMPUTED_VALUE"""),"Female")</f>
        <v>Female</v>
      </c>
    </row>
    <row r="79" spans="1:66" ht="12.9">
      <c r="A79" s="11">
        <f>Raw!D79</f>
        <v>56</v>
      </c>
      <c r="B79" s="11" t="str">
        <f>Raw!A79</f>
        <v>Edwards et al. (2004)</v>
      </c>
      <c r="C79" s="11">
        <f>Raw!G79</f>
        <v>1</v>
      </c>
      <c r="D79" s="11" t="str">
        <f>Raw!E79</f>
        <v>Mother-child</v>
      </c>
      <c r="E79" s="11" t="str">
        <f>Processed!E79</f>
        <v>Infancy - Infancy</v>
      </c>
      <c r="F79" s="11">
        <f>Raw!AA79</f>
        <v>39</v>
      </c>
      <c r="G79" s="11">
        <f>Raw!AB79</f>
        <v>37</v>
      </c>
      <c r="H79" s="11">
        <f>Raw!AC79</f>
        <v>105</v>
      </c>
      <c r="I79" s="11">
        <f>Raw!AD79</f>
        <v>36</v>
      </c>
      <c r="J79" s="11">
        <f t="shared" si="0"/>
        <v>217</v>
      </c>
      <c r="K79" s="11">
        <f>Raw!AL79</f>
        <v>0</v>
      </c>
      <c r="L79" s="11">
        <f>Raw!AM79</f>
        <v>0</v>
      </c>
      <c r="M79" s="11">
        <f>Raw!AN79</f>
        <v>0</v>
      </c>
      <c r="N79" s="11">
        <f>Raw!AO79</f>
        <v>0</v>
      </c>
      <c r="O79" s="11">
        <f>Raw!AP79</f>
        <v>0</v>
      </c>
      <c r="P79" s="15">
        <f>Raw!AQ79</f>
        <v>0</v>
      </c>
      <c r="Q79" s="15">
        <f>Raw!AR79</f>
        <v>0</v>
      </c>
      <c r="R79" s="15">
        <f>Raw!AS79</f>
        <v>0</v>
      </c>
      <c r="S79" s="15">
        <f>Raw!AT79</f>
        <v>0</v>
      </c>
      <c r="T79" s="11">
        <f t="shared" si="1"/>
        <v>0</v>
      </c>
      <c r="U79" s="11">
        <f>Raw!AV79</f>
        <v>9</v>
      </c>
      <c r="V79" s="11">
        <f>Raw!AW79</f>
        <v>16</v>
      </c>
      <c r="W79" s="11">
        <f>Raw!AX79</f>
        <v>0</v>
      </c>
      <c r="X79" s="15">
        <f>Raw!AY79</f>
        <v>4</v>
      </c>
      <c r="Y79" s="11">
        <f>Raw!AZ79</f>
        <v>13</v>
      </c>
      <c r="Z79" s="11">
        <f>Raw!BA79</f>
        <v>105</v>
      </c>
      <c r="AA79" s="15">
        <f>Raw!BB79</f>
        <v>12</v>
      </c>
      <c r="AB79" s="15">
        <f>Raw!BC79</f>
        <v>11</v>
      </c>
      <c r="AC79" s="15">
        <f>Raw!BD79</f>
        <v>0</v>
      </c>
      <c r="AD79" s="15">
        <f>Raw!BE79</f>
        <v>15</v>
      </c>
      <c r="AE79" s="15">
        <f>Raw!BF79</f>
        <v>9</v>
      </c>
      <c r="AF79" s="15">
        <f>Raw!BG79</f>
        <v>4</v>
      </c>
      <c r="AG79" s="15">
        <f>Raw!BH79</f>
        <v>6</v>
      </c>
      <c r="AH79" s="15">
        <f>Raw!BI79</f>
        <v>6</v>
      </c>
      <c r="AI79" s="15">
        <f>Raw!BJ79</f>
        <v>1</v>
      </c>
      <c r="AJ79" s="15">
        <f>Raw!BK79</f>
        <v>6</v>
      </c>
      <c r="AK79" s="11">
        <f t="shared" si="2"/>
        <v>217</v>
      </c>
      <c r="AL79" s="11">
        <f ca="1">IFERROR(__xludf.DUMMYFUNCTION("""COMPUTED_VALUE"""),2004)</f>
        <v>2004</v>
      </c>
      <c r="AM79" s="11" t="str">
        <f ca="1">IFERROR(__xludf.DUMMYFUNCTION("""COMPUTED_VALUE"""),"USA")</f>
        <v>USA</v>
      </c>
      <c r="AN79" s="11" t="str">
        <f ca="1">IFERROR(__xludf.DUMMYFUNCTION("""COMPUTED_VALUE"""),"Ainsworth/Ainsworth")</f>
        <v>Ainsworth/Ainsworth</v>
      </c>
      <c r="AO79" s="11">
        <f ca="1">IFERROR(__xludf.DUMMYFUNCTION("""COMPUTED_VALUE"""),1)</f>
        <v>1</v>
      </c>
      <c r="AP79" s="11">
        <f ca="1">IFERROR(__xludf.DUMMYFUNCTION("""COMPUTED_VALUE"""),1)</f>
        <v>1</v>
      </c>
      <c r="AQ79" s="11">
        <f ca="1">IFERROR(__xludf.DUMMYFUNCTION("""COMPUTED_VALUE"""),0)</f>
        <v>0</v>
      </c>
      <c r="AR79" s="11">
        <f ca="1">IFERROR(__xludf.DUMMYFUNCTION("""COMPUTED_VALUE"""),1)</f>
        <v>1</v>
      </c>
      <c r="AS79" s="11">
        <f ca="1">IFERROR(__xludf.DUMMYFUNCTION("""COMPUTED_VALUE"""),0.89)</f>
        <v>0.89</v>
      </c>
      <c r="AT79" s="11">
        <f ca="1">IFERROR(__xludf.DUMMYFUNCTION("""COMPUTED_VALUE"""),0)</f>
        <v>0</v>
      </c>
      <c r="AU79" s="11" t="str">
        <f ca="1">IFERROR(__xludf.DUMMYFUNCTION("""COMPUTED_VALUE"""),"Female")</f>
        <v>Female</v>
      </c>
    </row>
    <row r="80" spans="1:66" ht="12.9">
      <c r="A80" s="11">
        <f>Raw!D80</f>
        <v>56</v>
      </c>
      <c r="B80" s="11" t="str">
        <f>Raw!A80</f>
        <v>Edwards et al. (2004)</v>
      </c>
      <c r="C80" s="11">
        <f>Raw!G80</f>
        <v>2</v>
      </c>
      <c r="D80" s="11" t="str">
        <f>Raw!E80</f>
        <v>Father-child</v>
      </c>
      <c r="E80" s="11" t="str">
        <f>Processed!E80</f>
        <v>Infancy - Infancy</v>
      </c>
      <c r="F80" s="11">
        <f>Raw!AA80</f>
        <v>40</v>
      </c>
      <c r="G80" s="11">
        <f>Raw!AB80</f>
        <v>45</v>
      </c>
      <c r="H80" s="11">
        <f>Raw!AC80</f>
        <v>89</v>
      </c>
      <c r="I80" s="11">
        <f>Raw!AD80</f>
        <v>34</v>
      </c>
      <c r="J80" s="11">
        <f t="shared" si="0"/>
        <v>208</v>
      </c>
      <c r="K80" s="11">
        <f>Raw!AL80</f>
        <v>0</v>
      </c>
      <c r="L80" s="11">
        <f>Raw!AM80</f>
        <v>0</v>
      </c>
      <c r="M80" s="11">
        <f>Raw!AN80</f>
        <v>0</v>
      </c>
      <c r="N80" s="11">
        <f>Raw!AO80</f>
        <v>0</v>
      </c>
      <c r="O80" s="11">
        <f>Raw!AP80</f>
        <v>0</v>
      </c>
      <c r="P80" s="15">
        <f>Raw!AQ80</f>
        <v>0</v>
      </c>
      <c r="Q80" s="15">
        <f>Raw!AR80</f>
        <v>0</v>
      </c>
      <c r="R80" s="15">
        <f>Raw!AS80</f>
        <v>0</v>
      </c>
      <c r="S80" s="15">
        <f>Raw!AT80</f>
        <v>0</v>
      </c>
      <c r="T80" s="11">
        <f t="shared" si="1"/>
        <v>0</v>
      </c>
      <c r="U80" s="11">
        <f>Raw!AV80</f>
        <v>5</v>
      </c>
      <c r="V80" s="11">
        <f>Raw!AW80</f>
        <v>15</v>
      </c>
      <c r="W80" s="11">
        <f>Raw!AX80</f>
        <v>0</v>
      </c>
      <c r="X80" s="15">
        <f>Raw!AY80</f>
        <v>4</v>
      </c>
      <c r="Y80" s="11">
        <f>Raw!AZ80</f>
        <v>12</v>
      </c>
      <c r="Z80" s="11">
        <f>Raw!BA80</f>
        <v>89</v>
      </c>
      <c r="AA80" s="15">
        <f>Raw!BB80</f>
        <v>16</v>
      </c>
      <c r="AB80" s="15">
        <f>Raw!BC80</f>
        <v>6</v>
      </c>
      <c r="AC80" s="15">
        <f>Raw!BD80</f>
        <v>2</v>
      </c>
      <c r="AD80" s="15">
        <f>Raw!BE80</f>
        <v>17</v>
      </c>
      <c r="AE80" s="15">
        <f>Raw!BF80</f>
        <v>10</v>
      </c>
      <c r="AF80" s="15">
        <f>Raw!BG80</f>
        <v>3</v>
      </c>
      <c r="AG80" s="15">
        <f>Raw!BH80</f>
        <v>5</v>
      </c>
      <c r="AH80" s="15">
        <f>Raw!BI80</f>
        <v>13</v>
      </c>
      <c r="AI80" s="15">
        <f>Raw!BJ80</f>
        <v>4</v>
      </c>
      <c r="AJ80" s="15">
        <f>Raw!BK80</f>
        <v>7</v>
      </c>
      <c r="AK80" s="11">
        <f t="shared" si="2"/>
        <v>208</v>
      </c>
      <c r="AL80" s="11">
        <f ca="1">IFERROR(__xludf.DUMMYFUNCTION("""COMPUTED_VALUE"""),2004)</f>
        <v>2004</v>
      </c>
      <c r="AM80" s="11" t="str">
        <f ca="1">IFERROR(__xludf.DUMMYFUNCTION("""COMPUTED_VALUE"""),"USA")</f>
        <v>USA</v>
      </c>
      <c r="AN80" s="11" t="str">
        <f ca="1">IFERROR(__xludf.DUMMYFUNCTION("""COMPUTED_VALUE"""),"Ainsworth/Ainsworth")</f>
        <v>Ainsworth/Ainsworth</v>
      </c>
      <c r="AO80" s="11">
        <f ca="1">IFERROR(__xludf.DUMMYFUNCTION("""COMPUTED_VALUE"""),1)</f>
        <v>1</v>
      </c>
      <c r="AP80" s="11">
        <f ca="1">IFERROR(__xludf.DUMMYFUNCTION("""COMPUTED_VALUE"""),1)</f>
        <v>1</v>
      </c>
      <c r="AQ80" s="11">
        <f ca="1">IFERROR(__xludf.DUMMYFUNCTION("""COMPUTED_VALUE"""),0)</f>
        <v>0</v>
      </c>
      <c r="AR80" s="11">
        <f ca="1">IFERROR(__xludf.DUMMYFUNCTION("""COMPUTED_VALUE"""),1)</f>
        <v>1</v>
      </c>
      <c r="AS80" s="11">
        <f ca="1">IFERROR(__xludf.DUMMYFUNCTION("""COMPUTED_VALUE"""),0.89)</f>
        <v>0.89</v>
      </c>
      <c r="AT80" s="11">
        <f ca="1">IFERROR(__xludf.DUMMYFUNCTION("""COMPUTED_VALUE"""),0)</f>
        <v>0</v>
      </c>
      <c r="AU80" s="11" t="str">
        <f ca="1">IFERROR(__xludf.DUMMYFUNCTION("""COMPUTED_VALUE"""),"Male")</f>
        <v>Male</v>
      </c>
    </row>
    <row r="81" spans="1:47" ht="12.9">
      <c r="A81" s="11">
        <f>Raw!D81</f>
        <v>57</v>
      </c>
      <c r="B81" s="11" t="str">
        <f>Raw!A81</f>
        <v>Ahnert et al. (2004)</v>
      </c>
      <c r="C81" s="11">
        <f>Raw!G81</f>
        <v>1</v>
      </c>
      <c r="D81" s="11" t="str">
        <f>Raw!E81</f>
        <v>Mother-child</v>
      </c>
      <c r="E81" s="11" t="str">
        <f>Processed!E81</f>
        <v>Infancy - Infancy</v>
      </c>
      <c r="F81" s="11">
        <f>Raw!AA81</f>
        <v>17</v>
      </c>
      <c r="G81" s="11">
        <f>Raw!AB81</f>
        <v>11</v>
      </c>
      <c r="H81" s="11">
        <f>Raw!AC81</f>
        <v>16</v>
      </c>
      <c r="I81" s="11">
        <f>Raw!AD81</f>
        <v>12</v>
      </c>
      <c r="J81" s="11">
        <f t="shared" si="0"/>
        <v>56</v>
      </c>
      <c r="K81" s="11">
        <f>Raw!AL81</f>
        <v>0</v>
      </c>
      <c r="L81" s="11">
        <f>Raw!AM81</f>
        <v>0</v>
      </c>
      <c r="M81" s="11">
        <f>Raw!AN81</f>
        <v>0</v>
      </c>
      <c r="N81" s="11">
        <f>Raw!AO81</f>
        <v>0</v>
      </c>
      <c r="O81" s="11">
        <f>Raw!AP81</f>
        <v>0</v>
      </c>
      <c r="P81" s="15">
        <f>Raw!AQ81</f>
        <v>0</v>
      </c>
      <c r="Q81" s="15">
        <f>Raw!AR81</f>
        <v>0</v>
      </c>
      <c r="R81" s="15">
        <f>Raw!AS81</f>
        <v>0</v>
      </c>
      <c r="S81" s="15">
        <f>Raw!AT81</f>
        <v>0</v>
      </c>
      <c r="T81" s="11">
        <f t="shared" si="1"/>
        <v>0</v>
      </c>
      <c r="U81" s="11">
        <f>Raw!AV81</f>
        <v>0</v>
      </c>
      <c r="V81" s="11">
        <f>Raw!AW81</f>
        <v>0</v>
      </c>
      <c r="W81" s="11">
        <f>Raw!AX81</f>
        <v>0</v>
      </c>
      <c r="X81" s="15">
        <f>Raw!AY81</f>
        <v>0</v>
      </c>
      <c r="Y81" s="11">
        <f>Raw!AZ81</f>
        <v>0</v>
      </c>
      <c r="Z81" s="11">
        <f>Raw!BA81</f>
        <v>0</v>
      </c>
      <c r="AA81" s="15">
        <f>Raw!BB81</f>
        <v>0</v>
      </c>
      <c r="AB81" s="15">
        <f>Raw!BC81</f>
        <v>0</v>
      </c>
      <c r="AC81" s="15">
        <f>Raw!BD81</f>
        <v>0</v>
      </c>
      <c r="AD81" s="15">
        <f>Raw!BE81</f>
        <v>0</v>
      </c>
      <c r="AE81" s="15">
        <f>Raw!BF81</f>
        <v>0</v>
      </c>
      <c r="AF81" s="15">
        <f>Raw!BG81</f>
        <v>0</v>
      </c>
      <c r="AG81" s="15">
        <f>Raw!BH81</f>
        <v>0</v>
      </c>
      <c r="AH81" s="15">
        <f>Raw!BI81</f>
        <v>0</v>
      </c>
      <c r="AI81" s="15">
        <f>Raw!BJ81</f>
        <v>0</v>
      </c>
      <c r="AJ81" s="15">
        <f>Raw!BK81</f>
        <v>0</v>
      </c>
      <c r="AK81" s="11">
        <f t="shared" si="2"/>
        <v>0</v>
      </c>
      <c r="AL81" s="11">
        <f ca="1">IFERROR(__xludf.DUMMYFUNCTION("""COMPUTED_VALUE"""),2004)</f>
        <v>2004</v>
      </c>
      <c r="AM81" s="11" t="str">
        <f ca="1">IFERROR(__xludf.DUMMYFUNCTION("""COMPUTED_VALUE"""),"Non-USA")</f>
        <v>Non-USA</v>
      </c>
      <c r="AN81" s="11" t="str">
        <f ca="1">IFERROR(__xludf.DUMMYFUNCTION("""COMPUTED_VALUE"""),"Ainsworth/Ainsworth")</f>
        <v>Ainsworth/Ainsworth</v>
      </c>
      <c r="AO81" s="11">
        <f ca="1">IFERROR(__xludf.DUMMYFUNCTION("""COMPUTED_VALUE"""),1)</f>
        <v>1</v>
      </c>
      <c r="AP81" s="11">
        <f ca="1">IFERROR(__xludf.DUMMYFUNCTION("""COMPUTED_VALUE"""),0)</f>
        <v>0</v>
      </c>
      <c r="AQ81" s="11">
        <f ca="1">IFERROR(__xludf.DUMMYFUNCTION("""COMPUTED_VALUE"""),0)</f>
        <v>0</v>
      </c>
      <c r="AR81" s="11">
        <f ca="1">IFERROR(__xludf.DUMMYFUNCTION("""COMPUTED_VALUE"""),1)</f>
        <v>1</v>
      </c>
      <c r="AS81" s="11">
        <f ca="1">IFERROR(__xludf.DUMMYFUNCTION("""COMPUTED_VALUE"""),0.89)</f>
        <v>0.89</v>
      </c>
      <c r="AT81" s="11">
        <f ca="1">IFERROR(__xludf.DUMMYFUNCTION("""COMPUTED_VALUE"""),0)</f>
        <v>0</v>
      </c>
      <c r="AU81" s="11" t="str">
        <f ca="1">IFERROR(__xludf.DUMMYFUNCTION("""COMPUTED_VALUE"""),"Female")</f>
        <v>Female</v>
      </c>
    </row>
    <row r="82" spans="1:47" ht="12.9">
      <c r="A82" s="11">
        <f>Raw!D82</f>
        <v>58</v>
      </c>
      <c r="B82" s="11" t="str">
        <f>Raw!A82</f>
        <v>Connell (1977)</v>
      </c>
      <c r="C82" s="11">
        <f>Raw!G82</f>
        <v>1</v>
      </c>
      <c r="D82" s="11" t="str">
        <f>Raw!E82</f>
        <v>Mother-child</v>
      </c>
      <c r="E82" s="11" t="str">
        <f>Processed!E82</f>
        <v>Infancy - Infancy</v>
      </c>
      <c r="F82" s="11">
        <f>Raw!AA82</f>
        <v>12</v>
      </c>
      <c r="G82" s="11">
        <f>Raw!AB82</f>
        <v>5</v>
      </c>
      <c r="H82" s="11">
        <f>Raw!AC82</f>
        <v>26</v>
      </c>
      <c r="I82" s="11">
        <f>Raw!AD82</f>
        <v>4</v>
      </c>
      <c r="J82" s="11">
        <f t="shared" si="0"/>
        <v>47</v>
      </c>
      <c r="K82" s="11">
        <f>Raw!AL82</f>
        <v>11</v>
      </c>
      <c r="L82" s="11">
        <f>Raw!AM82</f>
        <v>4</v>
      </c>
      <c r="M82" s="11">
        <f>Raw!AN82</f>
        <v>0</v>
      </c>
      <c r="N82" s="11">
        <f>Raw!AO82</f>
        <v>3</v>
      </c>
      <c r="O82" s="11">
        <f>Raw!AP82</f>
        <v>26</v>
      </c>
      <c r="P82" s="15">
        <f>Raw!AQ82</f>
        <v>1</v>
      </c>
      <c r="Q82" s="15">
        <f>Raw!AR82</f>
        <v>0</v>
      </c>
      <c r="R82" s="15">
        <f>Raw!AS82</f>
        <v>1</v>
      </c>
      <c r="S82" s="15">
        <f>Raw!AT82</f>
        <v>1</v>
      </c>
      <c r="T82" s="11">
        <f t="shared" si="1"/>
        <v>47</v>
      </c>
      <c r="U82" s="15">
        <f>Raw!AV82</f>
        <v>0</v>
      </c>
      <c r="V82" s="15">
        <f>Raw!AW82</f>
        <v>0</v>
      </c>
      <c r="W82" s="15">
        <f>Raw!AX82</f>
        <v>0</v>
      </c>
      <c r="X82" s="15">
        <f>Raw!AY82</f>
        <v>0</v>
      </c>
      <c r="Y82" s="15">
        <f>Raw!AZ82</f>
        <v>0</v>
      </c>
      <c r="Z82" s="15">
        <f>Raw!BA82</f>
        <v>0</v>
      </c>
      <c r="AA82" s="15">
        <f>Raw!BB82</f>
        <v>0</v>
      </c>
      <c r="AB82" s="15">
        <f>Raw!BC82</f>
        <v>0</v>
      </c>
      <c r="AC82" s="15">
        <f>Raw!BD82</f>
        <v>0</v>
      </c>
      <c r="AD82" s="15">
        <f>Raw!BE82</f>
        <v>0</v>
      </c>
      <c r="AE82" s="15">
        <f>Raw!BF82</f>
        <v>0</v>
      </c>
      <c r="AF82" s="15">
        <f>Raw!BG82</f>
        <v>0</v>
      </c>
      <c r="AG82" s="15">
        <f>Raw!BH82</f>
        <v>0</v>
      </c>
      <c r="AH82" s="15">
        <f>Raw!BI82</f>
        <v>0</v>
      </c>
      <c r="AI82" s="15">
        <f>Raw!BJ82</f>
        <v>0</v>
      </c>
      <c r="AJ82" s="15">
        <f>Raw!BK82</f>
        <v>0</v>
      </c>
      <c r="AK82" s="15">
        <f t="shared" si="2"/>
        <v>0</v>
      </c>
      <c r="AL82" s="11">
        <f ca="1">IFERROR(__xludf.DUMMYFUNCTION("""COMPUTED_VALUE"""),1976)</f>
        <v>1976</v>
      </c>
      <c r="AM82" s="11" t="str">
        <f ca="1">IFERROR(__xludf.DUMMYFUNCTION("""COMPUTED_VALUE"""),"USA")</f>
        <v>USA</v>
      </c>
      <c r="AN82" s="11" t="str">
        <f ca="1">IFERROR(__xludf.DUMMYFUNCTION("""COMPUTED_VALUE"""),"Ainsworth/Ainsworth")</f>
        <v>Ainsworth/Ainsworth</v>
      </c>
      <c r="AO82" s="11">
        <f ca="1">IFERROR(__xludf.DUMMYFUNCTION("""COMPUTED_VALUE"""),1)</f>
        <v>1</v>
      </c>
      <c r="AP82" s="11">
        <f ca="1">IFERROR(__xludf.DUMMYFUNCTION("""COMPUTED_VALUE"""),0)</f>
        <v>0</v>
      </c>
      <c r="AQ82" s="11">
        <f ca="1">IFERROR(__xludf.DUMMYFUNCTION("""COMPUTED_VALUE"""),0)</f>
        <v>0</v>
      </c>
      <c r="AR82" s="11">
        <f ca="1">IFERROR(__xludf.DUMMYFUNCTION("""COMPUTED_VALUE"""),0)</f>
        <v>0</v>
      </c>
      <c r="AS82" s="11">
        <f ca="1">IFERROR(__xludf.DUMMYFUNCTION("""COMPUTED_VALUE"""),0.939735174287007)</f>
        <v>0.93973517428700704</v>
      </c>
      <c r="AT82" s="11">
        <f ca="1">IFERROR(__xludf.DUMMYFUNCTION("""COMPUTED_VALUE"""),0)</f>
        <v>0</v>
      </c>
      <c r="AU82" s="11" t="str">
        <f ca="1">IFERROR(__xludf.DUMMYFUNCTION("""COMPUTED_VALUE"""),"Female")</f>
        <v>Female</v>
      </c>
    </row>
    <row r="83" spans="1:47" ht="12.9">
      <c r="A83" s="11">
        <f>Raw!D83</f>
        <v>59</v>
      </c>
      <c r="B83" s="11" t="str">
        <f>Raw!A83</f>
        <v>Carlson (1998)</v>
      </c>
      <c r="C83" s="11">
        <f>Raw!G83</f>
        <v>1</v>
      </c>
      <c r="D83" s="11" t="str">
        <f>Raw!E83</f>
        <v>Mother-child</v>
      </c>
      <c r="E83" s="11" t="str">
        <f>Processed!E83</f>
        <v>Infancy - Infancy</v>
      </c>
      <c r="F83" s="11">
        <f>Raw!AA83</f>
        <v>0</v>
      </c>
      <c r="G83" s="11">
        <f>Raw!AB83</f>
        <v>0</v>
      </c>
      <c r="H83" s="11">
        <f>Raw!AC83</f>
        <v>0</v>
      </c>
      <c r="I83" s="11">
        <f>Raw!AD83</f>
        <v>0</v>
      </c>
      <c r="J83" s="11">
        <f t="shared" si="0"/>
        <v>0</v>
      </c>
      <c r="K83" s="11">
        <f>Raw!AL83</f>
        <v>0</v>
      </c>
      <c r="L83" s="11">
        <f>Raw!AM83</f>
        <v>0</v>
      </c>
      <c r="M83" s="11">
        <f>Raw!AN83</f>
        <v>0</v>
      </c>
      <c r="N83" s="11">
        <f>Raw!AO83</f>
        <v>0</v>
      </c>
      <c r="O83" s="11">
        <f>Raw!AP83</f>
        <v>0</v>
      </c>
      <c r="P83" s="15">
        <f>Raw!AQ83</f>
        <v>0</v>
      </c>
      <c r="Q83" s="15">
        <f>Raw!AR83</f>
        <v>0</v>
      </c>
      <c r="R83" s="15">
        <f>Raw!AS83</f>
        <v>0</v>
      </c>
      <c r="S83" s="15">
        <f>Raw!AT83</f>
        <v>0</v>
      </c>
      <c r="T83" s="11">
        <f t="shared" si="1"/>
        <v>0</v>
      </c>
      <c r="U83" s="15">
        <f>Raw!AV83</f>
        <v>0</v>
      </c>
      <c r="V83" s="15">
        <f>Raw!AW83</f>
        <v>0</v>
      </c>
      <c r="W83" s="15">
        <f>Raw!AX83</f>
        <v>0</v>
      </c>
      <c r="X83" s="15">
        <f>Raw!AY83</f>
        <v>0</v>
      </c>
      <c r="Y83" s="15">
        <f>Raw!AZ83</f>
        <v>0</v>
      </c>
      <c r="Z83" s="15">
        <f>Raw!BA83</f>
        <v>0</v>
      </c>
      <c r="AA83" s="15">
        <f>Raw!BB83</f>
        <v>0</v>
      </c>
      <c r="AB83" s="15">
        <f>Raw!BC83</f>
        <v>0</v>
      </c>
      <c r="AC83" s="15">
        <f>Raw!BD83</f>
        <v>0</v>
      </c>
      <c r="AD83" s="15">
        <f>Raw!BE83</f>
        <v>0</v>
      </c>
      <c r="AE83" s="15">
        <f>Raw!BF83</f>
        <v>0</v>
      </c>
      <c r="AF83" s="15">
        <f>Raw!BG83</f>
        <v>0</v>
      </c>
      <c r="AG83" s="15">
        <f>Raw!BH83</f>
        <v>0</v>
      </c>
      <c r="AH83" s="15">
        <f>Raw!BI83</f>
        <v>0</v>
      </c>
      <c r="AI83" s="15">
        <f>Raw!BJ83</f>
        <v>0</v>
      </c>
      <c r="AJ83" s="15">
        <f>Raw!BK83</f>
        <v>0</v>
      </c>
      <c r="AK83" s="15">
        <f t="shared" si="2"/>
        <v>0</v>
      </c>
      <c r="AL83" s="11">
        <f ca="1">IFERROR(__xludf.DUMMYFUNCTION("""COMPUTED_VALUE"""),1998)</f>
        <v>1998</v>
      </c>
      <c r="AM83" s="11" t="str">
        <f ca="1">IFERROR(__xludf.DUMMYFUNCTION("""COMPUTED_VALUE"""),"USA")</f>
        <v>USA</v>
      </c>
      <c r="AN83" s="11" t="str">
        <f ca="1">IFERROR(__xludf.DUMMYFUNCTION("""COMPUTED_VALUE"""),"Ainsworth/Ainsworth")</f>
        <v>Ainsworth/Ainsworth</v>
      </c>
      <c r="AO83" s="11">
        <f ca="1">IFERROR(__xludf.DUMMYFUNCTION("""COMPUTED_VALUE"""),0)</f>
        <v>0</v>
      </c>
      <c r="AP83" s="11">
        <f ca="1">IFERROR(__xludf.DUMMYFUNCTION("""COMPUTED_VALUE"""),1)</f>
        <v>1</v>
      </c>
      <c r="AQ83" s="11">
        <f ca="1">IFERROR(__xludf.DUMMYFUNCTION("""COMPUTED_VALUE"""),0)</f>
        <v>0</v>
      </c>
      <c r="AR83" s="11">
        <f ca="1">IFERROR(__xludf.DUMMYFUNCTION("""COMPUTED_VALUE"""),1)</f>
        <v>1</v>
      </c>
      <c r="AS83" s="11">
        <f ca="1">IFERROR(__xludf.DUMMYFUNCTION("""COMPUTED_VALUE"""),0.905)</f>
        <v>0.90500000000000003</v>
      </c>
      <c r="AT83" s="11">
        <f ca="1">IFERROR(__xludf.DUMMYFUNCTION("""COMPUTED_VALUE"""),1)</f>
        <v>1</v>
      </c>
      <c r="AU83" s="11" t="str">
        <f ca="1">IFERROR(__xludf.DUMMYFUNCTION("""COMPUTED_VALUE"""),"Female")</f>
        <v>Female</v>
      </c>
    </row>
    <row r="84" spans="1:47" ht="12.9">
      <c r="A84" s="11">
        <f>Raw!D84</f>
        <v>60</v>
      </c>
      <c r="B84" s="11" t="str">
        <f>Raw!A84</f>
        <v>Ainsworthet al. (1978)</v>
      </c>
      <c r="C84" s="11">
        <f>Raw!G84</f>
        <v>1</v>
      </c>
      <c r="D84" s="11" t="str">
        <f>Raw!E84</f>
        <v>Mother-child</v>
      </c>
      <c r="E84" s="11" t="str">
        <f>Processed!E84</f>
        <v>Infancy - Infancy</v>
      </c>
      <c r="F84" s="11">
        <f>Raw!AA84</f>
        <v>1</v>
      </c>
      <c r="G84" s="11">
        <f>Raw!AB84</f>
        <v>8</v>
      </c>
      <c r="H84" s="11">
        <f>Raw!AC84</f>
        <v>12</v>
      </c>
      <c r="I84" s="11">
        <f>Raw!AD84</f>
        <v>2</v>
      </c>
      <c r="J84" s="11">
        <f t="shared" si="0"/>
        <v>23</v>
      </c>
      <c r="K84" s="11">
        <f>Raw!AL84</f>
        <v>0</v>
      </c>
      <c r="L84" s="11">
        <f>Raw!AM84</f>
        <v>7</v>
      </c>
      <c r="M84" s="11">
        <f>Raw!AN84</f>
        <v>0</v>
      </c>
      <c r="N84" s="11">
        <f>Raw!AO84</f>
        <v>0</v>
      </c>
      <c r="O84" s="11">
        <f>Raw!AP84</f>
        <v>12</v>
      </c>
      <c r="P84" s="15">
        <f>Raw!AQ84</f>
        <v>2</v>
      </c>
      <c r="Q84" s="15">
        <f>Raw!AR84</f>
        <v>0</v>
      </c>
      <c r="R84" s="15">
        <f>Raw!AS84</f>
        <v>1</v>
      </c>
      <c r="S84" s="15">
        <f>Raw!AT84</f>
        <v>1</v>
      </c>
      <c r="T84" s="11">
        <f t="shared" si="1"/>
        <v>23</v>
      </c>
      <c r="U84" s="15">
        <f>Raw!AV84</f>
        <v>0</v>
      </c>
      <c r="V84" s="15">
        <f>Raw!AW84</f>
        <v>0</v>
      </c>
      <c r="W84" s="15">
        <f>Raw!AX84</f>
        <v>0</v>
      </c>
      <c r="X84" s="15">
        <f>Raw!AY84</f>
        <v>0</v>
      </c>
      <c r="Y84" s="15">
        <f>Raw!AZ84</f>
        <v>0</v>
      </c>
      <c r="Z84" s="15">
        <f>Raw!BA84</f>
        <v>0</v>
      </c>
      <c r="AA84" s="15">
        <f>Raw!BB84</f>
        <v>0</v>
      </c>
      <c r="AB84" s="15">
        <f>Raw!BC84</f>
        <v>0</v>
      </c>
      <c r="AC84" s="15">
        <f>Raw!BD84</f>
        <v>0</v>
      </c>
      <c r="AD84" s="15">
        <f>Raw!BE84</f>
        <v>0</v>
      </c>
      <c r="AE84" s="15">
        <f>Raw!BF84</f>
        <v>0</v>
      </c>
      <c r="AF84" s="15">
        <f>Raw!BG84</f>
        <v>0</v>
      </c>
      <c r="AG84" s="15">
        <f>Raw!BH84</f>
        <v>0</v>
      </c>
      <c r="AH84" s="15">
        <f>Raw!BI84</f>
        <v>0</v>
      </c>
      <c r="AI84" s="15">
        <f>Raw!BJ84</f>
        <v>0</v>
      </c>
      <c r="AJ84" s="15">
        <f>Raw!BK84</f>
        <v>0</v>
      </c>
      <c r="AK84" s="15">
        <f t="shared" si="2"/>
        <v>0</v>
      </c>
      <c r="AL84" s="11">
        <f ca="1">IFERROR(__xludf.DUMMYFUNCTION("""COMPUTED_VALUE"""),1978)</f>
        <v>1978</v>
      </c>
      <c r="AM84" s="11" t="str">
        <f ca="1">IFERROR(__xludf.DUMMYFUNCTION("""COMPUTED_VALUE"""),"USA")</f>
        <v>USA</v>
      </c>
      <c r="AN84" s="11" t="str">
        <f ca="1">IFERROR(__xludf.DUMMYFUNCTION("""COMPUTED_VALUE"""),"Ainsworth/Ainsworth")</f>
        <v>Ainsworth/Ainsworth</v>
      </c>
      <c r="AO84" s="11">
        <f ca="1">IFERROR(__xludf.DUMMYFUNCTION("""COMPUTED_VALUE"""),1)</f>
        <v>1</v>
      </c>
      <c r="AP84" s="11">
        <f ca="1">IFERROR(__xludf.DUMMYFUNCTION("""COMPUTED_VALUE"""),0)</f>
        <v>0</v>
      </c>
      <c r="AQ84" s="11">
        <f ca="1">IFERROR(__xludf.DUMMYFUNCTION("""COMPUTED_VALUE"""),0)</f>
        <v>0</v>
      </c>
      <c r="AR84" s="11">
        <f ca="1">IFERROR(__xludf.DUMMYFUNCTION("""COMPUTED_VALUE"""),1)</f>
        <v>1</v>
      </c>
      <c r="AS84" s="11" t="str">
        <f ca="1">IFERROR(__xludf.DUMMYFUNCTION("""COMPUTED_VALUE"""),"")</f>
        <v/>
      </c>
      <c r="AT84" s="11">
        <f ca="1">IFERROR(__xludf.DUMMYFUNCTION("""COMPUTED_VALUE"""),0)</f>
        <v>0</v>
      </c>
      <c r="AU84" s="11" t="str">
        <f ca="1">IFERROR(__xludf.DUMMYFUNCTION("""COMPUTED_VALUE"""),"Female")</f>
        <v>Female</v>
      </c>
    </row>
    <row r="85" spans="1:47" ht="12.9">
      <c r="A85" s="11">
        <f>Raw!D85</f>
        <v>61</v>
      </c>
      <c r="B85" s="11" t="str">
        <f>Raw!A85</f>
        <v>Cassidy (1988)</v>
      </c>
      <c r="C85" s="11">
        <f>Raw!G85</f>
        <v>1</v>
      </c>
      <c r="D85" s="11" t="str">
        <f>Raw!E85</f>
        <v>Mother-child</v>
      </c>
      <c r="E85" s="11" t="str">
        <f>Processed!E85</f>
        <v>Preschool - Preschool</v>
      </c>
      <c r="F85" s="11">
        <f>Raw!AA85</f>
        <v>22</v>
      </c>
      <c r="G85" s="11">
        <f>Raw!AB85</f>
        <v>5</v>
      </c>
      <c r="H85" s="11">
        <f>Raw!AC85</f>
        <v>21</v>
      </c>
      <c r="I85" s="11">
        <f>Raw!AD85</f>
        <v>2</v>
      </c>
      <c r="J85" s="11">
        <f t="shared" si="0"/>
        <v>50</v>
      </c>
      <c r="K85" s="11">
        <f>Raw!AL85</f>
        <v>12</v>
      </c>
      <c r="L85" s="11">
        <f>Raw!AM85</f>
        <v>5</v>
      </c>
      <c r="M85" s="11">
        <f>Raw!AN85</f>
        <v>1</v>
      </c>
      <c r="N85" s="11">
        <f>Raw!AO85</f>
        <v>2</v>
      </c>
      <c r="O85" s="11">
        <f>Raw!AP85</f>
        <v>21</v>
      </c>
      <c r="P85" s="15">
        <f>Raw!AQ85</f>
        <v>0</v>
      </c>
      <c r="Q85" s="15">
        <f>Raw!AR85</f>
        <v>0</v>
      </c>
      <c r="R85" s="15">
        <f>Raw!AS85</f>
        <v>0</v>
      </c>
      <c r="S85" s="15">
        <f>Raw!AT85</f>
        <v>9</v>
      </c>
      <c r="T85" s="11">
        <f t="shared" si="1"/>
        <v>50</v>
      </c>
      <c r="U85" s="15">
        <f>Raw!AV85</f>
        <v>0</v>
      </c>
      <c r="V85" s="15">
        <f>Raw!AW85</f>
        <v>0</v>
      </c>
      <c r="W85" s="15">
        <f>Raw!AX85</f>
        <v>0</v>
      </c>
      <c r="X85" s="15">
        <f>Raw!AY85</f>
        <v>0</v>
      </c>
      <c r="Y85" s="15">
        <f>Raw!AZ85</f>
        <v>0</v>
      </c>
      <c r="Z85" s="15">
        <f>Raw!BA85</f>
        <v>0</v>
      </c>
      <c r="AA85" s="15">
        <f>Raw!BB85</f>
        <v>0</v>
      </c>
      <c r="AB85" s="15">
        <f>Raw!BC85</f>
        <v>0</v>
      </c>
      <c r="AC85" s="15">
        <f>Raw!BD85</f>
        <v>0</v>
      </c>
      <c r="AD85" s="15">
        <f>Raw!BE85</f>
        <v>0</v>
      </c>
      <c r="AE85" s="15">
        <f>Raw!BF85</f>
        <v>0</v>
      </c>
      <c r="AF85" s="15">
        <f>Raw!BG85</f>
        <v>0</v>
      </c>
      <c r="AG85" s="15">
        <f>Raw!BH85</f>
        <v>0</v>
      </c>
      <c r="AH85" s="15">
        <f>Raw!BI85</f>
        <v>0</v>
      </c>
      <c r="AI85" s="15">
        <f>Raw!BJ85</f>
        <v>0</v>
      </c>
      <c r="AJ85" s="15">
        <f>Raw!BK85</f>
        <v>0</v>
      </c>
      <c r="AK85" s="15">
        <f t="shared" si="2"/>
        <v>0</v>
      </c>
      <c r="AL85" s="11">
        <f ca="1">IFERROR(__xludf.DUMMYFUNCTION("""COMPUTED_VALUE"""),1988)</f>
        <v>1988</v>
      </c>
      <c r="AM85" s="11" t="str">
        <f ca="1">IFERROR(__xludf.DUMMYFUNCTION("""COMPUTED_VALUE"""),"USA")</f>
        <v>USA</v>
      </c>
      <c r="AN85" s="11" t="str">
        <f ca="1">IFERROR(__xludf.DUMMYFUNCTION("""COMPUTED_VALUE"""),"Main-Cassidy/Main-Cassidy")</f>
        <v>Main-Cassidy/Main-Cassidy</v>
      </c>
      <c r="AO85" s="11">
        <f ca="1">IFERROR(__xludf.DUMMYFUNCTION("""COMPUTED_VALUE"""),1)</f>
        <v>1</v>
      </c>
      <c r="AP85" s="11">
        <f ca="1">IFERROR(__xludf.DUMMYFUNCTION("""COMPUTED_VALUE"""),0)</f>
        <v>0</v>
      </c>
      <c r="AQ85" s="11">
        <f ca="1">IFERROR(__xludf.DUMMYFUNCTION("""COMPUTED_VALUE"""),0)</f>
        <v>0</v>
      </c>
      <c r="AR85" s="11">
        <f ca="1">IFERROR(__xludf.DUMMYFUNCTION("""COMPUTED_VALUE"""),1)</f>
        <v>1</v>
      </c>
      <c r="AS85" s="11">
        <f ca="1">IFERROR(__xludf.DUMMYFUNCTION("""COMPUTED_VALUE"""),0.84)</f>
        <v>0.84</v>
      </c>
      <c r="AT85" s="11">
        <f ca="1">IFERROR(__xludf.DUMMYFUNCTION("""COMPUTED_VALUE"""),0)</f>
        <v>0</v>
      </c>
      <c r="AU85" s="11" t="str">
        <f ca="1">IFERROR(__xludf.DUMMYFUNCTION("""COMPUTED_VALUE"""),"Female")</f>
        <v>Female</v>
      </c>
    </row>
    <row r="86" spans="1:47" ht="12.9">
      <c r="A86" s="11">
        <f>Raw!D86</f>
        <v>62</v>
      </c>
      <c r="B86" s="11" t="str">
        <f>Raw!A86</f>
        <v>Goossens et al. (1986)</v>
      </c>
      <c r="C86" s="11">
        <f>Raw!G86</f>
        <v>1</v>
      </c>
      <c r="D86" s="11" t="str">
        <f>Raw!E86</f>
        <v>Mother-child</v>
      </c>
      <c r="E86" s="11" t="str">
        <f>Processed!E86</f>
        <v>Infancy - Infancy</v>
      </c>
      <c r="F86" s="11">
        <f>Raw!AA86</f>
        <v>3</v>
      </c>
      <c r="G86" s="11">
        <f>Raw!AB86</f>
        <v>0</v>
      </c>
      <c r="H86" s="11">
        <f>Raw!AC86</f>
        <v>6</v>
      </c>
      <c r="I86" s="11">
        <f>Raw!AD86</f>
        <v>0</v>
      </c>
      <c r="J86" s="11">
        <f t="shared" si="0"/>
        <v>9</v>
      </c>
      <c r="K86" s="11">
        <f>Raw!AL86</f>
        <v>3</v>
      </c>
      <c r="L86" s="11">
        <f>Raw!AM86</f>
        <v>0</v>
      </c>
      <c r="M86" s="11">
        <f>Raw!AN86</f>
        <v>0</v>
      </c>
      <c r="N86" s="11">
        <f>Raw!AO86</f>
        <v>0</v>
      </c>
      <c r="O86" s="11">
        <f>Raw!AP86</f>
        <v>6</v>
      </c>
      <c r="P86" s="15">
        <f>Raw!AQ86</f>
        <v>0</v>
      </c>
      <c r="Q86" s="15">
        <f>Raw!AR86</f>
        <v>0</v>
      </c>
      <c r="R86" s="15">
        <f>Raw!AS86</f>
        <v>0</v>
      </c>
      <c r="S86" s="15">
        <f>Raw!AT86</f>
        <v>0</v>
      </c>
      <c r="T86" s="11">
        <f t="shared" si="1"/>
        <v>9</v>
      </c>
      <c r="U86" s="15">
        <f>Raw!AV86</f>
        <v>0</v>
      </c>
      <c r="V86" s="15">
        <f>Raw!AW86</f>
        <v>0</v>
      </c>
      <c r="W86" s="15">
        <f>Raw!AX86</f>
        <v>0</v>
      </c>
      <c r="X86" s="15">
        <f>Raw!AY86</f>
        <v>0</v>
      </c>
      <c r="Y86" s="15">
        <f>Raw!AZ86</f>
        <v>0</v>
      </c>
      <c r="Z86" s="15">
        <f>Raw!BA86</f>
        <v>0</v>
      </c>
      <c r="AA86" s="15">
        <f>Raw!BB86</f>
        <v>0</v>
      </c>
      <c r="AB86" s="15">
        <f>Raw!BC86</f>
        <v>0</v>
      </c>
      <c r="AC86" s="15">
        <f>Raw!BD86</f>
        <v>0</v>
      </c>
      <c r="AD86" s="15">
        <f>Raw!BE86</f>
        <v>0</v>
      </c>
      <c r="AE86" s="15">
        <f>Raw!BF86</f>
        <v>0</v>
      </c>
      <c r="AF86" s="15">
        <f>Raw!BG86</f>
        <v>0</v>
      </c>
      <c r="AG86" s="15">
        <f>Raw!BH86</f>
        <v>0</v>
      </c>
      <c r="AH86" s="15">
        <f>Raw!BI86</f>
        <v>0</v>
      </c>
      <c r="AI86" s="15">
        <f>Raw!BJ86</f>
        <v>0</v>
      </c>
      <c r="AJ86" s="15">
        <f>Raw!BK86</f>
        <v>0</v>
      </c>
      <c r="AK86" s="15">
        <f t="shared" si="2"/>
        <v>0</v>
      </c>
      <c r="AL86" s="11">
        <f ca="1">IFERROR(__xludf.DUMMYFUNCTION("""COMPUTED_VALUE"""),1986)</f>
        <v>1986</v>
      </c>
      <c r="AM86" s="11" t="str">
        <f ca="1">IFERROR(__xludf.DUMMYFUNCTION("""COMPUTED_VALUE"""),"Non-USA")</f>
        <v>Non-USA</v>
      </c>
      <c r="AN86" s="11" t="str">
        <f ca="1">IFERROR(__xludf.DUMMYFUNCTION("""COMPUTED_VALUE"""),"Ainsworth/Ainsworth")</f>
        <v>Ainsworth/Ainsworth</v>
      </c>
      <c r="AO86" s="11">
        <f ca="1">IFERROR(__xludf.DUMMYFUNCTION("""COMPUTED_VALUE"""),1)</f>
        <v>1</v>
      </c>
      <c r="AP86" s="11">
        <f ca="1">IFERROR(__xludf.DUMMYFUNCTION("""COMPUTED_VALUE"""),0)</f>
        <v>0</v>
      </c>
      <c r="AQ86" s="11">
        <f ca="1">IFERROR(__xludf.DUMMYFUNCTION("""COMPUTED_VALUE"""),0)</f>
        <v>0</v>
      </c>
      <c r="AR86" s="11">
        <f ca="1">IFERROR(__xludf.DUMMYFUNCTION("""COMPUTED_VALUE"""),1)</f>
        <v>1</v>
      </c>
      <c r="AS86" s="11">
        <f ca="1">IFERROR(__xludf.DUMMYFUNCTION("""COMPUTED_VALUE"""),0.94)</f>
        <v>0.94</v>
      </c>
      <c r="AT86" s="11">
        <f ca="1">IFERROR(__xludf.DUMMYFUNCTION("""COMPUTED_VALUE"""),0)</f>
        <v>0</v>
      </c>
      <c r="AU86" s="11" t="str">
        <f ca="1">IFERROR(__xludf.DUMMYFUNCTION("""COMPUTED_VALUE"""),"Female")</f>
        <v>Female</v>
      </c>
    </row>
    <row r="87" spans="1:47" ht="12.9">
      <c r="A87" s="11">
        <f>Raw!D87</f>
        <v>63</v>
      </c>
      <c r="B87" s="11" t="str">
        <f>Raw!A87</f>
        <v>Vondra, Hommerding, &amp; Shaw (1999)</v>
      </c>
      <c r="C87" s="11">
        <f>Raw!G87</f>
        <v>1</v>
      </c>
      <c r="D87" s="11" t="str">
        <f>Raw!E87</f>
        <v>Mother-child</v>
      </c>
      <c r="E87" s="11" t="str">
        <f>Processed!E87</f>
        <v>Infancy - Infancy</v>
      </c>
      <c r="F87" s="11">
        <f>Raw!AA87</f>
        <v>33</v>
      </c>
      <c r="G87" s="11">
        <f>Raw!AB87</f>
        <v>12</v>
      </c>
      <c r="H87" s="11">
        <f>Raw!AC87</f>
        <v>26</v>
      </c>
      <c r="I87" s="11">
        <f>Raw!AD87</f>
        <v>19</v>
      </c>
      <c r="J87" s="11">
        <f t="shared" si="0"/>
        <v>90</v>
      </c>
      <c r="K87" s="11">
        <f>Raw!AL87</f>
        <v>0</v>
      </c>
      <c r="L87" s="11">
        <f>Raw!AM87</f>
        <v>0</v>
      </c>
      <c r="M87" s="11">
        <f>Raw!AN87</f>
        <v>0</v>
      </c>
      <c r="N87" s="11">
        <f>Raw!AO87</f>
        <v>0</v>
      </c>
      <c r="O87" s="11">
        <f>Raw!AP87</f>
        <v>0</v>
      </c>
      <c r="P87" s="15">
        <f>Raw!AQ87</f>
        <v>0</v>
      </c>
      <c r="Q87" s="15">
        <f>Raw!AR87</f>
        <v>0</v>
      </c>
      <c r="R87" s="15">
        <f>Raw!AS87</f>
        <v>0</v>
      </c>
      <c r="S87" s="15">
        <f>Raw!AT87</f>
        <v>0</v>
      </c>
      <c r="T87" s="11">
        <f t="shared" si="1"/>
        <v>0</v>
      </c>
      <c r="U87" s="15">
        <f>Raw!AV87</f>
        <v>5</v>
      </c>
      <c r="V87" s="15">
        <f>Raw!AW87</f>
        <v>4</v>
      </c>
      <c r="W87" s="15">
        <f>Raw!AX87</f>
        <v>0</v>
      </c>
      <c r="X87" s="15">
        <f>Raw!AY87</f>
        <v>4</v>
      </c>
      <c r="Y87" s="15">
        <f>Raw!AZ87</f>
        <v>9</v>
      </c>
      <c r="Z87" s="15">
        <f>Raw!BA87</f>
        <v>26</v>
      </c>
      <c r="AA87" s="15">
        <f>Raw!BB87</f>
        <v>3</v>
      </c>
      <c r="AB87" s="15">
        <f>Raw!BC87</f>
        <v>7</v>
      </c>
      <c r="AC87" s="15">
        <f>Raw!BD87</f>
        <v>5</v>
      </c>
      <c r="AD87" s="15">
        <f>Raw!BE87</f>
        <v>4</v>
      </c>
      <c r="AE87" s="15">
        <f>Raw!BF87</f>
        <v>2</v>
      </c>
      <c r="AF87" s="15">
        <f>Raw!BG87</f>
        <v>3</v>
      </c>
      <c r="AG87" s="15">
        <f>Raw!BH87</f>
        <v>1</v>
      </c>
      <c r="AH87" s="15">
        <f>Raw!BI87</f>
        <v>4</v>
      </c>
      <c r="AI87" s="15">
        <f>Raw!BJ87</f>
        <v>1</v>
      </c>
      <c r="AJ87" s="15">
        <f>Raw!BK87</f>
        <v>12</v>
      </c>
      <c r="AK87" s="15">
        <f t="shared" si="2"/>
        <v>90</v>
      </c>
      <c r="AL87" s="11">
        <f ca="1">IFERROR(__xludf.DUMMYFUNCTION("""COMPUTED_VALUE"""),1999)</f>
        <v>1999</v>
      </c>
      <c r="AM87" s="11" t="str">
        <f ca="1">IFERROR(__xludf.DUMMYFUNCTION("""COMPUTED_VALUE"""),"USA")</f>
        <v>USA</v>
      </c>
      <c r="AN87" s="11" t="str">
        <f ca="1">IFERROR(__xludf.DUMMYFUNCTION("""COMPUTED_VALUE"""),"Ainsworth/Ainsworth")</f>
        <v>Ainsworth/Ainsworth</v>
      </c>
      <c r="AO87" s="11">
        <f ca="1">IFERROR(__xludf.DUMMYFUNCTION("""COMPUTED_VALUE"""),0)</f>
        <v>0</v>
      </c>
      <c r="AP87" s="11">
        <f ca="1">IFERROR(__xludf.DUMMYFUNCTION("""COMPUTED_VALUE"""),1)</f>
        <v>1</v>
      </c>
      <c r="AQ87" s="11">
        <f ca="1">IFERROR(__xludf.DUMMYFUNCTION("""COMPUTED_VALUE"""),0)</f>
        <v>0</v>
      </c>
      <c r="AR87" s="11">
        <f ca="1">IFERROR(__xludf.DUMMYFUNCTION("""COMPUTED_VALUE"""),1)</f>
        <v>1</v>
      </c>
      <c r="AS87" s="11">
        <f ca="1">IFERROR(__xludf.DUMMYFUNCTION("""COMPUTED_VALUE"""),0.8)</f>
        <v>0.8</v>
      </c>
      <c r="AT87" s="11">
        <f ca="1">IFERROR(__xludf.DUMMYFUNCTION("""COMPUTED_VALUE"""),0)</f>
        <v>0</v>
      </c>
      <c r="AU87" s="11" t="str">
        <f ca="1">IFERROR(__xludf.DUMMYFUNCTION("""COMPUTED_VALUE"""),"Female")</f>
        <v>Female</v>
      </c>
    </row>
    <row r="88" spans="1:47" ht="12.9">
      <c r="A88" s="11">
        <f>Raw!D88</f>
        <v>64</v>
      </c>
      <c r="B88" s="11" t="str">
        <f>Raw!A88</f>
        <v>Vaughn et al. (1979)</v>
      </c>
      <c r="C88" s="11">
        <f>Raw!G88</f>
        <v>1</v>
      </c>
      <c r="D88" s="11" t="str">
        <f>Raw!E88</f>
        <v>Mother-child</v>
      </c>
      <c r="E88" s="11" t="str">
        <f>Processed!E88</f>
        <v>Infancy - Infancy</v>
      </c>
      <c r="F88" s="11">
        <f>Raw!AA88</f>
        <v>24</v>
      </c>
      <c r="G88" s="11">
        <f>Raw!AB88</f>
        <v>21</v>
      </c>
      <c r="H88" s="11">
        <f>Raw!AC88</f>
        <v>45</v>
      </c>
      <c r="I88" s="11">
        <f>Raw!AD88</f>
        <v>10</v>
      </c>
      <c r="J88" s="11">
        <f t="shared" si="0"/>
        <v>100</v>
      </c>
      <c r="K88" s="11">
        <f>Raw!AL88</f>
        <v>11</v>
      </c>
      <c r="L88" s="11">
        <f>Raw!AM88</f>
        <v>10</v>
      </c>
      <c r="M88" s="11">
        <f>Raw!AN88</f>
        <v>2</v>
      </c>
      <c r="N88" s="11">
        <f>Raw!AO88</f>
        <v>7</v>
      </c>
      <c r="O88" s="11">
        <f>Raw!AP88</f>
        <v>45</v>
      </c>
      <c r="P88" s="15">
        <f>Raw!AQ88</f>
        <v>3</v>
      </c>
      <c r="Q88" s="15">
        <f>Raw!AR88</f>
        <v>5</v>
      </c>
      <c r="R88" s="15">
        <f>Raw!AS88</f>
        <v>11</v>
      </c>
      <c r="S88" s="15">
        <f>Raw!AT88</f>
        <v>6</v>
      </c>
      <c r="T88" s="11">
        <f t="shared" si="1"/>
        <v>100</v>
      </c>
      <c r="U88" s="15">
        <f>Raw!AV88</f>
        <v>0</v>
      </c>
      <c r="V88" s="15">
        <f>Raw!AW88</f>
        <v>0</v>
      </c>
      <c r="W88" s="15">
        <f>Raw!AX88</f>
        <v>0</v>
      </c>
      <c r="X88" s="15">
        <f>Raw!AY88</f>
        <v>0</v>
      </c>
      <c r="Y88" s="15">
        <f>Raw!AZ88</f>
        <v>0</v>
      </c>
      <c r="Z88" s="15">
        <f>Raw!BA88</f>
        <v>0</v>
      </c>
      <c r="AA88" s="15">
        <f>Raw!BB88</f>
        <v>0</v>
      </c>
      <c r="AB88" s="15">
        <f>Raw!BC88</f>
        <v>0</v>
      </c>
      <c r="AC88" s="15">
        <f>Raw!BD88</f>
        <v>0</v>
      </c>
      <c r="AD88" s="15">
        <f>Raw!BE88</f>
        <v>0</v>
      </c>
      <c r="AE88" s="15">
        <f>Raw!BF88</f>
        <v>0</v>
      </c>
      <c r="AF88" s="15">
        <f>Raw!BG88</f>
        <v>0</v>
      </c>
      <c r="AG88" s="15">
        <f>Raw!BH88</f>
        <v>0</v>
      </c>
      <c r="AH88" s="15">
        <f>Raw!BI88</f>
        <v>0</v>
      </c>
      <c r="AI88" s="15">
        <f>Raw!BJ88</f>
        <v>0</v>
      </c>
      <c r="AJ88" s="15">
        <f>Raw!BK88</f>
        <v>0</v>
      </c>
      <c r="AK88" s="15">
        <f t="shared" si="2"/>
        <v>0</v>
      </c>
      <c r="AL88" s="11">
        <f ca="1">IFERROR(__xludf.DUMMYFUNCTION("""COMPUTED_VALUE"""),1979)</f>
        <v>1979</v>
      </c>
      <c r="AM88" s="11" t="str">
        <f ca="1">IFERROR(__xludf.DUMMYFUNCTION("""COMPUTED_VALUE"""),"USA")</f>
        <v>USA</v>
      </c>
      <c r="AN88" s="11" t="str">
        <f ca="1">IFERROR(__xludf.DUMMYFUNCTION("""COMPUTED_VALUE"""),"Ainsworth/Ainsworth")</f>
        <v>Ainsworth/Ainsworth</v>
      </c>
      <c r="AO88" s="11">
        <f ca="1">IFERROR(__xludf.DUMMYFUNCTION("""COMPUTED_VALUE"""),1)</f>
        <v>1</v>
      </c>
      <c r="AP88" s="11">
        <f ca="1">IFERROR(__xludf.DUMMYFUNCTION("""COMPUTED_VALUE"""),1)</f>
        <v>1</v>
      </c>
      <c r="AQ88" s="11">
        <f ca="1">IFERROR(__xludf.DUMMYFUNCTION("""COMPUTED_VALUE"""),0)</f>
        <v>0</v>
      </c>
      <c r="AR88" s="11">
        <f ca="1">IFERROR(__xludf.DUMMYFUNCTION("""COMPUTED_VALUE"""),1)</f>
        <v>1</v>
      </c>
      <c r="AS88" s="11">
        <f ca="1">IFERROR(__xludf.DUMMYFUNCTION("""COMPUTED_VALUE"""),0.905)</f>
        <v>0.90500000000000003</v>
      </c>
      <c r="AT88" s="11">
        <f ca="1">IFERROR(__xludf.DUMMYFUNCTION("""COMPUTED_VALUE"""),0)</f>
        <v>0</v>
      </c>
      <c r="AU88" s="11" t="str">
        <f ca="1">IFERROR(__xludf.DUMMYFUNCTION("""COMPUTED_VALUE"""),"Female")</f>
        <v>Female</v>
      </c>
    </row>
    <row r="89" spans="1:47" ht="12.9">
      <c r="A89" s="11">
        <f>Raw!D89</f>
        <v>65</v>
      </c>
      <c r="B89" s="11" t="str">
        <f>Raw!A89</f>
        <v xml:space="preserve">Schneider-Rosen et al. (1985) </v>
      </c>
      <c r="C89" s="11">
        <f>Raw!G89</f>
        <v>1</v>
      </c>
      <c r="D89" s="11" t="str">
        <f>Raw!E89</f>
        <v>Comparison (12-18 mo.)</v>
      </c>
      <c r="E89" s="11" t="str">
        <f>Processed!E89</f>
        <v>Infancy - Infancy</v>
      </c>
      <c r="F89" s="11">
        <f>Raw!AA89</f>
        <v>4</v>
      </c>
      <c r="G89" s="11">
        <f>Raw!AB89</f>
        <v>2</v>
      </c>
      <c r="H89" s="11">
        <f>Raw!AC89</f>
        <v>9</v>
      </c>
      <c r="I89" s="11">
        <f>Raw!AD89</f>
        <v>2</v>
      </c>
      <c r="J89" s="11">
        <f t="shared" si="0"/>
        <v>17</v>
      </c>
      <c r="K89" s="11">
        <f>Raw!AL89</f>
        <v>0</v>
      </c>
      <c r="L89" s="11">
        <f>Raw!AM89</f>
        <v>2</v>
      </c>
      <c r="M89" s="11">
        <f>Raw!AN89</f>
        <v>0</v>
      </c>
      <c r="N89" s="11">
        <f>Raw!AO89</f>
        <v>0</v>
      </c>
      <c r="O89" s="11">
        <f>Raw!AP89</f>
        <v>9</v>
      </c>
      <c r="P89" s="15">
        <f>Raw!AQ89</f>
        <v>2</v>
      </c>
      <c r="Q89" s="15">
        <f>Raw!AR89</f>
        <v>0</v>
      </c>
      <c r="R89" s="15">
        <f>Raw!AS89</f>
        <v>0</v>
      </c>
      <c r="S89" s="15">
        <f>Raw!AT89</f>
        <v>4</v>
      </c>
      <c r="T89" s="11">
        <f t="shared" si="1"/>
        <v>17</v>
      </c>
      <c r="U89" s="15">
        <f>Raw!AV89</f>
        <v>0</v>
      </c>
      <c r="V89" s="15">
        <f>Raw!AW89</f>
        <v>0</v>
      </c>
      <c r="W89" s="15">
        <f>Raw!AX89</f>
        <v>0</v>
      </c>
      <c r="X89" s="15">
        <f>Raw!AY89</f>
        <v>0</v>
      </c>
      <c r="Y89" s="15">
        <f>Raw!AZ89</f>
        <v>0</v>
      </c>
      <c r="Z89" s="15">
        <f>Raw!BA89</f>
        <v>0</v>
      </c>
      <c r="AA89" s="15">
        <f>Raw!BB89</f>
        <v>0</v>
      </c>
      <c r="AB89" s="15">
        <f>Raw!BC89</f>
        <v>0</v>
      </c>
      <c r="AC89" s="15">
        <f>Raw!BD89</f>
        <v>0</v>
      </c>
      <c r="AD89" s="15">
        <f>Raw!BE89</f>
        <v>0</v>
      </c>
      <c r="AE89" s="15">
        <f>Raw!BF89</f>
        <v>0</v>
      </c>
      <c r="AF89" s="15">
        <f>Raw!BG89</f>
        <v>0</v>
      </c>
      <c r="AG89" s="15">
        <f>Raw!BH89</f>
        <v>0</v>
      </c>
      <c r="AH89" s="15">
        <f>Raw!BI89</f>
        <v>0</v>
      </c>
      <c r="AI89" s="15">
        <f>Raw!BJ89</f>
        <v>0</v>
      </c>
      <c r="AJ89" s="15">
        <f>Raw!BK89</f>
        <v>0</v>
      </c>
      <c r="AK89" s="15">
        <f t="shared" si="2"/>
        <v>0</v>
      </c>
      <c r="AL89" s="11">
        <f ca="1">IFERROR(__xludf.DUMMYFUNCTION("""COMPUTED_VALUE"""),1985)</f>
        <v>1985</v>
      </c>
      <c r="AM89" s="11" t="str">
        <f ca="1">IFERROR(__xludf.DUMMYFUNCTION("""COMPUTED_VALUE"""),"USA")</f>
        <v>USA</v>
      </c>
      <c r="AN89" s="11" t="str">
        <f ca="1">IFERROR(__xludf.DUMMYFUNCTION("""COMPUTED_VALUE"""),"Ainsworth/Ainsworth")</f>
        <v>Ainsworth/Ainsworth</v>
      </c>
      <c r="AO89" s="11">
        <f ca="1">IFERROR(__xludf.DUMMYFUNCTION("""COMPUTED_VALUE"""),1)</f>
        <v>1</v>
      </c>
      <c r="AP89" s="11">
        <f ca="1">IFERROR(__xludf.DUMMYFUNCTION("""COMPUTED_VALUE"""),0)</f>
        <v>0</v>
      </c>
      <c r="AQ89" s="11">
        <f ca="1">IFERROR(__xludf.DUMMYFUNCTION("""COMPUTED_VALUE"""),0)</f>
        <v>0</v>
      </c>
      <c r="AR89" s="11">
        <f ca="1">IFERROR(__xludf.DUMMYFUNCTION("""COMPUTED_VALUE"""),1)</f>
        <v>1</v>
      </c>
      <c r="AS89" s="11">
        <f ca="1">IFERROR(__xludf.DUMMYFUNCTION("""COMPUTED_VALUE"""),0.895)</f>
        <v>0.89500000000000002</v>
      </c>
      <c r="AT89" s="11">
        <f ca="1">IFERROR(__xludf.DUMMYFUNCTION("""COMPUTED_VALUE"""),0)</f>
        <v>0</v>
      </c>
      <c r="AU89" s="11" t="str">
        <f ca="1">IFERROR(__xludf.DUMMYFUNCTION("""COMPUTED_VALUE"""),"Mixed")</f>
        <v>Mixed</v>
      </c>
    </row>
    <row r="90" spans="1:47" ht="12.9">
      <c r="A90" s="11">
        <f>Raw!D90</f>
        <v>65</v>
      </c>
      <c r="B90" s="11" t="str">
        <f>Raw!A90</f>
        <v xml:space="preserve">Schneider-Rosen et al. (1985) </v>
      </c>
      <c r="C90" s="11">
        <f>Raw!G90</f>
        <v>2</v>
      </c>
      <c r="D90" s="11" t="str">
        <f>Raw!E90</f>
        <v>Comparison (18-24 mo.)</v>
      </c>
      <c r="E90" s="11" t="str">
        <f>Processed!E90</f>
        <v>Infancy - Infancy</v>
      </c>
      <c r="F90" s="11">
        <f>Raw!AA90</f>
        <v>5</v>
      </c>
      <c r="G90" s="11">
        <f>Raw!AB90</f>
        <v>3</v>
      </c>
      <c r="H90" s="11">
        <f>Raw!AC90</f>
        <v>11</v>
      </c>
      <c r="I90" s="11">
        <f>Raw!AD90</f>
        <v>4</v>
      </c>
      <c r="J90" s="11">
        <f t="shared" si="0"/>
        <v>23</v>
      </c>
      <c r="K90" s="11">
        <f>Raw!AL90</f>
        <v>0</v>
      </c>
      <c r="L90" s="11">
        <f>Raw!AM90</f>
        <v>1</v>
      </c>
      <c r="M90" s="11">
        <f>Raw!AN90</f>
        <v>0</v>
      </c>
      <c r="N90" s="11">
        <f>Raw!AO90</f>
        <v>2</v>
      </c>
      <c r="O90" s="11">
        <f>Raw!AP90</f>
        <v>11</v>
      </c>
      <c r="P90" s="15">
        <f>Raw!AQ90</f>
        <v>2</v>
      </c>
      <c r="Q90" s="15">
        <f>Raw!AR90</f>
        <v>0</v>
      </c>
      <c r="R90" s="15">
        <f>Raw!AS90</f>
        <v>2</v>
      </c>
      <c r="S90" s="15">
        <f>Raw!AT90</f>
        <v>5</v>
      </c>
      <c r="T90" s="11">
        <f t="shared" si="1"/>
        <v>23</v>
      </c>
      <c r="U90" s="15">
        <f>Raw!AV90</f>
        <v>0</v>
      </c>
      <c r="V90" s="15">
        <f>Raw!AW90</f>
        <v>0</v>
      </c>
      <c r="W90" s="15">
        <f>Raw!AX90</f>
        <v>0</v>
      </c>
      <c r="X90" s="15">
        <f>Raw!AY90</f>
        <v>0</v>
      </c>
      <c r="Y90" s="15">
        <f>Raw!AZ90</f>
        <v>0</v>
      </c>
      <c r="Z90" s="15">
        <f>Raw!BA90</f>
        <v>0</v>
      </c>
      <c r="AA90" s="15">
        <f>Raw!BB90</f>
        <v>0</v>
      </c>
      <c r="AB90" s="15">
        <f>Raw!BC90</f>
        <v>0</v>
      </c>
      <c r="AC90" s="15">
        <f>Raw!BD90</f>
        <v>0</v>
      </c>
      <c r="AD90" s="15">
        <f>Raw!BE90</f>
        <v>0</v>
      </c>
      <c r="AE90" s="15">
        <f>Raw!BF90</f>
        <v>0</v>
      </c>
      <c r="AF90" s="15">
        <f>Raw!BG90</f>
        <v>0</v>
      </c>
      <c r="AG90" s="15">
        <f>Raw!BH90</f>
        <v>0</v>
      </c>
      <c r="AH90" s="15">
        <f>Raw!BI90</f>
        <v>0</v>
      </c>
      <c r="AI90" s="15">
        <f>Raw!BJ90</f>
        <v>0</v>
      </c>
      <c r="AJ90" s="15">
        <f>Raw!BK90</f>
        <v>0</v>
      </c>
      <c r="AK90" s="15">
        <f t="shared" si="2"/>
        <v>0</v>
      </c>
      <c r="AL90" s="11">
        <f ca="1">IFERROR(__xludf.DUMMYFUNCTION("""COMPUTED_VALUE"""),1985)</f>
        <v>1985</v>
      </c>
      <c r="AM90" s="11" t="str">
        <f ca="1">IFERROR(__xludf.DUMMYFUNCTION("""COMPUTED_VALUE"""),"USA")</f>
        <v>USA</v>
      </c>
      <c r="AN90" s="11" t="str">
        <f ca="1">IFERROR(__xludf.DUMMYFUNCTION("""COMPUTED_VALUE"""),"Ainsworth/Ainsworth")</f>
        <v>Ainsworth/Ainsworth</v>
      </c>
      <c r="AO90" s="11">
        <f ca="1">IFERROR(__xludf.DUMMYFUNCTION("""COMPUTED_VALUE"""),1)</f>
        <v>1</v>
      </c>
      <c r="AP90" s="11">
        <f ca="1">IFERROR(__xludf.DUMMYFUNCTION("""COMPUTED_VALUE"""),0)</f>
        <v>0</v>
      </c>
      <c r="AQ90" s="11">
        <f ca="1">IFERROR(__xludf.DUMMYFUNCTION("""COMPUTED_VALUE"""),0)</f>
        <v>0</v>
      </c>
      <c r="AR90" s="11">
        <f ca="1">IFERROR(__xludf.DUMMYFUNCTION("""COMPUTED_VALUE"""),1)</f>
        <v>1</v>
      </c>
      <c r="AS90" s="11">
        <f ca="1">IFERROR(__xludf.DUMMYFUNCTION("""COMPUTED_VALUE"""),0.91)</f>
        <v>0.91</v>
      </c>
      <c r="AT90" s="11">
        <f ca="1">IFERROR(__xludf.DUMMYFUNCTION("""COMPUTED_VALUE"""),0)</f>
        <v>0</v>
      </c>
      <c r="AU90" s="11" t="str">
        <f ca="1">IFERROR(__xludf.DUMMYFUNCTION("""COMPUTED_VALUE"""),"Mixed")</f>
        <v>Mixed</v>
      </c>
    </row>
    <row r="91" spans="1:47" ht="12.9">
      <c r="A91" s="11">
        <f>Raw!D91</f>
        <v>66</v>
      </c>
      <c r="B91" s="11" t="str">
        <f>Raw!A91</f>
        <v xml:space="preserve">Schneider-Rosen et al. (1985) </v>
      </c>
      <c r="C91" s="11">
        <f>Raw!G91</f>
        <v>1</v>
      </c>
      <c r="D91" s="11" t="str">
        <f>Raw!E91</f>
        <v>Maltreated (12-18 mo.)</v>
      </c>
      <c r="E91" s="11" t="str">
        <f>Processed!E91</f>
        <v>Infancy - Infancy</v>
      </c>
      <c r="F91" s="11">
        <f>Raw!AA91</f>
        <v>6</v>
      </c>
      <c r="G91" s="11">
        <f>Raw!AB91</f>
        <v>1</v>
      </c>
      <c r="H91" s="11">
        <f>Raw!AC91</f>
        <v>1</v>
      </c>
      <c r="I91" s="11">
        <f>Raw!AD91</f>
        <v>4</v>
      </c>
      <c r="J91" s="11">
        <f t="shared" si="0"/>
        <v>12</v>
      </c>
      <c r="K91" s="11">
        <f>Raw!AL91</f>
        <v>2</v>
      </c>
      <c r="L91" s="11">
        <f>Raw!AM91</f>
        <v>0</v>
      </c>
      <c r="M91" s="11">
        <f>Raw!AN91</f>
        <v>1</v>
      </c>
      <c r="N91" s="11">
        <f>Raw!AO91</f>
        <v>2</v>
      </c>
      <c r="O91" s="11">
        <f>Raw!AP91</f>
        <v>1</v>
      </c>
      <c r="P91" s="15">
        <f>Raw!AQ91</f>
        <v>2</v>
      </c>
      <c r="Q91" s="15">
        <f>Raw!AR91</f>
        <v>1</v>
      </c>
      <c r="R91" s="15">
        <f>Raw!AS91</f>
        <v>1</v>
      </c>
      <c r="S91" s="15">
        <f>Raw!AT91</f>
        <v>2</v>
      </c>
      <c r="T91" s="11">
        <f t="shared" si="1"/>
        <v>12</v>
      </c>
      <c r="U91" s="15">
        <f>Raw!AV91</f>
        <v>0</v>
      </c>
      <c r="V91" s="15">
        <f>Raw!AW91</f>
        <v>0</v>
      </c>
      <c r="W91" s="15">
        <f>Raw!AX91</f>
        <v>0</v>
      </c>
      <c r="X91" s="15">
        <f>Raw!AY91</f>
        <v>0</v>
      </c>
      <c r="Y91" s="15">
        <f>Raw!AZ91</f>
        <v>0</v>
      </c>
      <c r="Z91" s="15">
        <f>Raw!BA91</f>
        <v>0</v>
      </c>
      <c r="AA91" s="15">
        <f>Raw!BB91</f>
        <v>0</v>
      </c>
      <c r="AB91" s="15">
        <f>Raw!BC91</f>
        <v>0</v>
      </c>
      <c r="AC91" s="15">
        <f>Raw!BD91</f>
        <v>0</v>
      </c>
      <c r="AD91" s="15">
        <f>Raw!BE91</f>
        <v>0</v>
      </c>
      <c r="AE91" s="15">
        <f>Raw!BF91</f>
        <v>0</v>
      </c>
      <c r="AF91" s="15">
        <f>Raw!BG91</f>
        <v>0</v>
      </c>
      <c r="AG91" s="15">
        <f>Raw!BH91</f>
        <v>0</v>
      </c>
      <c r="AH91" s="15">
        <f>Raw!BI91</f>
        <v>0</v>
      </c>
      <c r="AI91" s="15">
        <f>Raw!BJ91</f>
        <v>0</v>
      </c>
      <c r="AJ91" s="15">
        <f>Raw!BK91</f>
        <v>0</v>
      </c>
      <c r="AK91" s="15">
        <f t="shared" si="2"/>
        <v>0</v>
      </c>
      <c r="AL91" s="11">
        <f ca="1">IFERROR(__xludf.DUMMYFUNCTION("""COMPUTED_VALUE"""),1985)</f>
        <v>1985</v>
      </c>
      <c r="AM91" s="11" t="str">
        <f ca="1">IFERROR(__xludf.DUMMYFUNCTION("""COMPUTED_VALUE"""),"USA")</f>
        <v>USA</v>
      </c>
      <c r="AN91" s="11" t="str">
        <f ca="1">IFERROR(__xludf.DUMMYFUNCTION("""COMPUTED_VALUE"""),"Ainsworth/Ainsworth")</f>
        <v>Ainsworth/Ainsworth</v>
      </c>
      <c r="AO91" s="11">
        <f ca="1">IFERROR(__xludf.DUMMYFUNCTION("""COMPUTED_VALUE"""),1)</f>
        <v>1</v>
      </c>
      <c r="AP91" s="11">
        <f ca="1">IFERROR(__xludf.DUMMYFUNCTION("""COMPUTED_VALUE"""),1)</f>
        <v>1</v>
      </c>
      <c r="AQ91" s="11">
        <f ca="1">IFERROR(__xludf.DUMMYFUNCTION("""COMPUTED_VALUE"""),0)</f>
        <v>0</v>
      </c>
      <c r="AR91" s="11">
        <f ca="1">IFERROR(__xludf.DUMMYFUNCTION("""COMPUTED_VALUE"""),1)</f>
        <v>1</v>
      </c>
      <c r="AS91" s="11">
        <f ca="1">IFERROR(__xludf.DUMMYFUNCTION("""COMPUTED_VALUE"""),0.895)</f>
        <v>0.89500000000000002</v>
      </c>
      <c r="AT91" s="11">
        <f ca="1">IFERROR(__xludf.DUMMYFUNCTION("""COMPUTED_VALUE"""),0)</f>
        <v>0</v>
      </c>
      <c r="AU91" s="11" t="str">
        <f ca="1">IFERROR(__xludf.DUMMYFUNCTION("""COMPUTED_VALUE"""),"Mixed")</f>
        <v>Mixed</v>
      </c>
    </row>
    <row r="92" spans="1:47" ht="12.9">
      <c r="A92" s="11">
        <f>Raw!D92</f>
        <v>66</v>
      </c>
      <c r="B92" s="11" t="str">
        <f>Raw!A92</f>
        <v xml:space="preserve">Schneider-Rosen et al. (1985) </v>
      </c>
      <c r="C92" s="11">
        <f>Raw!G92</f>
        <v>2</v>
      </c>
      <c r="D92" s="11" t="str">
        <f>Raw!E92</f>
        <v>Maltreated (18-24 mo.)</v>
      </c>
      <c r="E92" s="11" t="str">
        <f>Processed!E92</f>
        <v>Infancy - Infancy</v>
      </c>
      <c r="F92" s="11">
        <f>Raw!AA92</f>
        <v>13</v>
      </c>
      <c r="G92" s="11">
        <f>Raw!AB92</f>
        <v>2</v>
      </c>
      <c r="H92" s="11">
        <f>Raw!AC92</f>
        <v>1</v>
      </c>
      <c r="I92" s="11">
        <f>Raw!AD92</f>
        <v>3</v>
      </c>
      <c r="J92" s="11">
        <f t="shared" si="0"/>
        <v>19</v>
      </c>
      <c r="K92" s="11">
        <f>Raw!AL92</f>
        <v>7</v>
      </c>
      <c r="L92" s="11">
        <f>Raw!AM92</f>
        <v>0</v>
      </c>
      <c r="M92" s="11">
        <f>Raw!AN92</f>
        <v>2</v>
      </c>
      <c r="N92" s="11">
        <f>Raw!AO92</f>
        <v>2</v>
      </c>
      <c r="O92" s="11">
        <f>Raw!AP92</f>
        <v>1</v>
      </c>
      <c r="P92" s="15">
        <f>Raw!AQ92</f>
        <v>1</v>
      </c>
      <c r="Q92" s="15">
        <f>Raw!AR92</f>
        <v>2</v>
      </c>
      <c r="R92" s="15">
        <f>Raw!AS92</f>
        <v>2</v>
      </c>
      <c r="S92" s="15">
        <f>Raw!AT92</f>
        <v>2</v>
      </c>
      <c r="T92" s="11">
        <f t="shared" si="1"/>
        <v>19</v>
      </c>
      <c r="U92" s="15">
        <f>Raw!AV92</f>
        <v>0</v>
      </c>
      <c r="V92" s="15">
        <f>Raw!AW92</f>
        <v>0</v>
      </c>
      <c r="W92" s="15">
        <f>Raw!AX92</f>
        <v>0</v>
      </c>
      <c r="X92" s="15">
        <f>Raw!AY92</f>
        <v>0</v>
      </c>
      <c r="Y92" s="15">
        <f>Raw!AZ92</f>
        <v>0</v>
      </c>
      <c r="Z92" s="15">
        <f>Raw!BA92</f>
        <v>0</v>
      </c>
      <c r="AA92" s="15">
        <f>Raw!BB92</f>
        <v>0</v>
      </c>
      <c r="AB92" s="15">
        <f>Raw!BC92</f>
        <v>0</v>
      </c>
      <c r="AC92" s="15">
        <f>Raw!BD92</f>
        <v>0</v>
      </c>
      <c r="AD92" s="15">
        <f>Raw!BE92</f>
        <v>0</v>
      </c>
      <c r="AE92" s="15">
        <f>Raw!BF92</f>
        <v>0</v>
      </c>
      <c r="AF92" s="15">
        <f>Raw!BG92</f>
        <v>0</v>
      </c>
      <c r="AG92" s="15">
        <f>Raw!BH92</f>
        <v>0</v>
      </c>
      <c r="AH92" s="15">
        <f>Raw!BI92</f>
        <v>0</v>
      </c>
      <c r="AI92" s="15">
        <f>Raw!BJ92</f>
        <v>0</v>
      </c>
      <c r="AJ92" s="15">
        <f>Raw!BK92</f>
        <v>0</v>
      </c>
      <c r="AK92" s="15">
        <f t="shared" si="2"/>
        <v>0</v>
      </c>
      <c r="AL92" s="11">
        <f ca="1">IFERROR(__xludf.DUMMYFUNCTION("""COMPUTED_VALUE"""),1985)</f>
        <v>1985</v>
      </c>
      <c r="AM92" s="11" t="str">
        <f ca="1">IFERROR(__xludf.DUMMYFUNCTION("""COMPUTED_VALUE"""),"USA")</f>
        <v>USA</v>
      </c>
      <c r="AN92" s="11" t="str">
        <f ca="1">IFERROR(__xludf.DUMMYFUNCTION("""COMPUTED_VALUE"""),"Ainsworth/Ainsworth")</f>
        <v>Ainsworth/Ainsworth</v>
      </c>
      <c r="AO92" s="11">
        <f ca="1">IFERROR(__xludf.DUMMYFUNCTION("""COMPUTED_VALUE"""),1)</f>
        <v>1</v>
      </c>
      <c r="AP92" s="11">
        <f ca="1">IFERROR(__xludf.DUMMYFUNCTION("""COMPUTED_VALUE"""),1)</f>
        <v>1</v>
      </c>
      <c r="AQ92" s="11">
        <f ca="1">IFERROR(__xludf.DUMMYFUNCTION("""COMPUTED_VALUE"""),0)</f>
        <v>0</v>
      </c>
      <c r="AR92" s="11">
        <f ca="1">IFERROR(__xludf.DUMMYFUNCTION("""COMPUTED_VALUE"""),1)</f>
        <v>1</v>
      </c>
      <c r="AS92" s="11">
        <f ca="1">IFERROR(__xludf.DUMMYFUNCTION("""COMPUTED_VALUE"""),0.91)</f>
        <v>0.91</v>
      </c>
      <c r="AT92" s="11">
        <f ca="1">IFERROR(__xludf.DUMMYFUNCTION("""COMPUTED_VALUE"""),0)</f>
        <v>0</v>
      </c>
      <c r="AU92" s="11" t="str">
        <f ca="1">IFERROR(__xludf.DUMMYFUNCTION("""COMPUTED_VALUE"""),"Mixed")</f>
        <v>Mixed</v>
      </c>
    </row>
    <row r="93" spans="1:47" ht="12.9">
      <c r="A93" s="11">
        <f>Raw!D93</f>
        <v>67</v>
      </c>
      <c r="B93" s="11" t="str">
        <f>Raw!A93</f>
        <v>Mangelsdorf et al. (1996)</v>
      </c>
      <c r="C93" s="11">
        <f>Raw!G93</f>
        <v>1</v>
      </c>
      <c r="D93" s="11" t="str">
        <f>Raw!E93</f>
        <v>Full-term births</v>
      </c>
      <c r="E93" s="11" t="str">
        <f>Processed!E93</f>
        <v>Infancy - Infancy</v>
      </c>
      <c r="F93" s="11">
        <f>Raw!AA93</f>
        <v>3</v>
      </c>
      <c r="G93" s="11">
        <f>Raw!AB93</f>
        <v>9</v>
      </c>
      <c r="H93" s="11">
        <f>Raw!AC93</f>
        <v>22</v>
      </c>
      <c r="I93" s="11">
        <f>Raw!AD93</f>
        <v>5</v>
      </c>
      <c r="J93" s="11">
        <f t="shared" si="0"/>
        <v>39</v>
      </c>
      <c r="K93" s="11">
        <f>Raw!AL93</f>
        <v>0</v>
      </c>
      <c r="L93" s="11">
        <f>Raw!AM93</f>
        <v>0</v>
      </c>
      <c r="M93" s="11">
        <f>Raw!AN93</f>
        <v>0</v>
      </c>
      <c r="N93" s="11">
        <f>Raw!AO93</f>
        <v>0</v>
      </c>
      <c r="O93" s="11">
        <f>Raw!AP93</f>
        <v>0</v>
      </c>
      <c r="P93" s="15">
        <f>Raw!AQ93</f>
        <v>0</v>
      </c>
      <c r="Q93" s="15">
        <f>Raw!AR93</f>
        <v>0</v>
      </c>
      <c r="R93" s="15">
        <f>Raw!AS93</f>
        <v>0</v>
      </c>
      <c r="S93" s="15">
        <f>Raw!AT93</f>
        <v>0</v>
      </c>
      <c r="T93" s="11">
        <f t="shared" si="1"/>
        <v>0</v>
      </c>
      <c r="U93" s="15">
        <f>Raw!AV93</f>
        <v>0</v>
      </c>
      <c r="V93" s="15">
        <f>Raw!AW93</f>
        <v>0</v>
      </c>
      <c r="W93" s="15">
        <f>Raw!AX93</f>
        <v>0</v>
      </c>
      <c r="X93" s="15">
        <f>Raw!AY93</f>
        <v>0</v>
      </c>
      <c r="Y93" s="15">
        <f>Raw!AZ93</f>
        <v>0</v>
      </c>
      <c r="Z93" s="15">
        <f>Raw!BA93</f>
        <v>0</v>
      </c>
      <c r="AA93" s="15">
        <f>Raw!BB93</f>
        <v>0</v>
      </c>
      <c r="AB93" s="15">
        <f>Raw!BC93</f>
        <v>0</v>
      </c>
      <c r="AC93" s="15">
        <f>Raw!BD93</f>
        <v>0</v>
      </c>
      <c r="AD93" s="15">
        <f>Raw!BE93</f>
        <v>0</v>
      </c>
      <c r="AE93" s="15">
        <f>Raw!BF93</f>
        <v>0</v>
      </c>
      <c r="AF93" s="15">
        <f>Raw!BG93</f>
        <v>0</v>
      </c>
      <c r="AG93" s="15">
        <f>Raw!BH93</f>
        <v>0</v>
      </c>
      <c r="AH93" s="15">
        <f>Raw!BI93</f>
        <v>0</v>
      </c>
      <c r="AI93" s="15">
        <f>Raw!BJ93</f>
        <v>0</v>
      </c>
      <c r="AJ93" s="15">
        <f>Raw!BK93</f>
        <v>0</v>
      </c>
      <c r="AK93" s="15">
        <f t="shared" si="2"/>
        <v>0</v>
      </c>
      <c r="AL93" s="11">
        <f ca="1">IFERROR(__xludf.DUMMYFUNCTION("""COMPUTED_VALUE"""),1996)</f>
        <v>1996</v>
      </c>
      <c r="AM93" s="11" t="str">
        <f ca="1">IFERROR(__xludf.DUMMYFUNCTION("""COMPUTED_VALUE"""),"USA")</f>
        <v>USA</v>
      </c>
      <c r="AN93" s="11" t="str">
        <f ca="1">IFERROR(__xludf.DUMMYFUNCTION("""COMPUTED_VALUE"""),"Ainsworth/Ainsworth")</f>
        <v>Ainsworth/Ainsworth</v>
      </c>
      <c r="AO93" s="11">
        <f ca="1">IFERROR(__xludf.DUMMYFUNCTION("""COMPUTED_VALUE"""),1)</f>
        <v>1</v>
      </c>
      <c r="AP93" s="11">
        <f ca="1">IFERROR(__xludf.DUMMYFUNCTION("""COMPUTED_VALUE"""),0)</f>
        <v>0</v>
      </c>
      <c r="AQ93" s="11">
        <f ca="1">IFERROR(__xludf.DUMMYFUNCTION("""COMPUTED_VALUE"""),0)</f>
        <v>0</v>
      </c>
      <c r="AR93" s="11">
        <f ca="1">IFERROR(__xludf.DUMMYFUNCTION("""COMPUTED_VALUE"""),1)</f>
        <v>1</v>
      </c>
      <c r="AS93" s="11">
        <f ca="1">IFERROR(__xludf.DUMMYFUNCTION("""COMPUTED_VALUE"""),0.9)</f>
        <v>0.9</v>
      </c>
      <c r="AT93" s="11">
        <f ca="1">IFERROR(__xludf.DUMMYFUNCTION("""COMPUTED_VALUE"""),0)</f>
        <v>0</v>
      </c>
      <c r="AU93" s="11" t="str">
        <f ca="1">IFERROR(__xludf.DUMMYFUNCTION("""COMPUTED_VALUE"""),"Female")</f>
        <v>Female</v>
      </c>
    </row>
    <row r="94" spans="1:47" ht="12.9">
      <c r="A94" s="11">
        <f>Raw!D94</f>
        <v>68</v>
      </c>
      <c r="B94" s="11" t="str">
        <f>Raw!A94</f>
        <v>Mangelsdorf et al. (1996)</v>
      </c>
      <c r="C94" s="11">
        <f>Raw!G94</f>
        <v>1</v>
      </c>
      <c r="D94" s="11" t="str">
        <f>Raw!E94</f>
        <v>Low birth weight</v>
      </c>
      <c r="E94" s="11" t="str">
        <f>Processed!E94</f>
        <v>Infancy - Infancy</v>
      </c>
      <c r="F94" s="11">
        <f>Raw!AA94</f>
        <v>7</v>
      </c>
      <c r="G94" s="11">
        <f>Raw!AB94</f>
        <v>5</v>
      </c>
      <c r="H94" s="11">
        <f>Raw!AC94</f>
        <v>11</v>
      </c>
      <c r="I94" s="11">
        <f>Raw!AD94</f>
        <v>8</v>
      </c>
      <c r="J94" s="11">
        <f t="shared" si="0"/>
        <v>31</v>
      </c>
      <c r="K94" s="11">
        <f>Raw!AL94</f>
        <v>0</v>
      </c>
      <c r="L94" s="11">
        <f>Raw!AM94</f>
        <v>0</v>
      </c>
      <c r="M94" s="11">
        <f>Raw!AN94</f>
        <v>0</v>
      </c>
      <c r="N94" s="11">
        <f>Raw!AO94</f>
        <v>0</v>
      </c>
      <c r="O94" s="11">
        <f>Raw!AP94</f>
        <v>0</v>
      </c>
      <c r="P94" s="15">
        <f>Raw!AQ94</f>
        <v>0</v>
      </c>
      <c r="Q94" s="15">
        <f>Raw!AR94</f>
        <v>0</v>
      </c>
      <c r="R94" s="15">
        <f>Raw!AS94</f>
        <v>0</v>
      </c>
      <c r="S94" s="15">
        <f>Raw!AT94</f>
        <v>0</v>
      </c>
      <c r="T94" s="11">
        <f t="shared" si="1"/>
        <v>0</v>
      </c>
      <c r="U94" s="15">
        <f>Raw!AV94</f>
        <v>0</v>
      </c>
      <c r="V94" s="15">
        <f>Raw!AW94</f>
        <v>0</v>
      </c>
      <c r="W94" s="15">
        <f>Raw!AX94</f>
        <v>0</v>
      </c>
      <c r="X94" s="15">
        <f>Raw!AY94</f>
        <v>0</v>
      </c>
      <c r="Y94" s="15">
        <f>Raw!AZ94</f>
        <v>0</v>
      </c>
      <c r="Z94" s="15">
        <f>Raw!BA94</f>
        <v>0</v>
      </c>
      <c r="AA94" s="15">
        <f>Raw!BB94</f>
        <v>0</v>
      </c>
      <c r="AB94" s="15">
        <f>Raw!BC94</f>
        <v>0</v>
      </c>
      <c r="AC94" s="15">
        <f>Raw!BD94</f>
        <v>0</v>
      </c>
      <c r="AD94" s="15">
        <f>Raw!BE94</f>
        <v>0</v>
      </c>
      <c r="AE94" s="15">
        <f>Raw!BF94</f>
        <v>0</v>
      </c>
      <c r="AF94" s="15">
        <f>Raw!BG94</f>
        <v>0</v>
      </c>
      <c r="AG94" s="15">
        <f>Raw!BH94</f>
        <v>0</v>
      </c>
      <c r="AH94" s="15">
        <f>Raw!BI94</f>
        <v>0</v>
      </c>
      <c r="AI94" s="15">
        <f>Raw!BJ94</f>
        <v>0</v>
      </c>
      <c r="AJ94" s="15">
        <f>Raw!BK94</f>
        <v>0</v>
      </c>
      <c r="AK94" s="15">
        <f t="shared" si="2"/>
        <v>0</v>
      </c>
      <c r="AL94" s="11">
        <f ca="1">IFERROR(__xludf.DUMMYFUNCTION("""COMPUTED_VALUE"""),1996)</f>
        <v>1996</v>
      </c>
      <c r="AM94" s="11" t="str">
        <f ca="1">IFERROR(__xludf.DUMMYFUNCTION("""COMPUTED_VALUE"""),"USA")</f>
        <v>USA</v>
      </c>
      <c r="AN94" s="11" t="str">
        <f ca="1">IFERROR(__xludf.DUMMYFUNCTION("""COMPUTED_VALUE"""),"Ainsworth/Ainsworth")</f>
        <v>Ainsworth/Ainsworth</v>
      </c>
      <c r="AO94" s="11">
        <f ca="1">IFERROR(__xludf.DUMMYFUNCTION("""COMPUTED_VALUE"""),1)</f>
        <v>1</v>
      </c>
      <c r="AP94" s="11">
        <f ca="1">IFERROR(__xludf.DUMMYFUNCTION("""COMPUTED_VALUE"""),0)</f>
        <v>0</v>
      </c>
      <c r="AQ94" s="11">
        <f ca="1">IFERROR(__xludf.DUMMYFUNCTION("""COMPUTED_VALUE"""),1)</f>
        <v>1</v>
      </c>
      <c r="AR94" s="11">
        <f ca="1">IFERROR(__xludf.DUMMYFUNCTION("""COMPUTED_VALUE"""),1)</f>
        <v>1</v>
      </c>
      <c r="AS94" s="11">
        <f ca="1">IFERROR(__xludf.DUMMYFUNCTION("""COMPUTED_VALUE"""),0.9)</f>
        <v>0.9</v>
      </c>
      <c r="AT94" s="11">
        <f ca="1">IFERROR(__xludf.DUMMYFUNCTION("""COMPUTED_VALUE"""),0)</f>
        <v>0</v>
      </c>
      <c r="AU94" s="11" t="str">
        <f ca="1">IFERROR(__xludf.DUMMYFUNCTION("""COMPUTED_VALUE"""),"Female")</f>
        <v>Female</v>
      </c>
    </row>
    <row r="95" spans="1:47" ht="12.9">
      <c r="A95" s="11">
        <f>Raw!D95</f>
        <v>69</v>
      </c>
      <c r="B95" s="11" t="str">
        <f>Raw!A95</f>
        <v>Sutton (1994)</v>
      </c>
      <c r="C95" s="11">
        <f>Raw!G95</f>
        <v>1</v>
      </c>
      <c r="D95" s="11" t="str">
        <f>Raw!E95</f>
        <v>14-24 months</v>
      </c>
      <c r="E95" s="11" t="str">
        <f>Processed!E95</f>
        <v>Infancy - Toddlerhood</v>
      </c>
      <c r="F95" s="11">
        <f>Raw!AA95</f>
        <v>0</v>
      </c>
      <c r="G95" s="11">
        <f>Raw!AB95</f>
        <v>0</v>
      </c>
      <c r="H95" s="11">
        <f>Raw!AC95</f>
        <v>0</v>
      </c>
      <c r="I95" s="11">
        <f>Raw!AD95</f>
        <v>0</v>
      </c>
      <c r="J95" s="11">
        <f t="shared" si="0"/>
        <v>0</v>
      </c>
      <c r="K95" s="11">
        <f>Raw!AL95</f>
        <v>0</v>
      </c>
      <c r="L95" s="11">
        <f>Raw!AM95</f>
        <v>0</v>
      </c>
      <c r="M95" s="11">
        <f>Raw!AN95</f>
        <v>0</v>
      </c>
      <c r="N95" s="11">
        <f>Raw!AO95</f>
        <v>0</v>
      </c>
      <c r="O95" s="11">
        <f>Raw!AP95</f>
        <v>0</v>
      </c>
      <c r="P95" s="15">
        <f>Raw!AQ95</f>
        <v>0</v>
      </c>
      <c r="Q95" s="15">
        <f>Raw!AR95</f>
        <v>0</v>
      </c>
      <c r="R95" s="15">
        <f>Raw!AS95</f>
        <v>0</v>
      </c>
      <c r="S95" s="15">
        <f>Raw!AT95</f>
        <v>0</v>
      </c>
      <c r="T95" s="11">
        <f t="shared" si="1"/>
        <v>0</v>
      </c>
      <c r="U95" s="15">
        <f>Raw!AV95</f>
        <v>0</v>
      </c>
      <c r="V95" s="15">
        <f>Raw!AW95</f>
        <v>0</v>
      </c>
      <c r="W95" s="15">
        <f>Raw!AX95</f>
        <v>0</v>
      </c>
      <c r="X95" s="15">
        <f>Raw!AY95</f>
        <v>0</v>
      </c>
      <c r="Y95" s="15">
        <f>Raw!AZ95</f>
        <v>0</v>
      </c>
      <c r="Z95" s="15">
        <f>Raw!BA95</f>
        <v>0</v>
      </c>
      <c r="AA95" s="15">
        <f>Raw!BB95</f>
        <v>0</v>
      </c>
      <c r="AB95" s="15">
        <f>Raw!BC95</f>
        <v>0</v>
      </c>
      <c r="AC95" s="15">
        <f>Raw!BD95</f>
        <v>0</v>
      </c>
      <c r="AD95" s="15">
        <f>Raw!BE95</f>
        <v>0</v>
      </c>
      <c r="AE95" s="15">
        <f>Raw!BF95</f>
        <v>0</v>
      </c>
      <c r="AF95" s="15">
        <f>Raw!BG95</f>
        <v>0</v>
      </c>
      <c r="AG95" s="15">
        <f>Raw!BH95</f>
        <v>0</v>
      </c>
      <c r="AH95" s="15">
        <f>Raw!BI95</f>
        <v>0</v>
      </c>
      <c r="AI95" s="15">
        <f>Raw!BJ95</f>
        <v>0</v>
      </c>
      <c r="AJ95" s="15">
        <f>Raw!BK95</f>
        <v>0</v>
      </c>
      <c r="AK95" s="15">
        <f t="shared" si="2"/>
        <v>0</v>
      </c>
      <c r="AL95" s="11">
        <f ca="1">IFERROR(__xludf.DUMMYFUNCTION("""COMPUTED_VALUE"""),1994)</f>
        <v>1994</v>
      </c>
      <c r="AM95" s="11" t="str">
        <f ca="1">IFERROR(__xludf.DUMMYFUNCTION("""COMPUTED_VALUE"""),"USA")</f>
        <v>USA</v>
      </c>
      <c r="AN95" s="11" t="str">
        <f ca="1">IFERROR(__xludf.DUMMYFUNCTION("""COMPUTED_VALUE"""),"Ainsworth/Ainsworth")</f>
        <v>Ainsworth/Ainsworth</v>
      </c>
      <c r="AO95" s="11">
        <f ca="1">IFERROR(__xludf.DUMMYFUNCTION("""COMPUTED_VALUE"""),0)</f>
        <v>0</v>
      </c>
      <c r="AP95" s="11">
        <f ca="1">IFERROR(__xludf.DUMMYFUNCTION("""COMPUTED_VALUE"""),0)</f>
        <v>0</v>
      </c>
      <c r="AQ95" s="11">
        <f ca="1">IFERROR(__xludf.DUMMYFUNCTION("""COMPUTED_VALUE"""),0)</f>
        <v>0</v>
      </c>
      <c r="AR95" s="11">
        <f ca="1">IFERROR(__xludf.DUMMYFUNCTION("""COMPUTED_VALUE"""),0)</f>
        <v>0</v>
      </c>
      <c r="AS95" s="11">
        <f ca="1">IFERROR(__xludf.DUMMYFUNCTION("""COMPUTED_VALUE"""),0.82)</f>
        <v>0.82</v>
      </c>
      <c r="AT95" s="11">
        <f ca="1">IFERROR(__xludf.DUMMYFUNCTION("""COMPUTED_VALUE"""),0)</f>
        <v>0</v>
      </c>
      <c r="AU95" s="11" t="str">
        <f ca="1">IFERROR(__xludf.DUMMYFUNCTION("""COMPUTED_VALUE"""),"Female")</f>
        <v>Female</v>
      </c>
    </row>
    <row r="96" spans="1:47" ht="12.9">
      <c r="A96" s="11">
        <f>Raw!D96</f>
        <v>69</v>
      </c>
      <c r="B96" s="11" t="str">
        <f>Raw!A96</f>
        <v>Sutton (1994)</v>
      </c>
      <c r="C96" s="11">
        <f>Raw!G96</f>
        <v>2</v>
      </c>
      <c r="D96" s="11" t="str">
        <f>Raw!E96</f>
        <v>14-58 months</v>
      </c>
      <c r="E96" s="11" t="str">
        <f>Processed!E96</f>
        <v>Infancy - Preschool</v>
      </c>
      <c r="F96" s="11">
        <f>Raw!AA96</f>
        <v>0</v>
      </c>
      <c r="G96" s="11">
        <f>Raw!AB96</f>
        <v>0</v>
      </c>
      <c r="H96" s="11">
        <f>Raw!AC96</f>
        <v>0</v>
      </c>
      <c r="I96" s="11">
        <f>Raw!AD96</f>
        <v>0</v>
      </c>
      <c r="J96" s="11">
        <f t="shared" si="0"/>
        <v>0</v>
      </c>
      <c r="K96" s="11">
        <f>Raw!AL96</f>
        <v>0</v>
      </c>
      <c r="L96" s="11">
        <f>Raw!AM96</f>
        <v>0</v>
      </c>
      <c r="M96" s="11">
        <f>Raw!AN96</f>
        <v>0</v>
      </c>
      <c r="N96" s="11">
        <f>Raw!AO96</f>
        <v>0</v>
      </c>
      <c r="O96" s="11">
        <f>Raw!AP96</f>
        <v>0</v>
      </c>
      <c r="P96" s="15">
        <f>Raw!AQ96</f>
        <v>0</v>
      </c>
      <c r="Q96" s="15">
        <f>Raw!AR96</f>
        <v>0</v>
      </c>
      <c r="R96" s="15">
        <f>Raw!AS96</f>
        <v>0</v>
      </c>
      <c r="S96" s="15">
        <f>Raw!AT96</f>
        <v>0</v>
      </c>
      <c r="T96" s="11">
        <f t="shared" si="1"/>
        <v>0</v>
      </c>
      <c r="U96" s="15">
        <f>Raw!AV96</f>
        <v>0</v>
      </c>
      <c r="V96" s="15">
        <f>Raw!AW96</f>
        <v>0</v>
      </c>
      <c r="W96" s="15">
        <f>Raw!AX96</f>
        <v>0</v>
      </c>
      <c r="X96" s="15">
        <f>Raw!AY96</f>
        <v>0</v>
      </c>
      <c r="Y96" s="15">
        <f>Raw!AZ96</f>
        <v>0</v>
      </c>
      <c r="Z96" s="15">
        <f>Raw!BA96</f>
        <v>0</v>
      </c>
      <c r="AA96" s="15">
        <f>Raw!BB96</f>
        <v>0</v>
      </c>
      <c r="AB96" s="15">
        <f>Raw!BC96</f>
        <v>0</v>
      </c>
      <c r="AC96" s="15">
        <f>Raw!BD96</f>
        <v>0</v>
      </c>
      <c r="AD96" s="15">
        <f>Raw!BE96</f>
        <v>0</v>
      </c>
      <c r="AE96" s="15">
        <f>Raw!BF96</f>
        <v>0</v>
      </c>
      <c r="AF96" s="15">
        <f>Raw!BG96</f>
        <v>0</v>
      </c>
      <c r="AG96" s="15">
        <f>Raw!BH96</f>
        <v>0</v>
      </c>
      <c r="AH96" s="15">
        <f>Raw!BI96</f>
        <v>0</v>
      </c>
      <c r="AI96" s="15">
        <f>Raw!BJ96</f>
        <v>0</v>
      </c>
      <c r="AJ96" s="15">
        <f>Raw!BK96</f>
        <v>0</v>
      </c>
      <c r="AK96" s="15">
        <f t="shared" si="2"/>
        <v>0</v>
      </c>
      <c r="AL96" s="11">
        <f ca="1">IFERROR(__xludf.DUMMYFUNCTION("""COMPUTED_VALUE"""),1994)</f>
        <v>1994</v>
      </c>
      <c r="AM96" s="11" t="str">
        <f ca="1">IFERROR(__xludf.DUMMYFUNCTION("""COMPUTED_VALUE"""),"USA")</f>
        <v>USA</v>
      </c>
      <c r="AN96" s="11" t="str">
        <f ca="1">IFERROR(__xludf.DUMMYFUNCTION("""COMPUTED_VALUE"""),"Ainsworth/Cassidy-Marvin")</f>
        <v>Ainsworth/Cassidy-Marvin</v>
      </c>
      <c r="AO96" s="11">
        <f ca="1">IFERROR(__xludf.DUMMYFUNCTION("""COMPUTED_VALUE"""),0)</f>
        <v>0</v>
      </c>
      <c r="AP96" s="11">
        <f ca="1">IFERROR(__xludf.DUMMYFUNCTION("""COMPUTED_VALUE"""),0)</f>
        <v>0</v>
      </c>
      <c r="AQ96" s="11">
        <f ca="1">IFERROR(__xludf.DUMMYFUNCTION("""COMPUTED_VALUE"""),0)</f>
        <v>0</v>
      </c>
      <c r="AR96" s="11">
        <f ca="1">IFERROR(__xludf.DUMMYFUNCTION("""COMPUTED_VALUE"""),0)</f>
        <v>0</v>
      </c>
      <c r="AS96" s="11">
        <f ca="1">IFERROR(__xludf.DUMMYFUNCTION("""COMPUTED_VALUE"""),0.82)</f>
        <v>0.82</v>
      </c>
      <c r="AT96" s="11">
        <f ca="1">IFERROR(__xludf.DUMMYFUNCTION("""COMPUTED_VALUE"""),0)</f>
        <v>0</v>
      </c>
      <c r="AU96" s="11" t="str">
        <f ca="1">IFERROR(__xludf.DUMMYFUNCTION("""COMPUTED_VALUE"""),"Female")</f>
        <v>Female</v>
      </c>
    </row>
    <row r="97" spans="1:47" ht="12.9">
      <c r="A97" s="11">
        <f>Raw!D97</f>
        <v>69</v>
      </c>
      <c r="B97" s="11" t="str">
        <f>Raw!A97</f>
        <v>Sutton (1994)</v>
      </c>
      <c r="C97" s="11">
        <f>Raw!G97</f>
        <v>3</v>
      </c>
      <c r="D97" s="11" t="str">
        <f>Raw!E97</f>
        <v>24-58 months</v>
      </c>
      <c r="E97" s="11" t="str">
        <f>Processed!E97</f>
        <v>Toddlerhood - Preschool</v>
      </c>
      <c r="F97" s="11">
        <f>Raw!AA97</f>
        <v>0</v>
      </c>
      <c r="G97" s="11">
        <f>Raw!AB97</f>
        <v>0</v>
      </c>
      <c r="H97" s="11">
        <f>Raw!AC97</f>
        <v>0</v>
      </c>
      <c r="I97" s="11">
        <f>Raw!AD97</f>
        <v>0</v>
      </c>
      <c r="J97" s="11">
        <f t="shared" si="0"/>
        <v>0</v>
      </c>
      <c r="K97" s="11">
        <f>Raw!AL97</f>
        <v>0</v>
      </c>
      <c r="L97" s="11">
        <f>Raw!AM97</f>
        <v>0</v>
      </c>
      <c r="M97" s="11">
        <f>Raw!AN97</f>
        <v>0</v>
      </c>
      <c r="N97" s="11">
        <f>Raw!AO97</f>
        <v>0</v>
      </c>
      <c r="O97" s="11">
        <f>Raw!AP97</f>
        <v>0</v>
      </c>
      <c r="P97" s="15">
        <f>Raw!AQ97</f>
        <v>0</v>
      </c>
      <c r="Q97" s="15">
        <f>Raw!AR97</f>
        <v>0</v>
      </c>
      <c r="R97" s="15">
        <f>Raw!AS97</f>
        <v>0</v>
      </c>
      <c r="S97" s="15">
        <f>Raw!AT97</f>
        <v>0</v>
      </c>
      <c r="T97" s="11">
        <f t="shared" si="1"/>
        <v>0</v>
      </c>
      <c r="U97" s="15">
        <f>Raw!AV97</f>
        <v>0</v>
      </c>
      <c r="V97" s="15">
        <f>Raw!AW97</f>
        <v>0</v>
      </c>
      <c r="W97" s="15">
        <f>Raw!AX97</f>
        <v>0</v>
      </c>
      <c r="X97" s="15">
        <f>Raw!AY97</f>
        <v>0</v>
      </c>
      <c r="Y97" s="15">
        <f>Raw!AZ97</f>
        <v>0</v>
      </c>
      <c r="Z97" s="15">
        <f>Raw!BA97</f>
        <v>0</v>
      </c>
      <c r="AA97" s="15">
        <f>Raw!BB97</f>
        <v>0</v>
      </c>
      <c r="AB97" s="15">
        <f>Raw!BC97</f>
        <v>0</v>
      </c>
      <c r="AC97" s="15">
        <f>Raw!BD97</f>
        <v>0</v>
      </c>
      <c r="AD97" s="15">
        <f>Raw!BE97</f>
        <v>0</v>
      </c>
      <c r="AE97" s="15">
        <f>Raw!BF97</f>
        <v>0</v>
      </c>
      <c r="AF97" s="15">
        <f>Raw!BG97</f>
        <v>0</v>
      </c>
      <c r="AG97" s="15">
        <f>Raw!BH97</f>
        <v>0</v>
      </c>
      <c r="AH97" s="15">
        <f>Raw!BI97</f>
        <v>0</v>
      </c>
      <c r="AI97" s="15">
        <f>Raw!BJ97</f>
        <v>0</v>
      </c>
      <c r="AJ97" s="15">
        <f>Raw!BK97</f>
        <v>0</v>
      </c>
      <c r="AK97" s="15">
        <f t="shared" si="2"/>
        <v>0</v>
      </c>
      <c r="AL97" s="11">
        <f ca="1">IFERROR(__xludf.DUMMYFUNCTION("""COMPUTED_VALUE"""),1994)</f>
        <v>1994</v>
      </c>
      <c r="AM97" s="11" t="str">
        <f ca="1">IFERROR(__xludf.DUMMYFUNCTION("""COMPUTED_VALUE"""),"USA")</f>
        <v>USA</v>
      </c>
      <c r="AN97" s="11" t="str">
        <f ca="1">IFERROR(__xludf.DUMMYFUNCTION("""COMPUTED_VALUE"""),"Ainsworth/Cassidy-Marvin")</f>
        <v>Ainsworth/Cassidy-Marvin</v>
      </c>
      <c r="AO97" s="11">
        <f ca="1">IFERROR(__xludf.DUMMYFUNCTION("""COMPUTED_VALUE"""),0)</f>
        <v>0</v>
      </c>
      <c r="AP97" s="11">
        <f ca="1">IFERROR(__xludf.DUMMYFUNCTION("""COMPUTED_VALUE"""),0)</f>
        <v>0</v>
      </c>
      <c r="AQ97" s="11">
        <f ca="1">IFERROR(__xludf.DUMMYFUNCTION("""COMPUTED_VALUE"""),0)</f>
        <v>0</v>
      </c>
      <c r="AR97" s="11">
        <f ca="1">IFERROR(__xludf.DUMMYFUNCTION("""COMPUTED_VALUE"""),0)</f>
        <v>0</v>
      </c>
      <c r="AS97" s="11">
        <f ca="1">IFERROR(__xludf.DUMMYFUNCTION("""COMPUTED_VALUE"""),0.82)</f>
        <v>0.82</v>
      </c>
      <c r="AT97" s="11">
        <f ca="1">IFERROR(__xludf.DUMMYFUNCTION("""COMPUTED_VALUE"""),0)</f>
        <v>0</v>
      </c>
      <c r="AU97" s="11" t="str">
        <f ca="1">IFERROR(__xludf.DUMMYFUNCTION("""COMPUTED_VALUE"""),"Female")</f>
        <v>Female</v>
      </c>
    </row>
    <row r="98" spans="1:47" ht="12.9">
      <c r="A98" s="11">
        <f>Raw!D98</f>
        <v>70</v>
      </c>
      <c r="B98" s="11" t="str">
        <f>Raw!A98</f>
        <v>Touris, Krimelow, &amp; Harding (1995)</v>
      </c>
      <c r="C98" s="11">
        <f>Raw!G98</f>
        <v>1</v>
      </c>
      <c r="D98" s="11" t="str">
        <f>Raw!E98</f>
        <v>At-risk</v>
      </c>
      <c r="E98" s="11" t="str">
        <f>Processed!E98</f>
        <v>Toddlerhood - Toddlerhood</v>
      </c>
      <c r="F98" s="11">
        <f>Raw!AA98</f>
        <v>2</v>
      </c>
      <c r="G98" s="11">
        <f>Raw!AB98</f>
        <v>5</v>
      </c>
      <c r="H98" s="11">
        <f>Raw!AC98</f>
        <v>7</v>
      </c>
      <c r="I98" s="11">
        <f>Raw!AD98</f>
        <v>6</v>
      </c>
      <c r="J98" s="11">
        <f t="shared" si="0"/>
        <v>20</v>
      </c>
      <c r="K98" s="11">
        <f>Raw!AL98</f>
        <v>0</v>
      </c>
      <c r="L98" s="11">
        <f>Raw!AM98</f>
        <v>0</v>
      </c>
      <c r="M98" s="11">
        <f>Raw!AN98</f>
        <v>0</v>
      </c>
      <c r="N98" s="11">
        <f>Raw!AO98</f>
        <v>0</v>
      </c>
      <c r="O98" s="11">
        <f>Raw!AP98</f>
        <v>0</v>
      </c>
      <c r="P98" s="15">
        <f>Raw!AQ98</f>
        <v>0</v>
      </c>
      <c r="Q98" s="15">
        <f>Raw!AR98</f>
        <v>0</v>
      </c>
      <c r="R98" s="15">
        <f>Raw!AS98</f>
        <v>0</v>
      </c>
      <c r="S98" s="15">
        <f>Raw!AT98</f>
        <v>0</v>
      </c>
      <c r="T98" s="11">
        <f t="shared" si="1"/>
        <v>0</v>
      </c>
      <c r="U98" s="15">
        <f>Raw!AV98</f>
        <v>0</v>
      </c>
      <c r="V98" s="15">
        <f>Raw!AW98</f>
        <v>0</v>
      </c>
      <c r="W98" s="15">
        <f>Raw!AX98</f>
        <v>0</v>
      </c>
      <c r="X98" s="15">
        <f>Raw!AY98</f>
        <v>0</v>
      </c>
      <c r="Y98" s="15">
        <f>Raw!AZ98</f>
        <v>0</v>
      </c>
      <c r="Z98" s="15">
        <f>Raw!BA98</f>
        <v>0</v>
      </c>
      <c r="AA98" s="15">
        <f>Raw!BB98</f>
        <v>0</v>
      </c>
      <c r="AB98" s="15">
        <f>Raw!BC98</f>
        <v>0</v>
      </c>
      <c r="AC98" s="15">
        <f>Raw!BD98</f>
        <v>0</v>
      </c>
      <c r="AD98" s="15">
        <f>Raw!BE98</f>
        <v>0</v>
      </c>
      <c r="AE98" s="15">
        <f>Raw!BF98</f>
        <v>0</v>
      </c>
      <c r="AF98" s="15">
        <f>Raw!BG98</f>
        <v>0</v>
      </c>
      <c r="AG98" s="15">
        <f>Raw!BH98</f>
        <v>0</v>
      </c>
      <c r="AH98" s="15">
        <f>Raw!BI98</f>
        <v>0</v>
      </c>
      <c r="AI98" s="15">
        <f>Raw!BJ98</f>
        <v>0</v>
      </c>
      <c r="AJ98" s="15">
        <f>Raw!BK98</f>
        <v>0</v>
      </c>
      <c r="AK98" s="15">
        <f t="shared" si="2"/>
        <v>0</v>
      </c>
      <c r="AL98" s="11">
        <f ca="1">IFERROR(__xludf.DUMMYFUNCTION("""COMPUTED_VALUE"""),1995)</f>
        <v>1995</v>
      </c>
      <c r="AM98" s="11" t="str">
        <f ca="1">IFERROR(__xludf.DUMMYFUNCTION("""COMPUTED_VALUE"""),"USA")</f>
        <v>USA</v>
      </c>
      <c r="AN98" s="11" t="str">
        <f ca="1">IFERROR(__xludf.DUMMYFUNCTION("""COMPUTED_VALUE"""),"Ainsworth/Ainsworth")</f>
        <v>Ainsworth/Ainsworth</v>
      </c>
      <c r="AO98" s="11">
        <f ca="1">IFERROR(__xludf.DUMMYFUNCTION("""COMPUTED_VALUE"""),1)</f>
        <v>1</v>
      </c>
      <c r="AP98" s="11">
        <f ca="1">IFERROR(__xludf.DUMMYFUNCTION("""COMPUTED_VALUE"""),1)</f>
        <v>1</v>
      </c>
      <c r="AQ98" s="11">
        <f ca="1">IFERROR(__xludf.DUMMYFUNCTION("""COMPUTED_VALUE"""),0)</f>
        <v>0</v>
      </c>
      <c r="AR98" s="11">
        <f ca="1">IFERROR(__xludf.DUMMYFUNCTION("""COMPUTED_VALUE"""),1)</f>
        <v>1</v>
      </c>
      <c r="AS98" s="11">
        <f ca="1">IFERROR(__xludf.DUMMYFUNCTION("""COMPUTED_VALUE"""),0.82)</f>
        <v>0.82</v>
      </c>
      <c r="AT98" s="11">
        <f ca="1">IFERROR(__xludf.DUMMYFUNCTION("""COMPUTED_VALUE"""),0)</f>
        <v>0</v>
      </c>
      <c r="AU98" s="11" t="str">
        <f ca="1">IFERROR(__xludf.DUMMYFUNCTION("""COMPUTED_VALUE"""),"Female")</f>
        <v>Female</v>
      </c>
    </row>
    <row r="99" spans="1:47" ht="12.9">
      <c r="A99" s="11">
        <f>Raw!D99</f>
        <v>71</v>
      </c>
      <c r="B99" s="11" t="str">
        <f>Raw!A99</f>
        <v>Touris, Krimelow, &amp; Harding (1995)</v>
      </c>
      <c r="C99" s="11">
        <f>Raw!G99</f>
        <v>2</v>
      </c>
      <c r="D99" s="11" t="str">
        <f>Raw!E99</f>
        <v>Comparison</v>
      </c>
      <c r="E99" s="11" t="str">
        <f>Processed!E99</f>
        <v>Toddlerhood - Toddlerhood</v>
      </c>
      <c r="F99" s="11">
        <f>Raw!AA99</f>
        <v>1</v>
      </c>
      <c r="G99" s="11">
        <f>Raw!AB99</f>
        <v>2</v>
      </c>
      <c r="H99" s="11">
        <f>Raw!AC99</f>
        <v>15</v>
      </c>
      <c r="I99" s="11">
        <f>Raw!AD99</f>
        <v>2</v>
      </c>
      <c r="J99" s="11">
        <f t="shared" si="0"/>
        <v>20</v>
      </c>
      <c r="K99" s="11">
        <f>Raw!AL99</f>
        <v>0</v>
      </c>
      <c r="L99" s="11">
        <f>Raw!AM99</f>
        <v>0</v>
      </c>
      <c r="M99" s="11">
        <f>Raw!AN99</f>
        <v>0</v>
      </c>
      <c r="N99" s="11">
        <f>Raw!AO99</f>
        <v>0</v>
      </c>
      <c r="O99" s="11">
        <f>Raw!AP99</f>
        <v>0</v>
      </c>
      <c r="P99" s="15">
        <f>Raw!AQ99</f>
        <v>0</v>
      </c>
      <c r="Q99" s="15">
        <f>Raw!AR99</f>
        <v>0</v>
      </c>
      <c r="R99" s="15">
        <f>Raw!AS99</f>
        <v>0</v>
      </c>
      <c r="S99" s="15">
        <f>Raw!AT99</f>
        <v>0</v>
      </c>
      <c r="T99" s="11">
        <f t="shared" si="1"/>
        <v>0</v>
      </c>
      <c r="U99" s="15">
        <f>Raw!AV99</f>
        <v>0</v>
      </c>
      <c r="V99" s="15">
        <f>Raw!AW99</f>
        <v>0</v>
      </c>
      <c r="W99" s="15">
        <f>Raw!AX99</f>
        <v>0</v>
      </c>
      <c r="X99" s="15">
        <f>Raw!AY99</f>
        <v>0</v>
      </c>
      <c r="Y99" s="15">
        <f>Raw!AZ99</f>
        <v>0</v>
      </c>
      <c r="Z99" s="15">
        <f>Raw!BA99</f>
        <v>0</v>
      </c>
      <c r="AA99" s="15">
        <f>Raw!BB99</f>
        <v>0</v>
      </c>
      <c r="AB99" s="15">
        <f>Raw!BC99</f>
        <v>0</v>
      </c>
      <c r="AC99" s="15">
        <f>Raw!BD99</f>
        <v>0</v>
      </c>
      <c r="AD99" s="15">
        <f>Raw!BE99</f>
        <v>0</v>
      </c>
      <c r="AE99" s="15">
        <f>Raw!BF99</f>
        <v>0</v>
      </c>
      <c r="AF99" s="15">
        <f>Raw!BG99</f>
        <v>0</v>
      </c>
      <c r="AG99" s="15">
        <f>Raw!BH99</f>
        <v>0</v>
      </c>
      <c r="AH99" s="15">
        <f>Raw!BI99</f>
        <v>0</v>
      </c>
      <c r="AI99" s="15">
        <f>Raw!BJ99</f>
        <v>0</v>
      </c>
      <c r="AJ99" s="15">
        <f>Raw!BK99</f>
        <v>0</v>
      </c>
      <c r="AK99" s="15">
        <f t="shared" si="2"/>
        <v>0</v>
      </c>
      <c r="AL99" s="11">
        <f ca="1">IFERROR(__xludf.DUMMYFUNCTION("""COMPUTED_VALUE"""),1995)</f>
        <v>1995</v>
      </c>
      <c r="AM99" s="11" t="str">
        <f ca="1">IFERROR(__xludf.DUMMYFUNCTION("""COMPUTED_VALUE"""),"USA")</f>
        <v>USA</v>
      </c>
      <c r="AN99" s="11" t="str">
        <f ca="1">IFERROR(__xludf.DUMMYFUNCTION("""COMPUTED_VALUE"""),"Ainsworth/Ainsworth")</f>
        <v>Ainsworth/Ainsworth</v>
      </c>
      <c r="AO99" s="11">
        <f ca="1">IFERROR(__xludf.DUMMYFUNCTION("""COMPUTED_VALUE"""),1)</f>
        <v>1</v>
      </c>
      <c r="AP99" s="11">
        <f ca="1">IFERROR(__xludf.DUMMYFUNCTION("""COMPUTED_VALUE"""),0)</f>
        <v>0</v>
      </c>
      <c r="AQ99" s="11">
        <f ca="1">IFERROR(__xludf.DUMMYFUNCTION("""COMPUTED_VALUE"""),0)</f>
        <v>0</v>
      </c>
      <c r="AR99" s="11">
        <f ca="1">IFERROR(__xludf.DUMMYFUNCTION("""COMPUTED_VALUE"""),1)</f>
        <v>1</v>
      </c>
      <c r="AS99" s="11">
        <f ca="1">IFERROR(__xludf.DUMMYFUNCTION("""COMPUTED_VALUE"""),0.82)</f>
        <v>0.82</v>
      </c>
      <c r="AT99" s="11">
        <f ca="1">IFERROR(__xludf.DUMMYFUNCTION("""COMPUTED_VALUE"""),0)</f>
        <v>0</v>
      </c>
      <c r="AU99" s="11" t="str">
        <f ca="1">IFERROR(__xludf.DUMMYFUNCTION("""COMPUTED_VALUE"""),"Female")</f>
        <v>Female</v>
      </c>
    </row>
    <row r="100" spans="1:47" ht="12.9">
      <c r="A100" s="11">
        <f>Raw!D100</f>
        <v>72</v>
      </c>
      <c r="B100" s="11" t="str">
        <f>Raw!A100</f>
        <v>Egeland &amp; Farber (1984)</v>
      </c>
      <c r="C100" s="11">
        <f>Raw!G100</f>
        <v>1</v>
      </c>
      <c r="D100" s="11" t="str">
        <f>Raw!E100</f>
        <v>Mother-child</v>
      </c>
      <c r="E100" s="11" t="str">
        <f>Processed!E100</f>
        <v>Infancy - Infancy</v>
      </c>
      <c r="F100" s="11">
        <f>Raw!AA100</f>
        <v>47</v>
      </c>
      <c r="G100" s="11">
        <f>Raw!AB100</f>
        <v>35</v>
      </c>
      <c r="H100" s="11">
        <f>Raw!AC100</f>
        <v>79</v>
      </c>
      <c r="I100" s="11">
        <f>Raw!AD100</f>
        <v>28</v>
      </c>
      <c r="J100" s="11">
        <f t="shared" si="0"/>
        <v>189</v>
      </c>
      <c r="K100" s="11">
        <f>Raw!AL100</f>
        <v>20</v>
      </c>
      <c r="L100" s="11">
        <f>Raw!AM100</f>
        <v>17</v>
      </c>
      <c r="M100" s="11">
        <f>Raw!AN100</f>
        <v>7</v>
      </c>
      <c r="N100" s="11">
        <f>Raw!AO100</f>
        <v>17</v>
      </c>
      <c r="O100" s="11">
        <f>Raw!AP100</f>
        <v>79</v>
      </c>
      <c r="P100" s="15">
        <f>Raw!AQ100</f>
        <v>11</v>
      </c>
      <c r="Q100" s="15">
        <f>Raw!AR100</f>
        <v>6</v>
      </c>
      <c r="R100" s="15">
        <f>Raw!AS100</f>
        <v>18</v>
      </c>
      <c r="S100" s="15">
        <f>Raw!AT100</f>
        <v>14</v>
      </c>
      <c r="T100" s="11">
        <f t="shared" si="1"/>
        <v>189</v>
      </c>
      <c r="U100" s="15">
        <f>Raw!AV100</f>
        <v>0</v>
      </c>
      <c r="V100" s="15">
        <f>Raw!AW100</f>
        <v>0</v>
      </c>
      <c r="W100" s="15">
        <f>Raw!AX100</f>
        <v>0</v>
      </c>
      <c r="X100" s="15">
        <f>Raw!AY100</f>
        <v>0</v>
      </c>
      <c r="Y100" s="15">
        <f>Raw!AZ100</f>
        <v>0</v>
      </c>
      <c r="Z100" s="15">
        <f>Raw!BA100</f>
        <v>0</v>
      </c>
      <c r="AA100" s="15">
        <f>Raw!BB100</f>
        <v>0</v>
      </c>
      <c r="AB100" s="15">
        <f>Raw!BC100</f>
        <v>0</v>
      </c>
      <c r="AC100" s="15">
        <f>Raw!BD100</f>
        <v>0</v>
      </c>
      <c r="AD100" s="15">
        <f>Raw!BE100</f>
        <v>0</v>
      </c>
      <c r="AE100" s="15">
        <f>Raw!BF100</f>
        <v>0</v>
      </c>
      <c r="AF100" s="15">
        <f>Raw!BG100</f>
        <v>0</v>
      </c>
      <c r="AG100" s="15">
        <f>Raw!BH100</f>
        <v>0</v>
      </c>
      <c r="AH100" s="15">
        <f>Raw!BI100</f>
        <v>0</v>
      </c>
      <c r="AI100" s="15">
        <f>Raw!BJ100</f>
        <v>0</v>
      </c>
      <c r="AJ100" s="15">
        <f>Raw!BK100</f>
        <v>0</v>
      </c>
      <c r="AK100" s="15">
        <f t="shared" si="2"/>
        <v>0</v>
      </c>
      <c r="AL100" s="11">
        <f ca="1">IFERROR(__xludf.DUMMYFUNCTION("""COMPUTED_VALUE"""),1984)</f>
        <v>1984</v>
      </c>
      <c r="AM100" s="11" t="str">
        <f ca="1">IFERROR(__xludf.DUMMYFUNCTION("""COMPUTED_VALUE"""),"USA")</f>
        <v>USA</v>
      </c>
      <c r="AN100" s="11" t="str">
        <f ca="1">IFERROR(__xludf.DUMMYFUNCTION("""COMPUTED_VALUE"""),"Ainsworth/Ainsworth")</f>
        <v>Ainsworth/Ainsworth</v>
      </c>
      <c r="AO100" s="11">
        <f ca="1">IFERROR(__xludf.DUMMYFUNCTION("""COMPUTED_VALUE"""),1)</f>
        <v>1</v>
      </c>
      <c r="AP100" s="11">
        <f ca="1">IFERROR(__xludf.DUMMYFUNCTION("""COMPUTED_VALUE"""),1)</f>
        <v>1</v>
      </c>
      <c r="AQ100" s="11">
        <f ca="1">IFERROR(__xludf.DUMMYFUNCTION("""COMPUTED_VALUE"""),0)</f>
        <v>0</v>
      </c>
      <c r="AR100" s="11">
        <f ca="1">IFERROR(__xludf.DUMMYFUNCTION("""COMPUTED_VALUE"""),1)</f>
        <v>1</v>
      </c>
      <c r="AS100" s="11">
        <f ca="1">IFERROR(__xludf.DUMMYFUNCTION("""COMPUTED_VALUE"""),0.91)</f>
        <v>0.91</v>
      </c>
      <c r="AT100" s="11">
        <f ca="1">IFERROR(__xludf.DUMMYFUNCTION("""COMPUTED_VALUE"""),0)</f>
        <v>0</v>
      </c>
      <c r="AU100" s="11" t="str">
        <f ca="1">IFERROR(__xludf.DUMMYFUNCTION("""COMPUTED_VALUE"""),"Female")</f>
        <v>Female</v>
      </c>
    </row>
    <row r="101" spans="1:47" ht="12.9">
      <c r="A101" s="11">
        <f>Raw!D101</f>
        <v>73</v>
      </c>
      <c r="B101" s="11" t="str">
        <f>Raw!A101</f>
        <v>Egeland &amp; Sroufe (1981)</v>
      </c>
      <c r="C101" s="11">
        <f>Raw!G101</f>
        <v>1</v>
      </c>
      <c r="D101" s="11" t="str">
        <f>Raw!E101</f>
        <v>Maltreated</v>
      </c>
      <c r="E101" s="11" t="str">
        <f>Processed!E101</f>
        <v>Infancy - Infancy</v>
      </c>
      <c r="F101" s="11">
        <f>Raw!AA101</f>
        <v>9</v>
      </c>
      <c r="G101" s="11">
        <f>Raw!AB101</f>
        <v>7</v>
      </c>
      <c r="H101" s="11">
        <f>Raw!AC101</f>
        <v>7</v>
      </c>
      <c r="I101" s="11">
        <f>Raw!AD101</f>
        <v>2</v>
      </c>
      <c r="J101" s="11">
        <f t="shared" si="0"/>
        <v>25</v>
      </c>
      <c r="K101" s="11">
        <f>Raw!AL101</f>
        <v>4</v>
      </c>
      <c r="L101" s="11">
        <f>Raw!AM101</f>
        <v>2</v>
      </c>
      <c r="M101" s="11">
        <f>Raw!AN101</f>
        <v>1</v>
      </c>
      <c r="N101" s="11">
        <f>Raw!AO101</f>
        <v>2</v>
      </c>
      <c r="O101" s="11">
        <f>Raw!AP101</f>
        <v>7</v>
      </c>
      <c r="P101" s="15">
        <f>Raw!AQ101</f>
        <v>0</v>
      </c>
      <c r="Q101" s="15">
        <f>Raw!AR101</f>
        <v>3</v>
      </c>
      <c r="R101" s="15">
        <f>Raw!AS101</f>
        <v>5</v>
      </c>
      <c r="S101" s="15">
        <f>Raw!AT101</f>
        <v>1</v>
      </c>
      <c r="T101" s="11">
        <f t="shared" si="1"/>
        <v>25</v>
      </c>
      <c r="U101" s="15">
        <f>Raw!AV101</f>
        <v>0</v>
      </c>
      <c r="V101" s="15">
        <f>Raw!AW101</f>
        <v>0</v>
      </c>
      <c r="W101" s="15">
        <f>Raw!AX101</f>
        <v>0</v>
      </c>
      <c r="X101" s="15">
        <f>Raw!AY101</f>
        <v>0</v>
      </c>
      <c r="Y101" s="15">
        <f>Raw!AZ101</f>
        <v>0</v>
      </c>
      <c r="Z101" s="15">
        <f>Raw!BA101</f>
        <v>0</v>
      </c>
      <c r="AA101" s="15">
        <f>Raw!BB101</f>
        <v>0</v>
      </c>
      <c r="AB101" s="15">
        <f>Raw!BC101</f>
        <v>0</v>
      </c>
      <c r="AC101" s="15">
        <f>Raw!BD101</f>
        <v>0</v>
      </c>
      <c r="AD101" s="15">
        <f>Raw!BE101</f>
        <v>0</v>
      </c>
      <c r="AE101" s="15">
        <f>Raw!BF101</f>
        <v>0</v>
      </c>
      <c r="AF101" s="15">
        <f>Raw!BG101</f>
        <v>0</v>
      </c>
      <c r="AG101" s="15">
        <f>Raw!BH101</f>
        <v>0</v>
      </c>
      <c r="AH101" s="15">
        <f>Raw!BI101</f>
        <v>0</v>
      </c>
      <c r="AI101" s="15">
        <f>Raw!BJ101</f>
        <v>0</v>
      </c>
      <c r="AJ101" s="15">
        <f>Raw!BK101</f>
        <v>0</v>
      </c>
      <c r="AK101" s="15">
        <f t="shared" si="2"/>
        <v>0</v>
      </c>
      <c r="AL101" s="11">
        <f ca="1">IFERROR(__xludf.DUMMYFUNCTION("""COMPUTED_VALUE"""),1981)</f>
        <v>1981</v>
      </c>
      <c r="AM101" s="11" t="str">
        <f ca="1">IFERROR(__xludf.DUMMYFUNCTION("""COMPUTED_VALUE"""),"USA")</f>
        <v>USA</v>
      </c>
      <c r="AN101" s="11" t="str">
        <f ca="1">IFERROR(__xludf.DUMMYFUNCTION("""COMPUTED_VALUE"""),"Ainsworth/Ainsworth")</f>
        <v>Ainsworth/Ainsworth</v>
      </c>
      <c r="AO101" s="11">
        <f ca="1">IFERROR(__xludf.DUMMYFUNCTION("""COMPUTED_VALUE"""),1)</f>
        <v>1</v>
      </c>
      <c r="AP101" s="11">
        <f ca="1">IFERROR(__xludf.DUMMYFUNCTION("""COMPUTED_VALUE"""),1)</f>
        <v>1</v>
      </c>
      <c r="AQ101" s="11">
        <f ca="1">IFERROR(__xludf.DUMMYFUNCTION("""COMPUTED_VALUE"""),0)</f>
        <v>0</v>
      </c>
      <c r="AR101" s="11">
        <f ca="1">IFERROR(__xludf.DUMMYFUNCTION("""COMPUTED_VALUE"""),1)</f>
        <v>1</v>
      </c>
      <c r="AS101" s="11">
        <f ca="1">IFERROR(__xludf.DUMMYFUNCTION("""COMPUTED_VALUE"""),0.91)</f>
        <v>0.91</v>
      </c>
      <c r="AT101" s="11">
        <f ca="1">IFERROR(__xludf.DUMMYFUNCTION("""COMPUTED_VALUE"""),0)</f>
        <v>0</v>
      </c>
      <c r="AU101" s="11" t="str">
        <f ca="1">IFERROR(__xludf.DUMMYFUNCTION("""COMPUTED_VALUE"""),"Female")</f>
        <v>Female</v>
      </c>
    </row>
    <row r="102" spans="1:47" ht="12.9">
      <c r="A102" s="11">
        <f>Raw!D102</f>
        <v>74</v>
      </c>
      <c r="B102" s="11" t="str">
        <f>Raw!A102</f>
        <v>Egeland &amp; Sroufe (1981)</v>
      </c>
      <c r="C102" s="11">
        <f>Raw!G102</f>
        <v>1</v>
      </c>
      <c r="D102" s="11" t="str">
        <f>Raw!E102</f>
        <v>Comparison</v>
      </c>
      <c r="E102" s="11" t="str">
        <f>Processed!E102</f>
        <v>Infancy - Infancy</v>
      </c>
      <c r="F102" s="11">
        <f>Raw!AA102</f>
        <v>6</v>
      </c>
      <c r="G102" s="11">
        <f>Raw!AB102</f>
        <v>2</v>
      </c>
      <c r="H102" s="11">
        <f>Raw!AC102</f>
        <v>22</v>
      </c>
      <c r="I102" s="11">
        <f>Raw!AD102</f>
        <v>2</v>
      </c>
      <c r="J102" s="11">
        <f t="shared" si="0"/>
        <v>32</v>
      </c>
      <c r="K102" s="11">
        <f>Raw!AL102</f>
        <v>3</v>
      </c>
      <c r="L102" s="11">
        <f>Raw!AM102</f>
        <v>1</v>
      </c>
      <c r="M102" s="11">
        <f>Raw!AN102</f>
        <v>1</v>
      </c>
      <c r="N102" s="11">
        <f>Raw!AO102</f>
        <v>2</v>
      </c>
      <c r="O102" s="11">
        <f>Raw!AP102</f>
        <v>22</v>
      </c>
      <c r="P102" s="15">
        <f>Raw!AQ102</f>
        <v>0</v>
      </c>
      <c r="Q102" s="15">
        <f>Raw!AR102</f>
        <v>1</v>
      </c>
      <c r="R102" s="15">
        <f>Raw!AS102</f>
        <v>1</v>
      </c>
      <c r="S102" s="15">
        <f>Raw!AT102</f>
        <v>1</v>
      </c>
      <c r="T102" s="11">
        <f t="shared" si="1"/>
        <v>32</v>
      </c>
      <c r="U102" s="15">
        <f>Raw!AV102</f>
        <v>0</v>
      </c>
      <c r="V102" s="15">
        <f>Raw!AW102</f>
        <v>0</v>
      </c>
      <c r="W102" s="15">
        <f>Raw!AX102</f>
        <v>0</v>
      </c>
      <c r="X102" s="15">
        <f>Raw!AY102</f>
        <v>0</v>
      </c>
      <c r="Y102" s="15">
        <f>Raw!AZ102</f>
        <v>0</v>
      </c>
      <c r="Z102" s="15">
        <f>Raw!BA102</f>
        <v>0</v>
      </c>
      <c r="AA102" s="15">
        <f>Raw!BB102</f>
        <v>0</v>
      </c>
      <c r="AB102" s="15">
        <f>Raw!BC102</f>
        <v>0</v>
      </c>
      <c r="AC102" s="15">
        <f>Raw!BD102</f>
        <v>0</v>
      </c>
      <c r="AD102" s="15">
        <f>Raw!BE102</f>
        <v>0</v>
      </c>
      <c r="AE102" s="15">
        <f>Raw!BF102</f>
        <v>0</v>
      </c>
      <c r="AF102" s="15">
        <f>Raw!BG102</f>
        <v>0</v>
      </c>
      <c r="AG102" s="15">
        <f>Raw!BH102</f>
        <v>0</v>
      </c>
      <c r="AH102" s="15">
        <f>Raw!BI102</f>
        <v>0</v>
      </c>
      <c r="AI102" s="15">
        <f>Raw!BJ102</f>
        <v>0</v>
      </c>
      <c r="AJ102" s="15">
        <f>Raw!BK102</f>
        <v>0</v>
      </c>
      <c r="AK102" s="15">
        <f t="shared" si="2"/>
        <v>0</v>
      </c>
      <c r="AL102" s="11">
        <f ca="1">IFERROR(__xludf.DUMMYFUNCTION("""COMPUTED_VALUE"""),1981)</f>
        <v>1981</v>
      </c>
      <c r="AM102" s="11" t="str">
        <f ca="1">IFERROR(__xludf.DUMMYFUNCTION("""COMPUTED_VALUE"""),"USA")</f>
        <v>USA</v>
      </c>
      <c r="AN102" s="11" t="str">
        <f ca="1">IFERROR(__xludf.DUMMYFUNCTION("""COMPUTED_VALUE"""),"Ainsworth/Ainsworth")</f>
        <v>Ainsworth/Ainsworth</v>
      </c>
      <c r="AO102" s="11">
        <f ca="1">IFERROR(__xludf.DUMMYFUNCTION("""COMPUTED_VALUE"""),1)</f>
        <v>1</v>
      </c>
      <c r="AP102" s="11">
        <f ca="1">IFERROR(__xludf.DUMMYFUNCTION("""COMPUTED_VALUE"""),0)</f>
        <v>0</v>
      </c>
      <c r="AQ102" s="11">
        <f ca="1">IFERROR(__xludf.DUMMYFUNCTION("""COMPUTED_VALUE"""),0)</f>
        <v>0</v>
      </c>
      <c r="AR102" s="11">
        <f ca="1">IFERROR(__xludf.DUMMYFUNCTION("""COMPUTED_VALUE"""),1)</f>
        <v>1</v>
      </c>
      <c r="AS102" s="11">
        <f ca="1">IFERROR(__xludf.DUMMYFUNCTION("""COMPUTED_VALUE"""),0.91)</f>
        <v>0.91</v>
      </c>
      <c r="AT102" s="11">
        <f ca="1">IFERROR(__xludf.DUMMYFUNCTION("""COMPUTED_VALUE"""),0)</f>
        <v>0</v>
      </c>
      <c r="AU102" s="11" t="str">
        <f ca="1">IFERROR(__xludf.DUMMYFUNCTION("""COMPUTED_VALUE"""),"Female")</f>
        <v>Female</v>
      </c>
    </row>
    <row r="103" spans="1:47" ht="12.9">
      <c r="A103" s="11">
        <f>Raw!D103</f>
        <v>75</v>
      </c>
      <c r="B103" s="11" t="str">
        <f>Raw!A103</f>
        <v xml:space="preserve">Vaughn, Gove, &amp; Egeland (1980) </v>
      </c>
      <c r="C103" s="11">
        <f>Raw!G103</f>
        <v>1</v>
      </c>
      <c r="D103" s="11" t="str">
        <f>Raw!E103</f>
        <v>Early return to work</v>
      </c>
      <c r="E103" s="11" t="str">
        <f>Processed!E103</f>
        <v>Infancy - Infancy</v>
      </c>
      <c r="F103" s="11">
        <f>Raw!AA103</f>
        <v>13</v>
      </c>
      <c r="G103" s="11">
        <f>Raw!AB103</f>
        <v>3</v>
      </c>
      <c r="H103" s="11">
        <f>Raw!AC103</f>
        <v>14</v>
      </c>
      <c r="I103" s="11">
        <f>Raw!AD103</f>
        <v>4</v>
      </c>
      <c r="J103" s="11">
        <f t="shared" si="0"/>
        <v>34</v>
      </c>
      <c r="K103" s="11">
        <f>Raw!AL103</f>
        <v>11</v>
      </c>
      <c r="L103" s="11">
        <f>Raw!AM103</f>
        <v>3</v>
      </c>
      <c r="M103" s="11">
        <f>Raw!AN103</f>
        <v>0</v>
      </c>
      <c r="N103" s="11">
        <f>Raw!AO103</f>
        <v>3</v>
      </c>
      <c r="O103" s="11">
        <f>Raw!AP103</f>
        <v>14</v>
      </c>
      <c r="P103" s="15">
        <f>Raw!AQ103</f>
        <v>0</v>
      </c>
      <c r="Q103" s="15">
        <f>Raw!AR103</f>
        <v>2</v>
      </c>
      <c r="R103" s="15">
        <f>Raw!AS103</f>
        <v>1</v>
      </c>
      <c r="S103" s="15">
        <f>Raw!AT103</f>
        <v>0</v>
      </c>
      <c r="T103" s="11">
        <f t="shared" si="1"/>
        <v>34</v>
      </c>
      <c r="U103" s="15">
        <f>Raw!AV103</f>
        <v>0</v>
      </c>
      <c r="V103" s="15">
        <f>Raw!AW103</f>
        <v>0</v>
      </c>
      <c r="W103" s="15">
        <f>Raw!AX103</f>
        <v>0</v>
      </c>
      <c r="X103" s="15">
        <f>Raw!AY103</f>
        <v>0</v>
      </c>
      <c r="Y103" s="15">
        <f>Raw!AZ103</f>
        <v>0</v>
      </c>
      <c r="Z103" s="15">
        <f>Raw!BA103</f>
        <v>0</v>
      </c>
      <c r="AA103" s="15">
        <f>Raw!BB103</f>
        <v>0</v>
      </c>
      <c r="AB103" s="15">
        <f>Raw!BC103</f>
        <v>0</v>
      </c>
      <c r="AC103" s="15">
        <f>Raw!BD103</f>
        <v>0</v>
      </c>
      <c r="AD103" s="15">
        <f>Raw!BE103</f>
        <v>0</v>
      </c>
      <c r="AE103" s="15">
        <f>Raw!BF103</f>
        <v>0</v>
      </c>
      <c r="AF103" s="15">
        <f>Raw!BG103</f>
        <v>0</v>
      </c>
      <c r="AG103" s="15">
        <f>Raw!BH103</f>
        <v>0</v>
      </c>
      <c r="AH103" s="15">
        <f>Raw!BI103</f>
        <v>0</v>
      </c>
      <c r="AI103" s="15">
        <f>Raw!BJ103</f>
        <v>0</v>
      </c>
      <c r="AJ103" s="15">
        <f>Raw!BK103</f>
        <v>0</v>
      </c>
      <c r="AK103" s="15">
        <f t="shared" si="2"/>
        <v>0</v>
      </c>
      <c r="AL103" s="11">
        <f ca="1">IFERROR(__xludf.DUMMYFUNCTION("""COMPUTED_VALUE"""),1980)</f>
        <v>1980</v>
      </c>
      <c r="AM103" s="11" t="str">
        <f ca="1">IFERROR(__xludf.DUMMYFUNCTION("""COMPUTED_VALUE"""),"USA")</f>
        <v>USA</v>
      </c>
      <c r="AN103" s="11" t="str">
        <f ca="1">IFERROR(__xludf.DUMMYFUNCTION("""COMPUTED_VALUE"""),"Ainsworth/Ainsworth")</f>
        <v>Ainsworth/Ainsworth</v>
      </c>
      <c r="AO103" s="11">
        <f ca="1">IFERROR(__xludf.DUMMYFUNCTION("""COMPUTED_VALUE"""),0)</f>
        <v>0</v>
      </c>
      <c r="AP103" s="11">
        <f ca="1">IFERROR(__xludf.DUMMYFUNCTION("""COMPUTED_VALUE"""),1)</f>
        <v>1</v>
      </c>
      <c r="AQ103" s="11">
        <f ca="1">IFERROR(__xludf.DUMMYFUNCTION("""COMPUTED_VALUE"""),0)</f>
        <v>0</v>
      </c>
      <c r="AR103" s="11">
        <f ca="1">IFERROR(__xludf.DUMMYFUNCTION("""COMPUTED_VALUE"""),1)</f>
        <v>1</v>
      </c>
      <c r="AS103" s="11">
        <f ca="1">IFERROR(__xludf.DUMMYFUNCTION("""COMPUTED_VALUE"""),0.915)</f>
        <v>0.91500000000000004</v>
      </c>
      <c r="AT103" s="11">
        <f ca="1">IFERROR(__xludf.DUMMYFUNCTION("""COMPUTED_VALUE"""),0)</f>
        <v>0</v>
      </c>
      <c r="AU103" s="11" t="str">
        <f ca="1">IFERROR(__xludf.DUMMYFUNCTION("""COMPUTED_VALUE"""),"Female")</f>
        <v>Female</v>
      </c>
    </row>
    <row r="104" spans="1:47" ht="12.9">
      <c r="A104" s="11">
        <f>Raw!D104</f>
        <v>76</v>
      </c>
      <c r="B104" s="11" t="str">
        <f>Raw!A104</f>
        <v xml:space="preserve">Vaughn, Gove, &amp; Egeland (1980) </v>
      </c>
      <c r="C104" s="11">
        <f>Raw!G104</f>
        <v>1</v>
      </c>
      <c r="D104" s="11" t="str">
        <f>Raw!E104</f>
        <v>Late return to work</v>
      </c>
      <c r="E104" s="11" t="str">
        <f>Processed!E104</f>
        <v>Infancy - Infancy</v>
      </c>
      <c r="F104" s="11">
        <f>Raw!AA104</f>
        <v>6</v>
      </c>
      <c r="G104" s="11">
        <f>Raw!AB104</f>
        <v>5</v>
      </c>
      <c r="H104" s="11">
        <f>Raw!AC104</f>
        <v>4</v>
      </c>
      <c r="I104" s="11">
        <f>Raw!AD104</f>
        <v>3</v>
      </c>
      <c r="J104" s="11">
        <f t="shared" si="0"/>
        <v>18</v>
      </c>
      <c r="K104" s="11">
        <f>Raw!AL104</f>
        <v>1</v>
      </c>
      <c r="L104" s="11">
        <f>Raw!AM104</f>
        <v>2</v>
      </c>
      <c r="M104" s="11">
        <f>Raw!AN104</f>
        <v>0</v>
      </c>
      <c r="N104" s="11">
        <f>Raw!AO104</f>
        <v>3</v>
      </c>
      <c r="O104" s="11">
        <f>Raw!AP104</f>
        <v>4</v>
      </c>
      <c r="P104" s="15">
        <f>Raw!AQ104</f>
        <v>2</v>
      </c>
      <c r="Q104" s="15">
        <f>Raw!AR104</f>
        <v>1</v>
      </c>
      <c r="R104" s="15">
        <f>Raw!AS104</f>
        <v>1</v>
      </c>
      <c r="S104" s="15">
        <f>Raw!AT104</f>
        <v>4</v>
      </c>
      <c r="T104" s="11">
        <f t="shared" si="1"/>
        <v>18</v>
      </c>
      <c r="U104" s="15">
        <f>Raw!AV104</f>
        <v>0</v>
      </c>
      <c r="V104" s="15">
        <f>Raw!AW104</f>
        <v>0</v>
      </c>
      <c r="W104" s="15">
        <f>Raw!AX104</f>
        <v>0</v>
      </c>
      <c r="X104" s="15">
        <f>Raw!AY104</f>
        <v>0</v>
      </c>
      <c r="Y104" s="15">
        <f>Raw!AZ104</f>
        <v>0</v>
      </c>
      <c r="Z104" s="15">
        <f>Raw!BA104</f>
        <v>0</v>
      </c>
      <c r="AA104" s="15">
        <f>Raw!BB104</f>
        <v>0</v>
      </c>
      <c r="AB104" s="15">
        <f>Raw!BC104</f>
        <v>0</v>
      </c>
      <c r="AC104" s="15">
        <f>Raw!BD104</f>
        <v>0</v>
      </c>
      <c r="AD104" s="15">
        <f>Raw!BE104</f>
        <v>0</v>
      </c>
      <c r="AE104" s="15">
        <f>Raw!BF104</f>
        <v>0</v>
      </c>
      <c r="AF104" s="15">
        <f>Raw!BG104</f>
        <v>0</v>
      </c>
      <c r="AG104" s="15">
        <f>Raw!BH104</f>
        <v>0</v>
      </c>
      <c r="AH104" s="15">
        <f>Raw!BI104</f>
        <v>0</v>
      </c>
      <c r="AI104" s="15">
        <f>Raw!BJ104</f>
        <v>0</v>
      </c>
      <c r="AJ104" s="15">
        <f>Raw!BK104</f>
        <v>0</v>
      </c>
      <c r="AK104" s="15">
        <f t="shared" si="2"/>
        <v>0</v>
      </c>
      <c r="AL104" s="11">
        <f ca="1">IFERROR(__xludf.DUMMYFUNCTION("""COMPUTED_VALUE"""),1980)</f>
        <v>1980</v>
      </c>
      <c r="AM104" s="11" t="str">
        <f ca="1">IFERROR(__xludf.DUMMYFUNCTION("""COMPUTED_VALUE"""),"USA")</f>
        <v>USA</v>
      </c>
      <c r="AN104" s="11" t="str">
        <f ca="1">IFERROR(__xludf.DUMMYFUNCTION("""COMPUTED_VALUE"""),"Ainsworth/Ainsworth")</f>
        <v>Ainsworth/Ainsworth</v>
      </c>
      <c r="AO104" s="11">
        <f ca="1">IFERROR(__xludf.DUMMYFUNCTION("""COMPUTED_VALUE"""),0)</f>
        <v>0</v>
      </c>
      <c r="AP104" s="11">
        <f ca="1">IFERROR(__xludf.DUMMYFUNCTION("""COMPUTED_VALUE"""),1)</f>
        <v>1</v>
      </c>
      <c r="AQ104" s="11">
        <f ca="1">IFERROR(__xludf.DUMMYFUNCTION("""COMPUTED_VALUE"""),0)</f>
        <v>0</v>
      </c>
      <c r="AR104" s="11">
        <f ca="1">IFERROR(__xludf.DUMMYFUNCTION("""COMPUTED_VALUE"""),1)</f>
        <v>1</v>
      </c>
      <c r="AS104" s="11">
        <f ca="1">IFERROR(__xludf.DUMMYFUNCTION("""COMPUTED_VALUE"""),0.915)</f>
        <v>0.91500000000000004</v>
      </c>
      <c r="AT104" s="11">
        <f ca="1">IFERROR(__xludf.DUMMYFUNCTION("""COMPUTED_VALUE"""),0)</f>
        <v>0</v>
      </c>
      <c r="AU104" s="11" t="str">
        <f ca="1">IFERROR(__xludf.DUMMYFUNCTION("""COMPUTED_VALUE"""),"Female")</f>
        <v>Female</v>
      </c>
    </row>
    <row r="105" spans="1:47" ht="12.9">
      <c r="A105" s="11">
        <f>Raw!D105</f>
        <v>77</v>
      </c>
      <c r="B105" s="11" t="str">
        <f>Raw!A105</f>
        <v xml:space="preserve">Vaughn, Gove, &amp; Egeland (1980) </v>
      </c>
      <c r="C105" s="11">
        <f>Raw!G105</f>
        <v>1</v>
      </c>
      <c r="D105" s="11" t="str">
        <f>Raw!E105</f>
        <v>Did not return</v>
      </c>
      <c r="E105" s="11" t="str">
        <f>Processed!E105</f>
        <v>Infancy - Infancy</v>
      </c>
      <c r="F105" s="11">
        <f>Raw!AA105</f>
        <v>10</v>
      </c>
      <c r="G105" s="11">
        <f>Raw!AB105</f>
        <v>7</v>
      </c>
      <c r="H105" s="11">
        <f>Raw!AC105</f>
        <v>25</v>
      </c>
      <c r="I105" s="11">
        <f>Raw!AD105</f>
        <v>10</v>
      </c>
      <c r="J105" s="11">
        <f t="shared" si="0"/>
        <v>52</v>
      </c>
      <c r="K105" s="11">
        <f>Raw!AL105</f>
        <v>3</v>
      </c>
      <c r="L105" s="11">
        <f>Raw!AM105</f>
        <v>3</v>
      </c>
      <c r="M105" s="11">
        <f>Raw!AN105</f>
        <v>1</v>
      </c>
      <c r="N105" s="11">
        <f>Raw!AO105</f>
        <v>3</v>
      </c>
      <c r="O105" s="11">
        <f>Raw!AP105</f>
        <v>25</v>
      </c>
      <c r="P105" s="15">
        <f>Raw!AQ105</f>
        <v>7</v>
      </c>
      <c r="Q105" s="15">
        <f>Raw!AR105</f>
        <v>4</v>
      </c>
      <c r="R105" s="15">
        <f>Raw!AS105</f>
        <v>4</v>
      </c>
      <c r="S105" s="15">
        <f>Raw!AT105</f>
        <v>2</v>
      </c>
      <c r="T105" s="11">
        <f t="shared" si="1"/>
        <v>52</v>
      </c>
      <c r="U105" s="15">
        <f>Raw!AV105</f>
        <v>0</v>
      </c>
      <c r="V105" s="15">
        <f>Raw!AW105</f>
        <v>0</v>
      </c>
      <c r="W105" s="15">
        <f>Raw!AX105</f>
        <v>0</v>
      </c>
      <c r="X105" s="15">
        <f>Raw!AY105</f>
        <v>0</v>
      </c>
      <c r="Y105" s="15">
        <f>Raw!AZ105</f>
        <v>0</v>
      </c>
      <c r="Z105" s="15">
        <f>Raw!BA105</f>
        <v>0</v>
      </c>
      <c r="AA105" s="15">
        <f>Raw!BB105</f>
        <v>0</v>
      </c>
      <c r="AB105" s="15">
        <f>Raw!BC105</f>
        <v>0</v>
      </c>
      <c r="AC105" s="15">
        <f>Raw!BD105</f>
        <v>0</v>
      </c>
      <c r="AD105" s="15">
        <f>Raw!BE105</f>
        <v>0</v>
      </c>
      <c r="AE105" s="15">
        <f>Raw!BF105</f>
        <v>0</v>
      </c>
      <c r="AF105" s="15">
        <f>Raw!BG105</f>
        <v>0</v>
      </c>
      <c r="AG105" s="15">
        <f>Raw!BH105</f>
        <v>0</v>
      </c>
      <c r="AH105" s="15">
        <f>Raw!BI105</f>
        <v>0</v>
      </c>
      <c r="AI105" s="15">
        <f>Raw!BJ105</f>
        <v>0</v>
      </c>
      <c r="AJ105" s="15">
        <f>Raw!BK105</f>
        <v>0</v>
      </c>
      <c r="AK105" s="15">
        <f t="shared" si="2"/>
        <v>0</v>
      </c>
      <c r="AL105" s="11">
        <f ca="1">IFERROR(__xludf.DUMMYFUNCTION("""COMPUTED_VALUE"""),1980)</f>
        <v>1980</v>
      </c>
      <c r="AM105" s="11" t="str">
        <f ca="1">IFERROR(__xludf.DUMMYFUNCTION("""COMPUTED_VALUE"""),"USA")</f>
        <v>USA</v>
      </c>
      <c r="AN105" s="11" t="str">
        <f ca="1">IFERROR(__xludf.DUMMYFUNCTION("""COMPUTED_VALUE"""),"Ainsworth/Ainsworth")</f>
        <v>Ainsworth/Ainsworth</v>
      </c>
      <c r="AO105" s="11">
        <f ca="1">IFERROR(__xludf.DUMMYFUNCTION("""COMPUTED_VALUE"""),0)</f>
        <v>0</v>
      </c>
      <c r="AP105" s="11">
        <f ca="1">IFERROR(__xludf.DUMMYFUNCTION("""COMPUTED_VALUE"""),1)</f>
        <v>1</v>
      </c>
      <c r="AQ105" s="11">
        <f ca="1">IFERROR(__xludf.DUMMYFUNCTION("""COMPUTED_VALUE"""),0)</f>
        <v>0</v>
      </c>
      <c r="AR105" s="11">
        <f ca="1">IFERROR(__xludf.DUMMYFUNCTION("""COMPUTED_VALUE"""),1)</f>
        <v>1</v>
      </c>
      <c r="AS105" s="11">
        <f ca="1">IFERROR(__xludf.DUMMYFUNCTION("""COMPUTED_VALUE"""),0.915)</f>
        <v>0.91500000000000004</v>
      </c>
      <c r="AT105" s="11">
        <f ca="1">IFERROR(__xludf.DUMMYFUNCTION("""COMPUTED_VALUE"""),0)</f>
        <v>0</v>
      </c>
      <c r="AU105" s="11" t="str">
        <f ca="1">IFERROR(__xludf.DUMMYFUNCTION("""COMPUTED_VALUE"""),"Female")</f>
        <v>Female</v>
      </c>
    </row>
    <row r="106" spans="1:47" ht="12.9">
      <c r="A106" s="11">
        <f>Raw!D106</f>
        <v>78</v>
      </c>
      <c r="B106" s="11" t="str">
        <f>Raw!A106</f>
        <v xml:space="preserve">Wijnroks (1994) </v>
      </c>
      <c r="C106" s="11">
        <f>Raw!G106</f>
        <v>1</v>
      </c>
      <c r="D106" s="11" t="str">
        <f>Raw!E106</f>
        <v>Mother-child</v>
      </c>
      <c r="E106" s="11" t="str">
        <f>Processed!E106</f>
        <v>Infancy - Infancy</v>
      </c>
      <c r="F106" s="11">
        <f>Raw!AA106</f>
        <v>2</v>
      </c>
      <c r="G106" s="11">
        <f>Raw!AB106</f>
        <v>6</v>
      </c>
      <c r="H106" s="11">
        <f>Raw!AC106</f>
        <v>23</v>
      </c>
      <c r="I106" s="11">
        <f>Raw!AD106</f>
        <v>4</v>
      </c>
      <c r="J106" s="11">
        <f t="shared" si="0"/>
        <v>35</v>
      </c>
      <c r="K106" s="11">
        <f>Raw!AL106</f>
        <v>2</v>
      </c>
      <c r="L106" s="11">
        <f>Raw!AM106</f>
        <v>5</v>
      </c>
      <c r="M106" s="11">
        <f>Raw!AN106</f>
        <v>0</v>
      </c>
      <c r="N106" s="11">
        <f>Raw!AO106</f>
        <v>4</v>
      </c>
      <c r="O106" s="11">
        <f>Raw!AP106</f>
        <v>23</v>
      </c>
      <c r="P106" s="15">
        <f>Raw!AQ106</f>
        <v>0</v>
      </c>
      <c r="Q106" s="15">
        <f>Raw!AR106</f>
        <v>0</v>
      </c>
      <c r="R106" s="15">
        <f>Raw!AS106</f>
        <v>1</v>
      </c>
      <c r="S106" s="15">
        <f>Raw!AT106</f>
        <v>0</v>
      </c>
      <c r="T106" s="11">
        <f t="shared" si="1"/>
        <v>35</v>
      </c>
      <c r="U106" s="15">
        <f>Raw!AV106</f>
        <v>0</v>
      </c>
      <c r="V106" s="15">
        <f>Raw!AW106</f>
        <v>0</v>
      </c>
      <c r="W106" s="15">
        <f>Raw!AX106</f>
        <v>0</v>
      </c>
      <c r="X106" s="15">
        <f>Raw!AY106</f>
        <v>0</v>
      </c>
      <c r="Y106" s="15">
        <f>Raw!AZ106</f>
        <v>0</v>
      </c>
      <c r="Z106" s="15">
        <f>Raw!BA106</f>
        <v>0</v>
      </c>
      <c r="AA106" s="15">
        <f>Raw!BB106</f>
        <v>0</v>
      </c>
      <c r="AB106" s="15">
        <f>Raw!BC106</f>
        <v>0</v>
      </c>
      <c r="AC106" s="15">
        <f>Raw!BD106</f>
        <v>0</v>
      </c>
      <c r="AD106" s="15">
        <f>Raw!BE106</f>
        <v>0</v>
      </c>
      <c r="AE106" s="15">
        <f>Raw!BF106</f>
        <v>0</v>
      </c>
      <c r="AF106" s="15">
        <f>Raw!BG106</f>
        <v>0</v>
      </c>
      <c r="AG106" s="15">
        <f>Raw!BH106</f>
        <v>0</v>
      </c>
      <c r="AH106" s="15">
        <f>Raw!BI106</f>
        <v>0</v>
      </c>
      <c r="AI106" s="15">
        <f>Raw!BJ106</f>
        <v>0</v>
      </c>
      <c r="AJ106" s="15">
        <f>Raw!BK106</f>
        <v>0</v>
      </c>
      <c r="AK106" s="15">
        <f t="shared" si="2"/>
        <v>0</v>
      </c>
      <c r="AL106" s="11">
        <f ca="1">IFERROR(__xludf.DUMMYFUNCTION("""COMPUTED_VALUE"""),1994)</f>
        <v>1994</v>
      </c>
      <c r="AM106" s="11" t="str">
        <f ca="1">IFERROR(__xludf.DUMMYFUNCTION("""COMPUTED_VALUE"""),"Non-USA")</f>
        <v>Non-USA</v>
      </c>
      <c r="AN106" s="11" t="str">
        <f ca="1">IFERROR(__xludf.DUMMYFUNCTION("""COMPUTED_VALUE"""),"Ainsworth/Ainsworth")</f>
        <v>Ainsworth/Ainsworth</v>
      </c>
      <c r="AO106" s="11">
        <f ca="1">IFERROR(__xludf.DUMMYFUNCTION("""COMPUTED_VALUE"""),1)</f>
        <v>1</v>
      </c>
      <c r="AP106" s="11">
        <f ca="1">IFERROR(__xludf.DUMMYFUNCTION("""COMPUTED_VALUE"""),0)</f>
        <v>0</v>
      </c>
      <c r="AQ106" s="11">
        <f ca="1">IFERROR(__xludf.DUMMYFUNCTION("""COMPUTED_VALUE"""),1)</f>
        <v>1</v>
      </c>
      <c r="AR106" s="11">
        <f ca="1">IFERROR(__xludf.DUMMYFUNCTION("""COMPUTED_VALUE"""),0)</f>
        <v>0</v>
      </c>
      <c r="AS106" s="11">
        <f ca="1">IFERROR(__xludf.DUMMYFUNCTION("""COMPUTED_VALUE"""),0.9)</f>
        <v>0.9</v>
      </c>
      <c r="AT106" s="11">
        <f ca="1">IFERROR(__xludf.DUMMYFUNCTION("""COMPUTED_VALUE"""),0)</f>
        <v>0</v>
      </c>
      <c r="AU106" s="11" t="str">
        <f ca="1">IFERROR(__xludf.DUMMYFUNCTION("""COMPUTED_VALUE"""),"Female")</f>
        <v>Female</v>
      </c>
    </row>
    <row r="107" spans="1:47" ht="12.9">
      <c r="A107" s="11">
        <f>Raw!D107</f>
        <v>79</v>
      </c>
      <c r="B107" s="11" t="str">
        <f>Raw!A107</f>
        <v>Bakermans-Kranenberg &amp; van IJzendoorn (1997)</v>
      </c>
      <c r="C107" s="11">
        <f>Raw!G107</f>
        <v>1</v>
      </c>
      <c r="D107" s="11" t="str">
        <f>Raw!E107</f>
        <v>Mother-child</v>
      </c>
      <c r="E107" s="11" t="str">
        <f>Processed!E107</f>
        <v>Infancy - Infancy</v>
      </c>
      <c r="F107" s="11">
        <f>Raw!AA107</f>
        <v>0</v>
      </c>
      <c r="G107" s="11">
        <f>Raw!AB107</f>
        <v>0</v>
      </c>
      <c r="H107" s="11">
        <f>Raw!AC107</f>
        <v>0</v>
      </c>
      <c r="I107" s="11">
        <f>Raw!AD107</f>
        <v>0</v>
      </c>
      <c r="J107" s="11">
        <f t="shared" si="0"/>
        <v>0</v>
      </c>
      <c r="K107" s="11">
        <f>Raw!AL107</f>
        <v>0</v>
      </c>
      <c r="L107" s="11">
        <f>Raw!AM107</f>
        <v>0</v>
      </c>
      <c r="M107" s="11">
        <f>Raw!AN107</f>
        <v>0</v>
      </c>
      <c r="N107" s="11">
        <f>Raw!AO107</f>
        <v>0</v>
      </c>
      <c r="O107" s="11">
        <f>Raw!AP107</f>
        <v>0</v>
      </c>
      <c r="P107" s="15">
        <f>Raw!AQ107</f>
        <v>0</v>
      </c>
      <c r="Q107" s="15">
        <f>Raw!AR107</f>
        <v>0</v>
      </c>
      <c r="R107" s="15">
        <f>Raw!AS107</f>
        <v>0</v>
      </c>
      <c r="S107" s="15">
        <f>Raw!AT107</f>
        <v>0</v>
      </c>
      <c r="T107" s="11">
        <f t="shared" si="1"/>
        <v>0</v>
      </c>
      <c r="U107" s="15">
        <f>Raw!AV107</f>
        <v>0</v>
      </c>
      <c r="V107" s="15">
        <f>Raw!AW107</f>
        <v>0</v>
      </c>
      <c r="W107" s="15">
        <f>Raw!AX107</f>
        <v>0</v>
      </c>
      <c r="X107" s="15">
        <f>Raw!AY107</f>
        <v>0</v>
      </c>
      <c r="Y107" s="15">
        <f>Raw!AZ107</f>
        <v>0</v>
      </c>
      <c r="Z107" s="15">
        <f>Raw!BA107</f>
        <v>0</v>
      </c>
      <c r="AA107" s="15">
        <f>Raw!BB107</f>
        <v>0</v>
      </c>
      <c r="AB107" s="15">
        <f>Raw!BC107</f>
        <v>0</v>
      </c>
      <c r="AC107" s="15">
        <f>Raw!BD107</f>
        <v>0</v>
      </c>
      <c r="AD107" s="15">
        <f>Raw!BE107</f>
        <v>0</v>
      </c>
      <c r="AE107" s="15">
        <f>Raw!BF107</f>
        <v>0</v>
      </c>
      <c r="AF107" s="15">
        <f>Raw!BG107</f>
        <v>0</v>
      </c>
      <c r="AG107" s="15">
        <f>Raw!BH107</f>
        <v>0</v>
      </c>
      <c r="AH107" s="15">
        <f>Raw!BI107</f>
        <v>0</v>
      </c>
      <c r="AI107" s="15">
        <f>Raw!BJ107</f>
        <v>0</v>
      </c>
      <c r="AJ107" s="15">
        <f>Raw!BK107</f>
        <v>0</v>
      </c>
      <c r="AK107" s="15">
        <f t="shared" si="2"/>
        <v>0</v>
      </c>
      <c r="AL107" s="11">
        <f ca="1">IFERROR(__xludf.DUMMYFUNCTION("""COMPUTED_VALUE"""),1997)</f>
        <v>1997</v>
      </c>
      <c r="AM107" s="11" t="str">
        <f ca="1">IFERROR(__xludf.DUMMYFUNCTION("""COMPUTED_VALUE"""),"Non-USA")</f>
        <v>Non-USA</v>
      </c>
      <c r="AN107" s="11" t="str">
        <f ca="1">IFERROR(__xludf.DUMMYFUNCTION("""COMPUTED_VALUE"""),"Ainsworth/Ainsworth")</f>
        <v>Ainsworth/Ainsworth</v>
      </c>
      <c r="AO107" s="11">
        <f ca="1">IFERROR(__xludf.DUMMYFUNCTION("""COMPUTED_VALUE"""),0)</f>
        <v>0</v>
      </c>
      <c r="AP107" s="11">
        <f ca="1">IFERROR(__xludf.DUMMYFUNCTION("""COMPUTED_VALUE"""),0)</f>
        <v>0</v>
      </c>
      <c r="AQ107" s="11">
        <f ca="1">IFERROR(__xludf.DUMMYFUNCTION("""COMPUTED_VALUE"""),0)</f>
        <v>0</v>
      </c>
      <c r="AR107" s="11">
        <f ca="1">IFERROR(__xludf.DUMMYFUNCTION("""COMPUTED_VALUE"""),0)</f>
        <v>0</v>
      </c>
      <c r="AS107" s="11" t="str">
        <f ca="1">IFERROR(__xludf.DUMMYFUNCTION("""COMPUTED_VALUE"""),"")</f>
        <v/>
      </c>
      <c r="AT107" s="11">
        <f ca="1">IFERROR(__xludf.DUMMYFUNCTION("""COMPUTED_VALUE"""),1)</f>
        <v>1</v>
      </c>
      <c r="AU107" s="11" t="str">
        <f ca="1">IFERROR(__xludf.DUMMYFUNCTION("""COMPUTED_VALUE"""),"Female")</f>
        <v>Female</v>
      </c>
    </row>
    <row r="108" spans="1:47" ht="12.9">
      <c r="E108"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defaultColWidth="14.44140625" defaultRowHeight="15.75" customHeight="1"/>
  <cols>
    <col min="1" max="1" width="23.109375" customWidth="1"/>
    <col min="3" max="3" width="23.27734375" customWidth="1"/>
  </cols>
  <sheetData>
    <row r="1" spans="1:25" ht="15.75" customHeight="1">
      <c r="A1" s="56"/>
      <c r="B1" s="26" t="s">
        <v>401</v>
      </c>
      <c r="C1" s="56"/>
      <c r="D1" s="56"/>
      <c r="E1" s="56"/>
      <c r="F1" s="56"/>
      <c r="G1" s="56"/>
      <c r="H1" s="56"/>
      <c r="I1" s="56"/>
      <c r="J1" s="56"/>
      <c r="K1" s="56"/>
      <c r="L1" s="56"/>
      <c r="M1" s="56"/>
      <c r="N1" s="56"/>
      <c r="O1" s="56"/>
      <c r="P1" s="56"/>
      <c r="Q1" s="56"/>
      <c r="R1" s="56"/>
      <c r="S1" s="56"/>
      <c r="T1" s="56"/>
      <c r="U1" s="56"/>
      <c r="V1" s="56"/>
      <c r="W1" s="56"/>
      <c r="X1" s="56"/>
      <c r="Y1" s="56"/>
    </row>
    <row r="2" spans="1:25" ht="15.75" customHeight="1">
      <c r="A2" s="26" t="s">
        <v>402</v>
      </c>
      <c r="B2" s="26">
        <v>19</v>
      </c>
      <c r="C2" s="56"/>
      <c r="D2" s="56"/>
      <c r="E2" s="56"/>
      <c r="F2" s="56"/>
      <c r="G2" s="56"/>
      <c r="H2" s="56"/>
      <c r="I2" s="56"/>
      <c r="J2" s="56"/>
      <c r="K2" s="56"/>
      <c r="L2" s="56"/>
      <c r="M2" s="56"/>
      <c r="N2" s="56"/>
      <c r="O2" s="56"/>
      <c r="P2" s="56"/>
      <c r="Q2" s="56"/>
      <c r="R2" s="56"/>
      <c r="S2" s="56"/>
      <c r="T2" s="56"/>
      <c r="U2" s="56"/>
      <c r="V2" s="56"/>
      <c r="W2" s="56"/>
      <c r="X2" s="56"/>
      <c r="Y2" s="56"/>
    </row>
    <row r="3" spans="1:25" ht="15.75" customHeight="1">
      <c r="A3" s="26" t="s">
        <v>403</v>
      </c>
      <c r="B3" s="26">
        <v>36</v>
      </c>
      <c r="C3" s="56"/>
      <c r="D3" s="56"/>
      <c r="E3" s="56"/>
      <c r="F3" s="56"/>
      <c r="G3" s="56"/>
      <c r="H3" s="56"/>
      <c r="I3" s="56"/>
      <c r="J3" s="56"/>
      <c r="K3" s="56"/>
      <c r="L3" s="56"/>
      <c r="M3" s="56"/>
      <c r="N3" s="56"/>
      <c r="O3" s="56"/>
      <c r="P3" s="56"/>
      <c r="Q3" s="56"/>
      <c r="R3" s="56"/>
      <c r="S3" s="56"/>
      <c r="T3" s="56"/>
      <c r="U3" s="56"/>
      <c r="V3" s="56"/>
      <c r="W3" s="56"/>
      <c r="X3" s="56"/>
      <c r="Y3" s="56"/>
    </row>
    <row r="4" spans="1:25" ht="15.75" customHeight="1">
      <c r="A4" s="26" t="s">
        <v>404</v>
      </c>
      <c r="B4" s="26">
        <v>75</v>
      </c>
      <c r="C4" s="56"/>
      <c r="D4" s="56"/>
      <c r="E4" s="56"/>
      <c r="F4" s="56"/>
      <c r="G4" s="56"/>
      <c r="H4" s="56"/>
      <c r="I4" s="56"/>
      <c r="J4" s="56"/>
      <c r="K4" s="56"/>
      <c r="L4" s="56"/>
      <c r="M4" s="56"/>
      <c r="N4" s="56"/>
      <c r="O4" s="56"/>
      <c r="P4" s="56"/>
      <c r="Q4" s="56"/>
      <c r="R4" s="56"/>
      <c r="S4" s="56"/>
      <c r="T4" s="56"/>
      <c r="U4" s="56"/>
      <c r="V4" s="56"/>
      <c r="W4" s="56"/>
      <c r="X4" s="56"/>
      <c r="Y4" s="56"/>
    </row>
    <row r="5" spans="1:25" ht="15.75" customHeight="1">
      <c r="A5" s="26" t="s">
        <v>405</v>
      </c>
      <c r="B5" s="26">
        <v>100</v>
      </c>
      <c r="C5" s="56"/>
      <c r="D5" s="56"/>
      <c r="E5" s="56"/>
      <c r="F5" s="56"/>
      <c r="G5" s="56"/>
      <c r="H5" s="56"/>
      <c r="I5" s="56"/>
      <c r="J5" s="56"/>
      <c r="K5" s="56"/>
      <c r="L5" s="56"/>
      <c r="M5" s="56"/>
      <c r="N5" s="56"/>
      <c r="O5" s="56"/>
      <c r="P5" s="56"/>
      <c r="Q5" s="56"/>
      <c r="R5" s="56"/>
      <c r="S5" s="56"/>
      <c r="T5" s="56"/>
      <c r="U5" s="56"/>
      <c r="V5" s="56"/>
      <c r="W5" s="56"/>
      <c r="X5" s="56"/>
      <c r="Y5" s="56"/>
    </row>
    <row r="6" spans="1:25" ht="15.75" customHeight="1">
      <c r="A6" s="56"/>
      <c r="B6" s="56"/>
      <c r="C6" s="56"/>
      <c r="D6" s="56"/>
      <c r="E6" s="56"/>
      <c r="F6" s="56"/>
      <c r="G6" s="56"/>
      <c r="H6" s="56"/>
      <c r="I6" s="56"/>
      <c r="J6" s="56"/>
      <c r="K6" s="56"/>
      <c r="L6" s="56"/>
      <c r="M6" s="56"/>
      <c r="N6" s="56"/>
      <c r="O6" s="56"/>
      <c r="P6" s="56"/>
      <c r="Q6" s="56"/>
      <c r="R6" s="56"/>
      <c r="S6" s="56"/>
      <c r="T6" s="56"/>
      <c r="U6" s="56"/>
      <c r="V6" s="56"/>
      <c r="W6" s="56"/>
      <c r="X6" s="56"/>
      <c r="Y6" s="56"/>
    </row>
    <row r="7" spans="1:25" ht="15.75" customHeight="1">
      <c r="A7" s="26" t="s">
        <v>406</v>
      </c>
      <c r="B7" s="26" t="s">
        <v>407</v>
      </c>
      <c r="C7" s="26" t="s">
        <v>408</v>
      </c>
      <c r="D7" s="26" t="s">
        <v>407</v>
      </c>
      <c r="E7" s="56"/>
      <c r="F7" s="56"/>
      <c r="G7" s="56"/>
      <c r="H7" s="56"/>
      <c r="I7" s="56"/>
      <c r="J7" s="56"/>
      <c r="K7" s="56"/>
      <c r="L7" s="56"/>
      <c r="M7" s="56"/>
      <c r="N7" s="56"/>
      <c r="O7" s="56"/>
      <c r="P7" s="56"/>
      <c r="Q7" s="56"/>
      <c r="R7" s="56"/>
      <c r="S7" s="56"/>
      <c r="T7" s="56"/>
      <c r="U7" s="56"/>
      <c r="V7" s="56"/>
      <c r="W7" s="56"/>
      <c r="X7" s="56"/>
      <c r="Y7" s="56"/>
    </row>
    <row r="8" spans="1:25" ht="15.75" customHeight="1">
      <c r="A8" s="26" t="s">
        <v>409</v>
      </c>
      <c r="B8" s="56">
        <f>COUNTIF(Processed!E:E, A8)</f>
        <v>37</v>
      </c>
      <c r="C8" s="26" t="s">
        <v>410</v>
      </c>
      <c r="D8" s="56">
        <f>COUNTIF(Processed!E:E, C8)</f>
        <v>31</v>
      </c>
      <c r="E8" s="56"/>
      <c r="F8" s="56"/>
      <c r="G8" s="56"/>
      <c r="H8" s="56"/>
      <c r="I8" s="56"/>
      <c r="J8" s="56"/>
      <c r="K8" s="56"/>
      <c r="L8" s="56"/>
      <c r="M8" s="56"/>
      <c r="N8" s="56"/>
      <c r="O8" s="56"/>
      <c r="P8" s="56"/>
      <c r="Q8" s="56"/>
      <c r="R8" s="56"/>
      <c r="S8" s="56"/>
      <c r="T8" s="56"/>
      <c r="U8" s="56"/>
      <c r="V8" s="56"/>
      <c r="W8" s="56"/>
      <c r="X8" s="56"/>
      <c r="Y8" s="56"/>
    </row>
    <row r="9" spans="1:25" ht="15.75" customHeight="1">
      <c r="A9" s="26" t="s">
        <v>411</v>
      </c>
      <c r="B9" s="56">
        <f>COUNTIF(Processed!E:E, A9)</f>
        <v>19</v>
      </c>
      <c r="C9" s="26" t="s">
        <v>412</v>
      </c>
      <c r="D9" s="56">
        <f>COUNTIF(Processed!E:E, C9)</f>
        <v>4</v>
      </c>
      <c r="E9" s="56"/>
      <c r="F9" s="56"/>
      <c r="G9" s="56"/>
      <c r="H9" s="56"/>
      <c r="I9" s="56"/>
      <c r="J9" s="56"/>
      <c r="K9" s="56"/>
      <c r="L9" s="56"/>
      <c r="M9" s="56"/>
      <c r="N9" s="56"/>
      <c r="O9" s="56"/>
      <c r="P9" s="56"/>
      <c r="Q9" s="56"/>
      <c r="R9" s="56"/>
      <c r="S9" s="56"/>
      <c r="T9" s="56"/>
      <c r="U9" s="56"/>
      <c r="V9" s="56"/>
      <c r="W9" s="56"/>
      <c r="X9" s="56"/>
      <c r="Y9" s="56"/>
    </row>
    <row r="10" spans="1:25" ht="15.75" customHeight="1">
      <c r="A10" s="26" t="s">
        <v>413</v>
      </c>
      <c r="B10" s="56">
        <f>COUNTIF(Processed!E:E, A10)</f>
        <v>0</v>
      </c>
      <c r="C10" s="26" t="s">
        <v>414</v>
      </c>
      <c r="D10" s="56">
        <f>COUNTIF(Processed!E:E, C10)</f>
        <v>2</v>
      </c>
      <c r="E10" s="56"/>
      <c r="F10" s="56"/>
      <c r="G10" s="56"/>
      <c r="H10" s="56"/>
      <c r="I10" s="56"/>
      <c r="J10" s="56"/>
      <c r="K10" s="56"/>
      <c r="L10" s="56"/>
      <c r="M10" s="56"/>
      <c r="N10" s="56"/>
      <c r="O10" s="56"/>
      <c r="P10" s="56"/>
      <c r="Q10" s="56"/>
      <c r="R10" s="56"/>
      <c r="S10" s="56"/>
      <c r="T10" s="56"/>
      <c r="U10" s="56"/>
      <c r="V10" s="56"/>
      <c r="W10" s="56"/>
      <c r="X10" s="56"/>
      <c r="Y10" s="56"/>
    </row>
    <row r="11" spans="1:25" ht="15.75" customHeight="1">
      <c r="A11" s="26" t="s">
        <v>415</v>
      </c>
      <c r="B11" s="56">
        <f>COUNTIF(Processed!E:E, A11)</f>
        <v>13</v>
      </c>
      <c r="C11" s="26" t="s">
        <v>416</v>
      </c>
      <c r="D11" s="56">
        <f>COUNTIF(Processed!E:E, C11)</f>
        <v>0</v>
      </c>
      <c r="E11" s="56"/>
      <c r="F11" s="56"/>
      <c r="G11" s="56"/>
      <c r="H11" s="56"/>
      <c r="I11" s="56"/>
      <c r="J11" s="56"/>
      <c r="K11" s="56"/>
      <c r="L11" s="56"/>
      <c r="M11" s="56"/>
      <c r="N11" s="56"/>
      <c r="O11" s="56"/>
      <c r="P11" s="56"/>
      <c r="Q11" s="56"/>
      <c r="R11" s="56"/>
      <c r="S11" s="56"/>
      <c r="T11" s="56"/>
      <c r="U11" s="56"/>
      <c r="V11" s="56"/>
      <c r="W11" s="56"/>
      <c r="X11" s="56"/>
      <c r="Y11" s="56"/>
    </row>
    <row r="12" spans="1:25" ht="15.75" customHeight="1">
      <c r="A12" s="26" t="s">
        <v>417</v>
      </c>
      <c r="B12" s="56">
        <f>COUNTIF(Processed!E:E, A12)</f>
        <v>0</v>
      </c>
      <c r="C12" s="56"/>
      <c r="D12" s="56"/>
      <c r="E12" s="56"/>
      <c r="F12" s="56"/>
      <c r="G12" s="56"/>
      <c r="H12" s="56"/>
      <c r="I12" s="56"/>
      <c r="J12" s="56"/>
      <c r="K12" s="56"/>
      <c r="L12" s="56"/>
      <c r="M12" s="56"/>
      <c r="N12" s="56"/>
      <c r="O12" s="56"/>
      <c r="P12" s="56"/>
      <c r="Q12" s="56"/>
      <c r="R12" s="56"/>
      <c r="S12" s="56"/>
      <c r="T12" s="56"/>
      <c r="U12" s="56"/>
      <c r="V12" s="56"/>
      <c r="W12" s="56"/>
      <c r="X12" s="56"/>
      <c r="Y12" s="56"/>
    </row>
    <row r="13" spans="1:25" ht="15.75" customHeight="1">
      <c r="A13" s="26" t="s">
        <v>418</v>
      </c>
      <c r="B13" s="56">
        <f>COUNTIF(Processed!E:E, A13)</f>
        <v>0</v>
      </c>
      <c r="C13" s="56"/>
      <c r="D13" s="56"/>
      <c r="E13" s="56"/>
      <c r="F13" s="56"/>
      <c r="G13" s="56"/>
      <c r="H13" s="56"/>
      <c r="I13" s="56"/>
      <c r="J13" s="56"/>
      <c r="K13" s="56"/>
      <c r="L13" s="56"/>
      <c r="M13" s="56"/>
      <c r="N13" s="56"/>
      <c r="O13" s="56"/>
      <c r="P13" s="56"/>
      <c r="Q13" s="56"/>
      <c r="R13" s="56"/>
      <c r="S13" s="56"/>
      <c r="T13" s="56"/>
      <c r="U13" s="56"/>
      <c r="V13" s="56"/>
      <c r="W13" s="56"/>
      <c r="X13" s="56"/>
      <c r="Y13" s="56"/>
    </row>
    <row r="14" spans="1:25" ht="15.75" customHeight="1">
      <c r="A14" s="108" t="s">
        <v>419</v>
      </c>
      <c r="B14" s="109">
        <f>SUM(B8:B13)</f>
        <v>69</v>
      </c>
      <c r="C14" s="108" t="s">
        <v>419</v>
      </c>
      <c r="D14" s="109">
        <f>SUM(D8:D11)</f>
        <v>37</v>
      </c>
      <c r="E14" s="56"/>
      <c r="F14" s="56"/>
      <c r="G14" s="56"/>
      <c r="H14" s="56"/>
      <c r="I14" s="56"/>
      <c r="J14" s="56"/>
      <c r="K14" s="56"/>
      <c r="L14" s="56"/>
      <c r="M14" s="56"/>
      <c r="N14" s="56"/>
      <c r="O14" s="56"/>
      <c r="P14" s="56"/>
      <c r="Q14" s="56"/>
      <c r="R14" s="56"/>
      <c r="S14" s="56"/>
      <c r="T14" s="56"/>
      <c r="U14" s="56"/>
      <c r="V14" s="56"/>
      <c r="W14" s="56"/>
      <c r="X14" s="56"/>
      <c r="Y14" s="56"/>
    </row>
    <row r="15" spans="1:25" ht="15.75" customHeight="1">
      <c r="A15" s="56"/>
      <c r="B15" s="56"/>
      <c r="C15" s="56"/>
      <c r="D15" s="56"/>
      <c r="E15" s="56"/>
      <c r="F15" s="56"/>
      <c r="G15" s="56"/>
      <c r="H15" s="56"/>
      <c r="I15" s="56"/>
      <c r="J15" s="56"/>
      <c r="K15" s="56"/>
      <c r="L15" s="56"/>
      <c r="M15" s="56"/>
      <c r="N15" s="56"/>
      <c r="O15" s="56"/>
      <c r="P15" s="56"/>
      <c r="Q15" s="56"/>
      <c r="R15" s="56"/>
      <c r="S15" s="56"/>
      <c r="T15" s="56"/>
      <c r="U15" s="56"/>
      <c r="V15" s="56"/>
      <c r="W15" s="56"/>
      <c r="X15" s="56"/>
      <c r="Y15" s="56"/>
    </row>
    <row r="16" spans="1:25" ht="15.75" customHeight="1">
      <c r="A16" s="56"/>
      <c r="B16" s="56"/>
      <c r="C16" s="56"/>
      <c r="D16" s="56"/>
      <c r="E16" s="56"/>
      <c r="F16" s="56"/>
      <c r="G16" s="56"/>
      <c r="H16" s="56"/>
      <c r="I16" s="56"/>
      <c r="J16" s="56"/>
      <c r="K16" s="56"/>
      <c r="L16" s="56"/>
      <c r="M16" s="56"/>
      <c r="N16" s="56"/>
      <c r="O16" s="56"/>
      <c r="P16" s="56"/>
      <c r="Q16" s="56"/>
      <c r="R16" s="56"/>
      <c r="S16" s="56"/>
      <c r="T16" s="56"/>
      <c r="U16" s="56"/>
      <c r="V16" s="56"/>
      <c r="W16" s="56"/>
      <c r="X16" s="56"/>
      <c r="Y16" s="56"/>
    </row>
    <row r="17" spans="1:25" ht="15.75" customHeight="1">
      <c r="A17" s="56"/>
      <c r="B17" s="56"/>
      <c r="C17" s="56"/>
      <c r="D17" s="56"/>
      <c r="E17" s="56"/>
      <c r="F17" s="56"/>
      <c r="G17" s="56"/>
      <c r="H17" s="56"/>
      <c r="I17" s="56"/>
      <c r="J17" s="56"/>
      <c r="K17" s="56"/>
      <c r="L17" s="56"/>
      <c r="M17" s="56"/>
      <c r="N17" s="56"/>
      <c r="O17" s="56"/>
      <c r="P17" s="56"/>
      <c r="Q17" s="56"/>
      <c r="R17" s="56"/>
      <c r="S17" s="56"/>
      <c r="T17" s="56"/>
      <c r="U17" s="56"/>
      <c r="V17" s="56"/>
      <c r="W17" s="56"/>
      <c r="X17" s="56"/>
      <c r="Y17" s="56"/>
    </row>
    <row r="18" spans="1:25" ht="15.75" customHeight="1">
      <c r="A18" s="56"/>
      <c r="B18" s="56"/>
      <c r="C18" s="56"/>
      <c r="D18" s="56"/>
      <c r="E18" s="56"/>
      <c r="F18" s="56"/>
      <c r="G18" s="56"/>
      <c r="H18" s="56"/>
      <c r="I18" s="56"/>
      <c r="J18" s="56"/>
      <c r="K18" s="56"/>
      <c r="L18" s="56"/>
      <c r="M18" s="56"/>
      <c r="N18" s="56"/>
      <c r="O18" s="56"/>
      <c r="P18" s="56"/>
      <c r="Q18" s="56"/>
      <c r="R18" s="56"/>
      <c r="S18" s="56"/>
      <c r="T18" s="56"/>
      <c r="U18" s="56"/>
      <c r="V18" s="56"/>
      <c r="W18" s="56"/>
      <c r="X18" s="56"/>
      <c r="Y18" s="56"/>
    </row>
    <row r="19" spans="1:25" ht="15.75" customHeight="1">
      <c r="A19" s="56"/>
      <c r="B19" s="56"/>
      <c r="C19" s="56"/>
      <c r="D19" s="56"/>
      <c r="E19" s="56"/>
      <c r="F19" s="56"/>
      <c r="G19" s="56"/>
      <c r="H19" s="56"/>
      <c r="I19" s="56"/>
      <c r="J19" s="56"/>
      <c r="K19" s="56"/>
      <c r="L19" s="56"/>
      <c r="M19" s="56"/>
      <c r="N19" s="56"/>
      <c r="O19" s="56"/>
      <c r="P19" s="56"/>
      <c r="Q19" s="56"/>
      <c r="R19" s="56"/>
      <c r="S19" s="56"/>
      <c r="T19" s="56"/>
      <c r="U19" s="56"/>
      <c r="V19" s="56"/>
      <c r="W19" s="56"/>
      <c r="X19" s="56"/>
      <c r="Y19" s="56"/>
    </row>
    <row r="20" spans="1:25" ht="15.75" customHeight="1">
      <c r="A20" s="56"/>
      <c r="B20" s="56"/>
      <c r="C20" s="56"/>
      <c r="D20" s="56"/>
      <c r="E20" s="56"/>
      <c r="F20" s="56"/>
      <c r="G20" s="56"/>
      <c r="H20" s="56"/>
      <c r="I20" s="56"/>
      <c r="J20" s="56"/>
      <c r="K20" s="56"/>
      <c r="L20" s="56"/>
      <c r="M20" s="56"/>
      <c r="N20" s="56"/>
      <c r="O20" s="56"/>
      <c r="P20" s="56"/>
      <c r="Q20" s="56"/>
      <c r="R20" s="56"/>
      <c r="S20" s="56"/>
      <c r="T20" s="56"/>
      <c r="U20" s="56"/>
      <c r="V20" s="56"/>
      <c r="W20" s="56"/>
      <c r="X20" s="56"/>
      <c r="Y20" s="56"/>
    </row>
    <row r="21" spans="1:25" ht="15.7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row>
    <row r="22" spans="1:25" ht="15.7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row>
    <row r="23" spans="1:25"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row>
    <row r="24" spans="1:25"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row>
    <row r="25" spans="1:25"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row>
    <row r="26" spans="1:25"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row>
    <row r="27" spans="1:25" ht="12.9">
      <c r="A27" s="56"/>
      <c r="B27" s="56"/>
      <c r="C27" s="56"/>
      <c r="D27" s="56"/>
      <c r="E27" s="56"/>
      <c r="F27" s="56"/>
      <c r="G27" s="56"/>
      <c r="H27" s="56"/>
      <c r="I27" s="56"/>
      <c r="J27" s="56"/>
      <c r="K27" s="56"/>
      <c r="L27" s="56"/>
      <c r="M27" s="56"/>
      <c r="N27" s="56"/>
      <c r="O27" s="56"/>
      <c r="P27" s="56"/>
      <c r="Q27" s="56"/>
      <c r="R27" s="56"/>
      <c r="S27" s="56"/>
      <c r="T27" s="56"/>
      <c r="U27" s="56"/>
      <c r="V27" s="56"/>
      <c r="W27" s="56"/>
      <c r="X27" s="56"/>
      <c r="Y27" s="56"/>
    </row>
    <row r="28" spans="1:25" ht="12.9">
      <c r="A28" s="56"/>
      <c r="B28" s="56"/>
      <c r="C28" s="56"/>
      <c r="D28" s="56"/>
      <c r="E28" s="56"/>
      <c r="F28" s="56"/>
      <c r="G28" s="56"/>
      <c r="H28" s="56"/>
      <c r="I28" s="56"/>
      <c r="J28" s="56"/>
      <c r="K28" s="56"/>
      <c r="L28" s="56"/>
      <c r="M28" s="56"/>
      <c r="N28" s="56"/>
      <c r="O28" s="56"/>
      <c r="P28" s="56"/>
      <c r="Q28" s="56"/>
      <c r="R28" s="56"/>
      <c r="S28" s="56"/>
      <c r="T28" s="56"/>
      <c r="U28" s="56"/>
      <c r="V28" s="56"/>
      <c r="W28" s="56"/>
      <c r="X28" s="56"/>
      <c r="Y28" s="56"/>
    </row>
    <row r="29" spans="1:25" ht="12.9">
      <c r="A29" s="56"/>
      <c r="B29" s="56"/>
      <c r="C29" s="56"/>
      <c r="D29" s="56"/>
      <c r="E29" s="56"/>
      <c r="F29" s="56"/>
      <c r="G29" s="56"/>
      <c r="H29" s="56"/>
      <c r="I29" s="56"/>
      <c r="J29" s="56"/>
      <c r="K29" s="56"/>
      <c r="L29" s="56"/>
      <c r="M29" s="56"/>
      <c r="N29" s="56"/>
      <c r="O29" s="56"/>
      <c r="P29" s="56"/>
      <c r="Q29" s="56"/>
      <c r="R29" s="56"/>
      <c r="S29" s="56"/>
      <c r="T29" s="56"/>
      <c r="U29" s="56"/>
      <c r="V29" s="56"/>
      <c r="W29" s="56"/>
      <c r="X29" s="56"/>
      <c r="Y29" s="56"/>
    </row>
    <row r="30" spans="1:25" ht="12.9">
      <c r="A30" s="56"/>
      <c r="B30" s="56"/>
      <c r="C30" s="56"/>
      <c r="D30" s="56"/>
      <c r="E30" s="56"/>
      <c r="F30" s="56"/>
      <c r="G30" s="56"/>
      <c r="H30" s="56"/>
      <c r="I30" s="56"/>
      <c r="J30" s="56"/>
      <c r="K30" s="56"/>
      <c r="L30" s="56"/>
      <c r="M30" s="56"/>
      <c r="N30" s="56"/>
      <c r="O30" s="56"/>
      <c r="P30" s="56"/>
      <c r="Q30" s="56"/>
      <c r="R30" s="56"/>
      <c r="S30" s="56"/>
      <c r="T30" s="56"/>
      <c r="U30" s="56"/>
      <c r="V30" s="56"/>
      <c r="W30" s="56"/>
      <c r="X30" s="56"/>
      <c r="Y30" s="56"/>
    </row>
    <row r="31" spans="1:25" ht="12.9">
      <c r="A31" s="56"/>
      <c r="B31" s="56"/>
      <c r="C31" s="56"/>
      <c r="D31" s="56"/>
      <c r="E31" s="56"/>
      <c r="F31" s="56"/>
      <c r="G31" s="56"/>
      <c r="H31" s="56"/>
      <c r="I31" s="56"/>
      <c r="J31" s="56"/>
      <c r="K31" s="56"/>
      <c r="L31" s="56"/>
      <c r="M31" s="56"/>
      <c r="N31" s="56"/>
      <c r="O31" s="56"/>
      <c r="P31" s="56"/>
      <c r="Q31" s="56"/>
      <c r="R31" s="56"/>
      <c r="S31" s="56"/>
      <c r="T31" s="56"/>
      <c r="U31" s="56"/>
      <c r="V31" s="56"/>
      <c r="W31" s="56"/>
      <c r="X31" s="56"/>
      <c r="Y31" s="56"/>
    </row>
    <row r="32" spans="1:25" ht="12.9">
      <c r="A32" s="56"/>
      <c r="B32" s="56"/>
      <c r="C32" s="56"/>
      <c r="D32" s="56"/>
      <c r="E32" s="56"/>
      <c r="F32" s="56"/>
      <c r="G32" s="56"/>
      <c r="H32" s="56"/>
      <c r="I32" s="56"/>
      <c r="J32" s="56"/>
      <c r="K32" s="56"/>
      <c r="L32" s="56"/>
      <c r="M32" s="56"/>
      <c r="N32" s="56"/>
      <c r="O32" s="56"/>
      <c r="P32" s="56"/>
      <c r="Q32" s="56"/>
      <c r="R32" s="56"/>
      <c r="S32" s="56"/>
      <c r="T32" s="56"/>
      <c r="U32" s="56"/>
      <c r="V32" s="56"/>
      <c r="W32" s="56"/>
      <c r="X32" s="56"/>
      <c r="Y32" s="56"/>
    </row>
    <row r="33" spans="1:25" ht="12.9">
      <c r="A33" s="56"/>
      <c r="B33" s="56"/>
      <c r="C33" s="56"/>
      <c r="D33" s="56"/>
      <c r="E33" s="56"/>
      <c r="F33" s="56"/>
      <c r="G33" s="56"/>
      <c r="H33" s="56"/>
      <c r="I33" s="56"/>
      <c r="J33" s="56"/>
      <c r="K33" s="56"/>
      <c r="L33" s="56"/>
      <c r="M33" s="56"/>
      <c r="N33" s="56"/>
      <c r="O33" s="56"/>
      <c r="P33" s="56"/>
      <c r="Q33" s="56"/>
      <c r="R33" s="56"/>
      <c r="S33" s="56"/>
      <c r="T33" s="56"/>
      <c r="U33" s="56"/>
      <c r="V33" s="56"/>
      <c r="W33" s="56"/>
      <c r="X33" s="56"/>
      <c r="Y33" s="56"/>
    </row>
    <row r="34" spans="1:25" ht="12.9">
      <c r="A34" s="56"/>
      <c r="B34" s="56"/>
      <c r="C34" s="56"/>
      <c r="D34" s="56"/>
      <c r="E34" s="56"/>
      <c r="F34" s="56"/>
      <c r="G34" s="56"/>
      <c r="H34" s="56"/>
      <c r="I34" s="56"/>
      <c r="J34" s="56"/>
      <c r="K34" s="56"/>
      <c r="L34" s="56"/>
      <c r="M34" s="56"/>
      <c r="N34" s="56"/>
      <c r="O34" s="56"/>
      <c r="P34" s="56"/>
      <c r="Q34" s="56"/>
      <c r="R34" s="56"/>
      <c r="S34" s="56"/>
      <c r="T34" s="56"/>
      <c r="U34" s="56"/>
      <c r="V34" s="56"/>
      <c r="W34" s="56"/>
      <c r="X34" s="56"/>
      <c r="Y34" s="56"/>
    </row>
    <row r="35" spans="1:25" ht="12.9">
      <c r="A35" s="56"/>
      <c r="B35" s="56"/>
      <c r="C35" s="56"/>
      <c r="D35" s="56"/>
      <c r="E35" s="56"/>
      <c r="F35" s="56"/>
      <c r="G35" s="56"/>
      <c r="H35" s="56"/>
      <c r="I35" s="56"/>
      <c r="J35" s="56"/>
      <c r="K35" s="56"/>
      <c r="L35" s="56"/>
      <c r="M35" s="56"/>
      <c r="N35" s="56"/>
      <c r="O35" s="56"/>
      <c r="P35" s="56"/>
      <c r="Q35" s="56"/>
      <c r="R35" s="56"/>
      <c r="S35" s="56"/>
      <c r="T35" s="56"/>
      <c r="U35" s="56"/>
      <c r="V35" s="56"/>
      <c r="W35" s="56"/>
      <c r="X35" s="56"/>
      <c r="Y35" s="56"/>
    </row>
    <row r="36" spans="1:25" ht="12.9">
      <c r="A36" s="56"/>
      <c r="B36" s="56"/>
      <c r="C36" s="56"/>
      <c r="D36" s="56"/>
      <c r="E36" s="56"/>
      <c r="F36" s="56"/>
      <c r="G36" s="56"/>
      <c r="H36" s="56"/>
      <c r="I36" s="56"/>
      <c r="J36" s="56"/>
      <c r="K36" s="56"/>
      <c r="L36" s="56"/>
      <c r="M36" s="56"/>
      <c r="N36" s="56"/>
      <c r="O36" s="56"/>
      <c r="P36" s="56"/>
      <c r="Q36" s="56"/>
      <c r="R36" s="56"/>
      <c r="S36" s="56"/>
      <c r="T36" s="56"/>
      <c r="U36" s="56"/>
      <c r="V36" s="56"/>
      <c r="W36" s="56"/>
      <c r="X36" s="56"/>
      <c r="Y36" s="56"/>
    </row>
    <row r="37" spans="1:25" ht="12.9">
      <c r="A37" s="56"/>
      <c r="B37" s="56"/>
      <c r="C37" s="56"/>
      <c r="D37" s="56"/>
      <c r="E37" s="56"/>
      <c r="F37" s="56"/>
      <c r="G37" s="56"/>
      <c r="H37" s="56"/>
      <c r="I37" s="56"/>
      <c r="J37" s="56"/>
      <c r="K37" s="56"/>
      <c r="L37" s="56"/>
      <c r="M37" s="56"/>
      <c r="N37" s="56"/>
      <c r="O37" s="56"/>
      <c r="P37" s="56"/>
      <c r="Q37" s="56"/>
      <c r="R37" s="56"/>
      <c r="S37" s="56"/>
      <c r="T37" s="56"/>
      <c r="U37" s="56"/>
      <c r="V37" s="56"/>
      <c r="W37" s="56"/>
      <c r="X37" s="56"/>
      <c r="Y37" s="56"/>
    </row>
    <row r="38" spans="1:25" ht="12.9">
      <c r="A38" s="56"/>
      <c r="B38" s="56"/>
      <c r="C38" s="56"/>
      <c r="D38" s="56"/>
      <c r="E38" s="56"/>
      <c r="F38" s="56"/>
      <c r="G38" s="56"/>
      <c r="H38" s="56"/>
      <c r="I38" s="56"/>
      <c r="J38" s="56"/>
      <c r="K38" s="56"/>
      <c r="L38" s="56"/>
      <c r="M38" s="56"/>
      <c r="N38" s="56"/>
      <c r="O38" s="56"/>
      <c r="P38" s="56"/>
      <c r="Q38" s="56"/>
      <c r="R38" s="56"/>
      <c r="S38" s="56"/>
      <c r="T38" s="56"/>
      <c r="U38" s="56"/>
      <c r="V38" s="56"/>
      <c r="W38" s="56"/>
      <c r="X38" s="56"/>
      <c r="Y38" s="56"/>
    </row>
    <row r="39" spans="1:25" ht="12.9">
      <c r="A39" s="56"/>
      <c r="B39" s="56"/>
      <c r="C39" s="56"/>
      <c r="D39" s="56"/>
      <c r="E39" s="56"/>
      <c r="F39" s="56"/>
      <c r="G39" s="56"/>
      <c r="H39" s="56"/>
      <c r="I39" s="56"/>
      <c r="J39" s="56"/>
      <c r="K39" s="56"/>
      <c r="L39" s="56"/>
      <c r="M39" s="56"/>
      <c r="N39" s="56"/>
      <c r="O39" s="56"/>
      <c r="P39" s="56"/>
      <c r="Q39" s="56"/>
      <c r="R39" s="56"/>
      <c r="S39" s="56"/>
      <c r="T39" s="56"/>
      <c r="U39" s="56"/>
      <c r="V39" s="56"/>
      <c r="W39" s="56"/>
      <c r="X39" s="56"/>
      <c r="Y39" s="56"/>
    </row>
    <row r="40" spans="1:25" ht="12.9">
      <c r="A40" s="56"/>
      <c r="B40" s="56"/>
      <c r="C40" s="56"/>
      <c r="D40" s="56"/>
      <c r="E40" s="56"/>
      <c r="F40" s="56"/>
      <c r="G40" s="56"/>
      <c r="H40" s="56"/>
      <c r="I40" s="56"/>
      <c r="J40" s="56"/>
      <c r="K40" s="56"/>
      <c r="L40" s="56"/>
      <c r="M40" s="56"/>
      <c r="N40" s="56"/>
      <c r="O40" s="56"/>
      <c r="P40" s="56"/>
      <c r="Q40" s="56"/>
      <c r="R40" s="56"/>
      <c r="S40" s="56"/>
      <c r="T40" s="56"/>
      <c r="U40" s="56"/>
      <c r="V40" s="56"/>
      <c r="W40" s="56"/>
      <c r="X40" s="56"/>
      <c r="Y40" s="56"/>
    </row>
    <row r="41" spans="1:25" ht="12.9">
      <c r="A41" s="56"/>
      <c r="B41" s="56"/>
      <c r="C41" s="56"/>
      <c r="D41" s="56"/>
      <c r="E41" s="56"/>
      <c r="F41" s="56"/>
      <c r="G41" s="56"/>
      <c r="H41" s="56"/>
      <c r="I41" s="56"/>
      <c r="J41" s="56"/>
      <c r="K41" s="56"/>
      <c r="L41" s="56"/>
      <c r="M41" s="56"/>
      <c r="N41" s="56"/>
      <c r="O41" s="56"/>
      <c r="P41" s="56"/>
      <c r="Q41" s="56"/>
      <c r="R41" s="56"/>
      <c r="S41" s="56"/>
      <c r="T41" s="56"/>
      <c r="U41" s="56"/>
      <c r="V41" s="56"/>
      <c r="W41" s="56"/>
      <c r="X41" s="56"/>
      <c r="Y41" s="56"/>
    </row>
    <row r="42" spans="1:25" ht="12.9">
      <c r="A42" s="56"/>
      <c r="B42" s="56"/>
      <c r="C42" s="56"/>
      <c r="D42" s="56"/>
      <c r="E42" s="56"/>
      <c r="F42" s="56"/>
      <c r="G42" s="56"/>
      <c r="H42" s="56"/>
      <c r="I42" s="56"/>
      <c r="J42" s="56"/>
      <c r="K42" s="56"/>
      <c r="L42" s="56"/>
      <c r="M42" s="56"/>
      <c r="N42" s="56"/>
      <c r="O42" s="56"/>
      <c r="P42" s="56"/>
      <c r="Q42" s="56"/>
      <c r="R42" s="56"/>
      <c r="S42" s="56"/>
      <c r="T42" s="56"/>
      <c r="U42" s="56"/>
      <c r="V42" s="56"/>
      <c r="W42" s="56"/>
      <c r="X42" s="56"/>
      <c r="Y42" s="56"/>
    </row>
    <row r="43" spans="1:25" ht="12.9">
      <c r="A43" s="56"/>
      <c r="B43" s="56"/>
      <c r="C43" s="56"/>
      <c r="D43" s="56"/>
      <c r="E43" s="56"/>
      <c r="F43" s="56"/>
      <c r="G43" s="56"/>
      <c r="H43" s="56"/>
      <c r="I43" s="56"/>
      <c r="J43" s="56"/>
      <c r="K43" s="56"/>
      <c r="L43" s="56"/>
      <c r="M43" s="56"/>
      <c r="N43" s="56"/>
      <c r="O43" s="56"/>
      <c r="P43" s="56"/>
      <c r="Q43" s="56"/>
      <c r="R43" s="56"/>
      <c r="S43" s="56"/>
      <c r="T43" s="56"/>
      <c r="U43" s="56"/>
      <c r="V43" s="56"/>
      <c r="W43" s="56"/>
      <c r="X43" s="56"/>
      <c r="Y43" s="56"/>
    </row>
    <row r="44" spans="1:25" ht="12.9">
      <c r="A44" s="56"/>
      <c r="B44" s="56"/>
      <c r="C44" s="56"/>
      <c r="D44" s="56"/>
      <c r="E44" s="56"/>
      <c r="F44" s="56"/>
      <c r="G44" s="56"/>
      <c r="H44" s="56"/>
      <c r="I44" s="56"/>
      <c r="J44" s="56"/>
      <c r="K44" s="56"/>
      <c r="L44" s="56"/>
      <c r="M44" s="56"/>
      <c r="N44" s="56"/>
      <c r="O44" s="56"/>
      <c r="P44" s="56"/>
      <c r="Q44" s="56"/>
      <c r="R44" s="56"/>
      <c r="S44" s="56"/>
      <c r="T44" s="56"/>
      <c r="U44" s="56"/>
      <c r="V44" s="56"/>
      <c r="W44" s="56"/>
      <c r="X44" s="56"/>
      <c r="Y44" s="56"/>
    </row>
    <row r="45" spans="1:25" ht="12.9">
      <c r="A45" s="56"/>
      <c r="B45" s="56"/>
      <c r="C45" s="56"/>
      <c r="D45" s="56"/>
      <c r="E45" s="56"/>
      <c r="F45" s="56"/>
      <c r="G45" s="56"/>
      <c r="H45" s="56"/>
      <c r="I45" s="56"/>
      <c r="J45" s="56"/>
      <c r="K45" s="56"/>
      <c r="L45" s="56"/>
      <c r="M45" s="56"/>
      <c r="N45" s="56"/>
      <c r="O45" s="56"/>
      <c r="P45" s="56"/>
      <c r="Q45" s="56"/>
      <c r="R45" s="56"/>
      <c r="S45" s="56"/>
      <c r="T45" s="56"/>
      <c r="U45" s="56"/>
      <c r="V45" s="56"/>
      <c r="W45" s="56"/>
      <c r="X45" s="56"/>
      <c r="Y45" s="56"/>
    </row>
    <row r="46" spans="1:25" ht="12.9">
      <c r="A46" s="56"/>
      <c r="B46" s="56"/>
      <c r="C46" s="56"/>
      <c r="D46" s="56"/>
      <c r="E46" s="56"/>
      <c r="F46" s="56"/>
      <c r="G46" s="56"/>
      <c r="H46" s="56"/>
      <c r="I46" s="56"/>
      <c r="J46" s="56"/>
      <c r="K46" s="56"/>
      <c r="L46" s="56"/>
      <c r="M46" s="56"/>
      <c r="N46" s="56"/>
      <c r="O46" s="56"/>
      <c r="P46" s="56"/>
      <c r="Q46" s="56"/>
      <c r="R46" s="56"/>
      <c r="S46" s="56"/>
      <c r="T46" s="56"/>
      <c r="U46" s="56"/>
      <c r="V46" s="56"/>
      <c r="W46" s="56"/>
      <c r="X46" s="56"/>
      <c r="Y46" s="56"/>
    </row>
    <row r="47" spans="1:25" ht="12.9">
      <c r="A47" s="56"/>
      <c r="B47" s="56"/>
      <c r="C47" s="56"/>
      <c r="D47" s="56"/>
      <c r="E47" s="56"/>
      <c r="F47" s="56"/>
      <c r="G47" s="56"/>
      <c r="H47" s="56"/>
      <c r="I47" s="56"/>
      <c r="J47" s="56"/>
      <c r="K47" s="56"/>
      <c r="L47" s="56"/>
      <c r="M47" s="56"/>
      <c r="N47" s="56"/>
      <c r="O47" s="56"/>
      <c r="P47" s="56"/>
      <c r="Q47" s="56"/>
      <c r="R47" s="56"/>
      <c r="S47" s="56"/>
      <c r="T47" s="56"/>
      <c r="U47" s="56"/>
      <c r="V47" s="56"/>
      <c r="W47" s="56"/>
      <c r="X47" s="56"/>
      <c r="Y47" s="56"/>
    </row>
    <row r="48" spans="1:25" ht="12.9">
      <c r="A48" s="56"/>
      <c r="B48" s="56"/>
      <c r="C48" s="56"/>
      <c r="D48" s="56"/>
      <c r="E48" s="56"/>
      <c r="F48" s="56"/>
      <c r="G48" s="56"/>
      <c r="H48" s="56"/>
      <c r="I48" s="56"/>
      <c r="J48" s="56"/>
      <c r="K48" s="56"/>
      <c r="L48" s="56"/>
      <c r="M48" s="56"/>
      <c r="N48" s="56"/>
      <c r="O48" s="56"/>
      <c r="P48" s="56"/>
      <c r="Q48" s="56"/>
      <c r="R48" s="56"/>
      <c r="S48" s="56"/>
      <c r="T48" s="56"/>
      <c r="U48" s="56"/>
      <c r="V48" s="56"/>
      <c r="W48" s="56"/>
      <c r="X48" s="56"/>
      <c r="Y48" s="56"/>
    </row>
    <row r="49" spans="1:25" ht="12.9">
      <c r="A49" s="56"/>
      <c r="B49" s="56"/>
      <c r="C49" s="56"/>
      <c r="D49" s="56"/>
      <c r="E49" s="56"/>
      <c r="F49" s="56"/>
      <c r="G49" s="56"/>
      <c r="H49" s="56"/>
      <c r="I49" s="56"/>
      <c r="J49" s="56"/>
      <c r="K49" s="56"/>
      <c r="L49" s="56"/>
      <c r="M49" s="56"/>
      <c r="N49" s="56"/>
      <c r="O49" s="56"/>
      <c r="P49" s="56"/>
      <c r="Q49" s="56"/>
      <c r="R49" s="56"/>
      <c r="S49" s="56"/>
      <c r="T49" s="56"/>
      <c r="U49" s="56"/>
      <c r="V49" s="56"/>
      <c r="W49" s="56"/>
      <c r="X49" s="56"/>
      <c r="Y49" s="56"/>
    </row>
    <row r="50" spans="1:25" ht="12.9">
      <c r="A50" s="56"/>
      <c r="B50" s="56"/>
      <c r="C50" s="56"/>
      <c r="D50" s="56"/>
      <c r="E50" s="56"/>
      <c r="F50" s="56"/>
      <c r="G50" s="56"/>
      <c r="H50" s="56"/>
      <c r="I50" s="56"/>
      <c r="J50" s="56"/>
      <c r="K50" s="56"/>
      <c r="L50" s="56"/>
      <c r="M50" s="56"/>
      <c r="N50" s="56"/>
      <c r="O50" s="56"/>
      <c r="P50" s="56"/>
      <c r="Q50" s="56"/>
      <c r="R50" s="56"/>
      <c r="S50" s="56"/>
      <c r="T50" s="56"/>
      <c r="U50" s="56"/>
      <c r="V50" s="56"/>
      <c r="W50" s="56"/>
      <c r="X50" s="56"/>
      <c r="Y50" s="56"/>
    </row>
    <row r="51" spans="1:25" ht="12.9">
      <c r="A51" s="56"/>
      <c r="B51" s="56"/>
      <c r="C51" s="56"/>
      <c r="D51" s="56"/>
      <c r="E51" s="56"/>
      <c r="F51" s="56"/>
      <c r="G51" s="56"/>
      <c r="H51" s="56"/>
      <c r="I51" s="56"/>
      <c r="J51" s="56"/>
      <c r="K51" s="56"/>
      <c r="L51" s="56"/>
      <c r="M51" s="56"/>
      <c r="N51" s="56"/>
      <c r="O51" s="56"/>
      <c r="P51" s="56"/>
      <c r="Q51" s="56"/>
      <c r="R51" s="56"/>
      <c r="S51" s="56"/>
      <c r="T51" s="56"/>
      <c r="U51" s="56"/>
      <c r="V51" s="56"/>
      <c r="W51" s="56"/>
      <c r="X51" s="56"/>
      <c r="Y51" s="56"/>
    </row>
    <row r="52" spans="1:25" ht="12.9">
      <c r="A52" s="56"/>
      <c r="B52" s="56"/>
      <c r="C52" s="56"/>
      <c r="D52" s="56"/>
      <c r="E52" s="56"/>
      <c r="F52" s="56"/>
      <c r="G52" s="56"/>
      <c r="H52" s="56"/>
      <c r="I52" s="56"/>
      <c r="J52" s="56"/>
      <c r="K52" s="56"/>
      <c r="L52" s="56"/>
      <c r="M52" s="56"/>
      <c r="N52" s="56"/>
      <c r="O52" s="56"/>
      <c r="P52" s="56"/>
      <c r="Q52" s="56"/>
      <c r="R52" s="56"/>
      <c r="S52" s="56"/>
      <c r="T52" s="56"/>
      <c r="U52" s="56"/>
      <c r="V52" s="56"/>
      <c r="W52" s="56"/>
      <c r="X52" s="56"/>
      <c r="Y52" s="56"/>
    </row>
    <row r="53" spans="1:25" ht="12.9">
      <c r="A53" s="56"/>
      <c r="B53" s="56"/>
      <c r="C53" s="56"/>
      <c r="D53" s="56"/>
      <c r="E53" s="56"/>
      <c r="F53" s="56"/>
      <c r="G53" s="56"/>
      <c r="H53" s="56"/>
      <c r="I53" s="56"/>
      <c r="J53" s="56"/>
      <c r="K53" s="56"/>
      <c r="L53" s="56"/>
      <c r="M53" s="56"/>
      <c r="N53" s="56"/>
      <c r="O53" s="56"/>
      <c r="P53" s="56"/>
      <c r="Q53" s="56"/>
      <c r="R53" s="56"/>
      <c r="S53" s="56"/>
      <c r="T53" s="56"/>
      <c r="U53" s="56"/>
      <c r="V53" s="56"/>
      <c r="W53" s="56"/>
      <c r="X53" s="56"/>
      <c r="Y53" s="56"/>
    </row>
    <row r="54" spans="1:25" ht="12.9">
      <c r="A54" s="56"/>
      <c r="B54" s="56"/>
      <c r="C54" s="56"/>
      <c r="D54" s="56"/>
      <c r="E54" s="56"/>
      <c r="F54" s="56"/>
      <c r="G54" s="56"/>
      <c r="H54" s="56"/>
      <c r="I54" s="56"/>
      <c r="J54" s="56"/>
      <c r="K54" s="56"/>
      <c r="L54" s="56"/>
      <c r="M54" s="56"/>
      <c r="N54" s="56"/>
      <c r="O54" s="56"/>
      <c r="P54" s="56"/>
      <c r="Q54" s="56"/>
      <c r="R54" s="56"/>
      <c r="S54" s="56"/>
      <c r="T54" s="56"/>
      <c r="U54" s="56"/>
      <c r="V54" s="56"/>
      <c r="W54" s="56"/>
      <c r="X54" s="56"/>
      <c r="Y54" s="56"/>
    </row>
    <row r="55" spans="1:25" ht="12.9">
      <c r="A55" s="56"/>
      <c r="B55" s="56"/>
      <c r="C55" s="56"/>
      <c r="D55" s="56"/>
      <c r="E55" s="56"/>
      <c r="F55" s="56"/>
      <c r="G55" s="56"/>
      <c r="H55" s="56"/>
      <c r="I55" s="56"/>
      <c r="J55" s="56"/>
      <c r="K55" s="56"/>
      <c r="L55" s="56"/>
      <c r="M55" s="56"/>
      <c r="N55" s="56"/>
      <c r="O55" s="56"/>
      <c r="P55" s="56"/>
      <c r="Q55" s="56"/>
      <c r="R55" s="56"/>
      <c r="S55" s="56"/>
      <c r="T55" s="56"/>
      <c r="U55" s="56"/>
      <c r="V55" s="56"/>
      <c r="W55" s="56"/>
      <c r="X55" s="56"/>
      <c r="Y55" s="56"/>
    </row>
    <row r="56" spans="1:25" ht="12.9">
      <c r="A56" s="56"/>
      <c r="B56" s="56"/>
      <c r="C56" s="56"/>
      <c r="D56" s="56"/>
      <c r="E56" s="56"/>
      <c r="F56" s="56"/>
      <c r="G56" s="56"/>
      <c r="H56" s="56"/>
      <c r="I56" s="56"/>
      <c r="J56" s="56"/>
      <c r="K56" s="56"/>
      <c r="L56" s="56"/>
      <c r="M56" s="56"/>
      <c r="N56" s="56"/>
      <c r="O56" s="56"/>
      <c r="P56" s="56"/>
      <c r="Q56" s="56"/>
      <c r="R56" s="56"/>
      <c r="S56" s="56"/>
      <c r="T56" s="56"/>
      <c r="U56" s="56"/>
      <c r="V56" s="56"/>
      <c r="W56" s="56"/>
      <c r="X56" s="56"/>
      <c r="Y56" s="56"/>
    </row>
    <row r="57" spans="1:25" ht="12.9">
      <c r="A57" s="56"/>
      <c r="B57" s="56"/>
      <c r="C57" s="56"/>
      <c r="D57" s="56"/>
      <c r="E57" s="56"/>
      <c r="F57" s="56"/>
      <c r="G57" s="56"/>
      <c r="H57" s="56"/>
      <c r="I57" s="56"/>
      <c r="J57" s="56"/>
      <c r="K57" s="56"/>
      <c r="L57" s="56"/>
      <c r="M57" s="56"/>
      <c r="N57" s="56"/>
      <c r="O57" s="56"/>
      <c r="P57" s="56"/>
      <c r="Q57" s="56"/>
      <c r="R57" s="56"/>
      <c r="S57" s="56"/>
      <c r="T57" s="56"/>
      <c r="U57" s="56"/>
      <c r="V57" s="56"/>
      <c r="W57" s="56"/>
      <c r="X57" s="56"/>
      <c r="Y57" s="56"/>
    </row>
    <row r="58" spans="1:25" ht="12.9">
      <c r="A58" s="56"/>
      <c r="B58" s="56"/>
      <c r="C58" s="56"/>
      <c r="D58" s="56"/>
      <c r="E58" s="56"/>
      <c r="F58" s="56"/>
      <c r="G58" s="56"/>
      <c r="H58" s="56"/>
      <c r="I58" s="56"/>
      <c r="J58" s="56"/>
      <c r="K58" s="56"/>
      <c r="L58" s="56"/>
      <c r="M58" s="56"/>
      <c r="N58" s="56"/>
      <c r="O58" s="56"/>
      <c r="P58" s="56"/>
      <c r="Q58" s="56"/>
      <c r="R58" s="56"/>
      <c r="S58" s="56"/>
      <c r="T58" s="56"/>
      <c r="U58" s="56"/>
      <c r="V58" s="56"/>
      <c r="W58" s="56"/>
      <c r="X58" s="56"/>
      <c r="Y58" s="56"/>
    </row>
    <row r="59" spans="1:25" ht="12.9">
      <c r="A59" s="56"/>
      <c r="B59" s="56"/>
      <c r="C59" s="56"/>
      <c r="D59" s="56"/>
      <c r="E59" s="56"/>
      <c r="F59" s="56"/>
      <c r="G59" s="56"/>
      <c r="H59" s="56"/>
      <c r="I59" s="56"/>
      <c r="J59" s="56"/>
      <c r="K59" s="56"/>
      <c r="L59" s="56"/>
      <c r="M59" s="56"/>
      <c r="N59" s="56"/>
      <c r="O59" s="56"/>
      <c r="P59" s="56"/>
      <c r="Q59" s="56"/>
      <c r="R59" s="56"/>
      <c r="S59" s="56"/>
      <c r="T59" s="56"/>
      <c r="U59" s="56"/>
      <c r="V59" s="56"/>
      <c r="W59" s="56"/>
      <c r="X59" s="56"/>
      <c r="Y59" s="56"/>
    </row>
    <row r="60" spans="1:25" ht="12.9">
      <c r="A60" s="56"/>
      <c r="B60" s="56"/>
      <c r="C60" s="56"/>
      <c r="D60" s="56"/>
      <c r="E60" s="56"/>
      <c r="F60" s="56"/>
      <c r="G60" s="56"/>
      <c r="H60" s="56"/>
      <c r="I60" s="56"/>
      <c r="J60" s="56"/>
      <c r="K60" s="56"/>
      <c r="L60" s="56"/>
      <c r="M60" s="56"/>
      <c r="N60" s="56"/>
      <c r="O60" s="56"/>
      <c r="P60" s="56"/>
      <c r="Q60" s="56"/>
      <c r="R60" s="56"/>
      <c r="S60" s="56"/>
      <c r="T60" s="56"/>
      <c r="U60" s="56"/>
      <c r="V60" s="56"/>
      <c r="W60" s="56"/>
      <c r="X60" s="56"/>
      <c r="Y60" s="56"/>
    </row>
    <row r="61" spans="1:25" ht="12.9">
      <c r="A61" s="56"/>
      <c r="B61" s="56"/>
      <c r="C61" s="56"/>
      <c r="D61" s="56"/>
      <c r="E61" s="56"/>
      <c r="F61" s="56"/>
      <c r="G61" s="56"/>
      <c r="H61" s="56"/>
      <c r="I61" s="56"/>
      <c r="J61" s="56"/>
      <c r="K61" s="56"/>
      <c r="L61" s="56"/>
      <c r="M61" s="56"/>
      <c r="N61" s="56"/>
      <c r="O61" s="56"/>
      <c r="P61" s="56"/>
      <c r="Q61" s="56"/>
      <c r="R61" s="56"/>
      <c r="S61" s="56"/>
      <c r="T61" s="56"/>
      <c r="U61" s="56"/>
      <c r="V61" s="56"/>
      <c r="W61" s="56"/>
      <c r="X61" s="56"/>
      <c r="Y61" s="56"/>
    </row>
    <row r="62" spans="1:25" ht="12.9">
      <c r="A62" s="56"/>
      <c r="B62" s="56"/>
      <c r="C62" s="56"/>
      <c r="D62" s="56"/>
      <c r="E62" s="56"/>
      <c r="F62" s="56"/>
      <c r="G62" s="56"/>
      <c r="H62" s="56"/>
      <c r="I62" s="56"/>
      <c r="J62" s="56"/>
      <c r="K62" s="56"/>
      <c r="L62" s="56"/>
      <c r="M62" s="56"/>
      <c r="N62" s="56"/>
      <c r="O62" s="56"/>
      <c r="P62" s="56"/>
      <c r="Q62" s="56"/>
      <c r="R62" s="56"/>
      <c r="S62" s="56"/>
      <c r="T62" s="56"/>
      <c r="U62" s="56"/>
      <c r="V62" s="56"/>
      <c r="W62" s="56"/>
      <c r="X62" s="56"/>
      <c r="Y62" s="56"/>
    </row>
    <row r="63" spans="1:25" ht="12.9">
      <c r="A63" s="56"/>
      <c r="B63" s="56"/>
      <c r="C63" s="56"/>
      <c r="D63" s="56"/>
      <c r="E63" s="56"/>
      <c r="F63" s="56"/>
      <c r="G63" s="56"/>
      <c r="H63" s="56"/>
      <c r="I63" s="56"/>
      <c r="J63" s="56"/>
      <c r="K63" s="56"/>
      <c r="L63" s="56"/>
      <c r="M63" s="56"/>
      <c r="N63" s="56"/>
      <c r="O63" s="56"/>
      <c r="P63" s="56"/>
      <c r="Q63" s="56"/>
      <c r="R63" s="56"/>
      <c r="S63" s="56"/>
      <c r="T63" s="56"/>
      <c r="U63" s="56"/>
      <c r="V63" s="56"/>
      <c r="W63" s="56"/>
      <c r="X63" s="56"/>
      <c r="Y63" s="56"/>
    </row>
    <row r="64" spans="1:25" ht="12.9">
      <c r="A64" s="56"/>
      <c r="B64" s="56"/>
      <c r="C64" s="56"/>
      <c r="D64" s="56"/>
      <c r="E64" s="56"/>
      <c r="F64" s="56"/>
      <c r="G64" s="56"/>
      <c r="H64" s="56"/>
      <c r="I64" s="56"/>
      <c r="J64" s="56"/>
      <c r="K64" s="56"/>
      <c r="L64" s="56"/>
      <c r="M64" s="56"/>
      <c r="N64" s="56"/>
      <c r="O64" s="56"/>
      <c r="P64" s="56"/>
      <c r="Q64" s="56"/>
      <c r="R64" s="56"/>
      <c r="S64" s="56"/>
      <c r="T64" s="56"/>
      <c r="U64" s="56"/>
      <c r="V64" s="56"/>
      <c r="W64" s="56"/>
      <c r="X64" s="56"/>
      <c r="Y64" s="56"/>
    </row>
    <row r="65" spans="1:25" ht="12.9">
      <c r="A65" s="56"/>
      <c r="B65" s="56"/>
      <c r="C65" s="56"/>
      <c r="D65" s="56"/>
      <c r="E65" s="56"/>
      <c r="F65" s="56"/>
      <c r="G65" s="56"/>
      <c r="H65" s="56"/>
      <c r="I65" s="56"/>
      <c r="J65" s="56"/>
      <c r="K65" s="56"/>
      <c r="L65" s="56"/>
      <c r="M65" s="56"/>
      <c r="N65" s="56"/>
      <c r="O65" s="56"/>
      <c r="P65" s="56"/>
      <c r="Q65" s="56"/>
      <c r="R65" s="56"/>
      <c r="S65" s="56"/>
      <c r="T65" s="56"/>
      <c r="U65" s="56"/>
      <c r="V65" s="56"/>
      <c r="W65" s="56"/>
      <c r="X65" s="56"/>
      <c r="Y65" s="56"/>
    </row>
    <row r="66" spans="1:25" ht="12.9">
      <c r="A66" s="56"/>
      <c r="B66" s="56"/>
      <c r="C66" s="56"/>
      <c r="D66" s="56"/>
      <c r="E66" s="56"/>
      <c r="F66" s="56"/>
      <c r="G66" s="56"/>
      <c r="H66" s="56"/>
      <c r="I66" s="56"/>
      <c r="J66" s="56"/>
      <c r="K66" s="56"/>
      <c r="L66" s="56"/>
      <c r="M66" s="56"/>
      <c r="N66" s="56"/>
      <c r="O66" s="56"/>
      <c r="P66" s="56"/>
      <c r="Q66" s="56"/>
      <c r="R66" s="56"/>
      <c r="S66" s="56"/>
      <c r="T66" s="56"/>
      <c r="U66" s="56"/>
      <c r="V66" s="56"/>
      <c r="W66" s="56"/>
      <c r="X66" s="56"/>
      <c r="Y66" s="56"/>
    </row>
    <row r="67" spans="1:25" ht="12.9">
      <c r="A67" s="56"/>
      <c r="B67" s="56"/>
      <c r="C67" s="56"/>
      <c r="D67" s="56"/>
      <c r="E67" s="56"/>
      <c r="F67" s="56"/>
      <c r="G67" s="56"/>
      <c r="H67" s="56"/>
      <c r="I67" s="56"/>
      <c r="J67" s="56"/>
      <c r="K67" s="56"/>
      <c r="L67" s="56"/>
      <c r="M67" s="56"/>
      <c r="N67" s="56"/>
      <c r="O67" s="56"/>
      <c r="P67" s="56"/>
      <c r="Q67" s="56"/>
      <c r="R67" s="56"/>
      <c r="S67" s="56"/>
      <c r="T67" s="56"/>
      <c r="U67" s="56"/>
      <c r="V67" s="56"/>
      <c r="W67" s="56"/>
      <c r="X67" s="56"/>
      <c r="Y67" s="56"/>
    </row>
    <row r="68" spans="1:25" ht="12.9">
      <c r="A68" s="56"/>
      <c r="B68" s="56"/>
      <c r="C68" s="56"/>
      <c r="D68" s="56"/>
      <c r="E68" s="56"/>
      <c r="F68" s="56"/>
      <c r="G68" s="56"/>
      <c r="H68" s="56"/>
      <c r="I68" s="56"/>
      <c r="J68" s="56"/>
      <c r="K68" s="56"/>
      <c r="L68" s="56"/>
      <c r="M68" s="56"/>
      <c r="N68" s="56"/>
      <c r="O68" s="56"/>
      <c r="P68" s="56"/>
      <c r="Q68" s="56"/>
      <c r="R68" s="56"/>
      <c r="S68" s="56"/>
      <c r="T68" s="56"/>
      <c r="U68" s="56"/>
      <c r="V68" s="56"/>
      <c r="W68" s="56"/>
      <c r="X68" s="56"/>
      <c r="Y68" s="56"/>
    </row>
    <row r="69" spans="1:25" ht="12.9">
      <c r="A69" s="56"/>
      <c r="B69" s="56"/>
      <c r="C69" s="56"/>
      <c r="D69" s="56"/>
      <c r="E69" s="56"/>
      <c r="F69" s="56"/>
      <c r="G69" s="56"/>
      <c r="H69" s="56"/>
      <c r="I69" s="56"/>
      <c r="J69" s="56"/>
      <c r="K69" s="56"/>
      <c r="L69" s="56"/>
      <c r="M69" s="56"/>
      <c r="N69" s="56"/>
      <c r="O69" s="56"/>
      <c r="P69" s="56"/>
      <c r="Q69" s="56"/>
      <c r="R69" s="56"/>
      <c r="S69" s="56"/>
      <c r="T69" s="56"/>
      <c r="U69" s="56"/>
      <c r="V69" s="56"/>
      <c r="W69" s="56"/>
      <c r="X69" s="56"/>
      <c r="Y69" s="56"/>
    </row>
    <row r="70" spans="1:25" ht="12.9">
      <c r="A70" s="56"/>
      <c r="B70" s="56"/>
      <c r="C70" s="56"/>
      <c r="D70" s="56"/>
      <c r="E70" s="56"/>
      <c r="F70" s="56"/>
      <c r="G70" s="56"/>
      <c r="H70" s="56"/>
      <c r="I70" s="56"/>
      <c r="J70" s="56"/>
      <c r="K70" s="56"/>
      <c r="L70" s="56"/>
      <c r="M70" s="56"/>
      <c r="N70" s="56"/>
      <c r="O70" s="56"/>
      <c r="P70" s="56"/>
      <c r="Q70" s="56"/>
      <c r="R70" s="56"/>
      <c r="S70" s="56"/>
      <c r="T70" s="56"/>
      <c r="U70" s="56"/>
      <c r="V70" s="56"/>
      <c r="W70" s="56"/>
      <c r="X70" s="56"/>
      <c r="Y70" s="56"/>
    </row>
    <row r="71" spans="1:25" ht="12.9">
      <c r="A71" s="56"/>
      <c r="B71" s="56"/>
      <c r="C71" s="56"/>
      <c r="D71" s="56"/>
      <c r="E71" s="56"/>
      <c r="F71" s="56"/>
      <c r="G71" s="56"/>
      <c r="H71" s="56"/>
      <c r="I71" s="56"/>
      <c r="J71" s="56"/>
      <c r="K71" s="56"/>
      <c r="L71" s="56"/>
      <c r="M71" s="56"/>
      <c r="N71" s="56"/>
      <c r="O71" s="56"/>
      <c r="P71" s="56"/>
      <c r="Q71" s="56"/>
      <c r="R71" s="56"/>
      <c r="S71" s="56"/>
      <c r="T71" s="56"/>
      <c r="U71" s="56"/>
      <c r="V71" s="56"/>
      <c r="W71" s="56"/>
      <c r="X71" s="56"/>
      <c r="Y71" s="56"/>
    </row>
    <row r="72" spans="1:25" ht="12.9">
      <c r="A72" s="56"/>
      <c r="B72" s="56"/>
      <c r="C72" s="56"/>
      <c r="D72" s="56"/>
      <c r="E72" s="56"/>
      <c r="F72" s="56"/>
      <c r="G72" s="56"/>
      <c r="H72" s="56"/>
      <c r="I72" s="56"/>
      <c r="J72" s="56"/>
      <c r="K72" s="56"/>
      <c r="L72" s="56"/>
      <c r="M72" s="56"/>
      <c r="N72" s="56"/>
      <c r="O72" s="56"/>
      <c r="P72" s="56"/>
      <c r="Q72" s="56"/>
      <c r="R72" s="56"/>
      <c r="S72" s="56"/>
      <c r="T72" s="56"/>
      <c r="U72" s="56"/>
      <c r="V72" s="56"/>
      <c r="W72" s="56"/>
      <c r="X72" s="56"/>
      <c r="Y72" s="56"/>
    </row>
    <row r="73" spans="1:25" ht="12.9">
      <c r="A73" s="56"/>
      <c r="B73" s="56"/>
      <c r="C73" s="56"/>
      <c r="D73" s="56"/>
      <c r="E73" s="56"/>
      <c r="F73" s="56"/>
      <c r="G73" s="56"/>
      <c r="H73" s="56"/>
      <c r="I73" s="56"/>
      <c r="J73" s="56"/>
      <c r="K73" s="56"/>
      <c r="L73" s="56"/>
      <c r="M73" s="56"/>
      <c r="N73" s="56"/>
      <c r="O73" s="56"/>
      <c r="P73" s="56"/>
      <c r="Q73" s="56"/>
      <c r="R73" s="56"/>
      <c r="S73" s="56"/>
      <c r="T73" s="56"/>
      <c r="U73" s="56"/>
      <c r="V73" s="56"/>
      <c r="W73" s="56"/>
      <c r="X73" s="56"/>
      <c r="Y73" s="56"/>
    </row>
    <row r="74" spans="1:25" ht="12.9">
      <c r="A74" s="56"/>
      <c r="B74" s="56"/>
      <c r="C74" s="56"/>
      <c r="D74" s="56"/>
      <c r="E74" s="56"/>
      <c r="F74" s="56"/>
      <c r="G74" s="56"/>
      <c r="H74" s="56"/>
      <c r="I74" s="56"/>
      <c r="J74" s="56"/>
      <c r="K74" s="56"/>
      <c r="L74" s="56"/>
      <c r="M74" s="56"/>
      <c r="N74" s="56"/>
      <c r="O74" s="56"/>
      <c r="P74" s="56"/>
      <c r="Q74" s="56"/>
      <c r="R74" s="56"/>
      <c r="S74" s="56"/>
      <c r="T74" s="56"/>
      <c r="U74" s="56"/>
      <c r="V74" s="56"/>
      <c r="W74" s="56"/>
      <c r="X74" s="56"/>
      <c r="Y74" s="56"/>
    </row>
    <row r="75" spans="1:25" ht="12.9">
      <c r="A75" s="56"/>
      <c r="B75" s="56"/>
      <c r="C75" s="56"/>
      <c r="D75" s="56"/>
      <c r="E75" s="56"/>
      <c r="F75" s="56"/>
      <c r="G75" s="56"/>
      <c r="H75" s="56"/>
      <c r="I75" s="56"/>
      <c r="J75" s="56"/>
      <c r="K75" s="56"/>
      <c r="L75" s="56"/>
      <c r="M75" s="56"/>
      <c r="N75" s="56"/>
      <c r="O75" s="56"/>
      <c r="P75" s="56"/>
      <c r="Q75" s="56"/>
      <c r="R75" s="56"/>
      <c r="S75" s="56"/>
      <c r="T75" s="56"/>
      <c r="U75" s="56"/>
      <c r="V75" s="56"/>
      <c r="W75" s="56"/>
      <c r="X75" s="56"/>
      <c r="Y75" s="56"/>
    </row>
    <row r="76" spans="1:25" ht="12.9">
      <c r="A76" s="56"/>
      <c r="B76" s="56"/>
      <c r="C76" s="56"/>
      <c r="D76" s="56"/>
      <c r="E76" s="56"/>
      <c r="F76" s="56"/>
      <c r="G76" s="56"/>
      <c r="H76" s="56"/>
      <c r="I76" s="56"/>
      <c r="J76" s="56"/>
      <c r="K76" s="56"/>
      <c r="L76" s="56"/>
      <c r="M76" s="56"/>
      <c r="N76" s="56"/>
      <c r="O76" s="56"/>
      <c r="P76" s="56"/>
      <c r="Q76" s="56"/>
      <c r="R76" s="56"/>
      <c r="S76" s="56"/>
      <c r="T76" s="56"/>
      <c r="U76" s="56"/>
      <c r="V76" s="56"/>
      <c r="W76" s="56"/>
      <c r="X76" s="56"/>
      <c r="Y76" s="56"/>
    </row>
    <row r="77" spans="1:25" ht="12.9">
      <c r="A77" s="56"/>
      <c r="B77" s="56"/>
      <c r="C77" s="56"/>
      <c r="D77" s="56"/>
      <c r="E77" s="56"/>
      <c r="F77" s="56"/>
      <c r="G77" s="56"/>
      <c r="H77" s="56"/>
      <c r="I77" s="56"/>
      <c r="J77" s="56"/>
      <c r="K77" s="56"/>
      <c r="L77" s="56"/>
      <c r="M77" s="56"/>
      <c r="N77" s="56"/>
      <c r="O77" s="56"/>
      <c r="P77" s="56"/>
      <c r="Q77" s="56"/>
      <c r="R77" s="56"/>
      <c r="S77" s="56"/>
      <c r="T77" s="56"/>
      <c r="U77" s="56"/>
      <c r="V77" s="56"/>
      <c r="W77" s="56"/>
      <c r="X77" s="56"/>
      <c r="Y77" s="56"/>
    </row>
    <row r="78" spans="1:25" ht="12.9">
      <c r="A78" s="56"/>
      <c r="B78" s="56"/>
      <c r="C78" s="56"/>
      <c r="D78" s="56"/>
      <c r="E78" s="56"/>
      <c r="F78" s="56"/>
      <c r="G78" s="56"/>
      <c r="H78" s="56"/>
      <c r="I78" s="56"/>
      <c r="J78" s="56"/>
      <c r="K78" s="56"/>
      <c r="L78" s="56"/>
      <c r="M78" s="56"/>
      <c r="N78" s="56"/>
      <c r="O78" s="56"/>
      <c r="P78" s="56"/>
      <c r="Q78" s="56"/>
      <c r="R78" s="56"/>
      <c r="S78" s="56"/>
      <c r="T78" s="56"/>
      <c r="U78" s="56"/>
      <c r="V78" s="56"/>
      <c r="W78" s="56"/>
      <c r="X78" s="56"/>
      <c r="Y78" s="56"/>
    </row>
    <row r="79" spans="1:25" ht="12.9">
      <c r="A79" s="56"/>
      <c r="B79" s="56"/>
      <c r="C79" s="56"/>
      <c r="D79" s="56"/>
      <c r="E79" s="56"/>
      <c r="F79" s="56"/>
      <c r="G79" s="56"/>
      <c r="H79" s="56"/>
      <c r="I79" s="56"/>
      <c r="J79" s="56"/>
      <c r="K79" s="56"/>
      <c r="L79" s="56"/>
      <c r="M79" s="56"/>
      <c r="N79" s="56"/>
      <c r="O79" s="56"/>
      <c r="P79" s="56"/>
      <c r="Q79" s="56"/>
      <c r="R79" s="56"/>
      <c r="S79" s="56"/>
      <c r="T79" s="56"/>
      <c r="U79" s="56"/>
      <c r="V79" s="56"/>
      <c r="W79" s="56"/>
      <c r="X79" s="56"/>
      <c r="Y79" s="56"/>
    </row>
    <row r="80" spans="1:25" ht="12.9">
      <c r="A80" s="56"/>
      <c r="B80" s="56"/>
      <c r="C80" s="56"/>
      <c r="D80" s="56"/>
      <c r="E80" s="56"/>
      <c r="F80" s="56"/>
      <c r="G80" s="56"/>
      <c r="H80" s="56"/>
      <c r="I80" s="56"/>
      <c r="J80" s="56"/>
      <c r="K80" s="56"/>
      <c r="L80" s="56"/>
      <c r="M80" s="56"/>
      <c r="N80" s="56"/>
      <c r="O80" s="56"/>
      <c r="P80" s="56"/>
      <c r="Q80" s="56"/>
      <c r="R80" s="56"/>
      <c r="S80" s="56"/>
      <c r="T80" s="56"/>
      <c r="U80" s="56"/>
      <c r="V80" s="56"/>
      <c r="W80" s="56"/>
      <c r="X80" s="56"/>
      <c r="Y80" s="56"/>
    </row>
    <row r="81" spans="1:25" ht="12.9">
      <c r="A81" s="56"/>
      <c r="B81" s="56"/>
      <c r="C81" s="56"/>
      <c r="D81" s="56"/>
      <c r="E81" s="56"/>
      <c r="F81" s="56"/>
      <c r="G81" s="56"/>
      <c r="H81" s="56"/>
      <c r="I81" s="56"/>
      <c r="J81" s="56"/>
      <c r="K81" s="56"/>
      <c r="L81" s="56"/>
      <c r="M81" s="56"/>
      <c r="N81" s="56"/>
      <c r="O81" s="56"/>
      <c r="P81" s="56"/>
      <c r="Q81" s="56"/>
      <c r="R81" s="56"/>
      <c r="S81" s="56"/>
      <c r="T81" s="56"/>
      <c r="U81" s="56"/>
      <c r="V81" s="56"/>
      <c r="W81" s="56"/>
      <c r="X81" s="56"/>
      <c r="Y81" s="56"/>
    </row>
    <row r="82" spans="1:25" ht="12.9">
      <c r="A82" s="56"/>
      <c r="B82" s="56"/>
      <c r="C82" s="56"/>
      <c r="D82" s="56"/>
      <c r="E82" s="56"/>
      <c r="F82" s="56"/>
      <c r="G82" s="56"/>
      <c r="H82" s="56"/>
      <c r="I82" s="56"/>
      <c r="J82" s="56"/>
      <c r="K82" s="56"/>
      <c r="L82" s="56"/>
      <c r="M82" s="56"/>
      <c r="N82" s="56"/>
      <c r="O82" s="56"/>
      <c r="P82" s="56"/>
      <c r="Q82" s="56"/>
      <c r="R82" s="56"/>
      <c r="S82" s="56"/>
      <c r="T82" s="56"/>
      <c r="U82" s="56"/>
      <c r="V82" s="56"/>
      <c r="W82" s="56"/>
      <c r="X82" s="56"/>
      <c r="Y82" s="56"/>
    </row>
    <row r="83" spans="1:25" ht="12.9">
      <c r="A83" s="56"/>
      <c r="B83" s="56"/>
      <c r="C83" s="56"/>
      <c r="D83" s="56"/>
      <c r="E83" s="56"/>
      <c r="F83" s="56"/>
      <c r="G83" s="56"/>
      <c r="H83" s="56"/>
      <c r="I83" s="56"/>
      <c r="J83" s="56"/>
      <c r="K83" s="56"/>
      <c r="L83" s="56"/>
      <c r="M83" s="56"/>
      <c r="N83" s="56"/>
      <c r="O83" s="56"/>
      <c r="P83" s="56"/>
      <c r="Q83" s="56"/>
      <c r="R83" s="56"/>
      <c r="S83" s="56"/>
      <c r="T83" s="56"/>
      <c r="U83" s="56"/>
      <c r="V83" s="56"/>
      <c r="W83" s="56"/>
      <c r="X83" s="56"/>
      <c r="Y83" s="56"/>
    </row>
    <row r="84" spans="1:25" ht="12.9">
      <c r="A84" s="56"/>
      <c r="B84" s="56"/>
      <c r="C84" s="56"/>
      <c r="D84" s="56"/>
      <c r="E84" s="56"/>
      <c r="F84" s="56"/>
      <c r="G84" s="56"/>
      <c r="H84" s="56"/>
      <c r="I84" s="56"/>
      <c r="J84" s="56"/>
      <c r="K84" s="56"/>
      <c r="L84" s="56"/>
      <c r="M84" s="56"/>
      <c r="N84" s="56"/>
      <c r="O84" s="56"/>
      <c r="P84" s="56"/>
      <c r="Q84" s="56"/>
      <c r="R84" s="56"/>
      <c r="S84" s="56"/>
      <c r="T84" s="56"/>
      <c r="U84" s="56"/>
      <c r="V84" s="56"/>
      <c r="W84" s="56"/>
      <c r="X84" s="56"/>
      <c r="Y84" s="56"/>
    </row>
    <row r="85" spans="1:25" ht="12.9">
      <c r="A85" s="56"/>
      <c r="B85" s="56"/>
      <c r="C85" s="56"/>
      <c r="D85" s="56"/>
      <c r="E85" s="56"/>
      <c r="F85" s="56"/>
      <c r="G85" s="56"/>
      <c r="H85" s="56"/>
      <c r="I85" s="56"/>
      <c r="J85" s="56"/>
      <c r="K85" s="56"/>
      <c r="L85" s="56"/>
      <c r="M85" s="56"/>
      <c r="N85" s="56"/>
      <c r="O85" s="56"/>
      <c r="P85" s="56"/>
      <c r="Q85" s="56"/>
      <c r="R85" s="56"/>
      <c r="S85" s="56"/>
      <c r="T85" s="56"/>
      <c r="U85" s="56"/>
      <c r="V85" s="56"/>
      <c r="W85" s="56"/>
      <c r="X85" s="56"/>
      <c r="Y85" s="56"/>
    </row>
    <row r="86" spans="1:25" ht="12.9">
      <c r="A86" s="56"/>
      <c r="B86" s="56"/>
      <c r="C86" s="56"/>
      <c r="D86" s="56"/>
      <c r="E86" s="56"/>
      <c r="F86" s="56"/>
      <c r="G86" s="56"/>
      <c r="H86" s="56"/>
      <c r="I86" s="56"/>
      <c r="J86" s="56"/>
      <c r="K86" s="56"/>
      <c r="L86" s="56"/>
      <c r="M86" s="56"/>
      <c r="N86" s="56"/>
      <c r="O86" s="56"/>
      <c r="P86" s="56"/>
      <c r="Q86" s="56"/>
      <c r="R86" s="56"/>
      <c r="S86" s="56"/>
      <c r="T86" s="56"/>
      <c r="U86" s="56"/>
      <c r="V86" s="56"/>
      <c r="W86" s="56"/>
      <c r="X86" s="56"/>
      <c r="Y86" s="56"/>
    </row>
    <row r="87" spans="1:25" ht="12.9">
      <c r="A87" s="56"/>
      <c r="B87" s="56"/>
      <c r="C87" s="56"/>
      <c r="D87" s="56"/>
      <c r="E87" s="56"/>
      <c r="F87" s="56"/>
      <c r="G87" s="56"/>
      <c r="H87" s="56"/>
      <c r="I87" s="56"/>
      <c r="J87" s="56"/>
      <c r="K87" s="56"/>
      <c r="L87" s="56"/>
      <c r="M87" s="56"/>
      <c r="N87" s="56"/>
      <c r="O87" s="56"/>
      <c r="P87" s="56"/>
      <c r="Q87" s="56"/>
      <c r="R87" s="56"/>
      <c r="S87" s="56"/>
      <c r="T87" s="56"/>
      <c r="U87" s="56"/>
      <c r="V87" s="56"/>
      <c r="W87" s="56"/>
      <c r="X87" s="56"/>
      <c r="Y87" s="56"/>
    </row>
    <row r="88" spans="1:25" ht="12.9">
      <c r="A88" s="56"/>
      <c r="B88" s="56"/>
      <c r="C88" s="56"/>
      <c r="D88" s="56"/>
      <c r="E88" s="56"/>
      <c r="F88" s="56"/>
      <c r="G88" s="56"/>
      <c r="H88" s="56"/>
      <c r="I88" s="56"/>
      <c r="J88" s="56"/>
      <c r="K88" s="56"/>
      <c r="L88" s="56"/>
      <c r="M88" s="56"/>
      <c r="N88" s="56"/>
      <c r="O88" s="56"/>
      <c r="P88" s="56"/>
      <c r="Q88" s="56"/>
      <c r="R88" s="56"/>
      <c r="S88" s="56"/>
      <c r="T88" s="56"/>
      <c r="U88" s="56"/>
      <c r="V88" s="56"/>
      <c r="W88" s="56"/>
      <c r="X88" s="56"/>
      <c r="Y88" s="56"/>
    </row>
    <row r="89" spans="1:25" ht="12.9">
      <c r="A89" s="56"/>
      <c r="B89" s="56"/>
      <c r="C89" s="56"/>
      <c r="D89" s="56"/>
      <c r="E89" s="56"/>
      <c r="F89" s="56"/>
      <c r="G89" s="56"/>
      <c r="H89" s="56"/>
      <c r="I89" s="56"/>
      <c r="J89" s="56"/>
      <c r="K89" s="56"/>
      <c r="L89" s="56"/>
      <c r="M89" s="56"/>
      <c r="N89" s="56"/>
      <c r="O89" s="56"/>
      <c r="P89" s="56"/>
      <c r="Q89" s="56"/>
      <c r="R89" s="56"/>
      <c r="S89" s="56"/>
      <c r="T89" s="56"/>
      <c r="U89" s="56"/>
      <c r="V89" s="56"/>
      <c r="W89" s="56"/>
      <c r="X89" s="56"/>
      <c r="Y89" s="56"/>
    </row>
    <row r="90" spans="1:25" ht="12.9">
      <c r="A90" s="56"/>
      <c r="B90" s="56"/>
      <c r="C90" s="56"/>
      <c r="D90" s="56"/>
      <c r="E90" s="56"/>
      <c r="F90" s="56"/>
      <c r="G90" s="56"/>
      <c r="H90" s="56"/>
      <c r="I90" s="56"/>
      <c r="J90" s="56"/>
      <c r="K90" s="56"/>
      <c r="L90" s="56"/>
      <c r="M90" s="56"/>
      <c r="N90" s="56"/>
      <c r="O90" s="56"/>
      <c r="P90" s="56"/>
      <c r="Q90" s="56"/>
      <c r="R90" s="56"/>
      <c r="S90" s="56"/>
      <c r="T90" s="56"/>
      <c r="U90" s="56"/>
      <c r="V90" s="56"/>
      <c r="W90" s="56"/>
      <c r="X90" s="56"/>
      <c r="Y90" s="56"/>
    </row>
    <row r="91" spans="1:25" ht="12.9">
      <c r="A91" s="56"/>
      <c r="B91" s="56"/>
      <c r="C91" s="56"/>
      <c r="D91" s="56"/>
      <c r="E91" s="56"/>
      <c r="F91" s="56"/>
      <c r="G91" s="56"/>
      <c r="H91" s="56"/>
      <c r="I91" s="56"/>
      <c r="J91" s="56"/>
      <c r="K91" s="56"/>
      <c r="L91" s="56"/>
      <c r="M91" s="56"/>
      <c r="N91" s="56"/>
      <c r="O91" s="56"/>
      <c r="P91" s="56"/>
      <c r="Q91" s="56"/>
      <c r="R91" s="56"/>
      <c r="S91" s="56"/>
      <c r="T91" s="56"/>
      <c r="U91" s="56"/>
      <c r="V91" s="56"/>
      <c r="W91" s="56"/>
      <c r="X91" s="56"/>
      <c r="Y91" s="56"/>
    </row>
    <row r="92" spans="1:25" ht="12.9">
      <c r="A92" s="56"/>
      <c r="B92" s="56"/>
      <c r="C92" s="56"/>
      <c r="D92" s="56"/>
      <c r="E92" s="56"/>
      <c r="F92" s="56"/>
      <c r="G92" s="56"/>
      <c r="H92" s="56"/>
      <c r="I92" s="56"/>
      <c r="J92" s="56"/>
      <c r="K92" s="56"/>
      <c r="L92" s="56"/>
      <c r="M92" s="56"/>
      <c r="N92" s="56"/>
      <c r="O92" s="56"/>
      <c r="P92" s="56"/>
      <c r="Q92" s="56"/>
      <c r="R92" s="56"/>
      <c r="S92" s="56"/>
      <c r="T92" s="56"/>
      <c r="U92" s="56"/>
      <c r="V92" s="56"/>
      <c r="W92" s="56"/>
      <c r="X92" s="56"/>
      <c r="Y92" s="56"/>
    </row>
    <row r="93" spans="1:25" ht="12.9">
      <c r="A93" s="56"/>
      <c r="B93" s="56"/>
      <c r="C93" s="56"/>
      <c r="D93" s="56"/>
      <c r="E93" s="56"/>
      <c r="F93" s="56"/>
      <c r="G93" s="56"/>
      <c r="H93" s="56"/>
      <c r="I93" s="56"/>
      <c r="J93" s="56"/>
      <c r="K93" s="56"/>
      <c r="L93" s="56"/>
      <c r="M93" s="56"/>
      <c r="N93" s="56"/>
      <c r="O93" s="56"/>
      <c r="P93" s="56"/>
      <c r="Q93" s="56"/>
      <c r="R93" s="56"/>
      <c r="S93" s="56"/>
      <c r="T93" s="56"/>
      <c r="U93" s="56"/>
      <c r="V93" s="56"/>
      <c r="W93" s="56"/>
      <c r="X93" s="56"/>
      <c r="Y93" s="56"/>
    </row>
    <row r="94" spans="1:25" ht="12.9">
      <c r="A94" s="56"/>
      <c r="B94" s="56"/>
      <c r="C94" s="56"/>
      <c r="D94" s="56"/>
      <c r="E94" s="56"/>
      <c r="F94" s="56"/>
      <c r="G94" s="56"/>
      <c r="H94" s="56"/>
      <c r="I94" s="56"/>
      <c r="J94" s="56"/>
      <c r="K94" s="56"/>
      <c r="L94" s="56"/>
      <c r="M94" s="56"/>
      <c r="N94" s="56"/>
      <c r="O94" s="56"/>
      <c r="P94" s="56"/>
      <c r="Q94" s="56"/>
      <c r="R94" s="56"/>
      <c r="S94" s="56"/>
      <c r="T94" s="56"/>
      <c r="U94" s="56"/>
      <c r="V94" s="56"/>
      <c r="W94" s="56"/>
      <c r="X94" s="56"/>
      <c r="Y94" s="56"/>
    </row>
    <row r="95" spans="1:25" ht="12.9">
      <c r="A95" s="56"/>
      <c r="B95" s="56"/>
      <c r="C95" s="56"/>
      <c r="D95" s="56"/>
      <c r="E95" s="56"/>
      <c r="F95" s="56"/>
      <c r="G95" s="56"/>
      <c r="H95" s="56"/>
      <c r="I95" s="56"/>
      <c r="J95" s="56"/>
      <c r="K95" s="56"/>
      <c r="L95" s="56"/>
      <c r="M95" s="56"/>
      <c r="N95" s="56"/>
      <c r="O95" s="56"/>
      <c r="P95" s="56"/>
      <c r="Q95" s="56"/>
      <c r="R95" s="56"/>
      <c r="S95" s="56"/>
      <c r="T95" s="56"/>
      <c r="U95" s="56"/>
      <c r="V95" s="56"/>
      <c r="W95" s="56"/>
      <c r="X95" s="56"/>
      <c r="Y95" s="56"/>
    </row>
    <row r="96" spans="1:25" ht="12.9">
      <c r="A96" s="56"/>
      <c r="B96" s="56"/>
      <c r="C96" s="56"/>
      <c r="D96" s="56"/>
      <c r="E96" s="56"/>
      <c r="F96" s="56"/>
      <c r="G96" s="56"/>
      <c r="H96" s="56"/>
      <c r="I96" s="56"/>
      <c r="J96" s="56"/>
      <c r="K96" s="56"/>
      <c r="L96" s="56"/>
      <c r="M96" s="56"/>
      <c r="N96" s="56"/>
      <c r="O96" s="56"/>
      <c r="P96" s="56"/>
      <c r="Q96" s="56"/>
      <c r="R96" s="56"/>
      <c r="S96" s="56"/>
      <c r="T96" s="56"/>
      <c r="U96" s="56"/>
      <c r="V96" s="56"/>
      <c r="W96" s="56"/>
      <c r="X96" s="56"/>
      <c r="Y96" s="56"/>
    </row>
    <row r="97" spans="1:25" ht="12.9">
      <c r="A97" s="56"/>
      <c r="B97" s="56"/>
      <c r="C97" s="56"/>
      <c r="D97" s="56"/>
      <c r="E97" s="56"/>
      <c r="F97" s="56"/>
      <c r="G97" s="56"/>
      <c r="H97" s="56"/>
      <c r="I97" s="56"/>
      <c r="J97" s="56"/>
      <c r="K97" s="56"/>
      <c r="L97" s="56"/>
      <c r="M97" s="56"/>
      <c r="N97" s="56"/>
      <c r="O97" s="56"/>
      <c r="P97" s="56"/>
      <c r="Q97" s="56"/>
      <c r="R97" s="56"/>
      <c r="S97" s="56"/>
      <c r="T97" s="56"/>
      <c r="U97" s="56"/>
      <c r="V97" s="56"/>
      <c r="W97" s="56"/>
      <c r="X97" s="56"/>
      <c r="Y97" s="56"/>
    </row>
    <row r="98" spans="1:25" ht="12.9">
      <c r="A98" s="56"/>
      <c r="B98" s="56"/>
      <c r="C98" s="56"/>
      <c r="D98" s="56"/>
      <c r="E98" s="56"/>
      <c r="F98" s="56"/>
      <c r="G98" s="56"/>
      <c r="H98" s="56"/>
      <c r="I98" s="56"/>
      <c r="J98" s="56"/>
      <c r="K98" s="56"/>
      <c r="L98" s="56"/>
      <c r="M98" s="56"/>
      <c r="N98" s="56"/>
      <c r="O98" s="56"/>
      <c r="P98" s="56"/>
      <c r="Q98" s="56"/>
      <c r="R98" s="56"/>
      <c r="S98" s="56"/>
      <c r="T98" s="56"/>
      <c r="U98" s="56"/>
      <c r="V98" s="56"/>
      <c r="W98" s="56"/>
      <c r="X98" s="56"/>
      <c r="Y98" s="56"/>
    </row>
    <row r="99" spans="1:25" ht="12.9">
      <c r="A99" s="56"/>
      <c r="B99" s="56"/>
      <c r="C99" s="56"/>
      <c r="D99" s="56"/>
      <c r="E99" s="56"/>
      <c r="F99" s="56"/>
      <c r="G99" s="56"/>
      <c r="H99" s="56"/>
      <c r="I99" s="56"/>
      <c r="J99" s="56"/>
      <c r="K99" s="56"/>
      <c r="L99" s="56"/>
      <c r="M99" s="56"/>
      <c r="N99" s="56"/>
      <c r="O99" s="56"/>
      <c r="P99" s="56"/>
      <c r="Q99" s="56"/>
      <c r="R99" s="56"/>
      <c r="S99" s="56"/>
      <c r="T99" s="56"/>
      <c r="U99" s="56"/>
      <c r="V99" s="56"/>
      <c r="W99" s="56"/>
      <c r="X99" s="56"/>
      <c r="Y99" s="56"/>
    </row>
    <row r="100" spans="1:25" ht="12.9">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row>
    <row r="101" spans="1:25" ht="12.9">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row>
    <row r="102" spans="1:25" ht="12.9">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row>
    <row r="103" spans="1:25" ht="12.9">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row>
    <row r="104" spans="1:25" ht="12.9">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row>
    <row r="105" spans="1:25" ht="12.9">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row>
    <row r="106" spans="1:25" ht="12.9">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row>
    <row r="107" spans="1:25" ht="12.9">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row>
    <row r="108" spans="1:25" ht="12.9">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row>
    <row r="109" spans="1:25" ht="12.9">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row>
    <row r="110" spans="1:25" ht="12.9">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row>
    <row r="111" spans="1:25" ht="12.9">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row>
    <row r="112" spans="1:25" ht="12.9">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row>
    <row r="113" spans="1:25" ht="12.9">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row>
    <row r="114" spans="1:25" ht="12.9">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row>
    <row r="115" spans="1:25" ht="12.9">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row>
    <row r="116" spans="1:25" ht="12.9">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row>
    <row r="117" spans="1:25" ht="12.9">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row>
    <row r="118" spans="1:25" ht="12.9">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row>
    <row r="119" spans="1:25" ht="12.9">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row>
    <row r="120" spans="1:25" ht="12.9">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row>
    <row r="121" spans="1:25" ht="12.9">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row>
    <row r="122" spans="1:25" ht="12.9">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row>
    <row r="123" spans="1:25" ht="12.9">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row>
    <row r="124" spans="1:25" ht="12.9">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row>
    <row r="125" spans="1:25" ht="12.9">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row>
    <row r="126" spans="1:25" ht="12.9">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row>
    <row r="127" spans="1:25" ht="12.9">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row>
    <row r="128" spans="1:25" ht="12.9">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row>
    <row r="129" spans="1:25" ht="12.9">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row>
    <row r="130" spans="1:25" ht="12.9">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row>
    <row r="131" spans="1:25" ht="12.9">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row>
    <row r="132" spans="1:25" ht="12.9">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row>
    <row r="133" spans="1:25" ht="12.9">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row>
    <row r="134" spans="1:25" ht="12.9">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row>
    <row r="135" spans="1:25" ht="12.9">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row>
    <row r="136" spans="1:25" ht="12.9">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row>
    <row r="137" spans="1:25" ht="12.9">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row>
    <row r="138" spans="1:25" ht="12.9">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row>
    <row r="139" spans="1:25" ht="12.9">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row>
    <row r="140" spans="1:25" ht="12.9">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row>
    <row r="141" spans="1:25" ht="12.9">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row>
    <row r="142" spans="1:25" ht="12.9">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row>
    <row r="143" spans="1:25" ht="12.9">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row>
    <row r="144" spans="1:25" ht="12.9">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row>
    <row r="145" spans="1:25" ht="12.9">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row>
    <row r="146" spans="1:25" ht="12.9">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row>
    <row r="147" spans="1:25" ht="12.9">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row>
    <row r="148" spans="1:25" ht="12.9">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row>
    <row r="149" spans="1:25" ht="12.9">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row>
    <row r="150" spans="1:25" ht="12.9">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row>
    <row r="151" spans="1:25" ht="12.9">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row>
    <row r="152" spans="1:25" ht="12.9">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row>
    <row r="153" spans="1:25" ht="12.9">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row>
    <row r="154" spans="1:25" ht="12.9">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row>
    <row r="155" spans="1:25" ht="12.9">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row>
    <row r="156" spans="1:25" ht="12.9">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row>
    <row r="157" spans="1:25" ht="12.9">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row>
    <row r="158" spans="1:25" ht="12.9">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row>
    <row r="159" spans="1:25" ht="12.9">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row>
    <row r="160" spans="1:25" ht="12.9">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row>
    <row r="161" spans="1:25" ht="12.9">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row>
    <row r="162" spans="1:25" ht="12.9">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row>
    <row r="163" spans="1:25" ht="12.9">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row>
    <row r="164" spans="1:25" ht="12.9">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row>
    <row r="165" spans="1:25" ht="12.9">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row>
    <row r="166" spans="1:25" ht="12.9">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row>
    <row r="167" spans="1:25" ht="12.9">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row>
    <row r="168" spans="1:25" ht="12.9">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row>
    <row r="169" spans="1:25" ht="12.9">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row>
    <row r="170" spans="1:25" ht="12.9">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row>
    <row r="171" spans="1:25" ht="12.9">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row>
    <row r="172" spans="1:25" ht="12.9">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row>
    <row r="173" spans="1:25" ht="12.9">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row>
    <row r="174" spans="1:25" ht="12.9">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row>
    <row r="175" spans="1:25" ht="12.9">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row>
    <row r="176" spans="1:25" ht="12.9">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row>
    <row r="177" spans="1:25" ht="12.9">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row>
    <row r="178" spans="1:25" ht="12.9">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row>
    <row r="179" spans="1:25" ht="12.9">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row>
    <row r="180" spans="1:25" ht="12.9">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row>
    <row r="181" spans="1:25" ht="12.9">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row>
    <row r="182" spans="1:25" ht="12.9">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row>
    <row r="183" spans="1:25" ht="12.9">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row>
    <row r="184" spans="1:25" ht="12.9">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row>
    <row r="185" spans="1:25" ht="12.9">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row>
    <row r="186" spans="1:25" ht="12.9">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row>
    <row r="187" spans="1:25" ht="12.9">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row>
    <row r="188" spans="1:25" ht="12.9">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row>
    <row r="189" spans="1:25" ht="12.9">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row>
    <row r="190" spans="1:25" ht="12.9">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row>
    <row r="191" spans="1:25" ht="12.9">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row>
    <row r="192" spans="1:25" ht="12.9">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row>
    <row r="193" spans="1:25" ht="12.9">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row>
    <row r="194" spans="1:25" ht="12.9">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row>
    <row r="195" spans="1:25" ht="12.9">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row>
    <row r="196" spans="1:25" ht="12.9">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row>
    <row r="197" spans="1:25" ht="12.9">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row>
    <row r="198" spans="1:25" ht="12.9">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row>
    <row r="199" spans="1:25" ht="12.9">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row>
    <row r="200" spans="1:25" ht="12.9">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row>
    <row r="201" spans="1:25" ht="12.9">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row>
    <row r="202" spans="1:25" ht="12.9">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row>
    <row r="203" spans="1:25" ht="12.9">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row>
    <row r="204" spans="1:25" ht="12.9">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row>
    <row r="205" spans="1:25" ht="12.9">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row>
    <row r="206" spans="1:25" ht="12.9">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row>
    <row r="207" spans="1:25" ht="12.9">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row>
    <row r="208" spans="1:25" ht="12.9">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row>
    <row r="209" spans="1:25" ht="12.9">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row>
    <row r="210" spans="1:25" ht="12.9">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row>
    <row r="211" spans="1:25" ht="12.9">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row>
    <row r="212" spans="1:25" ht="12.9">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row>
    <row r="213" spans="1:25" ht="12.9">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row>
    <row r="214" spans="1:25" ht="12.9">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row>
    <row r="215" spans="1:25" ht="12.9">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row>
    <row r="216" spans="1:25" ht="12.9">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row>
    <row r="217" spans="1:25" ht="12.9">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row>
    <row r="218" spans="1:25" ht="12.9">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row>
    <row r="219" spans="1:25" ht="12.9">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row>
    <row r="220" spans="1:25" ht="12.9">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row>
    <row r="221" spans="1:25" ht="12.9">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row>
    <row r="222" spans="1:25" ht="12.9">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row>
    <row r="223" spans="1:25" ht="12.9">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row>
    <row r="224" spans="1:25" ht="12.9">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row>
    <row r="225" spans="1:25" ht="12.9">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row>
    <row r="226" spans="1:25" ht="12.9">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row>
    <row r="227" spans="1:25" ht="12.9">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row>
    <row r="228" spans="1:25" ht="12.9">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row>
    <row r="229" spans="1:25" ht="12.9">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row>
    <row r="230" spans="1:25" ht="12.9">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row>
    <row r="231" spans="1:25" ht="12.9">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row>
    <row r="232" spans="1:25" ht="12.9">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row>
    <row r="233" spans="1:25" ht="12.9">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row>
    <row r="234" spans="1:25" ht="12.9">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row>
    <row r="235" spans="1:25" ht="12.9">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row>
    <row r="236" spans="1:25" ht="12.9">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row>
    <row r="237" spans="1:25" ht="12.9">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row>
    <row r="238" spans="1:25" ht="12.9">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row>
    <row r="239" spans="1:25" ht="12.9">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row>
    <row r="240" spans="1:25" ht="12.9">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row>
    <row r="241" spans="1:25" ht="12.9">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row>
    <row r="242" spans="1:25" ht="12.9">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row>
    <row r="243" spans="1:25" ht="12.9">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row>
    <row r="244" spans="1:25" ht="12.9">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row>
    <row r="245" spans="1:25" ht="12.9">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row>
    <row r="246" spans="1:25" ht="12.9">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row>
    <row r="247" spans="1:25" ht="12.9">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row>
    <row r="248" spans="1:25" ht="12.9">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row>
    <row r="249" spans="1:25" ht="12.9">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row>
    <row r="250" spans="1:25" ht="12.9">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row>
    <row r="251" spans="1:25" ht="12.9">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row>
    <row r="252" spans="1:25" ht="12.9">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row>
    <row r="253" spans="1:25" ht="12.9">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row>
    <row r="254" spans="1:25" ht="12.9">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row>
    <row r="255" spans="1:25" ht="12.9">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row>
    <row r="256" spans="1:25" ht="12.9">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row>
    <row r="257" spans="1:25" ht="12.9">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row>
    <row r="258" spans="1:25" ht="12.9">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row>
    <row r="259" spans="1:25" ht="12.9">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row>
    <row r="260" spans="1:25" ht="12.9">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row>
    <row r="261" spans="1:25" ht="12.9">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row>
    <row r="262" spans="1:25" ht="12.9">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row>
    <row r="263" spans="1:25" ht="12.9">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row>
    <row r="264" spans="1:25" ht="12.9">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row>
    <row r="265" spans="1:25" ht="12.9">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row>
    <row r="266" spans="1:25" ht="12.9">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row>
    <row r="267" spans="1:25" ht="12.9">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row>
    <row r="268" spans="1:25" ht="12.9">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row>
    <row r="269" spans="1:25" ht="12.9">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row>
    <row r="270" spans="1:25" ht="12.9">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row>
    <row r="271" spans="1:25" ht="12.9">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row>
    <row r="272" spans="1:25" ht="12.9">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row>
    <row r="273" spans="1:25" ht="12.9">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row>
    <row r="274" spans="1:25" ht="12.9">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row>
    <row r="275" spans="1:25" ht="12.9">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row>
    <row r="276" spans="1:25" ht="12.9">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row>
    <row r="277" spans="1:25" ht="12.9">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row>
    <row r="278" spans="1:25" ht="12.9">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row>
    <row r="279" spans="1:25" ht="12.9">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row>
    <row r="280" spans="1:25" ht="12.9">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row>
    <row r="281" spans="1:25" ht="12.9">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row>
    <row r="282" spans="1:25" ht="12.9">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row>
    <row r="283" spans="1:25" ht="12.9">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row>
    <row r="284" spans="1:25" ht="12.9">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row>
    <row r="285" spans="1:25" ht="12.9">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row>
    <row r="286" spans="1:25" ht="12.9">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row>
    <row r="287" spans="1:25" ht="12.9">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row>
    <row r="288" spans="1:25" ht="12.9">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row>
    <row r="289" spans="1:25" ht="12.9">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row>
    <row r="290" spans="1:25" ht="12.9">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row>
    <row r="291" spans="1:25" ht="12.9">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row>
    <row r="292" spans="1:25" ht="12.9">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row>
    <row r="293" spans="1:25" ht="12.9">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row>
    <row r="294" spans="1:25" ht="12.9">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row>
    <row r="295" spans="1:25" ht="12.9">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row>
    <row r="296" spans="1:25" ht="12.9">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row>
    <row r="297" spans="1:25" ht="12.9">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row>
    <row r="298" spans="1:25" ht="12.9">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row>
    <row r="299" spans="1:25" ht="12.9">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row>
    <row r="300" spans="1:25" ht="12.9">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row>
    <row r="301" spans="1:25" ht="12.9">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row>
    <row r="302" spans="1:25" ht="12.9">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row>
    <row r="303" spans="1:25" ht="12.9">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row>
    <row r="304" spans="1:25" ht="12.9">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row>
    <row r="305" spans="1:25" ht="12.9">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row>
    <row r="306" spans="1:25" ht="12.9">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row>
    <row r="307" spans="1:25" ht="12.9">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row>
    <row r="308" spans="1:25" ht="12.9">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row>
    <row r="309" spans="1:25" ht="12.9">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row>
    <row r="310" spans="1:25" ht="12.9">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row>
    <row r="311" spans="1:25" ht="12.9">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row>
    <row r="312" spans="1:25" ht="12.9">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row>
    <row r="313" spans="1:25" ht="12.9">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row>
    <row r="314" spans="1:25" ht="12.9">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row>
    <row r="315" spans="1:25" ht="12.9">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row>
    <row r="316" spans="1:25" ht="12.9">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row>
    <row r="317" spans="1:25" ht="12.9">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row>
    <row r="318" spans="1:25" ht="12.9">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row>
    <row r="319" spans="1:25" ht="12.9">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row>
    <row r="320" spans="1:25" ht="12.9">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row>
    <row r="321" spans="1:25" ht="12.9">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row>
    <row r="322" spans="1:25" ht="12.9">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row>
    <row r="323" spans="1:25" ht="12.9">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row>
    <row r="324" spans="1:25" ht="12.9">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row>
    <row r="325" spans="1:25" ht="12.9">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row>
    <row r="326" spans="1:25" ht="12.9">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row>
    <row r="327" spans="1:25" ht="12.9">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row>
    <row r="328" spans="1:25" ht="12.9">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row>
    <row r="329" spans="1:25" ht="12.9">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row>
    <row r="330" spans="1:25" ht="12.9">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row>
    <row r="331" spans="1:25" ht="12.9">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row>
    <row r="332" spans="1:25" ht="12.9">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row>
    <row r="333" spans="1:25" ht="12.9">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row>
    <row r="334" spans="1:25" ht="12.9">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row>
    <row r="335" spans="1:25" ht="12.9">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row>
    <row r="336" spans="1:25" ht="12.9">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row>
    <row r="337" spans="1:25" ht="12.9">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row>
    <row r="338" spans="1:25" ht="12.9">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row>
    <row r="339" spans="1:25" ht="12.9">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row>
    <row r="340" spans="1:25" ht="12.9">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row>
    <row r="341" spans="1:25" ht="12.9">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row>
    <row r="342" spans="1:25" ht="12.9">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row>
    <row r="343" spans="1:25" ht="12.9">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row>
    <row r="344" spans="1:25" ht="12.9">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row>
    <row r="345" spans="1:25" ht="12.9">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row>
    <row r="346" spans="1:25" ht="12.9">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row>
    <row r="347" spans="1:25" ht="12.9">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row>
    <row r="348" spans="1:25" ht="12.9">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row>
    <row r="349" spans="1:25" ht="12.9">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row>
    <row r="350" spans="1:25" ht="12.9">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row>
    <row r="351" spans="1:25" ht="12.9">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row>
    <row r="352" spans="1:25" ht="12.9">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row>
    <row r="353" spans="1:25" ht="12.9">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row>
    <row r="354" spans="1:25" ht="12.9">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row>
    <row r="355" spans="1:25" ht="12.9">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row>
    <row r="356" spans="1:25" ht="12.9">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row>
    <row r="357" spans="1:25" ht="12.9">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row>
    <row r="358" spans="1:25" ht="12.9">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row>
    <row r="359" spans="1:25" ht="12.9">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row>
    <row r="360" spans="1:25" ht="12.9">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row>
    <row r="361" spans="1:25" ht="12.9">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row>
    <row r="362" spans="1:25" ht="12.9">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row>
    <row r="363" spans="1:25" ht="12.9">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row>
    <row r="364" spans="1:25" ht="12.9">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row>
    <row r="365" spans="1:25" ht="12.9">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row>
    <row r="366" spans="1:25" ht="12.9">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row>
    <row r="367" spans="1:25" ht="12.9">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row>
    <row r="368" spans="1:25" ht="12.9">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row>
    <row r="369" spans="1:25" ht="12.9">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row>
    <row r="370" spans="1:25" ht="12.9">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row>
    <row r="371" spans="1:25" ht="12.9">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row>
    <row r="372" spans="1:25" ht="12.9">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row>
    <row r="373" spans="1:25" ht="12.9">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row>
    <row r="374" spans="1:25" ht="12.9">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row>
    <row r="375" spans="1:25" ht="12.9">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row>
    <row r="376" spans="1:25" ht="12.9">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row>
    <row r="377" spans="1:25" ht="12.9">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row>
    <row r="378" spans="1:25" ht="12.9">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row>
    <row r="379" spans="1:25" ht="12.9">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row>
    <row r="380" spans="1:25" ht="12.9">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row>
    <row r="381" spans="1:25" ht="12.9">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row>
    <row r="382" spans="1:25" ht="12.9">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row>
    <row r="383" spans="1:25" ht="12.9">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row>
    <row r="384" spans="1:25" ht="12.9">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row>
    <row r="385" spans="1:25" ht="12.9">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row>
    <row r="386" spans="1:25" ht="12.9">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row>
    <row r="387" spans="1:25" ht="12.9">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row>
    <row r="388" spans="1:25" ht="12.9">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row>
    <row r="389" spans="1:25" ht="12.9">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row>
    <row r="390" spans="1:25" ht="12.9">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row>
    <row r="391" spans="1:25" ht="12.9">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row>
    <row r="392" spans="1:25" ht="12.9">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row>
    <row r="393" spans="1:25" ht="12.9">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row>
    <row r="394" spans="1:25" ht="12.9">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row>
    <row r="395" spans="1:25" ht="12.9">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row>
    <row r="396" spans="1:25" ht="12.9">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row>
    <row r="397" spans="1:25" ht="12.9">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row>
    <row r="398" spans="1:25" ht="12.9">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row>
    <row r="399" spans="1:25" ht="12.9">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row>
    <row r="400" spans="1:25" ht="12.9">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row>
    <row r="401" spans="1:25" ht="12.9">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row>
    <row r="402" spans="1:25" ht="12.9">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row>
    <row r="403" spans="1:25" ht="12.9">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row>
    <row r="404" spans="1:25" ht="12.9">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row>
    <row r="405" spans="1:25" ht="12.9">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row>
    <row r="406" spans="1:25" ht="12.9">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row>
    <row r="407" spans="1:25" ht="12.9">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row>
    <row r="408" spans="1:25" ht="12.9">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row>
    <row r="409" spans="1:25" ht="12.9">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row>
    <row r="410" spans="1:25" ht="12.9">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row>
    <row r="411" spans="1:25" ht="12.9">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row>
    <row r="412" spans="1:25" ht="12.9">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row>
    <row r="413" spans="1:25" ht="12.9">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row>
    <row r="414" spans="1:25" ht="12.9">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row>
    <row r="415" spans="1:25" ht="12.9">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row>
    <row r="416" spans="1:25" ht="12.9">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row>
    <row r="417" spans="1:25" ht="12.9">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row>
    <row r="418" spans="1:25" ht="12.9">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row>
    <row r="419" spans="1:25" ht="12.9">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row>
    <row r="420" spans="1:25" ht="12.9">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row>
    <row r="421" spans="1:25" ht="12.9">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row>
    <row r="422" spans="1:25" ht="12.9">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row>
    <row r="423" spans="1:25" ht="12.9">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row>
    <row r="424" spans="1:25" ht="12.9">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row>
    <row r="425" spans="1:25" ht="12.9">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row>
    <row r="426" spans="1:25" ht="12.9">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row>
    <row r="427" spans="1:25" ht="12.9">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row>
    <row r="428" spans="1:25" ht="12.9">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row>
    <row r="429" spans="1:25" ht="12.9">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row>
    <row r="430" spans="1:25" ht="12.9">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row>
    <row r="431" spans="1:25" ht="12.9">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row>
    <row r="432" spans="1:25" ht="12.9">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row>
    <row r="433" spans="1:25" ht="12.9">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row>
    <row r="434" spans="1:25" ht="12.9">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row>
    <row r="435" spans="1:25" ht="12.9">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row>
    <row r="436" spans="1:25" ht="12.9">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row>
    <row r="437" spans="1:25" ht="12.9">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row>
    <row r="438" spans="1:25" ht="12.9">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row>
    <row r="439" spans="1:25" ht="12.9">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row>
    <row r="440" spans="1:25" ht="12.9">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row>
    <row r="441" spans="1:25" ht="12.9">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row>
    <row r="442" spans="1:25" ht="12.9">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row>
    <row r="443" spans="1:25" ht="12.9">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row>
    <row r="444" spans="1:25" ht="12.9">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row>
    <row r="445" spans="1:25" ht="12.9">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row>
    <row r="446" spans="1:25" ht="12.9">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row>
    <row r="447" spans="1:25" ht="12.9">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row>
    <row r="448" spans="1:25" ht="12.9">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row>
    <row r="449" spans="1:25" ht="12.9">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row>
    <row r="450" spans="1:25" ht="12.9">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row>
    <row r="451" spans="1:25" ht="12.9">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row>
    <row r="452" spans="1:25" ht="12.9">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row>
    <row r="453" spans="1:25" ht="12.9">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row>
    <row r="454" spans="1:25" ht="12.9">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row>
    <row r="455" spans="1:25" ht="12.9">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row>
    <row r="456" spans="1:25" ht="12.9">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row>
    <row r="457" spans="1:25" ht="12.9">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row>
    <row r="458" spans="1:25" ht="12.9">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row>
    <row r="459" spans="1:25" ht="12.9">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row>
    <row r="460" spans="1:25" ht="12.9">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row>
    <row r="461" spans="1:25" ht="12.9">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row>
    <row r="462" spans="1:25" ht="12.9">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row>
    <row r="463" spans="1:25" ht="12.9">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row>
    <row r="464" spans="1:25" ht="12.9">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row>
    <row r="465" spans="1:25" ht="12.9">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row>
    <row r="466" spans="1:25" ht="12.9">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row>
    <row r="467" spans="1:25" ht="12.9">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row>
    <row r="468" spans="1:25" ht="12.9">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row>
    <row r="469" spans="1:25" ht="12.9">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row>
    <row r="470" spans="1:25" ht="12.9">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row>
    <row r="471" spans="1:25" ht="12.9">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row>
    <row r="472" spans="1:25" ht="12.9">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row>
    <row r="473" spans="1:25" ht="12.9">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row>
    <row r="474" spans="1:25" ht="12.9">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row>
    <row r="475" spans="1:25" ht="12.9">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row>
    <row r="476" spans="1:25" ht="12.9">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row>
    <row r="477" spans="1:25" ht="12.9">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row>
    <row r="478" spans="1:25" ht="12.9">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row>
    <row r="479" spans="1:25" ht="12.9">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row>
    <row r="480" spans="1:25" ht="12.9">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row>
    <row r="481" spans="1:25" ht="12.9">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row>
    <row r="482" spans="1:25" ht="12.9">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row>
    <row r="483" spans="1:25" ht="12.9">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row>
    <row r="484" spans="1:25" ht="12.9">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row>
    <row r="485" spans="1:25" ht="12.9">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row>
    <row r="486" spans="1:25" ht="12.9">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row>
    <row r="487" spans="1:25" ht="12.9">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row>
    <row r="488" spans="1:25" ht="12.9">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row>
    <row r="489" spans="1:25" ht="12.9">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row>
    <row r="490" spans="1:25" ht="12.9">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row>
    <row r="491" spans="1:25" ht="12.9">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row>
    <row r="492" spans="1:25" ht="12.9">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row>
    <row r="493" spans="1:25" ht="12.9">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row>
    <row r="494" spans="1:25" ht="12.9">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row>
    <row r="495" spans="1:25" ht="12.9">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row>
    <row r="496" spans="1:25" ht="12.9">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row>
    <row r="497" spans="1:25" ht="12.9">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row>
    <row r="498" spans="1:25" ht="12.9">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row>
    <row r="499" spans="1:25" ht="12.9">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row>
    <row r="500" spans="1:25" ht="12.9">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row>
    <row r="501" spans="1:25" ht="12.9">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row>
    <row r="502" spans="1:25" ht="12.9">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row>
    <row r="503" spans="1:25" ht="12.9">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row>
    <row r="504" spans="1:25" ht="12.9">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row>
    <row r="505" spans="1:25" ht="12.9">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row>
    <row r="506" spans="1:25" ht="12.9">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row>
    <row r="507" spans="1:25" ht="12.9">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row>
    <row r="508" spans="1:25" ht="12.9">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row>
    <row r="509" spans="1:25" ht="12.9">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row>
    <row r="510" spans="1:25" ht="12.9">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row>
    <row r="511" spans="1:25" ht="12.9">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row>
    <row r="512" spans="1:25" ht="12.9">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row>
    <row r="513" spans="1:25" ht="12.9">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row>
    <row r="514" spans="1:25" ht="12.9">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row>
    <row r="515" spans="1:25" ht="12.9">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row>
    <row r="516" spans="1:25" ht="12.9">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row>
    <row r="517" spans="1:25" ht="12.9">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row>
    <row r="518" spans="1:25" ht="12.9">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row>
    <row r="519" spans="1:25" ht="12.9">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row>
    <row r="520" spans="1:25" ht="12.9">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row>
    <row r="521" spans="1:25" ht="12.9">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row>
    <row r="522" spans="1:25" ht="12.9">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row>
    <row r="523" spans="1:25" ht="12.9">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row>
    <row r="524" spans="1:25" ht="12.9">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row>
    <row r="525" spans="1:25" ht="12.9">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row>
    <row r="526" spans="1:25" ht="12.9">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row>
    <row r="527" spans="1:25" ht="12.9">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row>
    <row r="528" spans="1:25" ht="12.9">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row>
    <row r="529" spans="1:25" ht="12.9">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row>
    <row r="530" spans="1:25" ht="12.9">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row>
    <row r="531" spans="1:25" ht="12.9">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row>
    <row r="532" spans="1:25" ht="12.9">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row>
    <row r="533" spans="1:25" ht="12.9">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row>
    <row r="534" spans="1:25" ht="12.9">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row>
    <row r="535" spans="1:25" ht="12.9">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row>
    <row r="536" spans="1:25" ht="12.9">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row>
    <row r="537" spans="1:25" ht="12.9">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row>
    <row r="538" spans="1:25" ht="12.9">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row>
    <row r="539" spans="1:25" ht="12.9">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row>
    <row r="540" spans="1:25" ht="12.9">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row>
    <row r="541" spans="1:25" ht="12.9">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row>
    <row r="542" spans="1:25" ht="12.9">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row>
    <row r="543" spans="1:25" ht="12.9">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row>
    <row r="544" spans="1:25" ht="12.9">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row>
    <row r="545" spans="1:25" ht="12.9">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row>
    <row r="546" spans="1:25" ht="12.9">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row>
    <row r="547" spans="1:25" ht="12.9">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row>
    <row r="548" spans="1:25" ht="12.9">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row>
    <row r="549" spans="1:25" ht="12.9">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row>
    <row r="550" spans="1:25" ht="12.9">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row>
    <row r="551" spans="1:25" ht="12.9">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row>
    <row r="552" spans="1:25" ht="12.9">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row>
    <row r="553" spans="1:25" ht="12.9">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row>
    <row r="554" spans="1:25" ht="12.9">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row>
    <row r="555" spans="1:25" ht="12.9">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row>
    <row r="556" spans="1:25" ht="12.9">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row>
    <row r="557" spans="1:25" ht="12.9">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row>
    <row r="558" spans="1:25" ht="12.9">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row>
    <row r="559" spans="1:25" ht="12.9">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row>
    <row r="560" spans="1:25" ht="12.9">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row>
    <row r="561" spans="1:25" ht="12.9">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row>
    <row r="562" spans="1:25" ht="12.9">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row>
    <row r="563" spans="1:25" ht="12.9">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row>
    <row r="564" spans="1:25" ht="12.9">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row>
    <row r="565" spans="1:25" ht="12.9">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row>
    <row r="566" spans="1:25" ht="12.9">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row>
    <row r="567" spans="1:25" ht="12.9">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row>
    <row r="568" spans="1:25" ht="12.9">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row>
    <row r="569" spans="1:25" ht="12.9">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row>
    <row r="570" spans="1:25" ht="12.9">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row>
    <row r="571" spans="1:25" ht="12.9">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row>
    <row r="572" spans="1:25" ht="12.9">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row>
    <row r="573" spans="1:25" ht="12.9">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row>
    <row r="574" spans="1:25" ht="12.9">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row>
    <row r="575" spans="1:25" ht="12.9">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row>
    <row r="576" spans="1:25" ht="12.9">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row>
    <row r="577" spans="1:25" ht="12.9">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row>
    <row r="578" spans="1:25" ht="12.9">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row>
    <row r="579" spans="1:25" ht="12.9">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row>
    <row r="580" spans="1:25" ht="12.9">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row>
    <row r="581" spans="1:25" ht="12.9">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row>
    <row r="582" spans="1:25" ht="12.9">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row>
    <row r="583" spans="1:25" ht="12.9">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row>
    <row r="584" spans="1:25" ht="12.9">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row>
    <row r="585" spans="1:25" ht="12.9">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row>
    <row r="586" spans="1:25" ht="12.9">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row>
    <row r="587" spans="1:25" ht="12.9">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row>
    <row r="588" spans="1:25" ht="12.9">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row>
    <row r="589" spans="1:25" ht="12.9">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row>
    <row r="590" spans="1:25" ht="12.9">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row>
    <row r="591" spans="1:25" ht="12.9">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row>
    <row r="592" spans="1:25" ht="12.9">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row>
    <row r="593" spans="1:25" ht="12.9">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row>
    <row r="594" spans="1:25" ht="12.9">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row>
    <row r="595" spans="1:25" ht="12.9">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row>
    <row r="596" spans="1:25" ht="12.9">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row>
    <row r="597" spans="1:25" ht="12.9">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row>
    <row r="598" spans="1:25" ht="12.9">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row>
    <row r="599" spans="1:25" ht="12.9">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row>
    <row r="600" spans="1:25" ht="12.9">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row>
    <row r="601" spans="1:25" ht="12.9">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row>
    <row r="602" spans="1:25" ht="12.9">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row>
    <row r="603" spans="1:25" ht="12.9">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row>
    <row r="604" spans="1:25" ht="12.9">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row>
    <row r="605" spans="1:25" ht="12.9">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row>
    <row r="606" spans="1:25" ht="12.9">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row>
    <row r="607" spans="1:25" ht="12.9">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row>
    <row r="608" spans="1:25" ht="12.9">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row>
    <row r="609" spans="1:25" ht="12.9">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row>
    <row r="610" spans="1:25" ht="12.9">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row>
    <row r="611" spans="1:25" ht="12.9">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row>
    <row r="612" spans="1:25" ht="12.9">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row>
    <row r="613" spans="1:25" ht="12.9">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row>
    <row r="614" spans="1:25" ht="12.9">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row>
    <row r="615" spans="1:25" ht="12.9">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row>
    <row r="616" spans="1:25" ht="12.9">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row>
    <row r="617" spans="1:25" ht="12.9">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row>
    <row r="618" spans="1:25" ht="12.9">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row>
    <row r="619" spans="1:25" ht="12.9">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row>
    <row r="620" spans="1:25" ht="12.9">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row>
    <row r="621" spans="1:25" ht="12.9">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row>
    <row r="622" spans="1:25" ht="12.9">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row>
    <row r="623" spans="1:25" ht="12.9">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row>
    <row r="624" spans="1:25" ht="12.9">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row>
    <row r="625" spans="1:25" ht="12.9">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row>
    <row r="626" spans="1:25" ht="12.9">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row>
    <row r="627" spans="1:25" ht="12.9">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row>
    <row r="628" spans="1:25" ht="12.9">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row>
    <row r="629" spans="1:25" ht="12.9">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row>
    <row r="630" spans="1:25" ht="12.9">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row>
    <row r="631" spans="1:25" ht="12.9">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row>
    <row r="632" spans="1:25" ht="12.9">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row>
    <row r="633" spans="1:25" ht="12.9">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row>
    <row r="634" spans="1:25" ht="12.9">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row>
    <row r="635" spans="1:25" ht="12.9">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row>
    <row r="636" spans="1:25" ht="12.9">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row>
    <row r="637" spans="1:25" ht="12.9">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row>
    <row r="638" spans="1:25" ht="12.9">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row>
    <row r="639" spans="1:25" ht="12.9">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row>
    <row r="640" spans="1:25" ht="12.9">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row>
    <row r="641" spans="1:25" ht="12.9">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row>
    <row r="642" spans="1:25" ht="12.9">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row>
    <row r="643" spans="1:25" ht="12.9">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row>
    <row r="644" spans="1:25" ht="12.9">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row>
    <row r="645" spans="1:25" ht="12.9">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row>
    <row r="646" spans="1:25" ht="12.9">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row>
    <row r="647" spans="1:25" ht="12.9">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row>
    <row r="648" spans="1:25" ht="12.9">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row>
    <row r="649" spans="1:25" ht="12.9">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row>
    <row r="650" spans="1:25" ht="12.9">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row>
    <row r="651" spans="1:25" ht="12.9">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row>
    <row r="652" spans="1:25" ht="12.9">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row>
    <row r="653" spans="1:25" ht="12.9">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row>
    <row r="654" spans="1:25" ht="12.9">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row>
    <row r="655" spans="1:25" ht="12.9">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row>
    <row r="656" spans="1:25" ht="12.9">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row>
    <row r="657" spans="1:25" ht="12.9">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row>
    <row r="658" spans="1:25" ht="12.9">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row>
    <row r="659" spans="1:25" ht="12.9">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row>
    <row r="660" spans="1:25" ht="12.9">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row>
    <row r="661" spans="1:25" ht="12.9">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row>
    <row r="662" spans="1:25" ht="12.9">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row>
    <row r="663" spans="1:25" ht="12.9">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row>
    <row r="664" spans="1:25" ht="12.9">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row>
    <row r="665" spans="1:25" ht="12.9">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row>
    <row r="666" spans="1:25" ht="12.9">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row>
    <row r="667" spans="1:25" ht="12.9">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row>
    <row r="668" spans="1:25" ht="12.9">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row>
    <row r="669" spans="1:25" ht="12.9">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row>
    <row r="670" spans="1:25" ht="12.9">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row>
    <row r="671" spans="1:25" ht="12.9">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row>
    <row r="672" spans="1:25" ht="12.9">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row>
    <row r="673" spans="1:25" ht="12.9">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row>
    <row r="674" spans="1:25" ht="12.9">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row>
    <row r="675" spans="1:25" ht="12.9">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row>
    <row r="676" spans="1:25" ht="12.9">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row>
    <row r="677" spans="1:25" ht="12.9">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row>
    <row r="678" spans="1:25" ht="12.9">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row>
    <row r="679" spans="1:25" ht="12.9">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row>
    <row r="680" spans="1:25" ht="12.9">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row>
    <row r="681" spans="1:25" ht="12.9">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row>
    <row r="682" spans="1:25" ht="12.9">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row>
    <row r="683" spans="1:25" ht="12.9">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row>
    <row r="684" spans="1:25" ht="12.9">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row>
    <row r="685" spans="1:25" ht="12.9">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row>
    <row r="686" spans="1:25" ht="12.9">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row>
    <row r="687" spans="1:25" ht="12.9">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row>
    <row r="688" spans="1:25" ht="12.9">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row>
    <row r="689" spans="1:25" ht="12.9">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row>
    <row r="690" spans="1:25" ht="12.9">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row>
    <row r="691" spans="1:25" ht="12.9">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row>
    <row r="692" spans="1:25" ht="12.9">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row>
    <row r="693" spans="1:25" ht="12.9">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row>
    <row r="694" spans="1:25" ht="12.9">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row>
    <row r="695" spans="1:25" ht="12.9">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row>
    <row r="696" spans="1:25" ht="12.9">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row>
    <row r="697" spans="1:25" ht="12.9">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row>
    <row r="698" spans="1:25" ht="12.9">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row>
    <row r="699" spans="1:25" ht="12.9">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row>
    <row r="700" spans="1:25" ht="12.9">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row>
    <row r="701" spans="1:25" ht="12.9">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row>
    <row r="702" spans="1:25" ht="12.9">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row>
    <row r="703" spans="1:25" ht="12.9">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row>
    <row r="704" spans="1:25" ht="12.9">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row>
    <row r="705" spans="1:25" ht="12.9">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row>
    <row r="706" spans="1:25" ht="12.9">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row>
    <row r="707" spans="1:25" ht="12.9">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row>
    <row r="708" spans="1:25" ht="12.9">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row>
    <row r="709" spans="1:25" ht="12.9">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row>
    <row r="710" spans="1:25" ht="12.9">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row>
    <row r="711" spans="1:25" ht="12.9">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row>
    <row r="712" spans="1:25" ht="12.9">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row>
    <row r="713" spans="1:25" ht="12.9">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row>
    <row r="714" spans="1:25" ht="12.9">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row>
    <row r="715" spans="1:25" ht="12.9">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row>
    <row r="716" spans="1:25" ht="12.9">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row>
    <row r="717" spans="1:25" ht="12.9">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row>
    <row r="718" spans="1:25" ht="12.9">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row>
    <row r="719" spans="1:25" ht="12.9">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row>
    <row r="720" spans="1:25" ht="12.9">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row>
    <row r="721" spans="1:25" ht="12.9">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row>
    <row r="722" spans="1:25" ht="12.9">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row>
    <row r="723" spans="1:25" ht="12.9">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row>
    <row r="724" spans="1:25" ht="12.9">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row>
    <row r="725" spans="1:25" ht="12.9">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row>
    <row r="726" spans="1:25" ht="12.9">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row>
    <row r="727" spans="1:25" ht="12.9">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row>
    <row r="728" spans="1:25" ht="12.9">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row>
    <row r="729" spans="1:25" ht="12.9">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row>
    <row r="730" spans="1:25" ht="12.9">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row>
    <row r="731" spans="1:25" ht="12.9">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row>
    <row r="732" spans="1:25" ht="12.9">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row>
    <row r="733" spans="1:25" ht="12.9">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row>
    <row r="734" spans="1:25" ht="12.9">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row>
    <row r="735" spans="1:25" ht="12.9">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row>
    <row r="736" spans="1:25" ht="12.9">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row>
    <row r="737" spans="1:25" ht="12.9">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row>
    <row r="738" spans="1:25" ht="12.9">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row>
    <row r="739" spans="1:25" ht="12.9">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row>
    <row r="740" spans="1:25" ht="12.9">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row>
    <row r="741" spans="1:25" ht="12.9">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row>
    <row r="742" spans="1:25" ht="12.9">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row>
    <row r="743" spans="1:25" ht="12.9">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row>
    <row r="744" spans="1:25" ht="12.9">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row>
    <row r="745" spans="1:25" ht="12.9">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row>
    <row r="746" spans="1:25" ht="12.9">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row>
    <row r="747" spans="1:25" ht="12.9">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row>
    <row r="748" spans="1:25" ht="12.9">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row>
    <row r="749" spans="1:25" ht="12.9">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row>
    <row r="750" spans="1:25" ht="12.9">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row>
    <row r="751" spans="1:25" ht="12.9">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row>
    <row r="752" spans="1:25" ht="12.9">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row>
    <row r="753" spans="1:25" ht="12.9">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row>
    <row r="754" spans="1:25" ht="12.9">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row>
    <row r="755" spans="1:25" ht="12.9">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row>
    <row r="756" spans="1:25" ht="12.9">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row>
    <row r="757" spans="1:25" ht="12.9">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row>
    <row r="758" spans="1:25" ht="12.9">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row>
    <row r="759" spans="1:25" ht="12.9">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row>
    <row r="760" spans="1:25" ht="12.9">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row>
    <row r="761" spans="1:25" ht="12.9">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row>
    <row r="762" spans="1:25" ht="12.9">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row>
    <row r="763" spans="1:25" ht="12.9">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row>
    <row r="764" spans="1:25" ht="12.9">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row>
    <row r="765" spans="1:25" ht="12.9">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row>
    <row r="766" spans="1:25" ht="12.9">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row>
    <row r="767" spans="1:25" ht="12.9">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row>
    <row r="768" spans="1:25" ht="12.9">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row>
    <row r="769" spans="1:25" ht="12.9">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row>
    <row r="770" spans="1:25" ht="12.9">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row>
    <row r="771" spans="1:25" ht="12.9">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row>
    <row r="772" spans="1:25" ht="12.9">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row>
    <row r="773" spans="1:25" ht="12.9">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row>
    <row r="774" spans="1:25" ht="12.9">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row>
    <row r="775" spans="1:25" ht="12.9">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row>
    <row r="776" spans="1:25" ht="12.9">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row>
    <row r="777" spans="1:25" ht="12.9">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row>
    <row r="778" spans="1:25" ht="12.9">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row>
    <row r="779" spans="1:25" ht="12.9">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row>
    <row r="780" spans="1:25" ht="12.9">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row>
    <row r="781" spans="1:25" ht="12.9">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row>
    <row r="782" spans="1:25" ht="12.9">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row>
    <row r="783" spans="1:25" ht="12.9">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row>
    <row r="784" spans="1:25" ht="12.9">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row>
    <row r="785" spans="1:25" ht="12.9">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row>
    <row r="786" spans="1:25" ht="12.9">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row>
    <row r="787" spans="1:25" ht="12.9">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row>
    <row r="788" spans="1:25" ht="12.9">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row>
    <row r="789" spans="1:25" ht="12.9">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row>
    <row r="790" spans="1:25" ht="12.9">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row>
    <row r="791" spans="1:25" ht="12.9">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row>
    <row r="792" spans="1:25" ht="12.9">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row>
    <row r="793" spans="1:25" ht="12.9">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row>
    <row r="794" spans="1:25" ht="12.9">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row>
    <row r="795" spans="1:25" ht="12.9">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row>
    <row r="796" spans="1:25" ht="12.9">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row>
    <row r="797" spans="1:25" ht="12.9">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row>
    <row r="798" spans="1:25" ht="12.9">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row>
    <row r="799" spans="1:25" ht="12.9">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row>
    <row r="800" spans="1:25" ht="12.9">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row>
    <row r="801" spans="1:25" ht="12.9">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row>
    <row r="802" spans="1:25" ht="12.9">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row>
    <row r="803" spans="1:25" ht="12.9">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row>
    <row r="804" spans="1:25" ht="12.9">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row>
    <row r="805" spans="1:25" ht="12.9">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row>
    <row r="806" spans="1:25" ht="12.9">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row>
    <row r="807" spans="1:25" ht="12.9">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row>
    <row r="808" spans="1:25" ht="12.9">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row>
    <row r="809" spans="1:25" ht="12.9">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row>
    <row r="810" spans="1:25" ht="12.9">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row>
    <row r="811" spans="1:25" ht="12.9">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row>
    <row r="812" spans="1:25" ht="12.9">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row>
    <row r="813" spans="1:25" ht="12.9">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row>
    <row r="814" spans="1:25" ht="12.9">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row>
    <row r="815" spans="1:25" ht="12.9">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row>
    <row r="816" spans="1:25" ht="12.9">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row>
    <row r="817" spans="1:25" ht="12.9">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row>
    <row r="818" spans="1:25" ht="12.9">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row>
    <row r="819" spans="1:25" ht="12.9">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row>
    <row r="820" spans="1:25" ht="12.9">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row>
    <row r="821" spans="1:25" ht="12.9">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row>
    <row r="822" spans="1:25" ht="12.9">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row>
    <row r="823" spans="1:25" ht="12.9">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row>
    <row r="824" spans="1:25" ht="12.9">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row>
    <row r="825" spans="1:25" ht="12.9">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row>
    <row r="826" spans="1:25" ht="12.9">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row>
    <row r="827" spans="1:25" ht="12.9">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row>
    <row r="828" spans="1:25" ht="12.9">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row>
    <row r="829" spans="1:25" ht="12.9">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row>
    <row r="830" spans="1:25" ht="12.9">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row>
    <row r="831" spans="1:25" ht="12.9">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row>
    <row r="832" spans="1:25" ht="12.9">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row>
    <row r="833" spans="1:25" ht="12.9">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row>
    <row r="834" spans="1:25" ht="12.9">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row>
    <row r="835" spans="1:25" ht="12.9">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row>
    <row r="836" spans="1:25" ht="12.9">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row>
    <row r="837" spans="1:25" ht="12.9">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row>
    <row r="838" spans="1:25" ht="12.9">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row>
    <row r="839" spans="1:25" ht="12.9">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row>
    <row r="840" spans="1:25" ht="12.9">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row>
    <row r="841" spans="1:25" ht="12.9">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row>
    <row r="842" spans="1:25" ht="12.9">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row>
    <row r="843" spans="1:25" ht="12.9">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row>
    <row r="844" spans="1:25" ht="12.9">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row>
    <row r="845" spans="1:25" ht="12.9">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row>
    <row r="846" spans="1:25" ht="12.9">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row>
    <row r="847" spans="1:25" ht="12.9">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row>
    <row r="848" spans="1:25" ht="12.9">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row>
    <row r="849" spans="1:25" ht="12.9">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row>
    <row r="850" spans="1:25" ht="12.9">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row>
    <row r="851" spans="1:25" ht="12.9">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row>
    <row r="852" spans="1:25" ht="12.9">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row>
    <row r="853" spans="1:25" ht="12.9">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row>
    <row r="854" spans="1:25" ht="12.9">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row>
    <row r="855" spans="1:25" ht="12.9">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row>
    <row r="856" spans="1:25" ht="12.9">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row>
    <row r="857" spans="1:25" ht="12.9">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row>
    <row r="858" spans="1:25" ht="12.9">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row>
    <row r="859" spans="1:25" ht="12.9">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row>
    <row r="860" spans="1:25" ht="12.9">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row>
    <row r="861" spans="1:25" ht="12.9">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row>
    <row r="862" spans="1:25" ht="12.9">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row>
    <row r="863" spans="1:25" ht="12.9">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row>
    <row r="864" spans="1:25" ht="12.9">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row>
    <row r="865" spans="1:25" ht="12.9">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row>
    <row r="866" spans="1:25" ht="12.9">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row>
    <row r="867" spans="1:25" ht="12.9">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row>
    <row r="868" spans="1:25" ht="12.9">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row>
    <row r="869" spans="1:25" ht="12.9">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row>
    <row r="870" spans="1:25" ht="12.9">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row>
    <row r="871" spans="1:25" ht="12.9">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row>
    <row r="872" spans="1:25" ht="12.9">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row>
    <row r="873" spans="1:25" ht="12.9">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row>
    <row r="874" spans="1:25" ht="12.9">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row>
    <row r="875" spans="1:25" ht="12.9">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row>
    <row r="876" spans="1:25" ht="12.9">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row>
    <row r="877" spans="1:25" ht="12.9">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row>
    <row r="878" spans="1:25" ht="12.9">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row>
    <row r="879" spans="1:25" ht="12.9">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row>
    <row r="880" spans="1:25" ht="12.9">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row>
    <row r="881" spans="1:25" ht="12.9">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row>
    <row r="882" spans="1:25" ht="12.9">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row>
    <row r="883" spans="1:25" ht="12.9">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row>
    <row r="884" spans="1:25" ht="12.9">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row>
    <row r="885" spans="1:25" ht="12.9">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row>
    <row r="886" spans="1:25" ht="12.9">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row>
    <row r="887" spans="1:25" ht="12.9">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row>
    <row r="888" spans="1:25" ht="12.9">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row>
    <row r="889" spans="1:25" ht="12.9">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row>
    <row r="890" spans="1:25" ht="12.9">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row>
    <row r="891" spans="1:25" ht="12.9">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row>
    <row r="892" spans="1:25" ht="12.9">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row>
    <row r="893" spans="1:25" ht="12.9">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row>
    <row r="894" spans="1:25" ht="12.9">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row>
    <row r="895" spans="1:25" ht="12.9">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row>
    <row r="896" spans="1:25" ht="12.9">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row>
    <row r="897" spans="1:25" ht="12.9">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row>
    <row r="898" spans="1:25" ht="12.9">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row>
    <row r="899" spans="1:25" ht="12.9">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row>
    <row r="900" spans="1:25" ht="12.9">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row>
    <row r="901" spans="1:25" ht="12.9">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row>
    <row r="902" spans="1:25" ht="12.9">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row>
    <row r="903" spans="1:25" ht="12.9">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row>
    <row r="904" spans="1:25" ht="12.9">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row>
    <row r="905" spans="1:25" ht="12.9">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row>
    <row r="906" spans="1:25" ht="12.9">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row>
    <row r="907" spans="1:25" ht="12.9">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row>
    <row r="908" spans="1:25" ht="12.9">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row>
    <row r="909" spans="1:25" ht="12.9">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row>
    <row r="910" spans="1:25" ht="12.9">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row>
    <row r="911" spans="1:25" ht="12.9">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row>
    <row r="912" spans="1:25" ht="12.9">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row>
    <row r="913" spans="1:25" ht="12.9">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row>
    <row r="914" spans="1:25" ht="12.9">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row>
    <row r="915" spans="1:25" ht="12.9">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row>
    <row r="916" spans="1:25" ht="12.9">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row>
    <row r="917" spans="1:25" ht="12.9">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row>
    <row r="918" spans="1:25" ht="12.9">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row>
    <row r="919" spans="1:25" ht="12.9">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row>
    <row r="920" spans="1:25" ht="12.9">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row>
    <row r="921" spans="1:25" ht="12.9">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row>
    <row r="922" spans="1:25" ht="12.9">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row>
    <row r="923" spans="1:25" ht="12.9">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row>
    <row r="924" spans="1:25" ht="12.9">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row>
    <row r="925" spans="1:25" ht="12.9">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row>
    <row r="926" spans="1:25" ht="12.9">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row>
    <row r="927" spans="1:25" ht="12.9">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row>
    <row r="928" spans="1:25" ht="12.9">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row>
    <row r="929" spans="1:25" ht="12.9">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row>
    <row r="930" spans="1:25" ht="12.9">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row>
    <row r="931" spans="1:25" ht="12.9">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row>
    <row r="932" spans="1:25" ht="12.9">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row>
    <row r="933" spans="1:25" ht="12.9">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row>
    <row r="934" spans="1:25" ht="12.9">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row>
    <row r="935" spans="1:25" ht="12.9">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row>
    <row r="936" spans="1:25" ht="12.9">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row>
    <row r="937" spans="1:25" ht="12.9">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row>
    <row r="938" spans="1:25" ht="12.9">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row>
    <row r="939" spans="1:25" ht="12.9">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row>
    <row r="940" spans="1:25" ht="12.9">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row>
    <row r="941" spans="1:25" ht="12.9">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row>
    <row r="942" spans="1:25" ht="12.9">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row>
    <row r="943" spans="1:25" ht="12.9">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row>
    <row r="944" spans="1:25" ht="12.9">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row>
    <row r="945" spans="1:25" ht="12.9">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row>
    <row r="946" spans="1:25" ht="12.9">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row>
    <row r="947" spans="1:25" ht="12.9">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row>
    <row r="948" spans="1:25" ht="12.9">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row>
    <row r="949" spans="1:25" ht="12.9">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row>
    <row r="950" spans="1:25" ht="12.9">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row>
    <row r="951" spans="1:25" ht="12.9">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row>
    <row r="952" spans="1:25" ht="12.9">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row>
    <row r="953" spans="1:25" ht="12.9">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row>
    <row r="954" spans="1:25" ht="12.9">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row>
    <row r="955" spans="1:25" ht="12.9">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row>
    <row r="956" spans="1:25" ht="12.9">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row>
    <row r="957" spans="1:25" ht="12.9">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row>
    <row r="958" spans="1:25" ht="12.9">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row>
    <row r="959" spans="1:25" ht="12.9">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row>
    <row r="960" spans="1:25" ht="12.9">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row>
    <row r="961" spans="1:25" ht="12.9">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row>
    <row r="962" spans="1:25" ht="12.9">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row>
    <row r="963" spans="1:25" ht="12.9">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row>
    <row r="964" spans="1:25" ht="12.9">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row>
    <row r="965" spans="1:25" ht="12.9">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row>
    <row r="966" spans="1:25" ht="12.9">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row>
    <row r="967" spans="1:25" ht="12.9">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row>
    <row r="968" spans="1:25" ht="12.9">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row>
    <row r="969" spans="1:25" ht="12.9">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row>
    <row r="970" spans="1:25" ht="12.9">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row>
    <row r="971" spans="1:25" ht="12.9">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row>
    <row r="972" spans="1:25" ht="12.9">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row>
    <row r="973" spans="1:25" ht="12.9">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row>
    <row r="974" spans="1:25" ht="12.9">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row>
    <row r="975" spans="1:25" ht="12.9">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row>
    <row r="976" spans="1:25" ht="12.9">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row>
    <row r="977" spans="1:25" ht="12.9">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row>
    <row r="978" spans="1:25" ht="12.9">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row>
    <row r="979" spans="1:25" ht="12.9">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row>
    <row r="980" spans="1:25" ht="12.9">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row>
    <row r="981" spans="1:25" ht="12.9">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row>
    <row r="982" spans="1:25" ht="12.9">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row>
    <row r="983" spans="1:25" ht="12.9">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row>
    <row r="984" spans="1:25" ht="12.9">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row>
    <row r="985" spans="1:25" ht="12.9">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row>
    <row r="986" spans="1:25" ht="12.9">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row>
    <row r="987" spans="1:25" ht="12.9">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row>
    <row r="988" spans="1:25" ht="12.9">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row>
    <row r="989" spans="1:25" ht="12.9">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row>
    <row r="990" spans="1:25" ht="12.9">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row>
    <row r="991" spans="1:25" ht="12.9">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row>
    <row r="992" spans="1:25" ht="12.9">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row>
    <row r="993" spans="1:25" ht="12.9">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row>
    <row r="994" spans="1:25" ht="12.9">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row>
    <row r="995" spans="1:25" ht="12.9">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row>
    <row r="996" spans="1:25" ht="12.9">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row>
    <row r="997" spans="1:25" ht="12.9">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row>
    <row r="998" spans="1:25" ht="12.9">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row>
    <row r="999" spans="1:25" ht="12.9">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row>
    <row r="1000" spans="1:25" ht="12.9">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F1000"/>
  <sheetViews>
    <sheetView workbookViewId="0"/>
  </sheetViews>
  <sheetFormatPr defaultColWidth="14.44140625" defaultRowHeight="15.75" customHeight="1"/>
  <cols>
    <col min="1" max="1" width="17.5546875" customWidth="1"/>
    <col min="2" max="4" width="12" customWidth="1"/>
    <col min="5" max="5" width="12.83203125" customWidth="1"/>
    <col min="6" max="6" width="17.27734375" customWidth="1"/>
    <col min="7" max="11" width="12" customWidth="1"/>
    <col min="12" max="12" width="17.5546875" customWidth="1"/>
    <col min="13" max="13" width="12.83203125" customWidth="1"/>
    <col min="14" max="16" width="12" customWidth="1"/>
    <col min="17" max="17" width="5.5546875" customWidth="1"/>
    <col min="18" max="32" width="6.109375" customWidth="1"/>
  </cols>
  <sheetData>
    <row r="1" spans="1:32" ht="15.75" customHeight="1">
      <c r="A1" s="3" t="s">
        <v>5</v>
      </c>
      <c r="B1" s="3" t="s">
        <v>13</v>
      </c>
      <c r="C1" s="3" t="s">
        <v>14</v>
      </c>
      <c r="D1" s="3" t="s">
        <v>15</v>
      </c>
      <c r="E1" s="5" t="s">
        <v>16</v>
      </c>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ht="15.75" customHeight="1">
      <c r="A2" s="15">
        <f>SUM('Processed - Stability'!F:F)</f>
        <v>1705</v>
      </c>
      <c r="B2" s="15">
        <f>SUM('Processed - Stability'!G:G)</f>
        <v>1325</v>
      </c>
      <c r="C2" s="15">
        <f>SUM('Processed - Stability'!H:H)</f>
        <v>2708</v>
      </c>
      <c r="D2" s="15">
        <f>SUM('Processed - Stability'!I:I)</f>
        <v>1273</v>
      </c>
      <c r="E2" s="15">
        <f>SUM('Processed - Stability'!J:J)</f>
        <v>7011</v>
      </c>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15.75" customHeight="1">
      <c r="A3" s="11">
        <f>A2/(A2+B2)</f>
        <v>0.56270627062706269</v>
      </c>
      <c r="B3" s="11">
        <f>B2/(A2+B2)</f>
        <v>0.43729372937293731</v>
      </c>
      <c r="C3" s="11">
        <f>C2/(C2+D2)</f>
        <v>0.68023109771414214</v>
      </c>
      <c r="D3" s="11">
        <f>D2/(D2+C2)</f>
        <v>0.3197689022858578</v>
      </c>
      <c r="E3" s="11"/>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ht="15.75" customHeight="1">
      <c r="A4" s="56"/>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ht="15.75" customHeight="1">
      <c r="A5" s="5" t="s">
        <v>19</v>
      </c>
      <c r="B5" s="5" t="s">
        <v>20</v>
      </c>
      <c r="C5" s="5" t="s">
        <v>21</v>
      </c>
      <c r="D5" s="5" t="s">
        <v>22</v>
      </c>
      <c r="E5" s="5" t="s">
        <v>23</v>
      </c>
      <c r="F5" s="5" t="s">
        <v>24</v>
      </c>
      <c r="G5" s="5" t="s">
        <v>25</v>
      </c>
      <c r="H5" s="5" t="s">
        <v>26</v>
      </c>
      <c r="I5" s="5" t="s">
        <v>27</v>
      </c>
      <c r="J5" s="3" t="s">
        <v>28</v>
      </c>
      <c r="K5" s="109"/>
      <c r="L5" s="109"/>
      <c r="M5" s="109"/>
      <c r="N5" s="109"/>
      <c r="O5" s="109"/>
      <c r="P5" s="109"/>
      <c r="Q5" s="109"/>
      <c r="R5" s="109"/>
      <c r="S5" s="109"/>
      <c r="T5" s="109"/>
      <c r="U5" s="109"/>
      <c r="V5" s="109"/>
      <c r="W5" s="109"/>
      <c r="X5" s="109"/>
      <c r="Y5" s="109"/>
      <c r="Z5" s="109"/>
      <c r="AA5" s="109"/>
      <c r="AB5" s="109"/>
      <c r="AC5" s="109"/>
      <c r="AD5" s="109"/>
      <c r="AE5" s="109"/>
      <c r="AF5" s="109"/>
    </row>
    <row r="6" spans="1:32" ht="15.75" customHeight="1">
      <c r="A6" s="15">
        <f>SUM('Processed - Stability'!K:K)</f>
        <v>236</v>
      </c>
      <c r="B6" s="15">
        <f>SUM('Processed - Stability'!L:L)</f>
        <v>154</v>
      </c>
      <c r="C6" s="15">
        <f>SUM('Processed - Stability'!M:M)</f>
        <v>56</v>
      </c>
      <c r="D6" s="15">
        <f>SUM('Processed - Stability'!N:N)</f>
        <v>167</v>
      </c>
      <c r="E6" s="15">
        <f>SUM('Processed - Stability'!O:O)</f>
        <v>716</v>
      </c>
      <c r="F6" s="15">
        <f>SUM('Processed - Stability'!P:P)</f>
        <v>104</v>
      </c>
      <c r="G6" s="15">
        <f>SUM('Processed - Stability'!Q:Q)</f>
        <v>47</v>
      </c>
      <c r="H6" s="15">
        <f>SUM('Processed - Stability'!R:R)</f>
        <v>109</v>
      </c>
      <c r="I6" s="15">
        <f>SUM('Processed - Stability'!S:S)</f>
        <v>104</v>
      </c>
      <c r="J6" s="15">
        <f>SUM('Processed - Stability'!T:T)</f>
        <v>1693</v>
      </c>
      <c r="K6" s="56"/>
      <c r="L6" s="56"/>
      <c r="M6" s="56"/>
      <c r="N6" s="56"/>
      <c r="O6" s="56"/>
      <c r="P6" s="56"/>
      <c r="Q6" s="56"/>
      <c r="R6" s="56"/>
      <c r="S6" s="56"/>
      <c r="T6" s="56"/>
      <c r="U6" s="56"/>
      <c r="V6" s="56"/>
      <c r="W6" s="56"/>
      <c r="X6" s="56"/>
      <c r="Y6" s="56"/>
      <c r="Z6" s="56"/>
      <c r="AA6" s="56"/>
      <c r="AB6" s="56"/>
      <c r="AC6" s="56"/>
      <c r="AD6" s="56"/>
      <c r="AE6" s="56"/>
      <c r="AF6" s="56"/>
    </row>
    <row r="7" spans="1:32" ht="15.75" customHeight="1">
      <c r="A7" s="11">
        <f t="shared" ref="A7:C7" si="0">A6/SUM($A6:$C6)</f>
        <v>0.52914798206278024</v>
      </c>
      <c r="B7" s="11">
        <f t="shared" si="0"/>
        <v>0.3452914798206278</v>
      </c>
      <c r="C7" s="11">
        <f t="shared" si="0"/>
        <v>0.12556053811659193</v>
      </c>
      <c r="D7" s="11">
        <f t="shared" ref="D7:F7" si="1">D6/SUM($D6:$F6)</f>
        <v>0.16919959473150961</v>
      </c>
      <c r="E7" s="11">
        <f t="shared" si="1"/>
        <v>0.72543059777102326</v>
      </c>
      <c r="F7" s="11">
        <f t="shared" si="1"/>
        <v>0.10536980749746708</v>
      </c>
      <c r="G7" s="11">
        <f t="shared" ref="G7:I7" si="2">G6/SUM($G6:$I6)</f>
        <v>0.18076923076923077</v>
      </c>
      <c r="H7" s="11">
        <f t="shared" si="2"/>
        <v>0.41923076923076924</v>
      </c>
      <c r="I7" s="11">
        <f t="shared" si="2"/>
        <v>0.4</v>
      </c>
      <c r="J7" s="11"/>
      <c r="K7" s="56"/>
      <c r="L7" s="56"/>
      <c r="M7" s="56"/>
      <c r="N7" s="56"/>
      <c r="O7" s="56"/>
      <c r="P7" s="56"/>
      <c r="Q7" s="56"/>
      <c r="R7" s="56"/>
      <c r="S7" s="56"/>
      <c r="T7" s="56"/>
      <c r="U7" s="56"/>
      <c r="V7" s="56"/>
      <c r="W7" s="56"/>
      <c r="X7" s="56"/>
      <c r="Y7" s="56"/>
      <c r="Z7" s="56"/>
      <c r="AA7" s="56"/>
      <c r="AB7" s="56"/>
      <c r="AC7" s="56"/>
      <c r="AD7" s="56"/>
      <c r="AE7" s="56"/>
      <c r="AF7" s="56"/>
    </row>
    <row r="8" spans="1:32" ht="15.75"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56"/>
    </row>
    <row r="9" spans="1:32" ht="15.75" customHeight="1">
      <c r="A9" s="3" t="s">
        <v>29</v>
      </c>
      <c r="B9" s="3" t="s">
        <v>30</v>
      </c>
      <c r="C9" s="3" t="s">
        <v>31</v>
      </c>
      <c r="D9" s="3" t="s">
        <v>32</v>
      </c>
      <c r="E9" s="3" t="s">
        <v>33</v>
      </c>
      <c r="F9" s="3" t="s">
        <v>34</v>
      </c>
      <c r="G9" s="3" t="s">
        <v>35</v>
      </c>
      <c r="H9" s="3" t="s">
        <v>36</v>
      </c>
      <c r="I9" s="3" t="s">
        <v>37</v>
      </c>
      <c r="J9" s="3" t="s">
        <v>38</v>
      </c>
      <c r="K9" s="3" t="s">
        <v>39</v>
      </c>
      <c r="L9" s="3" t="s">
        <v>40</v>
      </c>
      <c r="M9" s="3" t="s">
        <v>41</v>
      </c>
      <c r="N9" s="3" t="s">
        <v>42</v>
      </c>
      <c r="O9" s="3" t="s">
        <v>43</v>
      </c>
      <c r="P9" s="3" t="s">
        <v>44</v>
      </c>
      <c r="Q9" s="2" t="s">
        <v>45</v>
      </c>
      <c r="R9" s="56"/>
      <c r="S9" s="56"/>
      <c r="T9" s="56"/>
      <c r="U9" s="56"/>
      <c r="V9" s="56"/>
      <c r="W9" s="56"/>
      <c r="X9" s="56"/>
      <c r="Y9" s="56"/>
      <c r="Z9" s="56"/>
      <c r="AA9" s="56"/>
      <c r="AB9" s="56"/>
      <c r="AC9" s="56"/>
      <c r="AD9" s="56"/>
      <c r="AE9" s="56"/>
      <c r="AF9" s="56"/>
    </row>
    <row r="10" spans="1:32" ht="15.75" customHeight="1">
      <c r="A10" s="15">
        <f>SUM('Processed - Stability'!U:U)</f>
        <v>192</v>
      </c>
      <c r="B10" s="15">
        <f>SUM('Processed - Stability'!V:V)</f>
        <v>340</v>
      </c>
      <c r="C10" s="15">
        <f>SUM('Processed - Stability'!W:W)</f>
        <v>83</v>
      </c>
      <c r="D10" s="15">
        <f>SUM('Processed - Stability'!X:X)</f>
        <v>131</v>
      </c>
      <c r="E10" s="15">
        <f>SUM('Processed - Stability'!Y:Y)</f>
        <v>268</v>
      </c>
      <c r="F10" s="15">
        <f>SUM('Processed - Stability'!Z:Z)</f>
        <v>1764</v>
      </c>
      <c r="G10" s="15">
        <f>SUM('Processed - Stability'!AA:AA)</f>
        <v>319</v>
      </c>
      <c r="H10" s="15">
        <f>SUM('Processed - Stability'!AB:AB)</f>
        <v>316</v>
      </c>
      <c r="I10" s="15">
        <f>SUM('Processed - Stability'!AC:AC)</f>
        <v>52</v>
      </c>
      <c r="J10" s="15">
        <f>SUM('Processed - Stability'!AD:AD)</f>
        <v>230</v>
      </c>
      <c r="K10" s="15">
        <f>SUM('Processed - Stability'!AE:AE)</f>
        <v>125</v>
      </c>
      <c r="L10" s="15">
        <f>SUM('Processed - Stability'!AF:AF)</f>
        <v>65</v>
      </c>
      <c r="M10" s="15">
        <f>SUM('Processed - Stability'!AG:AG)</f>
        <v>127</v>
      </c>
      <c r="N10" s="15">
        <f>SUM('Processed - Stability'!AH:AH)</f>
        <v>359</v>
      </c>
      <c r="O10" s="15">
        <f>SUM('Processed - Stability'!AI:AI)</f>
        <v>111</v>
      </c>
      <c r="P10" s="15">
        <f>SUM('Processed - Stability'!AJ:AJ)</f>
        <v>328</v>
      </c>
      <c r="Q10" s="11">
        <f>SUM('Processed - Stability'!AK:AK)</f>
        <v>4810</v>
      </c>
      <c r="R10" s="56"/>
      <c r="S10" s="56"/>
      <c r="T10" s="56"/>
      <c r="U10" s="56"/>
      <c r="V10" s="56"/>
      <c r="W10" s="56"/>
      <c r="X10" s="56"/>
      <c r="Y10" s="56"/>
      <c r="Z10" s="56"/>
      <c r="AA10" s="56"/>
      <c r="AB10" s="56"/>
      <c r="AC10" s="56"/>
      <c r="AD10" s="56"/>
      <c r="AE10" s="56"/>
      <c r="AF10" s="56"/>
    </row>
    <row r="11" spans="1:32" ht="15.75" customHeight="1">
      <c r="A11" s="11">
        <f t="shared" ref="A11:D11" si="3">A10/SUM($A10:$D10)</f>
        <v>0.25737265415549598</v>
      </c>
      <c r="B11" s="11">
        <f t="shared" si="3"/>
        <v>0.45576407506702415</v>
      </c>
      <c r="C11" s="11">
        <f t="shared" si="3"/>
        <v>0.11126005361930295</v>
      </c>
      <c r="D11" s="11">
        <f t="shared" si="3"/>
        <v>0.17560321715817695</v>
      </c>
      <c r="E11" s="11">
        <f t="shared" ref="E11:H11" si="4">E10/(SUM($E10:$H10))</f>
        <v>0.10048743907011623</v>
      </c>
      <c r="F11" s="11">
        <f t="shared" si="4"/>
        <v>0.66141732283464572</v>
      </c>
      <c r="G11" s="11">
        <f t="shared" si="4"/>
        <v>0.11961004874390702</v>
      </c>
      <c r="H11" s="11">
        <f t="shared" si="4"/>
        <v>0.11848518935133108</v>
      </c>
      <c r="I11" s="11">
        <f t="shared" ref="I11:L11" si="5">I10/SUM($I10:$L10)</f>
        <v>0.11016949152542373</v>
      </c>
      <c r="J11" s="11">
        <f t="shared" si="5"/>
        <v>0.48728813559322032</v>
      </c>
      <c r="K11" s="11">
        <f t="shared" si="5"/>
        <v>0.26483050847457629</v>
      </c>
      <c r="L11" s="11">
        <f t="shared" si="5"/>
        <v>0.13771186440677965</v>
      </c>
      <c r="M11" s="11">
        <f t="shared" ref="M11:P11" si="6">M10/(SUM($M10:$P10))</f>
        <v>0.13729729729729731</v>
      </c>
      <c r="N11" s="11">
        <f t="shared" si="6"/>
        <v>0.38810810810810809</v>
      </c>
      <c r="O11" s="11">
        <f t="shared" si="6"/>
        <v>0.12</v>
      </c>
      <c r="P11" s="11">
        <f t="shared" si="6"/>
        <v>0.35459459459459458</v>
      </c>
      <c r="Q11" s="11"/>
      <c r="R11" s="56"/>
      <c r="S11" s="56"/>
      <c r="T11" s="56"/>
      <c r="U11" s="56"/>
      <c r="V11" s="56"/>
      <c r="W11" s="56"/>
      <c r="X11" s="56"/>
      <c r="Y11" s="56"/>
      <c r="Z11" s="56"/>
      <c r="AA11" s="56"/>
      <c r="AB11" s="56"/>
      <c r="AC11" s="56"/>
      <c r="AD11" s="56"/>
      <c r="AE11" s="56"/>
      <c r="AF11" s="56"/>
    </row>
    <row r="12" spans="1:32" ht="15.75" customHeight="1">
      <c r="A12" s="56"/>
      <c r="B12" s="56"/>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row>
    <row r="13" spans="1:32" ht="15.75" customHeight="1">
      <c r="A13" s="108" t="s">
        <v>420</v>
      </c>
      <c r="B13" s="109"/>
      <c r="C13" s="109"/>
      <c r="D13" s="109"/>
      <c r="E13" s="109"/>
      <c r="F13" s="108" t="s">
        <v>421</v>
      </c>
      <c r="G13" s="109"/>
      <c r="H13" s="109"/>
      <c r="I13" s="109"/>
      <c r="J13" s="109"/>
      <c r="K13" s="109"/>
      <c r="L13" s="108" t="s">
        <v>422</v>
      </c>
      <c r="M13" s="109"/>
      <c r="N13" s="109"/>
      <c r="O13" s="109"/>
      <c r="P13" s="109"/>
      <c r="Q13" s="109"/>
      <c r="R13" s="109"/>
      <c r="S13" s="109"/>
      <c r="T13" s="109"/>
      <c r="U13" s="109"/>
      <c r="V13" s="109"/>
      <c r="W13" s="109"/>
      <c r="X13" s="109"/>
      <c r="Y13" s="109"/>
      <c r="Z13" s="109"/>
      <c r="AA13" s="109"/>
      <c r="AB13" s="109"/>
      <c r="AC13" s="109"/>
      <c r="AD13" s="109"/>
      <c r="AE13" s="109"/>
      <c r="AF13" s="109"/>
    </row>
    <row r="14" spans="1:32" ht="15.75" customHeight="1">
      <c r="A14" s="56"/>
      <c r="B14" s="26" t="s">
        <v>423</v>
      </c>
      <c r="C14" s="26" t="s">
        <v>424</v>
      </c>
      <c r="D14" s="26" t="s">
        <v>425</v>
      </c>
      <c r="E14" s="56"/>
      <c r="F14" s="56"/>
      <c r="G14" s="26" t="s">
        <v>426</v>
      </c>
      <c r="H14" s="26" t="s">
        <v>427</v>
      </c>
      <c r="I14" s="26" t="s">
        <v>428</v>
      </c>
      <c r="J14" s="26" t="s">
        <v>425</v>
      </c>
      <c r="K14" s="56"/>
      <c r="L14" s="56"/>
      <c r="M14" s="26" t="s">
        <v>426</v>
      </c>
      <c r="N14" s="26" t="s">
        <v>427</v>
      </c>
      <c r="O14" s="26" t="s">
        <v>428</v>
      </c>
      <c r="P14" s="26" t="s">
        <v>429</v>
      </c>
      <c r="Q14" s="26" t="s">
        <v>425</v>
      </c>
      <c r="R14" s="56"/>
      <c r="S14" s="56"/>
      <c r="T14" s="56"/>
      <c r="U14" s="56"/>
      <c r="V14" s="56"/>
      <c r="W14" s="56"/>
      <c r="X14" s="56"/>
      <c r="Y14" s="56"/>
      <c r="Z14" s="56"/>
      <c r="AA14" s="56"/>
      <c r="AB14" s="56"/>
      <c r="AC14" s="56"/>
      <c r="AD14" s="56"/>
      <c r="AE14" s="56"/>
      <c r="AF14" s="56"/>
    </row>
    <row r="15" spans="1:32" ht="15.75" customHeight="1">
      <c r="A15" s="26" t="s">
        <v>423</v>
      </c>
      <c r="B15" s="56">
        <f t="shared" ref="B15:C15" si="7">C3</f>
        <v>0.68023109771414214</v>
      </c>
      <c r="C15" s="56">
        <f t="shared" si="7"/>
        <v>0.3197689022858578</v>
      </c>
      <c r="D15" s="56">
        <f t="shared" ref="D15:D16" si="8">SUM(B15,C15)</f>
        <v>1</v>
      </c>
      <c r="E15" s="56"/>
      <c r="F15" s="26" t="s">
        <v>426</v>
      </c>
      <c r="G15" s="56">
        <f t="shared" ref="G15:I15" si="9">A7</f>
        <v>0.52914798206278024</v>
      </c>
      <c r="H15" s="56">
        <f t="shared" si="9"/>
        <v>0.3452914798206278</v>
      </c>
      <c r="I15" s="56">
        <f t="shared" si="9"/>
        <v>0.12556053811659193</v>
      </c>
      <c r="J15" s="56">
        <f t="shared" ref="J15:J17" si="10">SUM(G15:I15)</f>
        <v>1</v>
      </c>
      <c r="K15" s="56"/>
      <c r="L15" s="26" t="s">
        <v>426</v>
      </c>
      <c r="M15" s="56">
        <f t="shared" ref="M15:P15" si="11">A11</f>
        <v>0.25737265415549598</v>
      </c>
      <c r="N15" s="56">
        <f t="shared" si="11"/>
        <v>0.45576407506702415</v>
      </c>
      <c r="O15" s="56">
        <f t="shared" si="11"/>
        <v>0.11126005361930295</v>
      </c>
      <c r="P15" s="56">
        <f t="shared" si="11"/>
        <v>0.17560321715817695</v>
      </c>
      <c r="Q15" s="56">
        <f t="shared" ref="Q15:Q18" si="12">SUM(M15:P15)</f>
        <v>1</v>
      </c>
      <c r="R15" s="56"/>
      <c r="S15" s="56"/>
      <c r="T15" s="56"/>
      <c r="U15" s="56"/>
      <c r="V15" s="56"/>
      <c r="W15" s="56"/>
      <c r="X15" s="56"/>
      <c r="Y15" s="56"/>
      <c r="Z15" s="56"/>
      <c r="AA15" s="56"/>
      <c r="AB15" s="56"/>
      <c r="AC15" s="56"/>
      <c r="AD15" s="56"/>
      <c r="AE15" s="56"/>
      <c r="AF15" s="56"/>
    </row>
    <row r="16" spans="1:32" ht="15.75" customHeight="1">
      <c r="A16" s="26" t="s">
        <v>424</v>
      </c>
      <c r="B16" s="56">
        <f>B3</f>
        <v>0.43729372937293731</v>
      </c>
      <c r="C16" s="56">
        <f>A3</f>
        <v>0.56270627062706269</v>
      </c>
      <c r="D16" s="56">
        <f t="shared" si="8"/>
        <v>1</v>
      </c>
      <c r="E16" s="56"/>
      <c r="F16" s="26" t="s">
        <v>427</v>
      </c>
      <c r="G16" s="56">
        <f t="shared" ref="G16:I16" si="13">D7</f>
        <v>0.16919959473150961</v>
      </c>
      <c r="H16" s="56">
        <f t="shared" si="13"/>
        <v>0.72543059777102326</v>
      </c>
      <c r="I16" s="56">
        <f t="shared" si="13"/>
        <v>0.10536980749746708</v>
      </c>
      <c r="J16" s="56">
        <f t="shared" si="10"/>
        <v>0.99999999999999989</v>
      </c>
      <c r="K16" s="56"/>
      <c r="L16" s="26" t="s">
        <v>427</v>
      </c>
      <c r="M16" s="56">
        <f t="shared" ref="M16:P16" si="14">E11</f>
        <v>0.10048743907011623</v>
      </c>
      <c r="N16" s="56">
        <f t="shared" si="14"/>
        <v>0.66141732283464572</v>
      </c>
      <c r="O16" s="56">
        <f t="shared" si="14"/>
        <v>0.11961004874390702</v>
      </c>
      <c r="P16" s="56">
        <f t="shared" si="14"/>
        <v>0.11848518935133108</v>
      </c>
      <c r="Q16" s="56">
        <f t="shared" si="12"/>
        <v>1</v>
      </c>
      <c r="R16" s="56"/>
      <c r="S16" s="56"/>
      <c r="T16" s="56"/>
      <c r="U16" s="56"/>
      <c r="V16" s="56"/>
      <c r="W16" s="56"/>
      <c r="X16" s="56"/>
      <c r="Y16" s="56"/>
      <c r="Z16" s="56"/>
      <c r="AA16" s="56"/>
      <c r="AB16" s="56"/>
      <c r="AC16" s="56"/>
      <c r="AD16" s="56"/>
      <c r="AE16" s="56"/>
      <c r="AF16" s="56"/>
    </row>
    <row r="17" spans="1:32" ht="15.75" customHeight="1">
      <c r="A17" s="56"/>
      <c r="B17" s="56"/>
      <c r="C17" s="56"/>
      <c r="D17" s="56"/>
      <c r="E17" s="56"/>
      <c r="F17" s="26" t="s">
        <v>428</v>
      </c>
      <c r="G17" s="56">
        <f t="shared" ref="G17:I17" si="15">G7</f>
        <v>0.18076923076923077</v>
      </c>
      <c r="H17" s="56">
        <f t="shared" si="15"/>
        <v>0.41923076923076924</v>
      </c>
      <c r="I17" s="56">
        <f t="shared" si="15"/>
        <v>0.4</v>
      </c>
      <c r="J17" s="56">
        <f t="shared" si="10"/>
        <v>1</v>
      </c>
      <c r="K17" s="56"/>
      <c r="L17" s="26" t="s">
        <v>428</v>
      </c>
      <c r="M17" s="56">
        <f t="shared" ref="M17:P17" si="16">I11</f>
        <v>0.11016949152542373</v>
      </c>
      <c r="N17" s="56">
        <f t="shared" si="16"/>
        <v>0.48728813559322032</v>
      </c>
      <c r="O17" s="56">
        <f t="shared" si="16"/>
        <v>0.26483050847457629</v>
      </c>
      <c r="P17" s="56">
        <f t="shared" si="16"/>
        <v>0.13771186440677965</v>
      </c>
      <c r="Q17" s="56">
        <f t="shared" si="12"/>
        <v>1</v>
      </c>
      <c r="R17" s="56"/>
      <c r="S17" s="56"/>
      <c r="T17" s="56"/>
      <c r="U17" s="56"/>
      <c r="V17" s="56"/>
      <c r="W17" s="56"/>
      <c r="X17" s="56"/>
      <c r="Y17" s="56"/>
      <c r="Z17" s="56"/>
      <c r="AA17" s="56"/>
      <c r="AB17" s="56"/>
      <c r="AC17" s="56"/>
      <c r="AD17" s="56"/>
      <c r="AE17" s="56"/>
      <c r="AF17" s="56"/>
    </row>
    <row r="18" spans="1:32" ht="15.75" customHeight="1">
      <c r="A18" s="56"/>
      <c r="B18" s="56"/>
      <c r="C18" s="56"/>
      <c r="D18" s="56"/>
      <c r="E18" s="56"/>
      <c r="F18" s="56"/>
      <c r="G18" s="56"/>
      <c r="H18" s="56"/>
      <c r="I18" s="56"/>
      <c r="J18" s="56"/>
      <c r="K18" s="56"/>
      <c r="L18" s="26" t="s">
        <v>429</v>
      </c>
      <c r="M18" s="56">
        <f t="shared" ref="M18:P18" si="17">M11</f>
        <v>0.13729729729729731</v>
      </c>
      <c r="N18" s="56">
        <f t="shared" si="17"/>
        <v>0.38810810810810809</v>
      </c>
      <c r="O18" s="56">
        <f t="shared" si="17"/>
        <v>0.12</v>
      </c>
      <c r="P18" s="56">
        <f t="shared" si="17"/>
        <v>0.35459459459459458</v>
      </c>
      <c r="Q18" s="56">
        <f t="shared" si="12"/>
        <v>1</v>
      </c>
      <c r="R18" s="56"/>
      <c r="S18" s="56"/>
      <c r="T18" s="56"/>
      <c r="U18" s="56"/>
      <c r="V18" s="56"/>
      <c r="W18" s="56"/>
      <c r="X18" s="56"/>
      <c r="Y18" s="56"/>
      <c r="Z18" s="56"/>
      <c r="AA18" s="56"/>
      <c r="AB18" s="56"/>
      <c r="AC18" s="56"/>
      <c r="AD18" s="56"/>
      <c r="AE18" s="56"/>
      <c r="AF18" s="56"/>
    </row>
    <row r="19" spans="1:32" ht="15.75" customHeight="1">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row>
    <row r="20" spans="1:32" ht="15.75" customHeight="1">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row>
    <row r="21" spans="1:32" ht="15.7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row>
    <row r="22" spans="1:32" ht="15.7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row>
    <row r="23" spans="1:32" ht="15.7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row>
    <row r="24" spans="1:32" ht="15.7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row>
    <row r="25" spans="1:32"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row>
    <row r="26" spans="1:32"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row>
    <row r="27" spans="1:32" ht="12.9">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row>
    <row r="28" spans="1:32" ht="12.9">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row>
    <row r="29" spans="1:32" ht="12.9">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row>
    <row r="30" spans="1:32" ht="12.9">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row>
    <row r="31" spans="1:32" ht="12.9">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row>
    <row r="32" spans="1:32" ht="12.9">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row>
    <row r="33" spans="1:32" ht="12.9">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row>
    <row r="34" spans="1:32" ht="12.9">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row>
    <row r="35" spans="1:32" ht="12.9">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row>
    <row r="36" spans="1:32" ht="12.9">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row>
    <row r="37" spans="1:32" ht="12.9">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row>
    <row r="38" spans="1:32" ht="12.9">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row>
    <row r="39" spans="1:32" ht="12.9">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row>
    <row r="40" spans="1:32" ht="12.9">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row>
    <row r="41" spans="1:32" ht="12.9">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row>
    <row r="42" spans="1:32" ht="12.9">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row>
    <row r="43" spans="1:32" ht="12.9">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row>
    <row r="44" spans="1:32" ht="12.9">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row>
    <row r="45" spans="1:32" ht="12.9">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row>
    <row r="46" spans="1:32" ht="12.9">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row>
    <row r="47" spans="1:32" ht="12.9">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row>
    <row r="48" spans="1:32" ht="12.9">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row>
    <row r="49" spans="1:32" ht="12.9">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row>
    <row r="50" spans="1:32" ht="12.9">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row>
    <row r="51" spans="1:32" ht="12.9">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row>
    <row r="52" spans="1:32" ht="12.9">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row>
    <row r="53" spans="1:32" ht="12.9">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row>
    <row r="54" spans="1:32" ht="12.9">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row>
    <row r="55" spans="1:32" ht="12.9">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row>
    <row r="56" spans="1:32" ht="12.9">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row>
    <row r="57" spans="1:32" ht="12.9">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row>
    <row r="58" spans="1:32" ht="12.9">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row>
    <row r="59" spans="1:32" ht="12.9">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row>
    <row r="60" spans="1:32" ht="12.9">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row>
    <row r="61" spans="1:32" ht="12.9">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row>
    <row r="62" spans="1:32" ht="12.9">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row>
    <row r="63" spans="1:32" ht="12.9">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row>
    <row r="64" spans="1:32" ht="12.9">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row>
    <row r="65" spans="1:32" ht="12.9">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row>
    <row r="66" spans="1:32" ht="12.9">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row>
    <row r="67" spans="1:32" ht="12.9">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row>
    <row r="68" spans="1:32" ht="12.9">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row>
    <row r="69" spans="1:32" ht="12.9">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row>
    <row r="70" spans="1:32" ht="12.9">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row>
    <row r="71" spans="1:32" ht="12.9">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row>
    <row r="72" spans="1:32" ht="12.9">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row>
    <row r="73" spans="1:32" ht="12.9">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row>
    <row r="74" spans="1:32" ht="12.9">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row>
    <row r="75" spans="1:32" ht="12.9">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row>
    <row r="76" spans="1:32" ht="12.9">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row>
    <row r="77" spans="1:32" ht="12.9">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row>
    <row r="78" spans="1:32" ht="12.9">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row>
    <row r="79" spans="1:32" ht="12.9">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row>
    <row r="80" spans="1:32" ht="12.9">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row>
    <row r="81" spans="1:32" ht="12.9">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row>
    <row r="82" spans="1:32" ht="12.9">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row>
    <row r="83" spans="1:32" ht="12.9">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row>
    <row r="84" spans="1:32" ht="12.9">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row>
    <row r="85" spans="1:32" ht="12.9">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row>
    <row r="86" spans="1:32" ht="12.9">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row>
    <row r="87" spans="1:32" ht="12.9">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row>
    <row r="88" spans="1:32" ht="12.9">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row>
    <row r="89" spans="1:32" ht="12.9">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row>
    <row r="90" spans="1:32" ht="12.9">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row>
    <row r="91" spans="1:32" ht="12.9">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row>
    <row r="92" spans="1:32" ht="12.9">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row>
    <row r="93" spans="1:32" ht="12.9">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row>
    <row r="94" spans="1:32" ht="12.9">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row>
    <row r="95" spans="1:32" ht="12.9">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row>
    <row r="96" spans="1:32" ht="12.9">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row>
    <row r="97" spans="1:32" ht="12.9">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row>
    <row r="98" spans="1:32" ht="12.9">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row>
    <row r="99" spans="1:32" ht="12.9">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row>
    <row r="100" spans="1:32" ht="12.9">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row>
    <row r="101" spans="1:32" ht="12.9">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row>
    <row r="102" spans="1:32" ht="12.9">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row>
    <row r="103" spans="1:32" ht="12.9">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row>
    <row r="104" spans="1:32" ht="12.9">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row>
    <row r="105" spans="1:32" ht="12.9">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row>
    <row r="106" spans="1:32" ht="12.9">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row>
    <row r="107" spans="1:32" ht="12.9">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row>
    <row r="108" spans="1:32" ht="12.9">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row>
    <row r="109" spans="1:32" ht="12.9">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row>
    <row r="110" spans="1:32" ht="12.9">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row>
    <row r="111" spans="1:32" ht="12.9">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row>
    <row r="112" spans="1:32" ht="12.9">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row>
    <row r="113" spans="1:32" ht="12.9">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row>
    <row r="114" spans="1:32" ht="12.9">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row>
    <row r="115" spans="1:32" ht="12.9">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row>
    <row r="116" spans="1:32" ht="12.9">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row>
    <row r="117" spans="1:32" ht="12.9">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row>
    <row r="118" spans="1:32" ht="12.9">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row>
    <row r="119" spans="1:32" ht="12.9">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row>
    <row r="120" spans="1:32" ht="12.9">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row>
    <row r="121" spans="1:32" ht="12.9">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row>
    <row r="122" spans="1:32" ht="12.9">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row>
    <row r="123" spans="1:32" ht="12.9">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row>
    <row r="124" spans="1:32" ht="12.9">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row>
    <row r="125" spans="1:32" ht="12.9">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row>
    <row r="126" spans="1:32" ht="12.9">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row>
    <row r="127" spans="1:32" ht="12.9">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row>
    <row r="128" spans="1:32" ht="12.9">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row>
    <row r="129" spans="1:32" ht="12.9">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row>
    <row r="130" spans="1:32" ht="12.9">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row>
    <row r="131" spans="1:32" ht="12.9">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row>
    <row r="132" spans="1:32" ht="12.9">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row>
    <row r="133" spans="1:32" ht="12.9">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row>
    <row r="134" spans="1:32" ht="12.9">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row>
    <row r="135" spans="1:32" ht="12.9">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row>
    <row r="136" spans="1:32" ht="12.9">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row>
    <row r="137" spans="1:32" ht="12.9">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row>
    <row r="138" spans="1:32" ht="12.9">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row>
    <row r="139" spans="1:32" ht="12.9">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row>
    <row r="140" spans="1:32" ht="12.9">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row>
    <row r="141" spans="1:32" ht="12.9">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row>
    <row r="142" spans="1:32" ht="12.9">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row>
    <row r="143" spans="1:32" ht="12.9">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row>
    <row r="144" spans="1:32" ht="12.9">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row>
    <row r="145" spans="1:32" ht="12.9">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row>
    <row r="146" spans="1:32" ht="12.9">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row>
    <row r="147" spans="1:32" ht="12.9">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row>
    <row r="148" spans="1:32" ht="12.9">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row>
    <row r="149" spans="1:32" ht="12.9">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row>
    <row r="150" spans="1:32" ht="12.9">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row>
    <row r="151" spans="1:32" ht="12.9">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row>
    <row r="152" spans="1:32" ht="12.9">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row>
    <row r="153" spans="1:32" ht="12.9">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row>
    <row r="154" spans="1:32" ht="12.9">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row>
    <row r="155" spans="1:32" ht="12.9">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row>
    <row r="156" spans="1:32" ht="12.9">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row>
    <row r="157" spans="1:32" ht="12.9">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row>
    <row r="158" spans="1:32" ht="12.9">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row>
    <row r="159" spans="1:32" ht="12.9">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row>
    <row r="160" spans="1:32" ht="12.9">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row>
    <row r="161" spans="1:32" ht="12.9">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row>
    <row r="162" spans="1:32" ht="12.9">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row>
    <row r="163" spans="1:32" ht="12.9">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row>
    <row r="164" spans="1:32" ht="12.9">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row>
    <row r="165" spans="1:32" ht="12.9">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row>
    <row r="166" spans="1:32" ht="12.9">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row>
    <row r="167" spans="1:32" ht="12.9">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row>
    <row r="168" spans="1:32" ht="12.9">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row>
    <row r="169" spans="1:32" ht="12.9">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row>
    <row r="170" spans="1:32" ht="12.9">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row>
    <row r="171" spans="1:32" ht="12.9">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row>
    <row r="172" spans="1:32" ht="12.9">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row>
    <row r="173" spans="1:32" ht="12.9">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row>
    <row r="174" spans="1:32" ht="12.9">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row>
    <row r="175" spans="1:32" ht="12.9">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row>
    <row r="176" spans="1:32" ht="12.9">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row>
    <row r="177" spans="1:32" ht="12.9">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row>
    <row r="178" spans="1:32" ht="12.9">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row>
    <row r="179" spans="1:32" ht="12.9">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row>
    <row r="180" spans="1:32" ht="12.9">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row>
    <row r="181" spans="1:32" ht="12.9">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row>
    <row r="182" spans="1:32" ht="12.9">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row>
    <row r="183" spans="1:32" ht="12.9">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row>
    <row r="184" spans="1:32" ht="12.9">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row>
    <row r="185" spans="1:32" ht="12.9">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row>
    <row r="186" spans="1:32" ht="12.9">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row>
    <row r="187" spans="1:32" ht="12.9">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row>
    <row r="188" spans="1:32" ht="12.9">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row>
    <row r="189" spans="1:32" ht="12.9">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row>
    <row r="190" spans="1:32" ht="12.9">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row>
    <row r="191" spans="1:32" ht="12.9">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row>
    <row r="192" spans="1:32" ht="12.9">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row>
    <row r="193" spans="1:32" ht="12.9">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row>
    <row r="194" spans="1:32" ht="12.9">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row>
    <row r="195" spans="1:32" ht="12.9">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row>
    <row r="196" spans="1:32" ht="12.9">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row>
    <row r="197" spans="1:32" ht="12.9">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row>
    <row r="198" spans="1:32" ht="12.9">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row>
    <row r="199" spans="1:32" ht="12.9">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row>
    <row r="200" spans="1:32" ht="12.9">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row>
    <row r="201" spans="1:32" ht="12.9">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row>
    <row r="202" spans="1:32" ht="12.9">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row>
    <row r="203" spans="1:32" ht="12.9">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row>
    <row r="204" spans="1:32" ht="12.9">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row>
    <row r="205" spans="1:32" ht="12.9">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row>
    <row r="206" spans="1:32" ht="12.9">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row>
    <row r="207" spans="1:32" ht="12.9">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row>
    <row r="208" spans="1:32" ht="12.9">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row>
    <row r="209" spans="1:32" ht="12.9">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row>
    <row r="210" spans="1:32" ht="12.9">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c r="AE210" s="56"/>
      <c r="AF210" s="56"/>
    </row>
    <row r="211" spans="1:32" ht="12.9">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row>
    <row r="212" spans="1:32" ht="12.9">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row>
    <row r="213" spans="1:32" ht="12.9">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c r="AE213" s="56"/>
      <c r="AF213" s="56"/>
    </row>
    <row r="214" spans="1:32" ht="12.9">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row>
    <row r="215" spans="1:32" ht="12.9">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row>
    <row r="216" spans="1:32" ht="12.9">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row>
    <row r="217" spans="1:32" ht="12.9">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c r="AE217" s="56"/>
      <c r="AF217" s="56"/>
    </row>
    <row r="218" spans="1:32" ht="12.9">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c r="AE218" s="56"/>
      <c r="AF218" s="56"/>
    </row>
    <row r="219" spans="1:32" ht="12.9">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row>
    <row r="220" spans="1:32" ht="12.9">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c r="AE220" s="56"/>
      <c r="AF220" s="56"/>
    </row>
    <row r="221" spans="1:32" ht="12.9">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row>
    <row r="222" spans="1:32" ht="12.9">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c r="AE222" s="56"/>
      <c r="AF222" s="56"/>
    </row>
    <row r="223" spans="1:32" ht="12.9">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c r="AE223" s="56"/>
      <c r="AF223" s="56"/>
    </row>
    <row r="224" spans="1:32" ht="12.9">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c r="AE224" s="56"/>
      <c r="AF224" s="56"/>
    </row>
    <row r="225" spans="1:32" ht="12.9">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c r="AE225" s="56"/>
      <c r="AF225" s="56"/>
    </row>
    <row r="226" spans="1:32" ht="12.9">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row>
    <row r="227" spans="1:32" ht="12.9">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c r="AE227" s="56"/>
      <c r="AF227" s="56"/>
    </row>
    <row r="228" spans="1:32" ht="12.9">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c r="AE228" s="56"/>
      <c r="AF228" s="56"/>
    </row>
    <row r="229" spans="1:32" ht="12.9">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row>
    <row r="230" spans="1:32" ht="12.9">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row>
    <row r="231" spans="1:32" ht="12.9">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row>
    <row r="232" spans="1:32" ht="12.9">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row>
    <row r="233" spans="1:32" ht="12.9">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c r="AE233" s="56"/>
      <c r="AF233" s="56"/>
    </row>
    <row r="234" spans="1:32" ht="12.9">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c r="AE234" s="56"/>
      <c r="AF234" s="56"/>
    </row>
    <row r="235" spans="1:32" ht="12.9">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row>
    <row r="236" spans="1:32" ht="12.9">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c r="AE236" s="56"/>
      <c r="AF236" s="56"/>
    </row>
    <row r="237" spans="1:32" ht="12.9">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c r="AE237" s="56"/>
      <c r="AF237" s="56"/>
    </row>
    <row r="238" spans="1:32" ht="12.9">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c r="AE238" s="56"/>
      <c r="AF238" s="56"/>
    </row>
    <row r="239" spans="1:32" ht="12.9">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row>
    <row r="240" spans="1:32" ht="12.9">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c r="AE240" s="56"/>
      <c r="AF240" s="56"/>
    </row>
    <row r="241" spans="1:32" ht="12.9">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c r="AE241" s="56"/>
      <c r="AF241" s="56"/>
    </row>
    <row r="242" spans="1:32" ht="12.9">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row>
    <row r="243" spans="1:32" ht="12.9">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c r="AE243" s="56"/>
      <c r="AF243" s="56"/>
    </row>
    <row r="244" spans="1:32" ht="12.9">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row>
    <row r="245" spans="1:32" ht="12.9">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row>
    <row r="246" spans="1:32" ht="12.9">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c r="AE246" s="56"/>
      <c r="AF246" s="56"/>
    </row>
    <row r="247" spans="1:32" ht="12.9">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row>
    <row r="248" spans="1:32" ht="12.9">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c r="AE248" s="56"/>
      <c r="AF248" s="56"/>
    </row>
    <row r="249" spans="1:32" ht="12.9">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row>
    <row r="250" spans="1:32" ht="12.9">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row>
    <row r="251" spans="1:32" ht="12.9">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row>
    <row r="252" spans="1:32" ht="12.9">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row>
    <row r="253" spans="1:32" ht="12.9">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row>
    <row r="254" spans="1:32" ht="12.9">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row>
    <row r="255" spans="1:32" ht="12.9">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c r="AE255" s="56"/>
      <c r="AF255" s="56"/>
    </row>
    <row r="256" spans="1:32" ht="12.9">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row>
    <row r="257" spans="1:32" ht="12.9">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c r="AE257" s="56"/>
      <c r="AF257" s="56"/>
    </row>
    <row r="258" spans="1:32" ht="12.9">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row>
    <row r="259" spans="1:32" ht="12.9">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c r="AE259" s="56"/>
      <c r="AF259" s="56"/>
    </row>
    <row r="260" spans="1:32" ht="12.9">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c r="AE260" s="56"/>
      <c r="AF260" s="56"/>
    </row>
    <row r="261" spans="1:32" ht="12.9">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row>
    <row r="262" spans="1:32" ht="12.9">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row>
    <row r="263" spans="1:32" ht="12.9">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c r="AE263" s="56"/>
      <c r="AF263" s="56"/>
    </row>
    <row r="264" spans="1:32" ht="12.9">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row>
    <row r="265" spans="1:32" ht="12.9">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row>
    <row r="266" spans="1:32" ht="12.9">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c r="AE266" s="56"/>
      <c r="AF266" s="56"/>
    </row>
    <row r="267" spans="1:32" ht="12.9">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row>
    <row r="268" spans="1:32" ht="12.9">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row>
    <row r="269" spans="1:32" ht="12.9">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row>
    <row r="270" spans="1:32" ht="12.9">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row>
    <row r="271" spans="1:32" ht="12.9">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row>
    <row r="272" spans="1:32" ht="12.9">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c r="AE272" s="56"/>
      <c r="AF272" s="56"/>
    </row>
    <row r="273" spans="1:32" ht="12.9">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c r="AE273" s="56"/>
      <c r="AF273" s="56"/>
    </row>
    <row r="274" spans="1:32" ht="12.9">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c r="AE274" s="56"/>
      <c r="AF274" s="56"/>
    </row>
    <row r="275" spans="1:32" ht="12.9">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row>
    <row r="276" spans="1:32" ht="12.9">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row>
    <row r="277" spans="1:32" ht="12.9">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c r="AE277" s="56"/>
      <c r="AF277" s="56"/>
    </row>
    <row r="278" spans="1:32" ht="12.9">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row>
    <row r="279" spans="1:32" ht="12.9">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c r="AE279" s="56"/>
      <c r="AF279" s="56"/>
    </row>
    <row r="280" spans="1:32" ht="12.9">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c r="AE280" s="56"/>
      <c r="AF280" s="56"/>
    </row>
    <row r="281" spans="1:32" ht="12.9">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row>
    <row r="282" spans="1:32" ht="12.9">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c r="AE282" s="56"/>
      <c r="AF282" s="56"/>
    </row>
    <row r="283" spans="1:32" ht="12.9">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row>
    <row r="284" spans="1:32" ht="12.9">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row>
    <row r="285" spans="1:32" ht="12.9">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row>
    <row r="286" spans="1:32" ht="12.9">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row>
    <row r="287" spans="1:32" ht="12.9">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c r="AE287" s="56"/>
      <c r="AF287" s="56"/>
    </row>
    <row r="288" spans="1:32" ht="12.9">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row>
    <row r="289" spans="1:32" ht="12.9">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c r="AE289" s="56"/>
      <c r="AF289" s="56"/>
    </row>
    <row r="290" spans="1:32" ht="12.9">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c r="AE290" s="56"/>
      <c r="AF290" s="56"/>
    </row>
    <row r="291" spans="1:32" ht="12.9">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row>
    <row r="292" spans="1:32" ht="12.9">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c r="AE292" s="56"/>
      <c r="AF292" s="56"/>
    </row>
    <row r="293" spans="1:32" ht="12.9">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c r="AE293" s="56"/>
      <c r="AF293" s="56"/>
    </row>
    <row r="294" spans="1:32" ht="12.9">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row>
    <row r="295" spans="1:32" ht="12.9">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c r="AE295" s="56"/>
      <c r="AF295" s="56"/>
    </row>
    <row r="296" spans="1:32" ht="12.9">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c r="AE296" s="56"/>
      <c r="AF296" s="56"/>
    </row>
    <row r="297" spans="1:32" ht="12.9">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c r="AE297" s="56"/>
      <c r="AF297" s="56"/>
    </row>
    <row r="298" spans="1:32" ht="12.9">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c r="AE298" s="56"/>
      <c r="AF298" s="56"/>
    </row>
    <row r="299" spans="1:32" ht="12.9">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c r="AE299" s="56"/>
      <c r="AF299" s="56"/>
    </row>
    <row r="300" spans="1:32" ht="12.9">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c r="AE300" s="56"/>
      <c r="AF300" s="56"/>
    </row>
    <row r="301" spans="1:32" ht="12.9">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c r="AE301" s="56"/>
      <c r="AF301" s="56"/>
    </row>
    <row r="302" spans="1:32" ht="12.9">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c r="AE302" s="56"/>
      <c r="AF302" s="56"/>
    </row>
    <row r="303" spans="1:32" ht="12.9">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c r="AE303" s="56"/>
      <c r="AF303" s="56"/>
    </row>
    <row r="304" spans="1:32" ht="12.9">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c r="AE304" s="56"/>
      <c r="AF304" s="56"/>
    </row>
    <row r="305" spans="1:32" ht="12.9">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c r="AE305" s="56"/>
      <c r="AF305" s="56"/>
    </row>
    <row r="306" spans="1:32" ht="12.9">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c r="AE306" s="56"/>
      <c r="AF306" s="56"/>
    </row>
    <row r="307" spans="1:32" ht="12.9">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c r="AE307" s="56"/>
      <c r="AF307" s="56"/>
    </row>
    <row r="308" spans="1:32" ht="12.9">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c r="AE308" s="56"/>
      <c r="AF308" s="56"/>
    </row>
    <row r="309" spans="1:32" ht="12.9">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row>
    <row r="310" spans="1:32" ht="12.9">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E310" s="56"/>
      <c r="AF310" s="56"/>
    </row>
    <row r="311" spans="1:32" ht="12.9">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row>
    <row r="312" spans="1:32" ht="12.9">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row>
    <row r="313" spans="1:32" ht="12.9">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row>
    <row r="314" spans="1:32" ht="12.9">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row>
    <row r="315" spans="1:32" ht="12.9">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c r="AE315" s="56"/>
      <c r="AF315" s="56"/>
    </row>
    <row r="316" spans="1:32" ht="12.9">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row>
    <row r="317" spans="1:32" ht="12.9">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row>
    <row r="318" spans="1:32" ht="12.9">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row>
    <row r="319" spans="1:32" ht="12.9">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row>
    <row r="320" spans="1:32" ht="12.9">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c r="AE320" s="56"/>
      <c r="AF320" s="56"/>
    </row>
    <row r="321" spans="1:32" ht="12.9">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c r="AE321" s="56"/>
      <c r="AF321" s="56"/>
    </row>
    <row r="322" spans="1:32" ht="12.9">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row>
    <row r="323" spans="1:32" ht="12.9">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row>
    <row r="324" spans="1:32" ht="12.9">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row>
    <row r="325" spans="1:32" ht="12.9">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row>
    <row r="326" spans="1:32" ht="12.9">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row>
    <row r="327" spans="1:32" ht="12.9">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c r="AE327" s="56"/>
      <c r="AF327" s="56"/>
    </row>
    <row r="328" spans="1:32" ht="12.9">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row>
    <row r="329" spans="1:32" ht="12.9">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c r="AE329" s="56"/>
      <c r="AF329" s="56"/>
    </row>
    <row r="330" spans="1:32" ht="12.9">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row>
    <row r="331" spans="1:32" ht="12.9">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c r="AE331" s="56"/>
      <c r="AF331" s="56"/>
    </row>
    <row r="332" spans="1:32" ht="12.9">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row>
    <row r="333" spans="1:32" ht="12.9">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c r="AE333" s="56"/>
      <c r="AF333" s="56"/>
    </row>
    <row r="334" spans="1:32" ht="12.9">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row>
    <row r="335" spans="1:32" ht="12.9">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c r="AE335" s="56"/>
      <c r="AF335" s="56"/>
    </row>
    <row r="336" spans="1:32" ht="12.9">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row>
    <row r="337" spans="1:32" ht="12.9">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c r="AE337" s="56"/>
      <c r="AF337" s="56"/>
    </row>
    <row r="338" spans="1:32" ht="12.9">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row>
    <row r="339" spans="1:32" ht="12.9">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c r="AE339" s="56"/>
      <c r="AF339" s="56"/>
    </row>
    <row r="340" spans="1:32" ht="12.9">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row>
    <row r="341" spans="1:32" ht="12.9">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row>
    <row r="342" spans="1:32" ht="12.9">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row>
    <row r="343" spans="1:32" ht="12.9">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row>
    <row r="344" spans="1:32" ht="12.9">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row>
    <row r="345" spans="1:32" ht="12.9">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row>
    <row r="346" spans="1:32" ht="12.9">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row>
    <row r="347" spans="1:32" ht="12.9">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row>
    <row r="348" spans="1:32" ht="12.9">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row>
    <row r="349" spans="1:32" ht="12.9">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c r="AE349" s="56"/>
      <c r="AF349" s="56"/>
    </row>
    <row r="350" spans="1:32" ht="12.9">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row>
    <row r="351" spans="1:32" ht="12.9">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c r="AE351" s="56"/>
      <c r="AF351" s="56"/>
    </row>
    <row r="352" spans="1:32" ht="12.9">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row>
    <row r="353" spans="1:32" ht="12.9">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c r="AE353" s="56"/>
      <c r="AF353" s="56"/>
    </row>
    <row r="354" spans="1:32" ht="12.9">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row>
    <row r="355" spans="1:32" ht="12.9">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c r="AE355" s="56"/>
      <c r="AF355" s="56"/>
    </row>
    <row r="356" spans="1:32" ht="12.9">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c r="AE356" s="56"/>
      <c r="AF356" s="56"/>
    </row>
    <row r="357" spans="1:32" ht="12.9">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c r="AE357" s="56"/>
      <c r="AF357" s="56"/>
    </row>
    <row r="358" spans="1:32" ht="12.9">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c r="AE358" s="56"/>
      <c r="AF358" s="56"/>
    </row>
    <row r="359" spans="1:32" ht="12.9">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c r="AE359" s="56"/>
      <c r="AF359" s="56"/>
    </row>
    <row r="360" spans="1:32" ht="12.9">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c r="AE360" s="56"/>
      <c r="AF360" s="56"/>
    </row>
    <row r="361" spans="1:32" ht="12.9">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c r="AE361" s="56"/>
      <c r="AF361" s="56"/>
    </row>
    <row r="362" spans="1:32" ht="12.9">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c r="AE362" s="56"/>
      <c r="AF362" s="56"/>
    </row>
    <row r="363" spans="1:32" ht="12.9">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row>
    <row r="364" spans="1:32" ht="12.9">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c r="AE364" s="56"/>
      <c r="AF364" s="56"/>
    </row>
    <row r="365" spans="1:32" ht="12.9">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row>
    <row r="366" spans="1:32" ht="12.9">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c r="AE366" s="56"/>
      <c r="AF366" s="56"/>
    </row>
    <row r="367" spans="1:32" ht="12.9">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c r="AE367" s="56"/>
      <c r="AF367" s="56"/>
    </row>
    <row r="368" spans="1:32" ht="12.9">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c r="AE368" s="56"/>
      <c r="AF368" s="56"/>
    </row>
    <row r="369" spans="1:32" ht="12.9">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c r="AE369" s="56"/>
      <c r="AF369" s="56"/>
    </row>
    <row r="370" spans="1:32" ht="12.9">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c r="AE370" s="56"/>
      <c r="AF370" s="56"/>
    </row>
    <row r="371" spans="1:32" ht="12.9">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c r="AE371" s="56"/>
      <c r="AF371" s="56"/>
    </row>
    <row r="372" spans="1:32" ht="12.9">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c r="AE372" s="56"/>
      <c r="AF372" s="56"/>
    </row>
    <row r="373" spans="1:32" ht="12.9">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c r="AE373" s="56"/>
      <c r="AF373" s="56"/>
    </row>
    <row r="374" spans="1:32" ht="12.9">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c r="AE374" s="56"/>
      <c r="AF374" s="56"/>
    </row>
    <row r="375" spans="1:32" ht="12.9">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c r="AE375" s="56"/>
      <c r="AF375" s="56"/>
    </row>
    <row r="376" spans="1:32" ht="12.9">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c r="AE376" s="56"/>
      <c r="AF376" s="56"/>
    </row>
    <row r="377" spans="1:32" ht="12.9">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c r="AE377" s="56"/>
      <c r="AF377" s="56"/>
    </row>
    <row r="378" spans="1:32" ht="12.9">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row>
    <row r="379" spans="1:32" ht="12.9">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c r="AE379" s="56"/>
      <c r="AF379" s="56"/>
    </row>
    <row r="380" spans="1:32" ht="12.9">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row>
    <row r="381" spans="1:32" ht="12.9">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c r="AE381" s="56"/>
      <c r="AF381" s="56"/>
    </row>
    <row r="382" spans="1:32" ht="12.9">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c r="AE382" s="56"/>
      <c r="AF382" s="56"/>
    </row>
    <row r="383" spans="1:32" ht="12.9">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c r="AE383" s="56"/>
      <c r="AF383" s="56"/>
    </row>
    <row r="384" spans="1:32" ht="12.9">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c r="AE384" s="56"/>
      <c r="AF384" s="56"/>
    </row>
    <row r="385" spans="1:32" ht="12.9">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c r="AE385" s="56"/>
      <c r="AF385" s="56"/>
    </row>
    <row r="386" spans="1:32" ht="12.9">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c r="AE386" s="56"/>
      <c r="AF386" s="56"/>
    </row>
    <row r="387" spans="1:32" ht="12.9">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row>
    <row r="388" spans="1:32" ht="12.9">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c r="AE388" s="56"/>
      <c r="AF388" s="56"/>
    </row>
    <row r="389" spans="1:32" ht="12.9">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c r="AE389" s="56"/>
      <c r="AF389" s="56"/>
    </row>
    <row r="390" spans="1:32" ht="12.9">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c r="AE390" s="56"/>
      <c r="AF390" s="56"/>
    </row>
    <row r="391" spans="1:32" ht="12.9">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c r="AE391" s="56"/>
      <c r="AF391" s="56"/>
    </row>
    <row r="392" spans="1:32" ht="12.9">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row>
    <row r="393" spans="1:32" ht="12.9">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c r="AE393" s="56"/>
      <c r="AF393" s="56"/>
    </row>
    <row r="394" spans="1:32" ht="12.9">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c r="AE394" s="56"/>
      <c r="AF394" s="56"/>
    </row>
    <row r="395" spans="1:32" ht="12.9">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c r="AE395" s="56"/>
      <c r="AF395" s="56"/>
    </row>
    <row r="396" spans="1:32" ht="12.9">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c r="AE396" s="56"/>
      <c r="AF396" s="56"/>
    </row>
    <row r="397" spans="1:32" ht="12.9">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c r="AE397" s="56"/>
      <c r="AF397" s="56"/>
    </row>
    <row r="398" spans="1:32" ht="12.9">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c r="AE398" s="56"/>
      <c r="AF398" s="56"/>
    </row>
    <row r="399" spans="1:32" ht="12.9">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c r="AE399" s="56"/>
      <c r="AF399" s="56"/>
    </row>
    <row r="400" spans="1:32" ht="12.9">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c r="AE400" s="56"/>
      <c r="AF400" s="56"/>
    </row>
    <row r="401" spans="1:32" ht="12.9">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c r="AE401" s="56"/>
      <c r="AF401" s="56"/>
    </row>
    <row r="402" spans="1:32" ht="12.9">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c r="AE402" s="56"/>
      <c r="AF402" s="56"/>
    </row>
    <row r="403" spans="1:32" ht="12.9">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c r="AE403" s="56"/>
      <c r="AF403" s="56"/>
    </row>
    <row r="404" spans="1:32" ht="12.9">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c r="AE404" s="56"/>
      <c r="AF404" s="56"/>
    </row>
    <row r="405" spans="1:32" ht="12.9">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row>
    <row r="406" spans="1:32" ht="12.9">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c r="AE406" s="56"/>
      <c r="AF406" s="56"/>
    </row>
    <row r="407" spans="1:32" ht="12.9">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row>
    <row r="408" spans="1:32" ht="12.9">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c r="AE408" s="56"/>
      <c r="AF408" s="56"/>
    </row>
    <row r="409" spans="1:32" ht="12.9">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c r="AE409" s="56"/>
      <c r="AF409" s="56"/>
    </row>
    <row r="410" spans="1:32" ht="12.9">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c r="AE410" s="56"/>
      <c r="AF410" s="56"/>
    </row>
    <row r="411" spans="1:32" ht="12.9">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c r="AE411" s="56"/>
      <c r="AF411" s="56"/>
    </row>
    <row r="412" spans="1:32" ht="12.9">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c r="AE412" s="56"/>
      <c r="AF412" s="56"/>
    </row>
    <row r="413" spans="1:32" ht="12.9">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row>
    <row r="414" spans="1:32" ht="12.9">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c r="AE414" s="56"/>
      <c r="AF414" s="56"/>
    </row>
    <row r="415" spans="1:32" ht="12.9">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c r="AE415" s="56"/>
      <c r="AF415" s="56"/>
    </row>
    <row r="416" spans="1:32" ht="12.9">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c r="AE416" s="56"/>
      <c r="AF416" s="56"/>
    </row>
    <row r="417" spans="1:32" ht="12.9">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c r="AE417" s="56"/>
      <c r="AF417" s="56"/>
    </row>
    <row r="418" spans="1:32" ht="12.9">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c r="AE418" s="56"/>
      <c r="AF418" s="56"/>
    </row>
    <row r="419" spans="1:32" ht="12.9">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c r="AE419" s="56"/>
      <c r="AF419" s="56"/>
    </row>
    <row r="420" spans="1:32" ht="12.9">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c r="AE420" s="56"/>
      <c r="AF420" s="56"/>
    </row>
    <row r="421" spans="1:32" ht="12.9">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row>
    <row r="422" spans="1:32" ht="12.9">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row>
    <row r="423" spans="1:32" ht="12.9">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row>
    <row r="424" spans="1:32" ht="12.9">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row>
    <row r="425" spans="1:32" ht="12.9">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row>
    <row r="426" spans="1:32" ht="12.9">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row>
    <row r="427" spans="1:32" ht="12.9">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row>
    <row r="428" spans="1:32" ht="12.9">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row>
    <row r="429" spans="1:32" ht="12.9">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row>
    <row r="430" spans="1:32" ht="12.9">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row>
    <row r="431" spans="1:32" ht="12.9">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row>
    <row r="432" spans="1:32" ht="12.9">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row>
    <row r="433" spans="1:32" ht="12.9">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row>
    <row r="434" spans="1:32" ht="12.9">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c r="AE434" s="56"/>
      <c r="AF434" s="56"/>
    </row>
    <row r="435" spans="1:32" ht="12.9">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c r="AE435" s="56"/>
      <c r="AF435" s="56"/>
    </row>
    <row r="436" spans="1:32" ht="12.9">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c r="AE436" s="56"/>
      <c r="AF436" s="56"/>
    </row>
    <row r="437" spans="1:32" ht="12.9">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c r="AE437" s="56"/>
      <c r="AF437" s="56"/>
    </row>
    <row r="438" spans="1:32" ht="12.9">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row>
    <row r="439" spans="1:32" ht="12.9">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c r="AE439" s="56"/>
      <c r="AF439" s="56"/>
    </row>
    <row r="440" spans="1:32" ht="12.9">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row>
    <row r="441" spans="1:32" ht="12.9">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row>
    <row r="442" spans="1:32" ht="12.9">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c r="AE442" s="56"/>
      <c r="AF442" s="56"/>
    </row>
    <row r="443" spans="1:32" ht="12.9">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row>
    <row r="444" spans="1:32" ht="12.9">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row>
    <row r="445" spans="1:32" ht="12.9">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c r="AE445" s="56"/>
      <c r="AF445" s="56"/>
    </row>
    <row r="446" spans="1:32" ht="12.9">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c r="AE446" s="56"/>
      <c r="AF446" s="56"/>
    </row>
    <row r="447" spans="1:32" ht="12.9">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c r="AE447" s="56"/>
      <c r="AF447" s="56"/>
    </row>
    <row r="448" spans="1:32" ht="12.9">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c r="AE448" s="56"/>
      <c r="AF448" s="56"/>
    </row>
    <row r="449" spans="1:32" ht="12.9">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c r="AE449" s="56"/>
      <c r="AF449" s="56"/>
    </row>
    <row r="450" spans="1:32" ht="12.9">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c r="AE450" s="56"/>
      <c r="AF450" s="56"/>
    </row>
    <row r="451" spans="1:32" ht="12.9">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row>
    <row r="452" spans="1:32" ht="12.9">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c r="AE452" s="56"/>
      <c r="AF452" s="56"/>
    </row>
    <row r="453" spans="1:32" ht="12.9">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c r="AE453" s="56"/>
      <c r="AF453" s="56"/>
    </row>
    <row r="454" spans="1:32" ht="12.9">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c r="AE454" s="56"/>
      <c r="AF454" s="56"/>
    </row>
    <row r="455" spans="1:32" ht="12.9">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row>
    <row r="456" spans="1:32" ht="12.9">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c r="AE456" s="56"/>
      <c r="AF456" s="56"/>
    </row>
    <row r="457" spans="1:32" ht="12.9">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c r="AE457" s="56"/>
      <c r="AF457" s="56"/>
    </row>
    <row r="458" spans="1:32" ht="12.9">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c r="AE458" s="56"/>
      <c r="AF458" s="56"/>
    </row>
    <row r="459" spans="1:32" ht="12.9">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c r="AE459" s="56"/>
      <c r="AF459" s="56"/>
    </row>
    <row r="460" spans="1:32" ht="12.9">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c r="AE460" s="56"/>
      <c r="AF460" s="56"/>
    </row>
    <row r="461" spans="1:32" ht="12.9">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c r="AE461" s="56"/>
      <c r="AF461" s="56"/>
    </row>
    <row r="462" spans="1:32" ht="12.9">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c r="AE462" s="56"/>
      <c r="AF462" s="56"/>
    </row>
    <row r="463" spans="1:32" ht="12.9">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c r="AE463" s="56"/>
      <c r="AF463" s="56"/>
    </row>
    <row r="464" spans="1:32" ht="12.9">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c r="AE464" s="56"/>
      <c r="AF464" s="56"/>
    </row>
    <row r="465" spans="1:32" ht="12.9">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c r="AE465" s="56"/>
      <c r="AF465" s="56"/>
    </row>
    <row r="466" spans="1:32" ht="12.9">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c r="AE466" s="56"/>
      <c r="AF466" s="56"/>
    </row>
    <row r="467" spans="1:32" ht="12.9">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c r="AE467" s="56"/>
      <c r="AF467" s="56"/>
    </row>
    <row r="468" spans="1:32" ht="12.9">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c r="AE468" s="56"/>
      <c r="AF468" s="56"/>
    </row>
    <row r="469" spans="1:32" ht="12.9">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c r="AE469" s="56"/>
      <c r="AF469" s="56"/>
    </row>
    <row r="470" spans="1:32" ht="12.9">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row>
    <row r="471" spans="1:32" ht="12.9">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c r="AE471" s="56"/>
      <c r="AF471" s="56"/>
    </row>
    <row r="472" spans="1:32" ht="12.9">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row>
    <row r="473" spans="1:32" ht="12.9">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c r="AE473" s="56"/>
      <c r="AF473" s="56"/>
    </row>
    <row r="474" spans="1:32" ht="12.9">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c r="AE474" s="56"/>
      <c r="AF474" s="56"/>
    </row>
    <row r="475" spans="1:32" ht="12.9">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c r="AE475" s="56"/>
      <c r="AF475" s="56"/>
    </row>
    <row r="476" spans="1:32" ht="12.9">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c r="AE476" s="56"/>
      <c r="AF476" s="56"/>
    </row>
    <row r="477" spans="1:32" ht="12.9">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c r="AE477" s="56"/>
      <c r="AF477" s="56"/>
    </row>
    <row r="478" spans="1:32" ht="12.9">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row>
    <row r="479" spans="1:32" ht="12.9">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c r="AE479" s="56"/>
      <c r="AF479" s="56"/>
    </row>
    <row r="480" spans="1:32" ht="12.9">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c r="AE480" s="56"/>
      <c r="AF480" s="56"/>
    </row>
    <row r="481" spans="1:32" ht="12.9">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c r="AE481" s="56"/>
      <c r="AF481" s="56"/>
    </row>
    <row r="482" spans="1:32" ht="12.9">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c r="AE482" s="56"/>
      <c r="AF482" s="56"/>
    </row>
    <row r="483" spans="1:32" ht="12.9">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row>
    <row r="484" spans="1:32" ht="12.9">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c r="AE484" s="56"/>
      <c r="AF484" s="56"/>
    </row>
    <row r="485" spans="1:32" ht="12.9">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c r="AE485" s="56"/>
      <c r="AF485" s="56"/>
    </row>
    <row r="486" spans="1:32" ht="12.9">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c r="AE486" s="56"/>
      <c r="AF486" s="56"/>
    </row>
    <row r="487" spans="1:32" ht="12.9">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c r="AE487" s="56"/>
      <c r="AF487" s="56"/>
    </row>
    <row r="488" spans="1:32" ht="12.9">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c r="AE488" s="56"/>
      <c r="AF488" s="56"/>
    </row>
    <row r="489" spans="1:32" ht="12.9">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c r="AE489" s="56"/>
      <c r="AF489" s="56"/>
    </row>
    <row r="490" spans="1:32" ht="12.9">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c r="AE490" s="56"/>
      <c r="AF490" s="56"/>
    </row>
    <row r="491" spans="1:32" ht="12.9">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c r="AE491" s="56"/>
      <c r="AF491" s="56"/>
    </row>
    <row r="492" spans="1:32" ht="12.9">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c r="AE492" s="56"/>
      <c r="AF492" s="56"/>
    </row>
    <row r="493" spans="1:32" ht="12.9">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c r="AE493" s="56"/>
      <c r="AF493" s="56"/>
    </row>
    <row r="494" spans="1:32" ht="12.9">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c r="AE494" s="56"/>
      <c r="AF494" s="56"/>
    </row>
    <row r="495" spans="1:32" ht="12.9">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c r="AE495" s="56"/>
      <c r="AF495" s="56"/>
    </row>
    <row r="496" spans="1:32" ht="12.9">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c r="AE496" s="56"/>
      <c r="AF496" s="56"/>
    </row>
    <row r="497" spans="1:32" ht="12.9">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c r="AE497" s="56"/>
      <c r="AF497" s="56"/>
    </row>
    <row r="498" spans="1:32" ht="12.9">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c r="AE498" s="56"/>
      <c r="AF498" s="56"/>
    </row>
    <row r="499" spans="1:32" ht="12.9">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c r="AE499" s="56"/>
      <c r="AF499" s="56"/>
    </row>
    <row r="500" spans="1:32" ht="12.9">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c r="AE500" s="56"/>
      <c r="AF500" s="56"/>
    </row>
    <row r="501" spans="1:32" ht="12.9">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row>
    <row r="502" spans="1:32" ht="12.9">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c r="AE502" s="56"/>
      <c r="AF502" s="56"/>
    </row>
    <row r="503" spans="1:32" ht="12.9">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c r="AE503" s="56"/>
      <c r="AF503" s="56"/>
    </row>
    <row r="504" spans="1:32" ht="12.9">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c r="AE504" s="56"/>
      <c r="AF504" s="56"/>
    </row>
    <row r="505" spans="1:32" ht="12.9">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c r="AE505" s="56"/>
      <c r="AF505" s="56"/>
    </row>
    <row r="506" spans="1:32" ht="12.9">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c r="AE506" s="56"/>
      <c r="AF506" s="56"/>
    </row>
    <row r="507" spans="1:32" ht="12.9">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c r="AE507" s="56"/>
      <c r="AF507" s="56"/>
    </row>
    <row r="508" spans="1:32" ht="12.9">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c r="AE508" s="56"/>
      <c r="AF508" s="56"/>
    </row>
    <row r="509" spans="1:32" ht="12.9">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c r="AE509" s="56"/>
      <c r="AF509" s="56"/>
    </row>
    <row r="510" spans="1:32" ht="12.9">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c r="AE510" s="56"/>
      <c r="AF510" s="56"/>
    </row>
    <row r="511" spans="1:32" ht="12.9">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c r="AE511" s="56"/>
      <c r="AF511" s="56"/>
    </row>
    <row r="512" spans="1:32" ht="12.9">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c r="AE512" s="56"/>
      <c r="AF512" s="56"/>
    </row>
    <row r="513" spans="1:32" ht="12.9">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c r="AE513" s="56"/>
      <c r="AF513" s="56"/>
    </row>
    <row r="514" spans="1:32" ht="12.9">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c r="AE514" s="56"/>
      <c r="AF514" s="56"/>
    </row>
    <row r="515" spans="1:32" ht="12.9">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row>
    <row r="516" spans="1:32" ht="12.9">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c r="AE516" s="56"/>
      <c r="AF516" s="56"/>
    </row>
    <row r="517" spans="1:32" ht="12.9">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row>
    <row r="518" spans="1:32" ht="12.9">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c r="AE518" s="56"/>
      <c r="AF518" s="56"/>
    </row>
    <row r="519" spans="1:32" ht="12.9">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c r="AE519" s="56"/>
      <c r="AF519" s="56"/>
    </row>
    <row r="520" spans="1:32" ht="12.9">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c r="AE520" s="56"/>
      <c r="AF520" s="56"/>
    </row>
    <row r="521" spans="1:32" ht="12.9">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c r="AE521" s="56"/>
      <c r="AF521" s="56"/>
    </row>
    <row r="522" spans="1:32" ht="12.9">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c r="AE522" s="56"/>
      <c r="AF522" s="56"/>
    </row>
    <row r="523" spans="1:32" ht="12.9">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c r="AE523" s="56"/>
      <c r="AF523" s="56"/>
    </row>
    <row r="524" spans="1:32" ht="12.9">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c r="AE524" s="56"/>
      <c r="AF524" s="56"/>
    </row>
    <row r="525" spans="1:32" ht="12.9">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c r="AE525" s="56"/>
      <c r="AF525" s="56"/>
    </row>
    <row r="526" spans="1:32" ht="12.9">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c r="AE526" s="56"/>
      <c r="AF526" s="56"/>
    </row>
    <row r="527" spans="1:32" ht="12.9">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c r="AE527" s="56"/>
      <c r="AF527" s="56"/>
    </row>
    <row r="528" spans="1:32" ht="12.9">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c r="AE528" s="56"/>
      <c r="AF528" s="56"/>
    </row>
    <row r="529" spans="1:32" ht="12.9">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c r="AE529" s="56"/>
      <c r="AF529" s="56"/>
    </row>
    <row r="530" spans="1:32" ht="12.9">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c r="AE530" s="56"/>
      <c r="AF530" s="56"/>
    </row>
    <row r="531" spans="1:32" ht="12.9">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c r="AE531" s="56"/>
      <c r="AF531" s="56"/>
    </row>
    <row r="532" spans="1:32" ht="12.9">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c r="AE532" s="56"/>
      <c r="AF532" s="56"/>
    </row>
    <row r="533" spans="1:32" ht="12.9">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c r="AE533" s="56"/>
      <c r="AF533" s="56"/>
    </row>
    <row r="534" spans="1:32" ht="12.9">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c r="AE534" s="56"/>
      <c r="AF534" s="56"/>
    </row>
    <row r="535" spans="1:32" ht="12.9">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row>
    <row r="536" spans="1:32" ht="12.9">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c r="AE536" s="56"/>
      <c r="AF536" s="56"/>
    </row>
    <row r="537" spans="1:32" ht="12.9">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c r="AE537" s="56"/>
      <c r="AF537" s="56"/>
    </row>
    <row r="538" spans="1:32" ht="12.9">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c r="AE538" s="56"/>
      <c r="AF538" s="56"/>
    </row>
    <row r="539" spans="1:32" ht="12.9">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c r="AE539" s="56"/>
      <c r="AF539" s="56"/>
    </row>
    <row r="540" spans="1:32" ht="12.9">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c r="AE540" s="56"/>
      <c r="AF540" s="56"/>
    </row>
    <row r="541" spans="1:32" ht="12.9">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c r="AE541" s="56"/>
      <c r="AF541" s="56"/>
    </row>
    <row r="542" spans="1:32" ht="12.9">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c r="AE542" s="56"/>
      <c r="AF542" s="56"/>
    </row>
    <row r="543" spans="1:32" ht="12.9">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c r="AE543" s="56"/>
      <c r="AF543" s="56"/>
    </row>
    <row r="544" spans="1:32" ht="12.9">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c r="AE544" s="56"/>
      <c r="AF544" s="56"/>
    </row>
    <row r="545" spans="1:32" ht="12.9">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c r="AE545" s="56"/>
      <c r="AF545" s="56"/>
    </row>
    <row r="546" spans="1:32" ht="12.9">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c r="AE546" s="56"/>
      <c r="AF546" s="56"/>
    </row>
    <row r="547" spans="1:32" ht="12.9">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c r="AE547" s="56"/>
      <c r="AF547" s="56"/>
    </row>
    <row r="548" spans="1:32" ht="12.9">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c r="AE548" s="56"/>
      <c r="AF548" s="56"/>
    </row>
    <row r="549" spans="1:32" ht="12.9">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c r="AE549" s="56"/>
      <c r="AF549" s="56"/>
    </row>
    <row r="550" spans="1:32" ht="12.9">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c r="AE550" s="56"/>
      <c r="AF550" s="56"/>
    </row>
    <row r="551" spans="1:32" ht="12.9">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c r="AE551" s="56"/>
      <c r="AF551" s="56"/>
    </row>
    <row r="552" spans="1:32" ht="12.9">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c r="AE552" s="56"/>
      <c r="AF552" s="56"/>
    </row>
    <row r="553" spans="1:32" ht="12.9">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c r="AE553" s="56"/>
      <c r="AF553" s="56"/>
    </row>
    <row r="554" spans="1:32" ht="12.9">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c r="AE554" s="56"/>
      <c r="AF554" s="56"/>
    </row>
    <row r="555" spans="1:32" ht="12.9">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c r="AE555" s="56"/>
      <c r="AF555" s="56"/>
    </row>
    <row r="556" spans="1:32" ht="12.9">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c r="AE556" s="56"/>
      <c r="AF556" s="56"/>
    </row>
    <row r="557" spans="1:32" ht="12.9">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c r="AE557" s="56"/>
      <c r="AF557" s="56"/>
    </row>
    <row r="558" spans="1:32" ht="12.9">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c r="AE558" s="56"/>
      <c r="AF558" s="56"/>
    </row>
    <row r="559" spans="1:32" ht="12.9">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c r="AE559" s="56"/>
      <c r="AF559" s="56"/>
    </row>
    <row r="560" spans="1:32" ht="12.9">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c r="AE560" s="56"/>
      <c r="AF560" s="56"/>
    </row>
    <row r="561" spans="1:32" ht="12.9">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row>
    <row r="562" spans="1:32" ht="12.9">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c r="AE562" s="56"/>
      <c r="AF562" s="56"/>
    </row>
    <row r="563" spans="1:32" ht="12.9">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c r="AE563" s="56"/>
      <c r="AF563" s="56"/>
    </row>
    <row r="564" spans="1:32" ht="12.9">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c r="AE564" s="56"/>
      <c r="AF564" s="56"/>
    </row>
    <row r="565" spans="1:32" ht="12.9">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c r="AE565" s="56"/>
      <c r="AF565" s="56"/>
    </row>
    <row r="566" spans="1:32" ht="12.9">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c r="AE566" s="56"/>
      <c r="AF566" s="56"/>
    </row>
    <row r="567" spans="1:32" ht="12.9">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c r="AE567" s="56"/>
      <c r="AF567" s="56"/>
    </row>
    <row r="568" spans="1:32" ht="12.9">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c r="AE568" s="56"/>
      <c r="AF568" s="56"/>
    </row>
    <row r="569" spans="1:32" ht="12.9">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c r="AE569" s="56"/>
      <c r="AF569" s="56"/>
    </row>
    <row r="570" spans="1:32" ht="12.9">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c r="AE570" s="56"/>
      <c r="AF570" s="56"/>
    </row>
    <row r="571" spans="1:32" ht="12.9">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c r="AE571" s="56"/>
      <c r="AF571" s="56"/>
    </row>
    <row r="572" spans="1:32" ht="12.9">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c r="AE572" s="56"/>
      <c r="AF572" s="56"/>
    </row>
    <row r="573" spans="1:32" ht="12.9">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c r="AE573" s="56"/>
      <c r="AF573" s="56"/>
    </row>
    <row r="574" spans="1:32" ht="12.9">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c r="AE574" s="56"/>
      <c r="AF574" s="56"/>
    </row>
    <row r="575" spans="1:32" ht="12.9">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c r="AE575" s="56"/>
      <c r="AF575" s="56"/>
    </row>
    <row r="576" spans="1:32" ht="12.9">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c r="AE576" s="56"/>
      <c r="AF576" s="56"/>
    </row>
    <row r="577" spans="1:32" ht="12.9">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c r="AE577" s="56"/>
      <c r="AF577" s="56"/>
    </row>
    <row r="578" spans="1:32" ht="12.9">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c r="AE578" s="56"/>
      <c r="AF578" s="56"/>
    </row>
    <row r="579" spans="1:32" ht="12.9">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c r="AE579" s="56"/>
      <c r="AF579" s="56"/>
    </row>
    <row r="580" spans="1:32" ht="12.9">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c r="AE580" s="56"/>
      <c r="AF580" s="56"/>
    </row>
    <row r="581" spans="1:32" ht="12.9">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c r="AE581" s="56"/>
      <c r="AF581" s="56"/>
    </row>
    <row r="582" spans="1:32" ht="12.9">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c r="AE582" s="56"/>
      <c r="AF582" s="56"/>
    </row>
    <row r="583" spans="1:32" ht="12.9">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c r="AE583" s="56"/>
      <c r="AF583" s="56"/>
    </row>
    <row r="584" spans="1:32" ht="12.9">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c r="AE584" s="56"/>
      <c r="AF584" s="56"/>
    </row>
    <row r="585" spans="1:32" ht="12.9">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c r="AE585" s="56"/>
      <c r="AF585" s="56"/>
    </row>
    <row r="586" spans="1:32" ht="12.9">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c r="AE586" s="56"/>
      <c r="AF586" s="56"/>
    </row>
    <row r="587" spans="1:32" ht="12.9">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c r="AE587" s="56"/>
      <c r="AF587" s="56"/>
    </row>
    <row r="588" spans="1:32" ht="12.9">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c r="AE588" s="56"/>
      <c r="AF588" s="56"/>
    </row>
    <row r="589" spans="1:32" ht="12.9">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c r="AE589" s="56"/>
      <c r="AF589" s="56"/>
    </row>
    <row r="590" spans="1:32" ht="12.9">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c r="AE590" s="56"/>
      <c r="AF590" s="56"/>
    </row>
    <row r="591" spans="1:32" ht="12.9">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c r="AE591" s="56"/>
      <c r="AF591" s="56"/>
    </row>
    <row r="592" spans="1:32" ht="12.9">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c r="AE592" s="56"/>
      <c r="AF592" s="56"/>
    </row>
    <row r="593" spans="1:32" ht="12.9">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c r="AE593" s="56"/>
      <c r="AF593" s="56"/>
    </row>
    <row r="594" spans="1:32" ht="12.9">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c r="AE594" s="56"/>
      <c r="AF594" s="56"/>
    </row>
    <row r="595" spans="1:32" ht="12.9">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c r="AE595" s="56"/>
      <c r="AF595" s="56"/>
    </row>
    <row r="596" spans="1:32" ht="12.9">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c r="AE596" s="56"/>
      <c r="AF596" s="56"/>
    </row>
    <row r="597" spans="1:32" ht="12.9">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c r="AE597" s="56"/>
      <c r="AF597" s="56"/>
    </row>
    <row r="598" spans="1:32" ht="12.9">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row>
    <row r="599" spans="1:32" ht="12.9">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c r="AE599" s="56"/>
      <c r="AF599" s="56"/>
    </row>
    <row r="600" spans="1:32" ht="12.9">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c r="AE600" s="56"/>
      <c r="AF600" s="56"/>
    </row>
    <row r="601" spans="1:32" ht="12.9">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c r="AE601" s="56"/>
      <c r="AF601" s="56"/>
    </row>
    <row r="602" spans="1:32" ht="12.9">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c r="AE602" s="56"/>
      <c r="AF602" s="56"/>
    </row>
    <row r="603" spans="1:32" ht="12.9">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c r="AE603" s="56"/>
      <c r="AF603" s="56"/>
    </row>
    <row r="604" spans="1:32" ht="12.9">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c r="AE604" s="56"/>
      <c r="AF604" s="56"/>
    </row>
    <row r="605" spans="1:32" ht="12.9">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c r="AE605" s="56"/>
      <c r="AF605" s="56"/>
    </row>
    <row r="606" spans="1:32" ht="12.9">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c r="AE606" s="56"/>
      <c r="AF606" s="56"/>
    </row>
    <row r="607" spans="1:32" ht="12.9">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row>
    <row r="608" spans="1:32" ht="12.9">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c r="AE608" s="56"/>
      <c r="AF608" s="56"/>
    </row>
    <row r="609" spans="1:32" ht="12.9">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c r="AE609" s="56"/>
      <c r="AF609" s="56"/>
    </row>
    <row r="610" spans="1:32" ht="12.9">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c r="AE610" s="56"/>
      <c r="AF610" s="56"/>
    </row>
    <row r="611" spans="1:32" ht="12.9">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c r="AE611" s="56"/>
      <c r="AF611" s="56"/>
    </row>
    <row r="612" spans="1:32" ht="12.9">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c r="AE612" s="56"/>
      <c r="AF612" s="56"/>
    </row>
    <row r="613" spans="1:32" ht="12.9">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c r="AE613" s="56"/>
      <c r="AF613" s="56"/>
    </row>
    <row r="614" spans="1:32" ht="12.9">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c r="AE614" s="56"/>
      <c r="AF614" s="56"/>
    </row>
    <row r="615" spans="1:32" ht="12.9">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c r="AE615" s="56"/>
      <c r="AF615" s="56"/>
    </row>
    <row r="616" spans="1:32" ht="12.9">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c r="AE616" s="56"/>
      <c r="AF616" s="56"/>
    </row>
    <row r="617" spans="1:32" ht="12.9">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c r="AE617" s="56"/>
      <c r="AF617" s="56"/>
    </row>
    <row r="618" spans="1:32" ht="12.9">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c r="AE618" s="56"/>
      <c r="AF618" s="56"/>
    </row>
    <row r="619" spans="1:32" ht="12.9">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c r="AE619" s="56"/>
      <c r="AF619" s="56"/>
    </row>
    <row r="620" spans="1:32" ht="12.9">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c r="AE620" s="56"/>
      <c r="AF620" s="56"/>
    </row>
    <row r="621" spans="1:32" ht="12.9">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c r="AE621" s="56"/>
      <c r="AF621" s="56"/>
    </row>
    <row r="622" spans="1:32" ht="12.9">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c r="AE622" s="56"/>
      <c r="AF622" s="56"/>
    </row>
    <row r="623" spans="1:32" ht="12.9">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c r="AE623" s="56"/>
      <c r="AF623" s="56"/>
    </row>
    <row r="624" spans="1:32" ht="12.9">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c r="AE624" s="56"/>
      <c r="AF624" s="56"/>
    </row>
    <row r="625" spans="1:32" ht="12.9">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row>
    <row r="626" spans="1:32" ht="12.9">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c r="AE626" s="56"/>
      <c r="AF626" s="56"/>
    </row>
    <row r="627" spans="1:32" ht="12.9">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c r="AE627" s="56"/>
      <c r="AF627" s="56"/>
    </row>
    <row r="628" spans="1:32" ht="12.9">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c r="AE628" s="56"/>
      <c r="AF628" s="56"/>
    </row>
    <row r="629" spans="1:32" ht="12.9">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c r="AE629" s="56"/>
      <c r="AF629" s="56"/>
    </row>
    <row r="630" spans="1:32" ht="12.9">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c r="AE630" s="56"/>
      <c r="AF630" s="56"/>
    </row>
    <row r="631" spans="1:32" ht="12.9">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c r="AE631" s="56"/>
      <c r="AF631" s="56"/>
    </row>
    <row r="632" spans="1:32" ht="12.9">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c r="AE632" s="56"/>
      <c r="AF632" s="56"/>
    </row>
    <row r="633" spans="1:32" ht="12.9">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c r="AE633" s="56"/>
      <c r="AF633" s="56"/>
    </row>
    <row r="634" spans="1:32" ht="12.9">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c r="AE634" s="56"/>
      <c r="AF634" s="56"/>
    </row>
    <row r="635" spans="1:32" ht="12.9">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c r="AE635" s="56"/>
      <c r="AF635" s="56"/>
    </row>
    <row r="636" spans="1:32" ht="12.9">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c r="AE636" s="56"/>
      <c r="AF636" s="56"/>
    </row>
    <row r="637" spans="1:32" ht="12.9">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c r="AE637" s="56"/>
      <c r="AF637" s="56"/>
    </row>
    <row r="638" spans="1:32" ht="12.9">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c r="AE638" s="56"/>
      <c r="AF638" s="56"/>
    </row>
    <row r="639" spans="1:32" ht="12.9">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c r="AE639" s="56"/>
      <c r="AF639" s="56"/>
    </row>
    <row r="640" spans="1:32" ht="12.9">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c r="AE640" s="56"/>
      <c r="AF640" s="56"/>
    </row>
    <row r="641" spans="1:32" ht="12.9">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c r="AE641" s="56"/>
      <c r="AF641" s="56"/>
    </row>
    <row r="642" spans="1:32" ht="12.9">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c r="AE642" s="56"/>
      <c r="AF642" s="56"/>
    </row>
    <row r="643" spans="1:32" ht="12.9">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c r="AE643" s="56"/>
      <c r="AF643" s="56"/>
    </row>
    <row r="644" spans="1:32" ht="12.9">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c r="AE644" s="56"/>
      <c r="AF644" s="56"/>
    </row>
    <row r="645" spans="1:32" ht="12.9">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c r="AE645" s="56"/>
      <c r="AF645" s="56"/>
    </row>
    <row r="646" spans="1:32" ht="12.9">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c r="AE646" s="56"/>
      <c r="AF646" s="56"/>
    </row>
    <row r="647" spans="1:32" ht="12.9">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c r="AE647" s="56"/>
      <c r="AF647" s="56"/>
    </row>
    <row r="648" spans="1:32" ht="12.9">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c r="AE648" s="56"/>
      <c r="AF648" s="56"/>
    </row>
    <row r="649" spans="1:32" ht="12.9">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c r="AE649" s="56"/>
      <c r="AF649" s="56"/>
    </row>
    <row r="650" spans="1:32" ht="12.9">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c r="AE650" s="56"/>
      <c r="AF650" s="56"/>
    </row>
    <row r="651" spans="1:32" ht="12.9">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c r="AE651" s="56"/>
      <c r="AF651" s="56"/>
    </row>
    <row r="652" spans="1:32" ht="12.9">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c r="AE652" s="56"/>
      <c r="AF652" s="56"/>
    </row>
    <row r="653" spans="1:32" ht="12.9">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c r="AE653" s="56"/>
      <c r="AF653" s="56"/>
    </row>
    <row r="654" spans="1:32" ht="12.9">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c r="AE654" s="56"/>
      <c r="AF654" s="56"/>
    </row>
    <row r="655" spans="1:32" ht="12.9">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c r="AE655" s="56"/>
      <c r="AF655" s="56"/>
    </row>
    <row r="656" spans="1:32" ht="12.9">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c r="AE656" s="56"/>
      <c r="AF656" s="56"/>
    </row>
    <row r="657" spans="1:32" ht="12.9">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c r="AE657" s="56"/>
      <c r="AF657" s="56"/>
    </row>
    <row r="658" spans="1:32" ht="12.9">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c r="AE658" s="56"/>
      <c r="AF658" s="56"/>
    </row>
    <row r="659" spans="1:32" ht="12.9">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c r="AE659" s="56"/>
      <c r="AF659" s="56"/>
    </row>
    <row r="660" spans="1:32" ht="12.9">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c r="AE660" s="56"/>
      <c r="AF660" s="56"/>
    </row>
    <row r="661" spans="1:32" ht="12.9">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c r="AE661" s="56"/>
      <c r="AF661" s="56"/>
    </row>
    <row r="662" spans="1:32" ht="12.9">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c r="AE662" s="56"/>
      <c r="AF662" s="56"/>
    </row>
    <row r="663" spans="1:32" ht="12.9">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c r="AE663" s="56"/>
      <c r="AF663" s="56"/>
    </row>
    <row r="664" spans="1:32" ht="12.9">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c r="AE664" s="56"/>
      <c r="AF664" s="56"/>
    </row>
    <row r="665" spans="1:32" ht="12.9">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c r="AE665" s="56"/>
      <c r="AF665" s="56"/>
    </row>
    <row r="666" spans="1:32" ht="12.9">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c r="AE666" s="56"/>
      <c r="AF666" s="56"/>
    </row>
    <row r="667" spans="1:32" ht="12.9">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c r="AE667" s="56"/>
      <c r="AF667" s="56"/>
    </row>
    <row r="668" spans="1:32" ht="12.9">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c r="AE668" s="56"/>
      <c r="AF668" s="56"/>
    </row>
    <row r="669" spans="1:32" ht="12.9">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c r="AE669" s="56"/>
      <c r="AF669" s="56"/>
    </row>
    <row r="670" spans="1:32" ht="12.9">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c r="AE670" s="56"/>
      <c r="AF670" s="56"/>
    </row>
    <row r="671" spans="1:32" ht="12.9">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c r="AE671" s="56"/>
      <c r="AF671" s="56"/>
    </row>
    <row r="672" spans="1:32" ht="12.9">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c r="AE672" s="56"/>
      <c r="AF672" s="56"/>
    </row>
    <row r="673" spans="1:32" ht="12.9">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c r="AE673" s="56"/>
      <c r="AF673" s="56"/>
    </row>
    <row r="674" spans="1:32" ht="12.9">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c r="AE674" s="56"/>
      <c r="AF674" s="56"/>
    </row>
    <row r="675" spans="1:32" ht="12.9">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c r="AE675" s="56"/>
      <c r="AF675" s="56"/>
    </row>
    <row r="676" spans="1:32" ht="12.9">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c r="AE676" s="56"/>
      <c r="AF676" s="56"/>
    </row>
    <row r="677" spans="1:32" ht="12.9">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c r="AE677" s="56"/>
      <c r="AF677" s="56"/>
    </row>
    <row r="678" spans="1:32" ht="12.9">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c r="AE678" s="56"/>
      <c r="AF678" s="56"/>
    </row>
    <row r="679" spans="1:32" ht="12.9">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c r="AE679" s="56"/>
      <c r="AF679" s="56"/>
    </row>
    <row r="680" spans="1:32" ht="12.9">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c r="AE680" s="56"/>
      <c r="AF680" s="56"/>
    </row>
    <row r="681" spans="1:32" ht="12.9">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c r="AE681" s="56"/>
      <c r="AF681" s="56"/>
    </row>
    <row r="682" spans="1:32" ht="12.9">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c r="AE682" s="56"/>
      <c r="AF682" s="56"/>
    </row>
    <row r="683" spans="1:32" ht="12.9">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c r="AE683" s="56"/>
      <c r="AF683" s="56"/>
    </row>
    <row r="684" spans="1:32" ht="12.9">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c r="AE684" s="56"/>
      <c r="AF684" s="56"/>
    </row>
    <row r="685" spans="1:32" ht="12.9">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c r="AE685" s="56"/>
      <c r="AF685" s="56"/>
    </row>
    <row r="686" spans="1:32" ht="12.9">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c r="AE686" s="56"/>
      <c r="AF686" s="56"/>
    </row>
    <row r="687" spans="1:32" ht="12.9">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c r="AE687" s="56"/>
      <c r="AF687" s="56"/>
    </row>
    <row r="688" spans="1:32" ht="12.9">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c r="AE688" s="56"/>
      <c r="AF688" s="56"/>
    </row>
    <row r="689" spans="1:32" ht="12.9">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c r="AE689" s="56"/>
      <c r="AF689" s="56"/>
    </row>
    <row r="690" spans="1:32" ht="12.9">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c r="AE690" s="56"/>
      <c r="AF690" s="56"/>
    </row>
    <row r="691" spans="1:32" ht="12.9">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c r="AE691" s="56"/>
      <c r="AF691" s="56"/>
    </row>
    <row r="692" spans="1:32" ht="12.9">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c r="AE692" s="56"/>
      <c r="AF692" s="56"/>
    </row>
    <row r="693" spans="1:32" ht="12.9">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c r="AE693" s="56"/>
      <c r="AF693" s="56"/>
    </row>
    <row r="694" spans="1:32" ht="12.9">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c r="AE694" s="56"/>
      <c r="AF694" s="56"/>
    </row>
    <row r="695" spans="1:32" ht="12.9">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c r="AE695" s="56"/>
      <c r="AF695" s="56"/>
    </row>
    <row r="696" spans="1:32" ht="12.9">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c r="AE696" s="56"/>
      <c r="AF696" s="56"/>
    </row>
    <row r="697" spans="1:32" ht="12.9">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c r="AE697" s="56"/>
      <c r="AF697" s="56"/>
    </row>
    <row r="698" spans="1:32" ht="12.9">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c r="AE698" s="56"/>
      <c r="AF698" s="56"/>
    </row>
    <row r="699" spans="1:32" ht="12.9">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c r="AE699" s="56"/>
      <c r="AF699" s="56"/>
    </row>
    <row r="700" spans="1:32" ht="12.9">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c r="AE700" s="56"/>
      <c r="AF700" s="56"/>
    </row>
    <row r="701" spans="1:32" ht="12.9">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c r="AE701" s="56"/>
      <c r="AF701" s="56"/>
    </row>
    <row r="702" spans="1:32" ht="12.9">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c r="AE702" s="56"/>
      <c r="AF702" s="56"/>
    </row>
    <row r="703" spans="1:32" ht="12.9">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c r="AE703" s="56"/>
      <c r="AF703" s="56"/>
    </row>
    <row r="704" spans="1:32" ht="12.9">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c r="AE704" s="56"/>
      <c r="AF704" s="56"/>
    </row>
    <row r="705" spans="1:32" ht="12.9">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c r="AE705" s="56"/>
      <c r="AF705" s="56"/>
    </row>
    <row r="706" spans="1:32" ht="12.9">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c r="AE706" s="56"/>
      <c r="AF706" s="56"/>
    </row>
    <row r="707" spans="1:32" ht="12.9">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c r="AE707" s="56"/>
      <c r="AF707" s="56"/>
    </row>
    <row r="708" spans="1:32" ht="12.9">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c r="AE708" s="56"/>
      <c r="AF708" s="56"/>
    </row>
    <row r="709" spans="1:32" ht="12.9">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c r="AE709" s="56"/>
      <c r="AF709" s="56"/>
    </row>
    <row r="710" spans="1:32" ht="12.9">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c r="AE710" s="56"/>
      <c r="AF710" s="56"/>
    </row>
    <row r="711" spans="1:32" ht="12.9">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c r="AE711" s="56"/>
      <c r="AF711" s="56"/>
    </row>
    <row r="712" spans="1:32" ht="12.9">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c r="AE712" s="56"/>
      <c r="AF712" s="56"/>
    </row>
    <row r="713" spans="1:32" ht="12.9">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c r="AE713" s="56"/>
      <c r="AF713" s="56"/>
    </row>
    <row r="714" spans="1:32" ht="12.9">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c r="AE714" s="56"/>
      <c r="AF714" s="56"/>
    </row>
    <row r="715" spans="1:32" ht="12.9">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c r="AE715" s="56"/>
      <c r="AF715" s="56"/>
    </row>
    <row r="716" spans="1:32" ht="12.9">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c r="AE716" s="56"/>
      <c r="AF716" s="56"/>
    </row>
    <row r="717" spans="1:32" ht="12.9">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c r="AE717" s="56"/>
      <c r="AF717" s="56"/>
    </row>
    <row r="718" spans="1:32" ht="12.9">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c r="AE718" s="56"/>
      <c r="AF718" s="56"/>
    </row>
    <row r="719" spans="1:32" ht="12.9">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c r="AE719" s="56"/>
      <c r="AF719" s="56"/>
    </row>
    <row r="720" spans="1:32" ht="12.9">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c r="AE720" s="56"/>
      <c r="AF720" s="56"/>
    </row>
    <row r="721" spans="1:32" ht="12.9">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c r="AE721" s="56"/>
      <c r="AF721" s="56"/>
    </row>
    <row r="722" spans="1:32" ht="12.9">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c r="AE722" s="56"/>
      <c r="AF722" s="56"/>
    </row>
    <row r="723" spans="1:32" ht="12.9">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c r="AE723" s="56"/>
      <c r="AF723" s="56"/>
    </row>
    <row r="724" spans="1:32" ht="12.9">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c r="AE724" s="56"/>
      <c r="AF724" s="56"/>
    </row>
    <row r="725" spans="1:32" ht="12.9">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c r="AE725" s="56"/>
      <c r="AF725" s="56"/>
    </row>
    <row r="726" spans="1:32" ht="12.9">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c r="AE726" s="56"/>
      <c r="AF726" s="56"/>
    </row>
    <row r="727" spans="1:32" ht="12.9">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c r="AE727" s="56"/>
      <c r="AF727" s="56"/>
    </row>
    <row r="728" spans="1:32" ht="12.9">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c r="AE728" s="56"/>
      <c r="AF728" s="56"/>
    </row>
    <row r="729" spans="1:32" ht="12.9">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c r="AE729" s="56"/>
      <c r="AF729" s="56"/>
    </row>
    <row r="730" spans="1:32" ht="12.9">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c r="AE730" s="56"/>
      <c r="AF730" s="56"/>
    </row>
    <row r="731" spans="1:32" ht="12.9">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c r="AE731" s="56"/>
      <c r="AF731" s="56"/>
    </row>
    <row r="732" spans="1:32" ht="12.9">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c r="AE732" s="56"/>
      <c r="AF732" s="56"/>
    </row>
    <row r="733" spans="1:32" ht="12.9">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c r="AE733" s="56"/>
      <c r="AF733" s="56"/>
    </row>
    <row r="734" spans="1:32" ht="12.9">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c r="AE734" s="56"/>
      <c r="AF734" s="56"/>
    </row>
    <row r="735" spans="1:32" ht="12.9">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c r="AE735" s="56"/>
      <c r="AF735" s="56"/>
    </row>
    <row r="736" spans="1:32" ht="12.9">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c r="AE736" s="56"/>
      <c r="AF736" s="56"/>
    </row>
    <row r="737" spans="1:32" ht="12.9">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c r="AE737" s="56"/>
      <c r="AF737" s="56"/>
    </row>
    <row r="738" spans="1:32" ht="12.9">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c r="AE738" s="56"/>
      <c r="AF738" s="56"/>
    </row>
    <row r="739" spans="1:32" ht="12.9">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c r="AE739" s="56"/>
      <c r="AF739" s="56"/>
    </row>
    <row r="740" spans="1:32" ht="12.9">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c r="AE740" s="56"/>
      <c r="AF740" s="56"/>
    </row>
    <row r="741" spans="1:32" ht="12.9">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c r="AE741" s="56"/>
      <c r="AF741" s="56"/>
    </row>
    <row r="742" spans="1:32" ht="12.9">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c r="AE742" s="56"/>
      <c r="AF742" s="56"/>
    </row>
    <row r="743" spans="1:32" ht="12.9">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c r="AE743" s="56"/>
      <c r="AF743" s="56"/>
    </row>
    <row r="744" spans="1:32" ht="12.9">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c r="AE744" s="56"/>
      <c r="AF744" s="56"/>
    </row>
    <row r="745" spans="1:32" ht="12.9">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c r="AE745" s="56"/>
      <c r="AF745" s="56"/>
    </row>
    <row r="746" spans="1:32" ht="12.9">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c r="AE746" s="56"/>
      <c r="AF746" s="56"/>
    </row>
    <row r="747" spans="1:32" ht="12.9">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c r="AE747" s="56"/>
      <c r="AF747" s="56"/>
    </row>
    <row r="748" spans="1:32" ht="12.9">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c r="AE748" s="56"/>
      <c r="AF748" s="56"/>
    </row>
    <row r="749" spans="1:32" ht="12.9">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c r="AE749" s="56"/>
      <c r="AF749" s="56"/>
    </row>
    <row r="750" spans="1:32" ht="12.9">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c r="AE750" s="56"/>
      <c r="AF750" s="56"/>
    </row>
    <row r="751" spans="1:32" ht="12.9">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c r="AE751" s="56"/>
      <c r="AF751" s="56"/>
    </row>
    <row r="752" spans="1:32" ht="12.9">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c r="AE752" s="56"/>
      <c r="AF752" s="56"/>
    </row>
    <row r="753" spans="1:32" ht="12.9">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c r="AE753" s="56"/>
      <c r="AF753" s="56"/>
    </row>
    <row r="754" spans="1:32" ht="12.9">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c r="AE754" s="56"/>
      <c r="AF754" s="56"/>
    </row>
    <row r="755" spans="1:32" ht="12.9">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c r="AE755" s="56"/>
      <c r="AF755" s="56"/>
    </row>
    <row r="756" spans="1:32" ht="12.9">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c r="AE756" s="56"/>
      <c r="AF756" s="56"/>
    </row>
    <row r="757" spans="1:32" ht="12.9">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c r="AE757" s="56"/>
      <c r="AF757" s="56"/>
    </row>
    <row r="758" spans="1:32" ht="12.9">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c r="AE758" s="56"/>
      <c r="AF758" s="56"/>
    </row>
    <row r="759" spans="1:32" ht="12.9">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c r="AE759" s="56"/>
      <c r="AF759" s="56"/>
    </row>
    <row r="760" spans="1:32" ht="12.9">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c r="AE760" s="56"/>
      <c r="AF760" s="56"/>
    </row>
    <row r="761" spans="1:32" ht="12.9">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c r="AE761" s="56"/>
      <c r="AF761" s="56"/>
    </row>
    <row r="762" spans="1:32" ht="12.9">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c r="AE762" s="56"/>
      <c r="AF762" s="56"/>
    </row>
    <row r="763" spans="1:32" ht="12.9">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c r="AE763" s="56"/>
      <c r="AF763" s="56"/>
    </row>
    <row r="764" spans="1:32" ht="12.9">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c r="AE764" s="56"/>
      <c r="AF764" s="56"/>
    </row>
    <row r="765" spans="1:32" ht="12.9">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c r="AE765" s="56"/>
      <c r="AF765" s="56"/>
    </row>
    <row r="766" spans="1:32" ht="12.9">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c r="AE766" s="56"/>
      <c r="AF766" s="56"/>
    </row>
    <row r="767" spans="1:32" ht="12.9">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c r="AE767" s="56"/>
      <c r="AF767" s="56"/>
    </row>
    <row r="768" spans="1:32" ht="12.9">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c r="AE768" s="56"/>
      <c r="AF768" s="56"/>
    </row>
    <row r="769" spans="1:32" ht="12.9">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c r="AE769" s="56"/>
      <c r="AF769" s="56"/>
    </row>
    <row r="770" spans="1:32" ht="12.9">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c r="AE770" s="56"/>
      <c r="AF770" s="56"/>
    </row>
    <row r="771" spans="1:32" ht="12.9">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c r="AE771" s="56"/>
      <c r="AF771" s="56"/>
    </row>
    <row r="772" spans="1:32" ht="12.9">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c r="AE772" s="56"/>
      <c r="AF772" s="56"/>
    </row>
    <row r="773" spans="1:32" ht="12.9">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c r="AE773" s="56"/>
      <c r="AF773" s="56"/>
    </row>
    <row r="774" spans="1:32" ht="12.9">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c r="AE774" s="56"/>
      <c r="AF774" s="56"/>
    </row>
    <row r="775" spans="1:32" ht="12.9">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c r="AE775" s="56"/>
      <c r="AF775" s="56"/>
    </row>
    <row r="776" spans="1:32" ht="12.9">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c r="AE776" s="56"/>
      <c r="AF776" s="56"/>
    </row>
    <row r="777" spans="1:32" ht="12.9">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c r="AE777" s="56"/>
      <c r="AF777" s="56"/>
    </row>
    <row r="778" spans="1:32" ht="12.9">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c r="AE778" s="56"/>
      <c r="AF778" s="56"/>
    </row>
    <row r="779" spans="1:32" ht="12.9">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c r="AE779" s="56"/>
      <c r="AF779" s="56"/>
    </row>
    <row r="780" spans="1:32" ht="12.9">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c r="AE780" s="56"/>
      <c r="AF780" s="56"/>
    </row>
    <row r="781" spans="1:32" ht="12.9">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c r="AE781" s="56"/>
      <c r="AF781" s="56"/>
    </row>
    <row r="782" spans="1:32" ht="12.9">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c r="AE782" s="56"/>
      <c r="AF782" s="56"/>
    </row>
    <row r="783" spans="1:32" ht="12.9">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c r="AE783" s="56"/>
      <c r="AF783" s="56"/>
    </row>
    <row r="784" spans="1:32" ht="12.9">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c r="AE784" s="56"/>
      <c r="AF784" s="56"/>
    </row>
    <row r="785" spans="1:32" ht="12.9">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c r="AE785" s="56"/>
      <c r="AF785" s="56"/>
    </row>
    <row r="786" spans="1:32" ht="12.9">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c r="AE786" s="56"/>
      <c r="AF786" s="56"/>
    </row>
    <row r="787" spans="1:32" ht="12.9">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c r="AE787" s="56"/>
      <c r="AF787" s="56"/>
    </row>
    <row r="788" spans="1:32" ht="12.9">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c r="AE788" s="56"/>
      <c r="AF788" s="56"/>
    </row>
    <row r="789" spans="1:32" ht="12.9">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c r="AE789" s="56"/>
      <c r="AF789" s="56"/>
    </row>
    <row r="790" spans="1:32" ht="12.9">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c r="AE790" s="56"/>
      <c r="AF790" s="56"/>
    </row>
    <row r="791" spans="1:32" ht="12.9">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c r="AE791" s="56"/>
      <c r="AF791" s="56"/>
    </row>
    <row r="792" spans="1:32" ht="12.9">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c r="AE792" s="56"/>
      <c r="AF792" s="56"/>
    </row>
    <row r="793" spans="1:32" ht="12.9">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c r="AE793" s="56"/>
      <c r="AF793" s="56"/>
    </row>
    <row r="794" spans="1:32" ht="12.9">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c r="AE794" s="56"/>
      <c r="AF794" s="56"/>
    </row>
    <row r="795" spans="1:32" ht="12.9">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c r="AE795" s="56"/>
      <c r="AF795" s="56"/>
    </row>
    <row r="796" spans="1:32" ht="12.9">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c r="AE796" s="56"/>
      <c r="AF796" s="56"/>
    </row>
    <row r="797" spans="1:32" ht="12.9">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c r="AE797" s="56"/>
      <c r="AF797" s="56"/>
    </row>
    <row r="798" spans="1:32" ht="12.9">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c r="AE798" s="56"/>
      <c r="AF798" s="56"/>
    </row>
    <row r="799" spans="1:32" ht="12.9">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c r="AE799" s="56"/>
      <c r="AF799" s="56"/>
    </row>
    <row r="800" spans="1:32" ht="12.9">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c r="AE800" s="56"/>
      <c r="AF800" s="56"/>
    </row>
    <row r="801" spans="1:32" ht="12.9">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c r="AE801" s="56"/>
      <c r="AF801" s="56"/>
    </row>
    <row r="802" spans="1:32" ht="12.9">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c r="AE802" s="56"/>
      <c r="AF802" s="56"/>
    </row>
    <row r="803" spans="1:32" ht="12.9">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c r="AE803" s="56"/>
      <c r="AF803" s="56"/>
    </row>
    <row r="804" spans="1:32" ht="12.9">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c r="AE804" s="56"/>
      <c r="AF804" s="56"/>
    </row>
    <row r="805" spans="1:32" ht="12.9">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c r="AE805" s="56"/>
      <c r="AF805" s="56"/>
    </row>
    <row r="806" spans="1:32" ht="12.9">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c r="AE806" s="56"/>
      <c r="AF806" s="56"/>
    </row>
    <row r="807" spans="1:32" ht="12.9">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c r="AE807" s="56"/>
      <c r="AF807" s="56"/>
    </row>
    <row r="808" spans="1:32" ht="12.9">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c r="AE808" s="56"/>
      <c r="AF808" s="56"/>
    </row>
    <row r="809" spans="1:32" ht="12.9">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c r="AE809" s="56"/>
      <c r="AF809" s="56"/>
    </row>
    <row r="810" spans="1:32" ht="12.9">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c r="AE810" s="56"/>
      <c r="AF810" s="56"/>
    </row>
    <row r="811" spans="1:32" ht="12.9">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c r="AE811" s="56"/>
      <c r="AF811" s="56"/>
    </row>
    <row r="812" spans="1:32" ht="12.9">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c r="AE812" s="56"/>
      <c r="AF812" s="56"/>
    </row>
    <row r="813" spans="1:32" ht="12.9">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c r="AE813" s="56"/>
      <c r="AF813" s="56"/>
    </row>
    <row r="814" spans="1:32" ht="12.9">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c r="AE814" s="56"/>
      <c r="AF814" s="56"/>
    </row>
    <row r="815" spans="1:32" ht="12.9">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c r="AE815" s="56"/>
      <c r="AF815" s="56"/>
    </row>
    <row r="816" spans="1:32" ht="12.9">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c r="AE816" s="56"/>
      <c r="AF816" s="56"/>
    </row>
    <row r="817" spans="1:32" ht="12.9">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c r="AE817" s="56"/>
      <c r="AF817" s="56"/>
    </row>
    <row r="818" spans="1:32" ht="12.9">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c r="AE818" s="56"/>
      <c r="AF818" s="56"/>
    </row>
    <row r="819" spans="1:32" ht="12.9">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c r="AE819" s="56"/>
      <c r="AF819" s="56"/>
    </row>
    <row r="820" spans="1:32" ht="12.9">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c r="AE820" s="56"/>
      <c r="AF820" s="56"/>
    </row>
    <row r="821" spans="1:32" ht="12.9">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c r="AE821" s="56"/>
      <c r="AF821" s="56"/>
    </row>
    <row r="822" spans="1:32" ht="12.9">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c r="AE822" s="56"/>
      <c r="AF822" s="56"/>
    </row>
    <row r="823" spans="1:32" ht="12.9">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c r="AE823" s="56"/>
      <c r="AF823" s="56"/>
    </row>
    <row r="824" spans="1:32" ht="12.9">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c r="AE824" s="56"/>
      <c r="AF824" s="56"/>
    </row>
    <row r="825" spans="1:32" ht="12.9">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c r="AE825" s="56"/>
      <c r="AF825" s="56"/>
    </row>
    <row r="826" spans="1:32" ht="12.9">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c r="AE826" s="56"/>
      <c r="AF826" s="56"/>
    </row>
    <row r="827" spans="1:32" ht="12.9">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c r="AE827" s="56"/>
      <c r="AF827" s="56"/>
    </row>
    <row r="828" spans="1:32" ht="12.9">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c r="AE828" s="56"/>
      <c r="AF828" s="56"/>
    </row>
    <row r="829" spans="1:32" ht="12.9">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c r="AE829" s="56"/>
      <c r="AF829" s="56"/>
    </row>
    <row r="830" spans="1:32" ht="12.9">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c r="AE830" s="56"/>
      <c r="AF830" s="56"/>
    </row>
    <row r="831" spans="1:32" ht="12.9">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c r="AE831" s="56"/>
      <c r="AF831" s="56"/>
    </row>
    <row r="832" spans="1:32" ht="12.9">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c r="AE832" s="56"/>
      <c r="AF832" s="56"/>
    </row>
    <row r="833" spans="1:32" ht="12.9">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c r="AE833" s="56"/>
      <c r="AF833" s="56"/>
    </row>
    <row r="834" spans="1:32" ht="12.9">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c r="AE834" s="56"/>
      <c r="AF834" s="56"/>
    </row>
    <row r="835" spans="1:32" ht="12.9">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c r="AE835" s="56"/>
      <c r="AF835" s="56"/>
    </row>
    <row r="836" spans="1:32" ht="12.9">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c r="AE836" s="56"/>
      <c r="AF836" s="56"/>
    </row>
    <row r="837" spans="1:32" ht="12.9">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c r="AE837" s="56"/>
      <c r="AF837" s="56"/>
    </row>
    <row r="838" spans="1:32" ht="12.9">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c r="AE838" s="56"/>
      <c r="AF838" s="56"/>
    </row>
    <row r="839" spans="1:32" ht="12.9">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c r="AE839" s="56"/>
      <c r="AF839" s="56"/>
    </row>
    <row r="840" spans="1:32" ht="12.9">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c r="AE840" s="56"/>
      <c r="AF840" s="56"/>
    </row>
    <row r="841" spans="1:32" ht="12.9">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c r="AE841" s="56"/>
      <c r="AF841" s="56"/>
    </row>
    <row r="842" spans="1:32" ht="12.9">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c r="AE842" s="56"/>
      <c r="AF842" s="56"/>
    </row>
    <row r="843" spans="1:32" ht="12.9">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c r="AE843" s="56"/>
      <c r="AF843" s="56"/>
    </row>
    <row r="844" spans="1:32" ht="12.9">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row>
    <row r="845" spans="1:32" ht="12.9">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c r="AE845" s="56"/>
      <c r="AF845" s="56"/>
    </row>
    <row r="846" spans="1:32" ht="12.9">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c r="AE846" s="56"/>
      <c r="AF846" s="56"/>
    </row>
    <row r="847" spans="1:32" ht="12.9">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c r="AE847" s="56"/>
      <c r="AF847" s="56"/>
    </row>
    <row r="848" spans="1:32" ht="12.9">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c r="AE848" s="56"/>
      <c r="AF848" s="56"/>
    </row>
    <row r="849" spans="1:32" ht="12.9">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c r="AE849" s="56"/>
      <c r="AF849" s="56"/>
    </row>
    <row r="850" spans="1:32" ht="12.9">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c r="AE850" s="56"/>
      <c r="AF850" s="56"/>
    </row>
    <row r="851" spans="1:32" ht="12.9">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c r="AE851" s="56"/>
      <c r="AF851" s="56"/>
    </row>
    <row r="852" spans="1:32" ht="12.9">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c r="AE852" s="56"/>
      <c r="AF852" s="56"/>
    </row>
    <row r="853" spans="1:32" ht="12.9">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c r="AE853" s="56"/>
      <c r="AF853" s="56"/>
    </row>
    <row r="854" spans="1:32" ht="12.9">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row>
    <row r="855" spans="1:32" ht="12.9">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c r="AE855" s="56"/>
      <c r="AF855" s="56"/>
    </row>
    <row r="856" spans="1:32" ht="12.9">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c r="AE856" s="56"/>
      <c r="AF856" s="56"/>
    </row>
    <row r="857" spans="1:32" ht="12.9">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c r="AE857" s="56"/>
      <c r="AF857" s="56"/>
    </row>
    <row r="858" spans="1:32" ht="12.9">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c r="AE858" s="56"/>
      <c r="AF858" s="56"/>
    </row>
    <row r="859" spans="1:32" ht="12.9">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c r="AE859" s="56"/>
      <c r="AF859" s="56"/>
    </row>
    <row r="860" spans="1:32" ht="12.9">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row>
    <row r="861" spans="1:32" ht="12.9">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c r="AE861" s="56"/>
      <c r="AF861" s="56"/>
    </row>
    <row r="862" spans="1:32" ht="12.9">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c r="AE862" s="56"/>
      <c r="AF862" s="56"/>
    </row>
    <row r="863" spans="1:32" ht="12.9">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c r="AE863" s="56"/>
      <c r="AF863" s="56"/>
    </row>
    <row r="864" spans="1:32" ht="12.9">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c r="AE864" s="56"/>
      <c r="AF864" s="56"/>
    </row>
    <row r="865" spans="1:32" ht="12.9">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c r="AE865" s="56"/>
      <c r="AF865" s="56"/>
    </row>
    <row r="866" spans="1:32" ht="12.9">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row>
    <row r="867" spans="1:32" ht="12.9">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c r="AE867" s="56"/>
      <c r="AF867" s="56"/>
    </row>
    <row r="868" spans="1:32" ht="12.9">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c r="AE868" s="56"/>
      <c r="AF868" s="56"/>
    </row>
    <row r="869" spans="1:32" ht="12.9">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c r="AE869" s="56"/>
      <c r="AF869" s="56"/>
    </row>
    <row r="870" spans="1:32" ht="12.9">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c r="AE870" s="56"/>
      <c r="AF870" s="56"/>
    </row>
    <row r="871" spans="1:32" ht="12.9">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c r="AE871" s="56"/>
      <c r="AF871" s="56"/>
    </row>
    <row r="872" spans="1:32" ht="12.9">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c r="AE872" s="56"/>
      <c r="AF872" s="56"/>
    </row>
    <row r="873" spans="1:32" ht="12.9">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row>
    <row r="874" spans="1:32" ht="12.9">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c r="AE874" s="56"/>
      <c r="AF874" s="56"/>
    </row>
    <row r="875" spans="1:32" ht="12.9">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c r="AE875" s="56"/>
      <c r="AF875" s="56"/>
    </row>
    <row r="876" spans="1:32" ht="12.9">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c r="AE876" s="56"/>
      <c r="AF876" s="56"/>
    </row>
    <row r="877" spans="1:32" ht="12.9">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c r="AE877" s="56"/>
      <c r="AF877" s="56"/>
    </row>
    <row r="878" spans="1:32" ht="12.9">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c r="AE878" s="56"/>
      <c r="AF878" s="56"/>
    </row>
    <row r="879" spans="1:32" ht="12.9">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row>
    <row r="880" spans="1:32" ht="12.9">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c r="AE880" s="56"/>
      <c r="AF880" s="56"/>
    </row>
    <row r="881" spans="1:32" ht="12.9">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c r="AE881" s="56"/>
      <c r="AF881" s="56"/>
    </row>
    <row r="882" spans="1:32" ht="12.9">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c r="AE882" s="56"/>
      <c r="AF882" s="56"/>
    </row>
    <row r="883" spans="1:32" ht="12.9">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c r="AE883" s="56"/>
      <c r="AF883" s="56"/>
    </row>
    <row r="884" spans="1:32" ht="12.9">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c r="AE884" s="56"/>
      <c r="AF884" s="56"/>
    </row>
    <row r="885" spans="1:32" ht="12.9">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c r="AE885" s="56"/>
      <c r="AF885" s="56"/>
    </row>
    <row r="886" spans="1:32" ht="12.9">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c r="AE886" s="56"/>
      <c r="AF886" s="56"/>
    </row>
    <row r="887" spans="1:32" ht="12.9">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c r="AE887" s="56"/>
      <c r="AF887" s="56"/>
    </row>
    <row r="888" spans="1:32" ht="12.9">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c r="AE888" s="56"/>
      <c r="AF888" s="56"/>
    </row>
    <row r="889" spans="1:32" ht="12.9">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c r="AE889" s="56"/>
      <c r="AF889" s="56"/>
    </row>
    <row r="890" spans="1:32" ht="12.9">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c r="AE890" s="56"/>
      <c r="AF890" s="56"/>
    </row>
    <row r="891" spans="1:32" ht="12.9">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c r="AE891" s="56"/>
      <c r="AF891" s="56"/>
    </row>
    <row r="892" spans="1:32" ht="12.9">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c r="AE892" s="56"/>
      <c r="AF892" s="56"/>
    </row>
    <row r="893" spans="1:32" ht="12.9">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c r="AE893" s="56"/>
      <c r="AF893" s="56"/>
    </row>
    <row r="894" spans="1:32" ht="12.9">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c r="AE894" s="56"/>
      <c r="AF894" s="56"/>
    </row>
    <row r="895" spans="1:32" ht="12.9">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c r="AE895" s="56"/>
      <c r="AF895" s="56"/>
    </row>
    <row r="896" spans="1:32" ht="12.9">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c r="AE896" s="56"/>
      <c r="AF896" s="56"/>
    </row>
    <row r="897" spans="1:32" ht="12.9">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row>
    <row r="898" spans="1:32" ht="12.9">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c r="AE898" s="56"/>
      <c r="AF898" s="56"/>
    </row>
    <row r="899" spans="1:32" ht="12.9">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c r="AE899" s="56"/>
      <c r="AF899" s="56"/>
    </row>
    <row r="900" spans="1:32" ht="12.9">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c r="AE900" s="56"/>
      <c r="AF900" s="56"/>
    </row>
    <row r="901" spans="1:32" ht="12.9">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c r="AE901" s="56"/>
      <c r="AF901" s="56"/>
    </row>
    <row r="902" spans="1:32" ht="12.9">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c r="AE902" s="56"/>
      <c r="AF902" s="56"/>
    </row>
    <row r="903" spans="1:32" ht="12.9">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row>
    <row r="904" spans="1:32" ht="12.9">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c r="AE904" s="56"/>
      <c r="AF904" s="56"/>
    </row>
    <row r="905" spans="1:32" ht="12.9">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c r="AE905" s="56"/>
      <c r="AF905" s="56"/>
    </row>
    <row r="906" spans="1:32" ht="12.9">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c r="AE906" s="56"/>
      <c r="AF906" s="56"/>
    </row>
    <row r="907" spans="1:32" ht="12.9">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c r="AE907" s="56"/>
      <c r="AF907" s="56"/>
    </row>
    <row r="908" spans="1:32" ht="12.9">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c r="AE908" s="56"/>
      <c r="AF908" s="56"/>
    </row>
    <row r="909" spans="1:32" ht="12.9">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row>
    <row r="910" spans="1:32" ht="12.9">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c r="AE910" s="56"/>
      <c r="AF910" s="56"/>
    </row>
    <row r="911" spans="1:32" ht="12.9">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c r="AE911" s="56"/>
      <c r="AF911" s="56"/>
    </row>
    <row r="912" spans="1:32" ht="12.9">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c r="AE912" s="56"/>
      <c r="AF912" s="56"/>
    </row>
    <row r="913" spans="1:32" ht="12.9">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c r="AE913" s="56"/>
      <c r="AF913" s="56"/>
    </row>
    <row r="914" spans="1:32" ht="12.9">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c r="AE914" s="56"/>
      <c r="AF914" s="56"/>
    </row>
    <row r="915" spans="1:32" ht="12.9">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row>
    <row r="916" spans="1:32" ht="12.9">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c r="AE916" s="56"/>
      <c r="AF916" s="56"/>
    </row>
    <row r="917" spans="1:32" ht="12.9">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c r="AE917" s="56"/>
      <c r="AF917" s="56"/>
    </row>
    <row r="918" spans="1:32" ht="12.9">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c r="AE918" s="56"/>
      <c r="AF918" s="56"/>
    </row>
    <row r="919" spans="1:32" ht="12.9">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c r="AE919" s="56"/>
      <c r="AF919" s="56"/>
    </row>
    <row r="920" spans="1:32" ht="12.9">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c r="AE920" s="56"/>
      <c r="AF920" s="56"/>
    </row>
    <row r="921" spans="1:32" ht="12.9">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row>
    <row r="922" spans="1:32" ht="12.9">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c r="AE922" s="56"/>
      <c r="AF922" s="56"/>
    </row>
    <row r="923" spans="1:32" ht="12.9">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c r="AE923" s="56"/>
      <c r="AF923" s="56"/>
    </row>
    <row r="924" spans="1:32" ht="12.9">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c r="AE924" s="56"/>
      <c r="AF924" s="56"/>
    </row>
    <row r="925" spans="1:32" ht="12.9">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c r="AE925" s="56"/>
      <c r="AF925" s="56"/>
    </row>
    <row r="926" spans="1:32" ht="12.9">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c r="AE926" s="56"/>
      <c r="AF926" s="56"/>
    </row>
    <row r="927" spans="1:32" ht="12.9">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row>
    <row r="928" spans="1:32" ht="12.9">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c r="AE928" s="56"/>
      <c r="AF928" s="56"/>
    </row>
    <row r="929" spans="1:32" ht="12.9">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c r="AE929" s="56"/>
      <c r="AF929" s="56"/>
    </row>
    <row r="930" spans="1:32" ht="12.9">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c r="AE930" s="56"/>
      <c r="AF930" s="56"/>
    </row>
    <row r="931" spans="1:32" ht="12.9">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c r="AE931" s="56"/>
      <c r="AF931" s="56"/>
    </row>
    <row r="932" spans="1:32" ht="12.9">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c r="AE932" s="56"/>
      <c r="AF932" s="56"/>
    </row>
    <row r="933" spans="1:32" ht="12.9">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c r="AE933" s="56"/>
      <c r="AF933" s="56"/>
    </row>
    <row r="934" spans="1:32" ht="12.9">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c r="AE934" s="56"/>
      <c r="AF934" s="56"/>
    </row>
    <row r="935" spans="1:32" ht="12.9">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c r="AE935" s="56"/>
      <c r="AF935" s="56"/>
    </row>
    <row r="936" spans="1:32" ht="12.9">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c r="AE936" s="56"/>
      <c r="AF936" s="56"/>
    </row>
    <row r="937" spans="1:32" ht="12.9">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row>
    <row r="938" spans="1:32" ht="12.9">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c r="AE938" s="56"/>
      <c r="AF938" s="56"/>
    </row>
    <row r="939" spans="1:32" ht="12.9">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c r="AE939" s="56"/>
      <c r="AF939" s="56"/>
    </row>
    <row r="940" spans="1:32" ht="12.9">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c r="AE940" s="56"/>
      <c r="AF940" s="56"/>
    </row>
    <row r="941" spans="1:32" ht="12.9">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c r="AE941" s="56"/>
      <c r="AF941" s="56"/>
    </row>
    <row r="942" spans="1:32" ht="12.9">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c r="AE942" s="56"/>
      <c r="AF942" s="56"/>
    </row>
    <row r="943" spans="1:32" ht="12.9">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row>
    <row r="944" spans="1:32" ht="12.9">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c r="AE944" s="56"/>
      <c r="AF944" s="56"/>
    </row>
    <row r="945" spans="1:32" ht="12.9">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c r="AE945" s="56"/>
      <c r="AF945" s="56"/>
    </row>
    <row r="946" spans="1:32" ht="12.9">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c r="AE946" s="56"/>
      <c r="AF946" s="56"/>
    </row>
    <row r="947" spans="1:32" ht="12.9">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c r="AE947" s="56"/>
      <c r="AF947" s="56"/>
    </row>
    <row r="948" spans="1:32" ht="12.9">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c r="AE948" s="56"/>
      <c r="AF948" s="56"/>
    </row>
    <row r="949" spans="1:32" ht="12.9">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row>
    <row r="950" spans="1:32" ht="12.9">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c r="AE950" s="56"/>
      <c r="AF950" s="56"/>
    </row>
    <row r="951" spans="1:32" ht="12.9">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c r="AE951" s="56"/>
      <c r="AF951" s="56"/>
    </row>
    <row r="952" spans="1:32" ht="12.9">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c r="AE952" s="56"/>
      <c r="AF952" s="56"/>
    </row>
    <row r="953" spans="1:32" ht="12.9">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c r="AE953" s="56"/>
      <c r="AF953" s="56"/>
    </row>
    <row r="954" spans="1:32" ht="12.9">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c r="AE954" s="56"/>
      <c r="AF954" s="56"/>
    </row>
    <row r="955" spans="1:32" ht="12.9">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c r="AE955" s="56"/>
      <c r="AF955" s="56"/>
    </row>
    <row r="956" spans="1:32" ht="12.9">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c r="AE956" s="56"/>
      <c r="AF956" s="56"/>
    </row>
    <row r="957" spans="1:32" ht="12.9">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c r="AE957" s="56"/>
      <c r="AF957" s="56"/>
    </row>
    <row r="958" spans="1:32" ht="12.9">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c r="AE958" s="56"/>
      <c r="AF958" s="56"/>
    </row>
    <row r="959" spans="1:32" ht="12.9">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row>
    <row r="960" spans="1:32" ht="12.9">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c r="AE960" s="56"/>
      <c r="AF960" s="56"/>
    </row>
    <row r="961" spans="1:32" ht="12.9">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c r="AE961" s="56"/>
      <c r="AF961" s="56"/>
    </row>
    <row r="962" spans="1:32" ht="12.9">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c r="AE962" s="56"/>
      <c r="AF962" s="56"/>
    </row>
    <row r="963" spans="1:32" ht="12.9">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c r="AE963" s="56"/>
      <c r="AF963" s="56"/>
    </row>
    <row r="964" spans="1:32" ht="12.9">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c r="AE964" s="56"/>
      <c r="AF964" s="56"/>
    </row>
    <row r="965" spans="1:32" ht="12.9">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row>
    <row r="966" spans="1:32" ht="12.9">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row>
    <row r="967" spans="1:32" ht="12.9">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c r="AE967" s="56"/>
      <c r="AF967" s="56"/>
    </row>
    <row r="968" spans="1:32" ht="12.9">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c r="AE968" s="56"/>
      <c r="AF968" s="56"/>
    </row>
    <row r="969" spans="1:32" ht="12.9">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c r="AE969" s="56"/>
      <c r="AF969" s="56"/>
    </row>
    <row r="970" spans="1:32" ht="12.9">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c r="AE970" s="56"/>
      <c r="AF970" s="56"/>
    </row>
    <row r="971" spans="1:32" ht="12.9">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c r="AE971" s="56"/>
      <c r="AF971" s="56"/>
    </row>
    <row r="972" spans="1:32" ht="12.9">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row>
    <row r="973" spans="1:32" ht="12.9">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c r="AE973" s="56"/>
      <c r="AF973" s="56"/>
    </row>
    <row r="974" spans="1:32" ht="12.9">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c r="AE974" s="56"/>
      <c r="AF974" s="56"/>
    </row>
    <row r="975" spans="1:32" ht="12.9">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c r="AE975" s="56"/>
      <c r="AF975" s="56"/>
    </row>
    <row r="976" spans="1:32" ht="12.9">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c r="AE976" s="56"/>
      <c r="AF976" s="56"/>
    </row>
    <row r="977" spans="1:32" ht="12.9">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c r="AE977" s="56"/>
      <c r="AF977" s="56"/>
    </row>
    <row r="978" spans="1:32" ht="12.9">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row>
    <row r="979" spans="1:32" ht="12.9">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c r="AE979" s="56"/>
      <c r="AF979" s="56"/>
    </row>
    <row r="980" spans="1:32" ht="12.9">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c r="AE980" s="56"/>
      <c r="AF980" s="56"/>
    </row>
    <row r="981" spans="1:32" ht="12.9">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c r="AE981" s="56"/>
      <c r="AF981" s="56"/>
    </row>
    <row r="982" spans="1:32" ht="12.9">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c r="AE982" s="56"/>
      <c r="AF982" s="56"/>
    </row>
    <row r="983" spans="1:32" ht="12.9">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c r="AE983" s="56"/>
      <c r="AF983" s="56"/>
    </row>
    <row r="984" spans="1:32" ht="12.9">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c r="AE984" s="56"/>
      <c r="AF984" s="56"/>
    </row>
    <row r="985" spans="1:32" ht="12.9">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c r="AE985" s="56"/>
      <c r="AF985" s="56"/>
    </row>
    <row r="986" spans="1:32" ht="12.9">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c r="AE986" s="56"/>
      <c r="AF986" s="56"/>
    </row>
    <row r="987" spans="1:32" ht="12.9">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c r="AE987" s="56"/>
      <c r="AF987" s="56"/>
    </row>
    <row r="988" spans="1:32" ht="12.9">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row>
    <row r="989" spans="1:32" ht="12.9">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c r="AE989" s="56"/>
      <c r="AF989" s="56"/>
    </row>
    <row r="990" spans="1:32" ht="12.9">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c r="AE990" s="56"/>
      <c r="AF990" s="56"/>
    </row>
    <row r="991" spans="1:32" ht="12.9">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c r="AE991" s="56"/>
      <c r="AF991" s="56"/>
    </row>
    <row r="992" spans="1:32" ht="12.9">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c r="AE992" s="56"/>
      <c r="AF992" s="56"/>
    </row>
    <row r="993" spans="1:32" ht="12.9">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c r="AE993" s="56"/>
      <c r="AF993" s="56"/>
    </row>
    <row r="994" spans="1:32" ht="12.9">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c r="AE994" s="56"/>
      <c r="AF994" s="56"/>
    </row>
    <row r="995" spans="1:32" ht="12.9">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c r="AE995" s="56"/>
      <c r="AF995" s="56"/>
    </row>
    <row r="996" spans="1:32" ht="12.9">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c r="AE996" s="56"/>
      <c r="AF996" s="56"/>
    </row>
    <row r="997" spans="1:32" ht="12.9">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c r="AE997" s="56"/>
      <c r="AF997" s="56"/>
    </row>
    <row r="998" spans="1:32" ht="12.9">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row>
    <row r="999" spans="1:32" ht="12.9">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c r="AE999" s="56"/>
      <c r="AF999" s="56"/>
    </row>
    <row r="1000" spans="1:32" ht="12.9">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row>
  </sheetData>
  <conditionalFormatting sqref="M15:P18">
    <cfRule type="colorScale" priority="1">
      <colorScale>
        <cfvo type="min"/>
        <cfvo type="percentile" val="50"/>
        <cfvo type="max"/>
        <color rgb="FFE67C73"/>
        <color rgb="FFFFFFFF"/>
        <color rgb="FF57BB8A"/>
      </colorScale>
    </cfRule>
  </conditionalFormatting>
  <conditionalFormatting sqref="G15:I17">
    <cfRule type="colorScale" priority="2">
      <colorScale>
        <cfvo type="min"/>
        <cfvo type="percentile" val="50"/>
        <cfvo type="max"/>
        <color rgb="FFE67C73"/>
        <color rgb="FFFFFFFF"/>
        <color rgb="FF57BB8A"/>
      </colorScale>
    </cfRule>
  </conditionalFormatting>
  <conditionalFormatting sqref="B15:C16">
    <cfRule type="colorScale" priority="3">
      <colorScale>
        <cfvo type="min"/>
        <cfvo type="percentile" val="50"/>
        <cfvo type="max"/>
        <color rgb="FFE67C73"/>
        <color rgb="FFFFFFFF"/>
        <color rgb="FF57BB8A"/>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501"/>
  <sheetViews>
    <sheetView workbookViewId="0"/>
  </sheetViews>
  <sheetFormatPr defaultColWidth="14.44140625" defaultRowHeight="15.75" customHeight="1"/>
  <cols>
    <col min="1" max="1" width="7.71875" customWidth="1"/>
    <col min="2" max="2" width="45.27734375" customWidth="1"/>
    <col min="3" max="3" width="12.27734375" customWidth="1"/>
    <col min="4" max="4" width="23.27734375" customWidth="1"/>
    <col min="5" max="5" width="18" customWidth="1"/>
    <col min="6" max="6" width="17.109375" customWidth="1"/>
    <col min="7" max="7" width="18.5546875" customWidth="1"/>
    <col min="8" max="8" width="16.5546875" customWidth="1"/>
    <col min="9" max="9" width="8.71875" customWidth="1"/>
    <col min="10" max="10" width="29.109375" customWidth="1"/>
    <col min="11" max="11" width="27.44140625" customWidth="1"/>
    <col min="12" max="12" width="32.5546875" customWidth="1"/>
    <col min="13" max="13" width="11.109375" customWidth="1"/>
    <col min="14" max="14" width="22" customWidth="1"/>
    <col min="15" max="15" width="10.109375" customWidth="1"/>
    <col min="16" max="16" width="21.27734375" customWidth="1"/>
    <col min="17" max="17" width="32.27734375" customWidth="1"/>
    <col min="18" max="18" width="14.5546875" customWidth="1"/>
    <col min="19" max="19" width="8.71875" customWidth="1"/>
    <col min="20" max="20" width="13.83203125" customWidth="1"/>
    <col min="21" max="21" width="14" customWidth="1"/>
    <col min="22" max="26" width="8.71875" customWidth="1"/>
  </cols>
  <sheetData>
    <row r="1" spans="1:26" ht="15.75" customHeight="1">
      <c r="A1" s="110" t="str">
        <f ca="1">IFERROR(__xludf.DUMMYFUNCTION("QUERY(Processed!A1:CN160,""SELECT A, B, C, D, E, J, M, Q, BG, BH, BI, BJ, BK, BL, BM, BN, BO, BP, U WHERE F = TRUE"",1)"),"Study ID")</f>
        <v>Study ID</v>
      </c>
      <c r="B1" s="110" t="str">
        <f ca="1">IFERROR(__xludf.DUMMYFUNCTION("""COMPUTED_VALUE"""),"Authors")</f>
        <v>Authors</v>
      </c>
      <c r="C1" s="110" t="str">
        <f ca="1">IFERROR(__xludf.DUMMYFUNCTION("""COMPUTED_VALUE"""),"Subsample ID")</f>
        <v>Subsample ID</v>
      </c>
      <c r="D1" s="110" t="str">
        <f ca="1">IFERROR(__xludf.DUMMYFUNCTION("""COMPUTED_VALUE"""),"Subsample Desciption")</f>
        <v>Subsample Desciption</v>
      </c>
      <c r="E1" s="111" t="str">
        <f ca="1">IFERROR(__xludf.DUMMYFUNCTION("""COMPUTED_VALUE"""),"Interval")</f>
        <v>Interval</v>
      </c>
      <c r="F1" s="112" t="str">
        <f ca="1">IFERROR(__xludf.DUMMYFUNCTION("""COMPUTED_VALUE"""),"2-way n - Final")</f>
        <v>2-way n - Final</v>
      </c>
      <c r="G1" s="113" t="str">
        <f ca="1">IFERROR(__xludf.DUMMYFUNCTION("""COMPUTED_VALUE"""),"2-way r - Final")</f>
        <v>2-way r - Final</v>
      </c>
      <c r="H1" s="111" t="str">
        <f ca="1">IFERROR(__xludf.DUMMYFUNCTION("""COMPUTED_VALUE"""),"2-way PA - Calculated")</f>
        <v>2-way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09" t="str">
        <f ca="1">IFERROR(__xludf.DUMMYFUNCTION("""COMPUTED_VALUE"""),"Gender")</f>
        <v>Gender</v>
      </c>
      <c r="S1" s="114" t="str">
        <f ca="1">IFERROR(__xludf.DUMMYFUNCTION("""COMPUTED_VALUE"""),"2-way k - Final")</f>
        <v>2-way k - Final</v>
      </c>
      <c r="T1" s="114"/>
      <c r="U1" s="114"/>
      <c r="V1" s="114"/>
      <c r="W1" s="114"/>
      <c r="X1" s="114"/>
      <c r="Y1" s="114"/>
      <c r="Z1" s="114"/>
    </row>
    <row r="2" spans="1:26" ht="15.75" customHeight="1">
      <c r="A2" s="115">
        <f ca="1">IFERROR(__xludf.DUMMYFUNCTION("""COMPUTED_VALUE"""),1)</f>
        <v>1</v>
      </c>
      <c r="B2" s="115" t="str">
        <f ca="1">IFERROR(__xludf.DUMMYFUNCTION("""COMPUTED_VALUE"""),"Aikins, Howes, &amp; Hamilton (2009)")</f>
        <v>Aikins, Howes, &amp; Hamilton (2009)</v>
      </c>
      <c r="C2" s="115">
        <f ca="1">IFERROR(__xludf.DUMMYFUNCTION("""COMPUTED_VALUE"""),1)</f>
        <v>1</v>
      </c>
      <c r="D2" s="115" t="str">
        <f ca="1">IFERROR(__xludf.DUMMYFUNCTION("""COMPUTED_VALUE"""),"36 month interval")</f>
        <v>36 month interval</v>
      </c>
      <c r="E2" s="116" t="str">
        <f ca="1">IFERROR(__xludf.DUMMYFUNCTION("""COMPUTED_VALUE"""),"Infancy - Preschool")</f>
        <v>Infancy - Preschool</v>
      </c>
      <c r="F2" s="117">
        <f ca="1">IFERROR(__xludf.DUMMYFUNCTION("""COMPUTED_VALUE"""),83)</f>
        <v>83</v>
      </c>
      <c r="G2" s="118">
        <f ca="1">IFERROR(__xludf.DUMMYFUNCTION("""COMPUTED_VALUE"""),0.51)</f>
        <v>0.51</v>
      </c>
      <c r="H2" s="116" t="str">
        <f ca="1">IFERROR(__xludf.DUMMYFUNCTION("""COMPUTED_VALUE"""),"")</f>
        <v/>
      </c>
      <c r="I2" s="56">
        <f ca="1">IFERROR(__xludf.DUMMYFUNCTION("""COMPUTED_VALUE"""),2009)</f>
        <v>2009</v>
      </c>
      <c r="J2" s="56" t="str">
        <f ca="1">IFERROR(__xludf.DUMMYFUNCTION("""COMPUTED_VALUE"""),"USA")</f>
        <v>USA</v>
      </c>
      <c r="K2" s="56" t="str">
        <f ca="1">IFERROR(__xludf.DUMMYFUNCTION("""COMPUTED_VALUE"""),"Ainsworth/Cassidy-Marvin")</f>
        <v>Ainsworth/Cassidy-Marvin</v>
      </c>
      <c r="L2" s="56">
        <f ca="1">IFERROR(__xludf.DUMMYFUNCTION("""COMPUTED_VALUE"""),1)</f>
        <v>1</v>
      </c>
      <c r="M2" s="56">
        <f ca="1">IFERROR(__xludf.DUMMYFUNCTION("""COMPUTED_VALUE"""),0)</f>
        <v>0</v>
      </c>
      <c r="N2" s="56">
        <f ca="1">IFERROR(__xludf.DUMMYFUNCTION("""COMPUTED_VALUE"""),0)</f>
        <v>0</v>
      </c>
      <c r="O2" s="56">
        <f ca="1">IFERROR(__xludf.DUMMYFUNCTION("""COMPUTED_VALUE"""),1)</f>
        <v>1</v>
      </c>
      <c r="P2" s="56" t="str">
        <f ca="1">IFERROR(__xludf.DUMMYFUNCTION("""COMPUTED_VALUE"""),"")</f>
        <v/>
      </c>
      <c r="Q2" s="56">
        <f ca="1">IFERROR(__xludf.DUMMYFUNCTION("""COMPUTED_VALUE"""),0)</f>
        <v>0</v>
      </c>
      <c r="R2" s="56" t="str">
        <f ca="1">IFERROR(__xludf.DUMMYFUNCTION("""COMPUTED_VALUE"""),"Mixed")</f>
        <v>Mixed</v>
      </c>
      <c r="S2" s="119" t="str">
        <f ca="1">IFERROR(__xludf.DUMMYFUNCTION("""COMPUTED_VALUE"""),"")</f>
        <v/>
      </c>
    </row>
    <row r="3" spans="1:26" ht="15.75" customHeight="1">
      <c r="A3" s="115">
        <f ca="1">IFERROR(__xludf.DUMMYFUNCTION("""COMPUTED_VALUE"""),2)</f>
        <v>2</v>
      </c>
      <c r="B3" s="115" t="str">
        <f ca="1">IFERROR(__xludf.DUMMYFUNCTION("""COMPUTED_VALUE"""),"Ammaniti, Speranza, &amp; Fedele (2005)")</f>
        <v>Ammaniti, Speranza, &amp; Fedele (2005)</v>
      </c>
      <c r="C3" s="115">
        <f ca="1">IFERROR(__xludf.DUMMYFUNCTION("""COMPUTED_VALUE"""),1)</f>
        <v>1</v>
      </c>
      <c r="D3" s="115" t="str">
        <f ca="1">IFERROR(__xludf.DUMMYFUNCTION("""COMPUTED_VALUE"""),"51 month interval")</f>
        <v>51 month interval</v>
      </c>
      <c r="E3" s="116" t="str">
        <f ca="1">IFERROR(__xludf.DUMMYFUNCTION("""COMPUTED_VALUE"""),"Infancy - Preschool")</f>
        <v>Infancy - Preschool</v>
      </c>
      <c r="F3" s="117">
        <f ca="1">IFERROR(__xludf.DUMMYFUNCTION("""COMPUTED_VALUE"""),35)</f>
        <v>35</v>
      </c>
      <c r="G3" s="118">
        <f ca="1">IFERROR(__xludf.DUMMYFUNCTION("""COMPUTED_VALUE"""),0.469157431628418)</f>
        <v>0.469157431628418</v>
      </c>
      <c r="H3" s="116">
        <f ca="1">IFERROR(__xludf.DUMMYFUNCTION("""COMPUTED_VALUE"""),0.742857142857142)</f>
        <v>0.74285714285714199</v>
      </c>
      <c r="I3" s="56">
        <f ca="1">IFERROR(__xludf.DUMMYFUNCTION("""COMPUTED_VALUE"""),2005)</f>
        <v>2005</v>
      </c>
      <c r="J3" s="56" t="str">
        <f ca="1">IFERROR(__xludf.DUMMYFUNCTION("""COMPUTED_VALUE"""),"Non-USA")</f>
        <v>Non-USA</v>
      </c>
      <c r="K3" s="56" t="str">
        <f ca="1">IFERROR(__xludf.DUMMYFUNCTION("""COMPUTED_VALUE"""),"Ainsworth/Cassidy-Marvin")</f>
        <v>Ainsworth/Cassidy-Marvin</v>
      </c>
      <c r="L3" s="56">
        <f ca="1">IFERROR(__xludf.DUMMYFUNCTION("""COMPUTED_VALUE"""),1)</f>
        <v>1</v>
      </c>
      <c r="M3" s="56">
        <f ca="1">IFERROR(__xludf.DUMMYFUNCTION("""COMPUTED_VALUE"""),0)</f>
        <v>0</v>
      </c>
      <c r="N3" s="56">
        <f ca="1">IFERROR(__xludf.DUMMYFUNCTION("""COMPUTED_VALUE"""),0)</f>
        <v>0</v>
      </c>
      <c r="O3" s="56">
        <f ca="1">IFERROR(__xludf.DUMMYFUNCTION("""COMPUTED_VALUE"""),1)</f>
        <v>1</v>
      </c>
      <c r="P3" s="56" t="str">
        <f ca="1">IFERROR(__xludf.DUMMYFUNCTION("""COMPUTED_VALUE"""),"")</f>
        <v/>
      </c>
      <c r="Q3" s="56">
        <f ca="1">IFERROR(__xludf.DUMMYFUNCTION("""COMPUTED_VALUE"""),0)</f>
        <v>0</v>
      </c>
      <c r="R3" s="56" t="str">
        <f ca="1">IFERROR(__xludf.DUMMYFUNCTION("""COMPUTED_VALUE"""),"Female")</f>
        <v>Female</v>
      </c>
      <c r="S3" s="119">
        <f ca="1">IFERROR(__xludf.DUMMYFUNCTION("""COMPUTED_VALUE"""),0.461538461538461)</f>
        <v>0.46153846153846101</v>
      </c>
    </row>
    <row r="4" spans="1:26" ht="15.75" customHeight="1">
      <c r="A4" s="115">
        <f ca="1">IFERROR(__xludf.DUMMYFUNCTION("""COMPUTED_VALUE"""),3)</f>
        <v>3</v>
      </c>
      <c r="B4" s="115" t="str">
        <f ca="1">IFERROR(__xludf.DUMMYFUNCTION("""COMPUTED_VALUE"""),"Atkinson et al. (1999)")</f>
        <v>Atkinson et al. (1999)</v>
      </c>
      <c r="C4" s="115">
        <f ca="1">IFERROR(__xludf.DUMMYFUNCTION("""COMPUTED_VALUE"""),1)</f>
        <v>1</v>
      </c>
      <c r="D4" s="115" t="str">
        <f ca="1">IFERROR(__xludf.DUMMYFUNCTION("""COMPUTED_VALUE"""),"Single sample")</f>
        <v>Single sample</v>
      </c>
      <c r="E4" s="116" t="str">
        <f ca="1">IFERROR(__xludf.DUMMYFUNCTION("""COMPUTED_VALUE"""),"Toddlerhood - Preschool")</f>
        <v>Toddlerhood - Preschool</v>
      </c>
      <c r="F4" s="117">
        <f ca="1">IFERROR(__xludf.DUMMYFUNCTION("""COMPUTED_VALUE"""),53)</f>
        <v>53</v>
      </c>
      <c r="G4" s="118">
        <f ca="1">IFERROR(__xludf.DUMMYFUNCTION("""COMPUTED_VALUE"""),0.2)</f>
        <v>0.2</v>
      </c>
      <c r="H4" s="116" t="str">
        <f ca="1">IFERROR(__xludf.DUMMYFUNCTION("""COMPUTED_VALUE"""),"")</f>
        <v/>
      </c>
      <c r="I4" s="56">
        <f ca="1">IFERROR(__xludf.DUMMYFUNCTION("""COMPUTED_VALUE"""),1999)</f>
        <v>1999</v>
      </c>
      <c r="J4" s="56" t="str">
        <f ca="1">IFERROR(__xludf.DUMMYFUNCTION("""COMPUTED_VALUE"""),"Non-USA")</f>
        <v>Non-USA</v>
      </c>
      <c r="K4" s="56" t="str">
        <f ca="1">IFERROR(__xludf.DUMMYFUNCTION("""COMPUTED_VALUE"""),"Ainsworth/Ainsworth")</f>
        <v>Ainsworth/Ainsworth</v>
      </c>
      <c r="L4" s="56">
        <f ca="1">IFERROR(__xludf.DUMMYFUNCTION("""COMPUTED_VALUE"""),1)</f>
        <v>1</v>
      </c>
      <c r="M4" s="56">
        <f ca="1">IFERROR(__xludf.DUMMYFUNCTION("""COMPUTED_VALUE"""),0)</f>
        <v>0</v>
      </c>
      <c r="N4" s="56">
        <f ca="1">IFERROR(__xludf.DUMMYFUNCTION("""COMPUTED_VALUE"""),1)</f>
        <v>1</v>
      </c>
      <c r="O4" s="56">
        <f ca="1">IFERROR(__xludf.DUMMYFUNCTION("""COMPUTED_VALUE"""),1)</f>
        <v>1</v>
      </c>
      <c r="P4" s="56">
        <f ca="1">IFERROR(__xludf.DUMMYFUNCTION("""COMPUTED_VALUE"""),0.73)</f>
        <v>0.73</v>
      </c>
      <c r="Q4" s="56">
        <f ca="1">IFERROR(__xludf.DUMMYFUNCTION("""COMPUTED_VALUE"""),0)</f>
        <v>0</v>
      </c>
      <c r="R4" s="56" t="str">
        <f ca="1">IFERROR(__xludf.DUMMYFUNCTION("""COMPUTED_VALUE"""),"Female")</f>
        <v>Female</v>
      </c>
      <c r="S4" s="119" t="str">
        <f ca="1">IFERROR(__xludf.DUMMYFUNCTION("""COMPUTED_VALUE"""),"")</f>
        <v/>
      </c>
    </row>
    <row r="5" spans="1:26" ht="15.75" customHeight="1">
      <c r="A5" s="115">
        <f ca="1">IFERROR(__xludf.DUMMYFUNCTION("""COMPUTED_VALUE"""),4)</f>
        <v>4</v>
      </c>
      <c r="B5" s="115" t="str">
        <f ca="1">IFERROR(__xludf.DUMMYFUNCTION("""COMPUTED_VALUE"""),"Bar-Haim et al. (2000) ")</f>
        <v xml:space="preserve">Bar-Haim et al. (2000) </v>
      </c>
      <c r="C5" s="115">
        <f ca="1">IFERROR(__xludf.DUMMYFUNCTION("""COMPUTED_VALUE"""),1)</f>
        <v>1</v>
      </c>
      <c r="D5" s="115" t="str">
        <f ca="1">IFERROR(__xludf.DUMMYFUNCTION("""COMPUTED_VALUE"""),"10 month interval")</f>
        <v>10 month interval</v>
      </c>
      <c r="E5" s="116" t="str">
        <f ca="1">IFERROR(__xludf.DUMMYFUNCTION("""COMPUTED_VALUE"""),"Infancy - Toddlerhood")</f>
        <v>Infancy - Toddlerhood</v>
      </c>
      <c r="F5" s="117">
        <f ca="1">IFERROR(__xludf.DUMMYFUNCTION("""COMPUTED_VALUE"""),42)</f>
        <v>42</v>
      </c>
      <c r="G5" s="118">
        <f ca="1">IFERROR(__xludf.DUMMYFUNCTION("""COMPUTED_VALUE"""),0.372104203767625)</f>
        <v>0.37210420376762499</v>
      </c>
      <c r="H5" s="116">
        <f ca="1">IFERROR(__xludf.DUMMYFUNCTION("""COMPUTED_VALUE"""),0.714285714285714)</f>
        <v>0.71428571428571397</v>
      </c>
      <c r="I5" s="56">
        <f ca="1">IFERROR(__xludf.DUMMYFUNCTION("""COMPUTED_VALUE"""),2000)</f>
        <v>2000</v>
      </c>
      <c r="J5" s="56" t="str">
        <f ca="1">IFERROR(__xludf.DUMMYFUNCTION("""COMPUTED_VALUE"""),"USA")</f>
        <v>USA</v>
      </c>
      <c r="K5" s="56" t="str">
        <f ca="1">IFERROR(__xludf.DUMMYFUNCTION("""COMPUTED_VALUE"""),"Ainsworth/Ainsworth")</f>
        <v>Ainsworth/Ainsworth</v>
      </c>
      <c r="L5" s="56">
        <f ca="1">IFERROR(__xludf.DUMMYFUNCTION("""COMPUTED_VALUE"""),1)</f>
        <v>1</v>
      </c>
      <c r="M5" s="56">
        <f ca="1">IFERROR(__xludf.DUMMYFUNCTION("""COMPUTED_VALUE"""),0)</f>
        <v>0</v>
      </c>
      <c r="N5" s="56">
        <f ca="1">IFERROR(__xludf.DUMMYFUNCTION("""COMPUTED_VALUE"""),0)</f>
        <v>0</v>
      </c>
      <c r="O5" s="56">
        <f ca="1">IFERROR(__xludf.DUMMYFUNCTION("""COMPUTED_VALUE"""),1)</f>
        <v>1</v>
      </c>
      <c r="P5" s="56">
        <f ca="1">IFERROR(__xludf.DUMMYFUNCTION("""COMPUTED_VALUE"""),0.82)</f>
        <v>0.82</v>
      </c>
      <c r="Q5" s="56">
        <f ca="1">IFERROR(__xludf.DUMMYFUNCTION("""COMPUTED_VALUE"""),0)</f>
        <v>0</v>
      </c>
      <c r="R5" s="56" t="str">
        <f ca="1">IFERROR(__xludf.DUMMYFUNCTION("""COMPUTED_VALUE"""),"Female")</f>
        <v>Female</v>
      </c>
      <c r="S5" s="119">
        <f ca="1">IFERROR(__xludf.DUMMYFUNCTION("""COMPUTED_VALUE"""),0.363636363636363)</f>
        <v>0.36363636363636298</v>
      </c>
    </row>
    <row r="6" spans="1:26" ht="15.75" customHeight="1">
      <c r="A6" s="115">
        <f ca="1">IFERROR(__xludf.DUMMYFUNCTION("""COMPUTED_VALUE"""),4)</f>
        <v>4</v>
      </c>
      <c r="B6" s="115" t="str">
        <f ca="1">IFERROR(__xludf.DUMMYFUNCTION("""COMPUTED_VALUE"""),"Bar-Haim et al. (2000) ")</f>
        <v xml:space="preserve">Bar-Haim et al. (2000) </v>
      </c>
      <c r="C6" s="115">
        <f ca="1">IFERROR(__xludf.DUMMYFUNCTION("""COMPUTED_VALUE"""),2)</f>
        <v>2</v>
      </c>
      <c r="D6" s="115" t="str">
        <f ca="1">IFERROR(__xludf.DUMMYFUNCTION("""COMPUTED_VALUE"""),"34 month interval")</f>
        <v>34 month interval</v>
      </c>
      <c r="E6" s="116" t="str">
        <f ca="1">IFERROR(__xludf.DUMMYFUNCTION("""COMPUTED_VALUE"""),"Toddlerhood - Preschool")</f>
        <v>Toddlerhood - Preschool</v>
      </c>
      <c r="F6" s="117">
        <f ca="1">IFERROR(__xludf.DUMMYFUNCTION("""COMPUTED_VALUE"""),45)</f>
        <v>45</v>
      </c>
      <c r="G6" s="118">
        <f ca="1">IFERROR(__xludf.DUMMYFUNCTION("""COMPUTED_VALUE"""),-0.185733444096171)</f>
        <v>-0.18573344409617101</v>
      </c>
      <c r="H6" s="116">
        <f ca="1">IFERROR(__xludf.DUMMYFUNCTION("""COMPUTED_VALUE"""),0.444444444444444)</f>
        <v>0.44444444444444398</v>
      </c>
      <c r="I6" s="56">
        <f ca="1">IFERROR(__xludf.DUMMYFUNCTION("""COMPUTED_VALUE"""),2000)</f>
        <v>2000</v>
      </c>
      <c r="J6" s="56" t="str">
        <f ca="1">IFERROR(__xludf.DUMMYFUNCTION("""COMPUTED_VALUE"""),"USA")</f>
        <v>USA</v>
      </c>
      <c r="K6" s="56" t="str">
        <f ca="1">IFERROR(__xludf.DUMMYFUNCTION("""COMPUTED_VALUE"""),"Ainsworth/Cassidy-Marvin")</f>
        <v>Ainsworth/Cassidy-Marvin</v>
      </c>
      <c r="L6" s="56">
        <f ca="1">IFERROR(__xludf.DUMMYFUNCTION("""COMPUTED_VALUE"""),1)</f>
        <v>1</v>
      </c>
      <c r="M6" s="56">
        <f ca="1">IFERROR(__xludf.DUMMYFUNCTION("""COMPUTED_VALUE"""),0)</f>
        <v>0</v>
      </c>
      <c r="N6" s="56">
        <f ca="1">IFERROR(__xludf.DUMMYFUNCTION("""COMPUTED_VALUE"""),0)</f>
        <v>0</v>
      </c>
      <c r="O6" s="56">
        <f ca="1">IFERROR(__xludf.DUMMYFUNCTION("""COMPUTED_VALUE"""),1)</f>
        <v>1</v>
      </c>
      <c r="P6" s="56">
        <f ca="1">IFERROR(__xludf.DUMMYFUNCTION("""COMPUTED_VALUE"""),0.82)</f>
        <v>0.82</v>
      </c>
      <c r="Q6" s="56">
        <f ca="1">IFERROR(__xludf.DUMMYFUNCTION("""COMPUTED_VALUE"""),0)</f>
        <v>0</v>
      </c>
      <c r="R6" s="56" t="str">
        <f ca="1">IFERROR(__xludf.DUMMYFUNCTION("""COMPUTED_VALUE"""),"Female")</f>
        <v>Female</v>
      </c>
      <c r="S6" s="119">
        <f ca="1">IFERROR(__xludf.DUMMYFUNCTION("""COMPUTED_VALUE"""),-0.180482686253934)</f>
        <v>-0.18048268625393399</v>
      </c>
    </row>
    <row r="7" spans="1:26" ht="15.75" customHeight="1">
      <c r="A7" s="115">
        <f ca="1">IFERROR(__xludf.DUMMYFUNCTION("""COMPUTED_VALUE"""),4)</f>
        <v>4</v>
      </c>
      <c r="B7" s="115" t="str">
        <f ca="1">IFERROR(__xludf.DUMMYFUNCTION("""COMPUTED_VALUE"""),"Bar-Haimet al. (2000) ")</f>
        <v xml:space="preserve">Bar-Haimet al. (2000) </v>
      </c>
      <c r="C7" s="115">
        <f ca="1">IFERROR(__xludf.DUMMYFUNCTION("""COMPUTED_VALUE"""),3)</f>
        <v>3</v>
      </c>
      <c r="D7" s="115" t="str">
        <f ca="1">IFERROR(__xludf.DUMMYFUNCTION("""COMPUTED_VALUE"""),"44 month interval")</f>
        <v>44 month interval</v>
      </c>
      <c r="E7" s="116" t="str">
        <f ca="1">IFERROR(__xludf.DUMMYFUNCTION("""COMPUTED_VALUE"""),"Infancy - Preschool")</f>
        <v>Infancy - Preschool</v>
      </c>
      <c r="F7" s="117">
        <f ca="1">IFERROR(__xludf.DUMMYFUNCTION("""COMPUTED_VALUE"""),43)</f>
        <v>43</v>
      </c>
      <c r="G7" s="118">
        <f ca="1">IFERROR(__xludf.DUMMYFUNCTION("""COMPUTED_VALUE"""),0.0140372481268719)</f>
        <v>1.4037248126871901E-2</v>
      </c>
      <c r="H7" s="116">
        <f ca="1">IFERROR(__xludf.DUMMYFUNCTION("""COMPUTED_VALUE"""),0.534883720930232)</f>
        <v>0.53488372093023195</v>
      </c>
      <c r="I7" s="56">
        <f ca="1">IFERROR(__xludf.DUMMYFUNCTION("""COMPUTED_VALUE"""),2000)</f>
        <v>2000</v>
      </c>
      <c r="J7" s="56" t="str">
        <f ca="1">IFERROR(__xludf.DUMMYFUNCTION("""COMPUTED_VALUE"""),"USA")</f>
        <v>USA</v>
      </c>
      <c r="K7" s="56" t="str">
        <f ca="1">IFERROR(__xludf.DUMMYFUNCTION("""COMPUTED_VALUE"""),"Ainsworth/Cassidy-Marvin")</f>
        <v>Ainsworth/Cassidy-Marvin</v>
      </c>
      <c r="L7" s="56">
        <f ca="1">IFERROR(__xludf.DUMMYFUNCTION("""COMPUTED_VALUE"""),1)</f>
        <v>1</v>
      </c>
      <c r="M7" s="56">
        <f ca="1">IFERROR(__xludf.DUMMYFUNCTION("""COMPUTED_VALUE"""),0)</f>
        <v>0</v>
      </c>
      <c r="N7" s="56">
        <f ca="1">IFERROR(__xludf.DUMMYFUNCTION("""COMPUTED_VALUE"""),0)</f>
        <v>0</v>
      </c>
      <c r="O7" s="56">
        <f ca="1">IFERROR(__xludf.DUMMYFUNCTION("""COMPUTED_VALUE"""),1)</f>
        <v>1</v>
      </c>
      <c r="P7" s="56">
        <f ca="1">IFERROR(__xludf.DUMMYFUNCTION("""COMPUTED_VALUE"""),0.82)</f>
        <v>0.82</v>
      </c>
      <c r="Q7" s="56">
        <f ca="1">IFERROR(__xludf.DUMMYFUNCTION("""COMPUTED_VALUE"""),0)</f>
        <v>0</v>
      </c>
      <c r="R7" s="56" t="str">
        <f ca="1">IFERROR(__xludf.DUMMYFUNCTION("""COMPUTED_VALUE"""),"Female")</f>
        <v>Female</v>
      </c>
      <c r="S7" s="119">
        <f ca="1">IFERROR(__xludf.DUMMYFUNCTION("""COMPUTED_VALUE"""),0.0137614678899081)</f>
        <v>1.37614678899081E-2</v>
      </c>
    </row>
    <row r="8" spans="1:26" ht="15.75" customHeight="1">
      <c r="A8" s="115">
        <f ca="1">IFERROR(__xludf.DUMMYFUNCTION("""COMPUTED_VALUE"""),5)</f>
        <v>5</v>
      </c>
      <c r="B8" s="115" t="str">
        <f ca="1">IFERROR(__xludf.DUMMYFUNCTION("""COMPUTED_VALUE"""),"Barnett et al. (2006)")</f>
        <v>Barnett et al. (2006)</v>
      </c>
      <c r="C8" s="115">
        <f ca="1">IFERROR(__xludf.DUMMYFUNCTION("""COMPUTED_VALUE"""),1)</f>
        <v>1</v>
      </c>
      <c r="D8" s="115" t="str">
        <f ca="1">IFERROR(__xludf.DUMMYFUNCTION("""COMPUTED_VALUE"""),"Single sample")</f>
        <v>Single sample</v>
      </c>
      <c r="E8" s="116" t="str">
        <f ca="1">IFERROR(__xludf.DUMMYFUNCTION("""COMPUTED_VALUE"""),"Toddlerhood - Preschool")</f>
        <v>Toddlerhood - Preschool</v>
      </c>
      <c r="F8" s="117">
        <f ca="1">IFERROR(__xludf.DUMMYFUNCTION("""COMPUTED_VALUE"""),47)</f>
        <v>47</v>
      </c>
      <c r="G8" s="118">
        <f ca="1">IFERROR(__xludf.DUMMYFUNCTION("""COMPUTED_VALUE"""),-0.0851509843227012)</f>
        <v>-8.5150984322701198E-2</v>
      </c>
      <c r="H8" s="116">
        <f ca="1">IFERROR(__xludf.DUMMYFUNCTION("""COMPUTED_VALUE"""),0.44)</f>
        <v>0.44</v>
      </c>
      <c r="I8" s="56">
        <f ca="1">IFERROR(__xludf.DUMMYFUNCTION("""COMPUTED_VALUE"""),2006)</f>
        <v>2006</v>
      </c>
      <c r="J8" s="56" t="str">
        <f ca="1">IFERROR(__xludf.DUMMYFUNCTION("""COMPUTED_VALUE"""),"USA")</f>
        <v>USA</v>
      </c>
      <c r="K8" s="56" t="str">
        <f ca="1">IFERROR(__xludf.DUMMYFUNCTION("""COMPUTED_VALUE"""),"NA")</f>
        <v>NA</v>
      </c>
      <c r="L8" s="56">
        <f ca="1">IFERROR(__xludf.DUMMYFUNCTION("""COMPUTED_VALUE"""),1)</f>
        <v>1</v>
      </c>
      <c r="M8" s="56">
        <f ca="1">IFERROR(__xludf.DUMMYFUNCTION("""COMPUTED_VALUE"""),0)</f>
        <v>0</v>
      </c>
      <c r="N8" s="56">
        <f ca="1">IFERROR(__xludf.DUMMYFUNCTION("""COMPUTED_VALUE"""),1)</f>
        <v>1</v>
      </c>
      <c r="O8" s="56">
        <f ca="1">IFERROR(__xludf.DUMMYFUNCTION("""COMPUTED_VALUE"""),1)</f>
        <v>1</v>
      </c>
      <c r="P8" s="56">
        <f ca="1">IFERROR(__xludf.DUMMYFUNCTION("""COMPUTED_VALUE"""),0.94)</f>
        <v>0.94</v>
      </c>
      <c r="Q8" s="56">
        <f ca="1">IFERROR(__xludf.DUMMYFUNCTION("""COMPUTED_VALUE"""),0)</f>
        <v>0</v>
      </c>
      <c r="R8" s="56" t="str">
        <f ca="1">IFERROR(__xludf.DUMMYFUNCTION("""COMPUTED_VALUE"""),"Female")</f>
        <v>Female</v>
      </c>
      <c r="S8" s="119">
        <f ca="1">IFERROR(__xludf.DUMMYFUNCTION("""COMPUTED_VALUE"""),-0.0115606936416185)</f>
        <v>-1.15606936416185E-2</v>
      </c>
    </row>
    <row r="9" spans="1:26" ht="15.75" customHeight="1">
      <c r="A9" s="115">
        <f ca="1">IFERROR(__xludf.DUMMYFUNCTION("""COMPUTED_VALUE"""),6)</f>
        <v>6</v>
      </c>
      <c r="B9" s="115" t="str">
        <f ca="1">IFERROR(__xludf.DUMMYFUNCTION("""COMPUTED_VALUE"""),"Barnett, Ganiban &amp; Cicchetti (1999)")</f>
        <v>Barnett, Ganiban &amp; Cicchetti (1999)</v>
      </c>
      <c r="C9" s="115">
        <f ca="1">IFERROR(__xludf.DUMMYFUNCTION("""COMPUTED_VALUE"""),1)</f>
        <v>1</v>
      </c>
      <c r="D9" s="115" t="str">
        <f ca="1">IFERROR(__xludf.DUMMYFUNCTION("""COMPUTED_VALUE"""),"Comparison")</f>
        <v>Comparison</v>
      </c>
      <c r="E9" s="116" t="str">
        <f ca="1">IFERROR(__xludf.DUMMYFUNCTION("""COMPUTED_VALUE"""),"Infancy - Toddlerhood")</f>
        <v>Infancy - Toddlerhood</v>
      </c>
      <c r="F9" s="117">
        <f ca="1">IFERROR(__xludf.DUMMYFUNCTION("""COMPUTED_VALUE"""),20)</f>
        <v>20</v>
      </c>
      <c r="G9" s="118">
        <f ca="1">IFERROR(__xludf.DUMMYFUNCTION("""COMPUTED_VALUE"""),0.328243975944887)</f>
        <v>0.32824397594488702</v>
      </c>
      <c r="H9" s="116">
        <f ca="1">IFERROR(__xludf.DUMMYFUNCTION("""COMPUTED_VALUE"""),0.65)</f>
        <v>0.65</v>
      </c>
      <c r="I9" s="56">
        <f ca="1">IFERROR(__xludf.DUMMYFUNCTION("""COMPUTED_VALUE"""),1999)</f>
        <v>1999</v>
      </c>
      <c r="J9" s="56" t="str">
        <f ca="1">IFERROR(__xludf.DUMMYFUNCTION("""COMPUTED_VALUE"""),"USA")</f>
        <v>USA</v>
      </c>
      <c r="K9" s="56" t="str">
        <f ca="1">IFERROR(__xludf.DUMMYFUNCTION("""COMPUTED_VALUE"""),"Ainsworth/Ainsworth")</f>
        <v>Ainsworth/Ainsworth</v>
      </c>
      <c r="L9" s="56">
        <f ca="1">IFERROR(__xludf.DUMMYFUNCTION("""COMPUTED_VALUE"""),1)</f>
        <v>1</v>
      </c>
      <c r="M9" s="56">
        <f ca="1">IFERROR(__xludf.DUMMYFUNCTION("""COMPUTED_VALUE"""),0)</f>
        <v>0</v>
      </c>
      <c r="N9" s="56">
        <f ca="1">IFERROR(__xludf.DUMMYFUNCTION("""COMPUTED_VALUE"""),0)</f>
        <v>0</v>
      </c>
      <c r="O9" s="56">
        <f ca="1">IFERROR(__xludf.DUMMYFUNCTION("""COMPUTED_VALUE"""),1)</f>
        <v>1</v>
      </c>
      <c r="P9" s="56">
        <f ca="1">IFERROR(__xludf.DUMMYFUNCTION("""COMPUTED_VALUE"""),0.895)</f>
        <v>0.89500000000000002</v>
      </c>
      <c r="Q9" s="56">
        <f ca="1">IFERROR(__xludf.DUMMYFUNCTION("""COMPUTED_VALUE"""),0)</f>
        <v>0</v>
      </c>
      <c r="R9" s="56" t="str">
        <f ca="1">IFERROR(__xludf.DUMMYFUNCTION("""COMPUTED_VALUE"""),"Female")</f>
        <v>Female</v>
      </c>
      <c r="S9" s="119">
        <f ca="1">IFERROR(__xludf.DUMMYFUNCTION("""COMPUTED_VALUE"""),0.313725490196078)</f>
        <v>0.31372549019607798</v>
      </c>
    </row>
    <row r="10" spans="1:26" ht="15.75" customHeight="1">
      <c r="A10" s="115">
        <f ca="1">IFERROR(__xludf.DUMMYFUNCTION("""COMPUTED_VALUE"""),6)</f>
        <v>6</v>
      </c>
      <c r="B10" s="115" t="str">
        <f ca="1">IFERROR(__xludf.DUMMYFUNCTION("""COMPUTED_VALUE"""),"Barnett, Ganiban &amp; Cicchetti (1999)")</f>
        <v>Barnett, Ganiban &amp; Cicchetti (1999)</v>
      </c>
      <c r="C10" s="115">
        <f ca="1">IFERROR(__xludf.DUMMYFUNCTION("""COMPUTED_VALUE"""),2)</f>
        <v>2</v>
      </c>
      <c r="D10" s="115" t="str">
        <f ca="1">IFERROR(__xludf.DUMMYFUNCTION("""COMPUTED_VALUE"""),"Comparison")</f>
        <v>Comparison</v>
      </c>
      <c r="E10" s="116" t="str">
        <f ca="1">IFERROR(__xludf.DUMMYFUNCTION("""COMPUTED_VALUE"""),"Infancy - Infancy")</f>
        <v>Infancy - Infancy</v>
      </c>
      <c r="F10" s="117">
        <f ca="1">IFERROR(__xludf.DUMMYFUNCTION("""COMPUTED_VALUE"""),21)</f>
        <v>21</v>
      </c>
      <c r="G10" s="118">
        <f ca="1">IFERROR(__xludf.DUMMYFUNCTION("""COMPUTED_VALUE"""),0.440385506050544)</f>
        <v>0.440385506050544</v>
      </c>
      <c r="H10" s="116">
        <f ca="1">IFERROR(__xludf.DUMMYFUNCTION("""COMPUTED_VALUE"""),0.714285714285714)</f>
        <v>0.71428571428571397</v>
      </c>
      <c r="I10" s="56">
        <f ca="1">IFERROR(__xludf.DUMMYFUNCTION("""COMPUTED_VALUE"""),1999)</f>
        <v>1999</v>
      </c>
      <c r="J10" s="56" t="str">
        <f ca="1">IFERROR(__xludf.DUMMYFUNCTION("""COMPUTED_VALUE"""),"USA")</f>
        <v>USA</v>
      </c>
      <c r="K10" s="56" t="str">
        <f ca="1">IFERROR(__xludf.DUMMYFUNCTION("""COMPUTED_VALUE"""),"Ainsworth/Ainsworth")</f>
        <v>Ainsworth/Ainsworth</v>
      </c>
      <c r="L10" s="56">
        <f ca="1">IFERROR(__xludf.DUMMYFUNCTION("""COMPUTED_VALUE"""),1)</f>
        <v>1</v>
      </c>
      <c r="M10" s="56">
        <f ca="1">IFERROR(__xludf.DUMMYFUNCTION("""COMPUTED_VALUE"""),0)</f>
        <v>0</v>
      </c>
      <c r="N10" s="56">
        <f ca="1">IFERROR(__xludf.DUMMYFUNCTION("""COMPUTED_VALUE"""),0)</f>
        <v>0</v>
      </c>
      <c r="O10" s="56">
        <f ca="1">IFERROR(__xludf.DUMMYFUNCTION("""COMPUTED_VALUE"""),1)</f>
        <v>1</v>
      </c>
      <c r="P10" s="56">
        <f ca="1">IFERROR(__xludf.DUMMYFUNCTION("""COMPUTED_VALUE"""),0.865)</f>
        <v>0.86499999999999999</v>
      </c>
      <c r="Q10" s="56">
        <f ca="1">IFERROR(__xludf.DUMMYFUNCTION("""COMPUTED_VALUE"""),0)</f>
        <v>0</v>
      </c>
      <c r="R10" s="56" t="str">
        <f ca="1">IFERROR(__xludf.DUMMYFUNCTION("""COMPUTED_VALUE"""),"Female")</f>
        <v>Female</v>
      </c>
      <c r="S10" s="119">
        <f ca="1">IFERROR(__xludf.DUMMYFUNCTION("""COMPUTED_VALUE"""),0.432432432432432)</f>
        <v>0.43243243243243201</v>
      </c>
    </row>
    <row r="11" spans="1:26" ht="15.75" customHeight="1">
      <c r="A11" s="115">
        <f ca="1">IFERROR(__xludf.DUMMYFUNCTION("""COMPUTED_VALUE"""),6)</f>
        <v>6</v>
      </c>
      <c r="B11" s="115" t="str">
        <f ca="1">IFERROR(__xludf.DUMMYFUNCTION("""COMPUTED_VALUE"""),"Barnett, Ganiban &amp; Cicchetti (1999)")</f>
        <v>Barnett, Ganiban &amp; Cicchetti (1999)</v>
      </c>
      <c r="C11" s="115">
        <f ca="1">IFERROR(__xludf.DUMMYFUNCTION("""COMPUTED_VALUE"""),3)</f>
        <v>3</v>
      </c>
      <c r="D11" s="115" t="str">
        <f ca="1">IFERROR(__xludf.DUMMYFUNCTION("""COMPUTED_VALUE"""),"Comparison")</f>
        <v>Comparison</v>
      </c>
      <c r="E11" s="116" t="str">
        <f ca="1">IFERROR(__xludf.DUMMYFUNCTION("""COMPUTED_VALUE"""),"Infancy - Toddlerhood")</f>
        <v>Infancy - Toddlerhood</v>
      </c>
      <c r="F11" s="117">
        <f ca="1">IFERROR(__xludf.DUMMYFUNCTION("""COMPUTED_VALUE"""),20)</f>
        <v>20</v>
      </c>
      <c r="G11" s="118">
        <f ca="1">IFERROR(__xludf.DUMMYFUNCTION("""COMPUTED_VALUE"""),0.502518907629606)</f>
        <v>0.50251890762960605</v>
      </c>
      <c r="H11" s="116">
        <f ca="1">IFERROR(__xludf.DUMMYFUNCTION("""COMPUTED_VALUE"""),0.75)</f>
        <v>0.75</v>
      </c>
      <c r="I11" s="56">
        <f ca="1">IFERROR(__xludf.DUMMYFUNCTION("""COMPUTED_VALUE"""),1999)</f>
        <v>1999</v>
      </c>
      <c r="J11" s="56" t="str">
        <f ca="1">IFERROR(__xludf.DUMMYFUNCTION("""COMPUTED_VALUE"""),"USA")</f>
        <v>USA</v>
      </c>
      <c r="K11" s="56" t="str">
        <f ca="1">IFERROR(__xludf.DUMMYFUNCTION("""COMPUTED_VALUE"""),"Ainsworth/Ainsworth")</f>
        <v>Ainsworth/Ainsworth</v>
      </c>
      <c r="L11" s="56">
        <f ca="1">IFERROR(__xludf.DUMMYFUNCTION("""COMPUTED_VALUE"""),1)</f>
        <v>1</v>
      </c>
      <c r="M11" s="56">
        <f ca="1">IFERROR(__xludf.DUMMYFUNCTION("""COMPUTED_VALUE"""),0)</f>
        <v>0</v>
      </c>
      <c r="N11" s="56">
        <f ca="1">IFERROR(__xludf.DUMMYFUNCTION("""COMPUTED_VALUE"""),0)</f>
        <v>0</v>
      </c>
      <c r="O11" s="56">
        <f ca="1">IFERROR(__xludf.DUMMYFUNCTION("""COMPUTED_VALUE"""),1)</f>
        <v>1</v>
      </c>
      <c r="P11" s="56">
        <f ca="1">IFERROR(__xludf.DUMMYFUNCTION("""COMPUTED_VALUE"""),0.88)</f>
        <v>0.88</v>
      </c>
      <c r="Q11" s="56">
        <f ca="1">IFERROR(__xludf.DUMMYFUNCTION("""COMPUTED_VALUE"""),0)</f>
        <v>0</v>
      </c>
      <c r="R11" s="56" t="str">
        <f ca="1">IFERROR(__xludf.DUMMYFUNCTION("""COMPUTED_VALUE"""),"Female")</f>
        <v>Female</v>
      </c>
      <c r="S11" s="119">
        <f ca="1">IFERROR(__xludf.DUMMYFUNCTION("""COMPUTED_VALUE"""),0.5)</f>
        <v>0.5</v>
      </c>
    </row>
    <row r="12" spans="1:26" ht="15.75" customHeight="1">
      <c r="A12" s="115">
        <f ca="1">IFERROR(__xludf.DUMMYFUNCTION("""COMPUTED_VALUE"""),7)</f>
        <v>7</v>
      </c>
      <c r="B12" s="115" t="str">
        <f ca="1">IFERROR(__xludf.DUMMYFUNCTION("""COMPUTED_VALUE"""),"Barnett, Ganiban &amp; Cicchetti (1999)")</f>
        <v>Barnett, Ganiban &amp; Cicchetti (1999)</v>
      </c>
      <c r="C12" s="115">
        <f ca="1">IFERROR(__xludf.DUMMYFUNCTION("""COMPUTED_VALUE"""),1)</f>
        <v>1</v>
      </c>
      <c r="D12" s="115" t="str">
        <f ca="1">IFERROR(__xludf.DUMMYFUNCTION("""COMPUTED_VALUE"""),"Maltreated")</f>
        <v>Maltreated</v>
      </c>
      <c r="E12" s="116" t="str">
        <f ca="1">IFERROR(__xludf.DUMMYFUNCTION("""COMPUTED_VALUE"""),"Infancy - Toddlerhood")</f>
        <v>Infancy - Toddlerhood</v>
      </c>
      <c r="F12" s="117">
        <f ca="1">IFERROR(__xludf.DUMMYFUNCTION("""COMPUTED_VALUE"""),16)</f>
        <v>16</v>
      </c>
      <c r="G12" s="118">
        <f ca="1">IFERROR(__xludf.DUMMYFUNCTION("""COMPUTED_VALUE"""),1)</f>
        <v>1</v>
      </c>
      <c r="H12" s="116">
        <f ca="1">IFERROR(__xludf.DUMMYFUNCTION("""COMPUTED_VALUE"""),1)</f>
        <v>1</v>
      </c>
      <c r="I12" s="56">
        <f ca="1">IFERROR(__xludf.DUMMYFUNCTION("""COMPUTED_VALUE"""),1999)</f>
        <v>1999</v>
      </c>
      <c r="J12" s="56" t="str">
        <f ca="1">IFERROR(__xludf.DUMMYFUNCTION("""COMPUTED_VALUE"""),"USA")</f>
        <v>USA</v>
      </c>
      <c r="K12" s="56" t="str">
        <f ca="1">IFERROR(__xludf.DUMMYFUNCTION("""COMPUTED_VALUE"""),"Ainsworth/Ainsworth")</f>
        <v>Ainsworth/Ainsworth</v>
      </c>
      <c r="L12" s="56">
        <f ca="1">IFERROR(__xludf.DUMMYFUNCTION("""COMPUTED_VALUE"""),1)</f>
        <v>1</v>
      </c>
      <c r="M12" s="56">
        <f ca="1">IFERROR(__xludf.DUMMYFUNCTION("""COMPUTED_VALUE"""),1)</f>
        <v>1</v>
      </c>
      <c r="N12" s="56">
        <f ca="1">IFERROR(__xludf.DUMMYFUNCTION("""COMPUTED_VALUE"""),0)</f>
        <v>0</v>
      </c>
      <c r="O12" s="56">
        <f ca="1">IFERROR(__xludf.DUMMYFUNCTION("""COMPUTED_VALUE"""),1)</f>
        <v>1</v>
      </c>
      <c r="P12" s="56">
        <f ca="1">IFERROR(__xludf.DUMMYFUNCTION("""COMPUTED_VALUE"""),0.895)</f>
        <v>0.89500000000000002</v>
      </c>
      <c r="Q12" s="56">
        <f ca="1">IFERROR(__xludf.DUMMYFUNCTION("""COMPUTED_VALUE"""),0)</f>
        <v>0</v>
      </c>
      <c r="R12" s="56" t="str">
        <f ca="1">IFERROR(__xludf.DUMMYFUNCTION("""COMPUTED_VALUE"""),"Female")</f>
        <v>Female</v>
      </c>
      <c r="S12" s="119">
        <f ca="1">IFERROR(__xludf.DUMMYFUNCTION("""COMPUTED_VALUE"""),1)</f>
        <v>1</v>
      </c>
    </row>
    <row r="13" spans="1:26" ht="15.75" customHeight="1">
      <c r="A13" s="115">
        <f ca="1">IFERROR(__xludf.DUMMYFUNCTION("""COMPUTED_VALUE"""),7)</f>
        <v>7</v>
      </c>
      <c r="B13" s="115" t="str">
        <f ca="1">IFERROR(__xludf.DUMMYFUNCTION("""COMPUTED_VALUE"""),"Barnett, Ganiban &amp; Cicchetti (1999)")</f>
        <v>Barnett, Ganiban &amp; Cicchetti (1999)</v>
      </c>
      <c r="C13" s="115">
        <f ca="1">IFERROR(__xludf.DUMMYFUNCTION("""COMPUTED_VALUE"""),2)</f>
        <v>2</v>
      </c>
      <c r="D13" s="115" t="str">
        <f ca="1">IFERROR(__xludf.DUMMYFUNCTION("""COMPUTED_VALUE"""),"Maltreated")</f>
        <v>Maltreated</v>
      </c>
      <c r="E13" s="116" t="str">
        <f ca="1">IFERROR(__xludf.DUMMYFUNCTION("""COMPUTED_VALUE"""),"Infancy - Infancy")</f>
        <v>Infancy - Infancy</v>
      </c>
      <c r="F13" s="117">
        <f ca="1">IFERROR(__xludf.DUMMYFUNCTION("""COMPUTED_VALUE"""),18)</f>
        <v>18</v>
      </c>
      <c r="G13" s="118">
        <f ca="1">IFERROR(__xludf.DUMMYFUNCTION("""COMPUTED_VALUE"""),0.478091443733757)</f>
        <v>0.478091443733757</v>
      </c>
      <c r="H13" s="116">
        <f ca="1">IFERROR(__xludf.DUMMYFUNCTION("""COMPUTED_VALUE"""),0.833333333333333)</f>
        <v>0.83333333333333304</v>
      </c>
      <c r="I13" s="56">
        <f ca="1">IFERROR(__xludf.DUMMYFUNCTION("""COMPUTED_VALUE"""),1999)</f>
        <v>1999</v>
      </c>
      <c r="J13" s="56" t="str">
        <f ca="1">IFERROR(__xludf.DUMMYFUNCTION("""COMPUTED_VALUE"""),"USA")</f>
        <v>USA</v>
      </c>
      <c r="K13" s="56" t="str">
        <f ca="1">IFERROR(__xludf.DUMMYFUNCTION("""COMPUTED_VALUE"""),"Ainsworth/Ainsworth")</f>
        <v>Ainsworth/Ainsworth</v>
      </c>
      <c r="L13" s="56">
        <f ca="1">IFERROR(__xludf.DUMMYFUNCTION("""COMPUTED_VALUE"""),1)</f>
        <v>1</v>
      </c>
      <c r="M13" s="56">
        <f ca="1">IFERROR(__xludf.DUMMYFUNCTION("""COMPUTED_VALUE"""),1)</f>
        <v>1</v>
      </c>
      <c r="N13" s="56">
        <f ca="1">IFERROR(__xludf.DUMMYFUNCTION("""COMPUTED_VALUE"""),0)</f>
        <v>0</v>
      </c>
      <c r="O13" s="56">
        <f ca="1">IFERROR(__xludf.DUMMYFUNCTION("""COMPUTED_VALUE"""),1)</f>
        <v>1</v>
      </c>
      <c r="P13" s="56">
        <f ca="1">IFERROR(__xludf.DUMMYFUNCTION("""COMPUTED_VALUE"""),0.865)</f>
        <v>0.86499999999999999</v>
      </c>
      <c r="Q13" s="56">
        <f ca="1">IFERROR(__xludf.DUMMYFUNCTION("""COMPUTED_VALUE"""),0)</f>
        <v>0</v>
      </c>
      <c r="R13" s="56" t="str">
        <f ca="1">IFERROR(__xludf.DUMMYFUNCTION("""COMPUTED_VALUE"""),"Female")</f>
        <v>Female</v>
      </c>
      <c r="S13" s="119">
        <f ca="1">IFERROR(__xludf.DUMMYFUNCTION("""COMPUTED_VALUE"""),0.470588235294117)</f>
        <v>0.47058823529411697</v>
      </c>
    </row>
    <row r="14" spans="1:26" ht="15.75" customHeight="1">
      <c r="A14" s="115">
        <f ca="1">IFERROR(__xludf.DUMMYFUNCTION("""COMPUTED_VALUE"""),7)</f>
        <v>7</v>
      </c>
      <c r="B14" s="115" t="str">
        <f ca="1">IFERROR(__xludf.DUMMYFUNCTION("""COMPUTED_VALUE"""),"Barnett, Ganiban &amp; Cicchetti (1999)")</f>
        <v>Barnett, Ganiban &amp; Cicchetti (1999)</v>
      </c>
      <c r="C14" s="115">
        <f ca="1">IFERROR(__xludf.DUMMYFUNCTION("""COMPUTED_VALUE"""),3)</f>
        <v>3</v>
      </c>
      <c r="D14" s="115" t="str">
        <f ca="1">IFERROR(__xludf.DUMMYFUNCTION("""COMPUTED_VALUE"""),"Maltreated")</f>
        <v>Maltreated</v>
      </c>
      <c r="E14" s="116" t="str">
        <f ca="1">IFERROR(__xludf.DUMMYFUNCTION("""COMPUTED_VALUE"""),"Infancy - Toddlerhood")</f>
        <v>Infancy - Toddlerhood</v>
      </c>
      <c r="F14" s="117">
        <f ca="1">IFERROR(__xludf.DUMMYFUNCTION("""COMPUTED_VALUE"""),16)</f>
        <v>16</v>
      </c>
      <c r="G14" s="118">
        <f ca="1">IFERROR(__xludf.DUMMYFUNCTION("""COMPUTED_VALUE"""),0.302613766334401)</f>
        <v>0.30261376633440101</v>
      </c>
      <c r="H14" s="116">
        <f ca="1">IFERROR(__xludf.DUMMYFUNCTION("""COMPUTED_VALUE"""),0.8125)</f>
        <v>0.8125</v>
      </c>
      <c r="I14" s="56">
        <f ca="1">IFERROR(__xludf.DUMMYFUNCTION("""COMPUTED_VALUE"""),1999)</f>
        <v>1999</v>
      </c>
      <c r="J14" s="56" t="str">
        <f ca="1">IFERROR(__xludf.DUMMYFUNCTION("""COMPUTED_VALUE"""),"USA")</f>
        <v>USA</v>
      </c>
      <c r="K14" s="56" t="str">
        <f ca="1">IFERROR(__xludf.DUMMYFUNCTION("""COMPUTED_VALUE"""),"Ainsworth/Ainsworth")</f>
        <v>Ainsworth/Ainsworth</v>
      </c>
      <c r="L14" s="56">
        <f ca="1">IFERROR(__xludf.DUMMYFUNCTION("""COMPUTED_VALUE"""),1)</f>
        <v>1</v>
      </c>
      <c r="M14" s="56">
        <f ca="1">IFERROR(__xludf.DUMMYFUNCTION("""COMPUTED_VALUE"""),1)</f>
        <v>1</v>
      </c>
      <c r="N14" s="56">
        <f ca="1">IFERROR(__xludf.DUMMYFUNCTION("""COMPUTED_VALUE"""),0)</f>
        <v>0</v>
      </c>
      <c r="O14" s="56">
        <f ca="1">IFERROR(__xludf.DUMMYFUNCTION("""COMPUTED_VALUE"""),1)</f>
        <v>1</v>
      </c>
      <c r="P14" s="56">
        <f ca="1">IFERROR(__xludf.DUMMYFUNCTION("""COMPUTED_VALUE"""),0.88)</f>
        <v>0.88</v>
      </c>
      <c r="Q14" s="56">
        <f ca="1">IFERROR(__xludf.DUMMYFUNCTION("""COMPUTED_VALUE"""),0)</f>
        <v>0</v>
      </c>
      <c r="R14" s="56" t="str">
        <f ca="1">IFERROR(__xludf.DUMMYFUNCTION("""COMPUTED_VALUE"""),"Female")</f>
        <v>Female</v>
      </c>
      <c r="S14" s="119">
        <f ca="1">IFERROR(__xludf.DUMMYFUNCTION("""COMPUTED_VALUE"""),0.294117647058823)</f>
        <v>0.29411764705882298</v>
      </c>
    </row>
    <row r="15" spans="1:26" ht="15.75" customHeight="1">
      <c r="A15" s="115">
        <f ca="1">IFERROR(__xludf.DUMMYFUNCTION("""COMPUTED_VALUE"""),8)</f>
        <v>8</v>
      </c>
      <c r="B15" s="115" t="str">
        <f ca="1">IFERROR(__xludf.DUMMYFUNCTION("""COMPUTED_VALUE"""),"Cicchetti &amp; Barnett (1991)")</f>
        <v>Cicchetti &amp; Barnett (1991)</v>
      </c>
      <c r="C15" s="115">
        <f ca="1">IFERROR(__xludf.DUMMYFUNCTION("""COMPUTED_VALUE"""),1)</f>
        <v>1</v>
      </c>
      <c r="D15" s="115" t="str">
        <f ca="1">IFERROR(__xludf.DUMMYFUNCTION("""COMPUTED_VALUE"""),"Maltreated, 18 month interval")</f>
        <v>Maltreated, 18 month interval</v>
      </c>
      <c r="E15" s="116" t="str">
        <f ca="1">IFERROR(__xludf.DUMMYFUNCTION("""COMPUTED_VALUE"""),"Toddlerhood - Preschool")</f>
        <v>Toddlerhood - Preschool</v>
      </c>
      <c r="F15" s="117">
        <f ca="1">IFERROR(__xludf.DUMMYFUNCTION("""COMPUTED_VALUE"""),18)</f>
        <v>18</v>
      </c>
      <c r="G15" s="118">
        <f ca="1">IFERROR(__xludf.DUMMYFUNCTION("""COMPUTED_VALUE"""),0.478091443733757)</f>
        <v>0.478091443733757</v>
      </c>
      <c r="H15" s="116">
        <f ca="1">IFERROR(__xludf.DUMMYFUNCTION("""COMPUTED_VALUE"""),0.833333333333333)</f>
        <v>0.83333333333333304</v>
      </c>
      <c r="I15" s="56">
        <f ca="1">IFERROR(__xludf.DUMMYFUNCTION("""COMPUTED_VALUE"""),1991)</f>
        <v>1991</v>
      </c>
      <c r="J15" s="56" t="str">
        <f ca="1">IFERROR(__xludf.DUMMYFUNCTION("""COMPUTED_VALUE"""),"USA")</f>
        <v>USA</v>
      </c>
      <c r="K15" s="56" t="str">
        <f ca="1">IFERROR(__xludf.DUMMYFUNCTION("""COMPUTED_VALUE"""),"Cassidy-Marvin/Cassidy-Marvin")</f>
        <v>Cassidy-Marvin/Cassidy-Marvin</v>
      </c>
      <c r="L15" s="56">
        <f ca="1">IFERROR(__xludf.DUMMYFUNCTION("""COMPUTED_VALUE"""),1)</f>
        <v>1</v>
      </c>
      <c r="M15" s="56">
        <f ca="1">IFERROR(__xludf.DUMMYFUNCTION("""COMPUTED_VALUE"""),1)</f>
        <v>1</v>
      </c>
      <c r="N15" s="56">
        <f ca="1">IFERROR(__xludf.DUMMYFUNCTION("""COMPUTED_VALUE"""),0)</f>
        <v>0</v>
      </c>
      <c r="O15" s="56">
        <f ca="1">IFERROR(__xludf.DUMMYFUNCTION("""COMPUTED_VALUE"""),1)</f>
        <v>1</v>
      </c>
      <c r="P15" s="56">
        <f ca="1">IFERROR(__xludf.DUMMYFUNCTION("""COMPUTED_VALUE"""),0.75)</f>
        <v>0.75</v>
      </c>
      <c r="Q15" s="56">
        <f ca="1">IFERROR(__xludf.DUMMYFUNCTION("""COMPUTED_VALUE"""),0)</f>
        <v>0</v>
      </c>
      <c r="R15" s="56" t="str">
        <f ca="1">IFERROR(__xludf.DUMMYFUNCTION("""COMPUTED_VALUE"""),"Mixed")</f>
        <v>Mixed</v>
      </c>
      <c r="S15" s="119">
        <f ca="1">IFERROR(__xludf.DUMMYFUNCTION("""COMPUTED_VALUE"""),0.470588235294117)</f>
        <v>0.47058823529411697</v>
      </c>
    </row>
    <row r="16" spans="1:26" ht="15.75" customHeight="1">
      <c r="A16" s="115">
        <f ca="1">IFERROR(__xludf.DUMMYFUNCTION("""COMPUTED_VALUE"""),8)</f>
        <v>8</v>
      </c>
      <c r="B16" s="115" t="str">
        <f ca="1">IFERROR(__xludf.DUMMYFUNCTION("""COMPUTED_VALUE"""),"Cicchetti &amp; Barnett (1991)")</f>
        <v>Cicchetti &amp; Barnett (1991)</v>
      </c>
      <c r="C16" s="115">
        <f ca="1">IFERROR(__xludf.DUMMYFUNCTION("""COMPUTED_VALUE"""),2)</f>
        <v>2</v>
      </c>
      <c r="D16" s="115" t="str">
        <f ca="1">IFERROR(__xludf.DUMMYFUNCTION("""COMPUTED_VALUE"""),"Maltreated, 12 month interval")</f>
        <v>Maltreated, 12 month interval</v>
      </c>
      <c r="E16" s="116" t="str">
        <f ca="1">IFERROR(__xludf.DUMMYFUNCTION("""COMPUTED_VALUE"""),"Toddlerhood - Preschool")</f>
        <v>Toddlerhood - Preschool</v>
      </c>
      <c r="F16" s="117">
        <f ca="1">IFERROR(__xludf.DUMMYFUNCTION("""COMPUTED_VALUE"""),25)</f>
        <v>25</v>
      </c>
      <c r="G16" s="118">
        <f ca="1">IFERROR(__xludf.DUMMYFUNCTION("""COMPUTED_VALUE"""),0.122807017543859)</f>
        <v>0.122807017543859</v>
      </c>
      <c r="H16" s="116">
        <f ca="1">IFERROR(__xludf.DUMMYFUNCTION("""COMPUTED_VALUE"""),0.68)</f>
        <v>0.68</v>
      </c>
      <c r="I16" s="56">
        <f ca="1">IFERROR(__xludf.DUMMYFUNCTION("""COMPUTED_VALUE"""),1991)</f>
        <v>1991</v>
      </c>
      <c r="J16" s="56" t="str">
        <f ca="1">IFERROR(__xludf.DUMMYFUNCTION("""COMPUTED_VALUE"""),"USA")</f>
        <v>USA</v>
      </c>
      <c r="K16" s="56" t="str">
        <f ca="1">IFERROR(__xludf.DUMMYFUNCTION("""COMPUTED_VALUE"""),"Cassidy-Marvin/Cassidy-Marvin")</f>
        <v>Cassidy-Marvin/Cassidy-Marvin</v>
      </c>
      <c r="L16" s="56">
        <f ca="1">IFERROR(__xludf.DUMMYFUNCTION("""COMPUTED_VALUE"""),1)</f>
        <v>1</v>
      </c>
      <c r="M16" s="56">
        <f ca="1">IFERROR(__xludf.DUMMYFUNCTION("""COMPUTED_VALUE"""),1)</f>
        <v>1</v>
      </c>
      <c r="N16" s="56">
        <f ca="1">IFERROR(__xludf.DUMMYFUNCTION("""COMPUTED_VALUE"""),0)</f>
        <v>0</v>
      </c>
      <c r="O16" s="56">
        <f ca="1">IFERROR(__xludf.DUMMYFUNCTION("""COMPUTED_VALUE"""),1)</f>
        <v>1</v>
      </c>
      <c r="P16" s="56">
        <f ca="1">IFERROR(__xludf.DUMMYFUNCTION("""COMPUTED_VALUE"""),0.75)</f>
        <v>0.75</v>
      </c>
      <c r="Q16" s="56">
        <f ca="1">IFERROR(__xludf.DUMMYFUNCTION("""COMPUTED_VALUE"""),0)</f>
        <v>0</v>
      </c>
      <c r="R16" s="56" t="str">
        <f ca="1">IFERROR(__xludf.DUMMYFUNCTION("""COMPUTED_VALUE"""),"Mixed")</f>
        <v>Mixed</v>
      </c>
      <c r="S16" s="119">
        <f ca="1">IFERROR(__xludf.DUMMYFUNCTION("""COMPUTED_VALUE"""),0.122807017543859)</f>
        <v>0.122807017543859</v>
      </c>
    </row>
    <row r="17" spans="1:19" ht="15.75" customHeight="1">
      <c r="A17" s="115">
        <f ca="1">IFERROR(__xludf.DUMMYFUNCTION("""COMPUTED_VALUE"""),9)</f>
        <v>9</v>
      </c>
      <c r="B17" s="115" t="str">
        <f ca="1">IFERROR(__xludf.DUMMYFUNCTION("""COMPUTED_VALUE"""),"Cicchetti &amp; Barnett (1991)")</f>
        <v>Cicchetti &amp; Barnett (1991)</v>
      </c>
      <c r="C17" s="115">
        <f ca="1">IFERROR(__xludf.DUMMYFUNCTION("""COMPUTED_VALUE"""),1)</f>
        <v>1</v>
      </c>
      <c r="D17" s="115" t="str">
        <f ca="1">IFERROR(__xludf.DUMMYFUNCTION("""COMPUTED_VALUE"""),"Comparison, 18 month interval")</f>
        <v>Comparison, 18 month interval</v>
      </c>
      <c r="E17" s="116" t="str">
        <f ca="1">IFERROR(__xludf.DUMMYFUNCTION("""COMPUTED_VALUE"""),"Toddlerhood - Preschool")</f>
        <v>Toddlerhood - Preschool</v>
      </c>
      <c r="F17" s="117">
        <f ca="1">IFERROR(__xludf.DUMMYFUNCTION("""COMPUTED_VALUE"""),20)</f>
        <v>20</v>
      </c>
      <c r="G17" s="118">
        <f ca="1">IFERROR(__xludf.DUMMYFUNCTION("""COMPUTED_VALUE"""),0.490990253030982)</f>
        <v>0.49099025303098198</v>
      </c>
      <c r="H17" s="116">
        <f ca="1">IFERROR(__xludf.DUMMYFUNCTION("""COMPUTED_VALUE"""),0.8)</f>
        <v>0.8</v>
      </c>
      <c r="I17" s="56">
        <f ca="1">IFERROR(__xludf.DUMMYFUNCTION("""COMPUTED_VALUE"""),1991)</f>
        <v>1991</v>
      </c>
      <c r="J17" s="56" t="str">
        <f ca="1">IFERROR(__xludf.DUMMYFUNCTION("""COMPUTED_VALUE"""),"USA")</f>
        <v>USA</v>
      </c>
      <c r="K17" s="56" t="str">
        <f ca="1">IFERROR(__xludf.DUMMYFUNCTION("""COMPUTED_VALUE"""),"Cassidy-Marvin/Cassidy-Marvin")</f>
        <v>Cassidy-Marvin/Cassidy-Marvin</v>
      </c>
      <c r="L17" s="56">
        <f ca="1">IFERROR(__xludf.DUMMYFUNCTION("""COMPUTED_VALUE"""),1)</f>
        <v>1</v>
      </c>
      <c r="M17" s="56">
        <f ca="1">IFERROR(__xludf.DUMMYFUNCTION("""COMPUTED_VALUE"""),1)</f>
        <v>1</v>
      </c>
      <c r="N17" s="56">
        <f ca="1">IFERROR(__xludf.DUMMYFUNCTION("""COMPUTED_VALUE"""),0)</f>
        <v>0</v>
      </c>
      <c r="O17" s="56">
        <f ca="1">IFERROR(__xludf.DUMMYFUNCTION("""COMPUTED_VALUE"""),1)</f>
        <v>1</v>
      </c>
      <c r="P17" s="56">
        <f ca="1">IFERROR(__xludf.DUMMYFUNCTION("""COMPUTED_VALUE"""),0.75)</f>
        <v>0.75</v>
      </c>
      <c r="Q17" s="56">
        <f ca="1">IFERROR(__xludf.DUMMYFUNCTION("""COMPUTED_VALUE"""),0)</f>
        <v>0</v>
      </c>
      <c r="R17" s="56" t="str">
        <f ca="1">IFERROR(__xludf.DUMMYFUNCTION("""COMPUTED_VALUE"""),"Mixed")</f>
        <v>Mixed</v>
      </c>
      <c r="S17" s="119">
        <f ca="1">IFERROR(__xludf.DUMMYFUNCTION("""COMPUTED_VALUE"""),0.473684210526315)</f>
        <v>0.47368421052631499</v>
      </c>
    </row>
    <row r="18" spans="1:19" ht="15.75" customHeight="1">
      <c r="A18" s="115">
        <f ca="1">IFERROR(__xludf.DUMMYFUNCTION("""COMPUTED_VALUE"""),9)</f>
        <v>9</v>
      </c>
      <c r="B18" s="115" t="str">
        <f ca="1">IFERROR(__xludf.DUMMYFUNCTION("""COMPUTED_VALUE"""),"Cicchetti &amp; Barnett (1991)")</f>
        <v>Cicchetti &amp; Barnett (1991)</v>
      </c>
      <c r="C18" s="115">
        <f ca="1">IFERROR(__xludf.DUMMYFUNCTION("""COMPUTED_VALUE"""),2)</f>
        <v>2</v>
      </c>
      <c r="D18" s="115" t="str">
        <f ca="1">IFERROR(__xludf.DUMMYFUNCTION("""COMPUTED_VALUE"""),"Comparison, 12 month interval")</f>
        <v>Comparison, 12 month interval</v>
      </c>
      <c r="E18" s="116" t="str">
        <f ca="1">IFERROR(__xludf.DUMMYFUNCTION("""COMPUTED_VALUE"""),"Toddlerhood - Preschool")</f>
        <v>Toddlerhood - Preschool</v>
      </c>
      <c r="F18" s="117">
        <f ca="1">IFERROR(__xludf.DUMMYFUNCTION("""COMPUTED_VALUE"""),15)</f>
        <v>15</v>
      </c>
      <c r="G18" s="118">
        <f ca="1">IFERROR(__xludf.DUMMYFUNCTION("""COMPUTED_VALUE"""),0.353553390593273)</f>
        <v>0.35355339059327301</v>
      </c>
      <c r="H18" s="116">
        <f ca="1">IFERROR(__xludf.DUMMYFUNCTION("""COMPUTED_VALUE"""),0.733333333333333)</f>
        <v>0.73333333333333295</v>
      </c>
      <c r="I18" s="56">
        <f ca="1">IFERROR(__xludf.DUMMYFUNCTION("""COMPUTED_VALUE"""),1991)</f>
        <v>1991</v>
      </c>
      <c r="J18" s="56" t="str">
        <f ca="1">IFERROR(__xludf.DUMMYFUNCTION("""COMPUTED_VALUE"""),"USA")</f>
        <v>USA</v>
      </c>
      <c r="K18" s="56" t="str">
        <f ca="1">IFERROR(__xludf.DUMMYFUNCTION("""COMPUTED_VALUE"""),"Cassidy-Marvin/Cassidy-Marvin")</f>
        <v>Cassidy-Marvin/Cassidy-Marvin</v>
      </c>
      <c r="L18" s="56">
        <f ca="1">IFERROR(__xludf.DUMMYFUNCTION("""COMPUTED_VALUE"""),1)</f>
        <v>1</v>
      </c>
      <c r="M18" s="56">
        <f ca="1">IFERROR(__xludf.DUMMYFUNCTION("""COMPUTED_VALUE"""),1)</f>
        <v>1</v>
      </c>
      <c r="N18" s="56">
        <f ca="1">IFERROR(__xludf.DUMMYFUNCTION("""COMPUTED_VALUE"""),0)</f>
        <v>0</v>
      </c>
      <c r="O18" s="56">
        <f ca="1">IFERROR(__xludf.DUMMYFUNCTION("""COMPUTED_VALUE"""),1)</f>
        <v>1</v>
      </c>
      <c r="P18" s="56">
        <f ca="1">IFERROR(__xludf.DUMMYFUNCTION("""COMPUTED_VALUE"""),0.75)</f>
        <v>0.75</v>
      </c>
      <c r="Q18" s="56">
        <f ca="1">IFERROR(__xludf.DUMMYFUNCTION("""COMPUTED_VALUE"""),0)</f>
        <v>0</v>
      </c>
      <c r="R18" s="56" t="str">
        <f ca="1">IFERROR(__xludf.DUMMYFUNCTION("""COMPUTED_VALUE"""),"Mixed")</f>
        <v>Mixed</v>
      </c>
      <c r="S18" s="119">
        <f ca="1">IFERROR(__xludf.DUMMYFUNCTION("""COMPUTED_VALUE"""),0.333333333333333)</f>
        <v>0.33333333333333298</v>
      </c>
    </row>
    <row r="19" spans="1:19" ht="15.75" customHeight="1">
      <c r="A19" s="115">
        <f ca="1">IFERROR(__xludf.DUMMYFUNCTION("""COMPUTED_VALUE"""),10)</f>
        <v>10</v>
      </c>
      <c r="B19" s="115" t="str">
        <f ca="1">IFERROR(__xludf.DUMMYFUNCTION("""COMPUTED_VALUE"""),"Cicchetti, Rogosch &amp; Toth (2006)")</f>
        <v>Cicchetti, Rogosch &amp; Toth (2006)</v>
      </c>
      <c r="C19" s="115">
        <f ca="1">IFERROR(__xludf.DUMMYFUNCTION("""COMPUTED_VALUE"""),1)</f>
        <v>1</v>
      </c>
      <c r="D19" s="115" t="str">
        <f ca="1">IFERROR(__xludf.DUMMYFUNCTION("""COMPUTED_VALUE"""),"Maltreated")</f>
        <v>Maltreated</v>
      </c>
      <c r="E19" s="116" t="str">
        <f ca="1">IFERROR(__xludf.DUMMYFUNCTION("""COMPUTED_VALUE"""),"Infancy - Toddlerhood")</f>
        <v>Infancy - Toddlerhood</v>
      </c>
      <c r="F19" s="117">
        <f ca="1">IFERROR(__xludf.DUMMYFUNCTION("""COMPUTED_VALUE"""),54)</f>
        <v>54</v>
      </c>
      <c r="G19" s="118">
        <f ca="1">IFERROR(__xludf.DUMMYFUNCTION("""COMPUTED_VALUE"""),0)</f>
        <v>0</v>
      </c>
      <c r="H19" s="116">
        <f ca="1">IFERROR(__xludf.DUMMYFUNCTION("""COMPUTED_VALUE"""),0.981481481481481)</f>
        <v>0.98148148148148096</v>
      </c>
      <c r="I19" s="56">
        <f ca="1">IFERROR(__xludf.DUMMYFUNCTION("""COMPUTED_VALUE"""),2006)</f>
        <v>2006</v>
      </c>
      <c r="J19" s="56" t="str">
        <f ca="1">IFERROR(__xludf.DUMMYFUNCTION("""COMPUTED_VALUE"""),"USA")</f>
        <v>USA</v>
      </c>
      <c r="K19" s="56" t="str">
        <f ca="1">IFERROR(__xludf.DUMMYFUNCTION("""COMPUTED_VALUE"""),"Ainsworth/Schneider-Rosen")</f>
        <v>Ainsworth/Schneider-Rosen</v>
      </c>
      <c r="L19" s="56">
        <f ca="1">IFERROR(__xludf.DUMMYFUNCTION("""COMPUTED_VALUE"""),1)</f>
        <v>1</v>
      </c>
      <c r="M19" s="56">
        <f ca="1">IFERROR(__xludf.DUMMYFUNCTION("""COMPUTED_VALUE"""),1)</f>
        <v>1</v>
      </c>
      <c r="N19" s="56">
        <f ca="1">IFERROR(__xludf.DUMMYFUNCTION("""COMPUTED_VALUE"""),0)</f>
        <v>0</v>
      </c>
      <c r="O19" s="56">
        <f ca="1">IFERROR(__xludf.DUMMYFUNCTION("""COMPUTED_VALUE"""),1)</f>
        <v>1</v>
      </c>
      <c r="P19" s="56">
        <f ca="1">IFERROR(__xludf.DUMMYFUNCTION("""COMPUTED_VALUE"""),0.88)</f>
        <v>0.88</v>
      </c>
      <c r="Q19" s="56">
        <f ca="1">IFERROR(__xludf.DUMMYFUNCTION("""COMPUTED_VALUE"""),0)</f>
        <v>0</v>
      </c>
      <c r="R19" s="56" t="str">
        <f ca="1">IFERROR(__xludf.DUMMYFUNCTION("""COMPUTED_VALUE"""),"Female")</f>
        <v>Female</v>
      </c>
      <c r="S19" s="119">
        <f ca="1">IFERROR(__xludf.DUMMYFUNCTION("""COMPUTED_VALUE"""),0)</f>
        <v>0</v>
      </c>
    </row>
    <row r="20" spans="1:19" ht="15.75" customHeight="1">
      <c r="A20" s="115">
        <f ca="1">IFERROR(__xludf.DUMMYFUNCTION("""COMPUTED_VALUE"""),11)</f>
        <v>11</v>
      </c>
      <c r="B20" s="115" t="str">
        <f ca="1">IFERROR(__xludf.DUMMYFUNCTION("""COMPUTED_VALUE"""),"Cicchetti, Rogosch &amp; Toth (2006)")</f>
        <v>Cicchetti, Rogosch &amp; Toth (2006)</v>
      </c>
      <c r="C20" s="115">
        <f ca="1">IFERROR(__xludf.DUMMYFUNCTION("""COMPUTED_VALUE"""),1)</f>
        <v>1</v>
      </c>
      <c r="D20" s="115" t="str">
        <f ca="1">IFERROR(__xludf.DUMMYFUNCTION("""COMPUTED_VALUE"""),"Comparison")</f>
        <v>Comparison</v>
      </c>
      <c r="E20" s="116" t="str">
        <f ca="1">IFERROR(__xludf.DUMMYFUNCTION("""COMPUTED_VALUE"""),"Infancy - Toddlerhood")</f>
        <v>Infancy - Toddlerhood</v>
      </c>
      <c r="F20" s="117">
        <f ca="1">IFERROR(__xludf.DUMMYFUNCTION("""COMPUTED_VALUE"""),44)</f>
        <v>44</v>
      </c>
      <c r="G20" s="118">
        <f ca="1">IFERROR(__xludf.DUMMYFUNCTION("""COMPUTED_VALUE"""),0.233115468409586)</f>
        <v>0.233115468409586</v>
      </c>
      <c r="H20" s="116">
        <f ca="1">IFERROR(__xludf.DUMMYFUNCTION("""COMPUTED_VALUE"""),0.636363636363636)</f>
        <v>0.63636363636363602</v>
      </c>
      <c r="I20" s="56">
        <f ca="1">IFERROR(__xludf.DUMMYFUNCTION("""COMPUTED_VALUE"""),2006)</f>
        <v>2006</v>
      </c>
      <c r="J20" s="56" t="str">
        <f ca="1">IFERROR(__xludf.DUMMYFUNCTION("""COMPUTED_VALUE"""),"USA")</f>
        <v>USA</v>
      </c>
      <c r="K20" s="56" t="str">
        <f ca="1">IFERROR(__xludf.DUMMYFUNCTION("""COMPUTED_VALUE"""),"Ainsworth/Schneider-Rosen")</f>
        <v>Ainsworth/Schneider-Rosen</v>
      </c>
      <c r="L20" s="56">
        <f ca="1">IFERROR(__xludf.DUMMYFUNCTION("""COMPUTED_VALUE"""),1)</f>
        <v>1</v>
      </c>
      <c r="M20" s="56">
        <f ca="1">IFERROR(__xludf.DUMMYFUNCTION("""COMPUTED_VALUE"""),0)</f>
        <v>0</v>
      </c>
      <c r="N20" s="56">
        <f ca="1">IFERROR(__xludf.DUMMYFUNCTION("""COMPUTED_VALUE"""),0)</f>
        <v>0</v>
      </c>
      <c r="O20" s="56">
        <f ca="1">IFERROR(__xludf.DUMMYFUNCTION("""COMPUTED_VALUE"""),1)</f>
        <v>1</v>
      </c>
      <c r="P20" s="56">
        <f ca="1">IFERROR(__xludf.DUMMYFUNCTION("""COMPUTED_VALUE"""),0.88)</f>
        <v>0.88</v>
      </c>
      <c r="Q20" s="56">
        <f ca="1">IFERROR(__xludf.DUMMYFUNCTION("""COMPUTED_VALUE"""),0)</f>
        <v>0</v>
      </c>
      <c r="R20" s="56" t="str">
        <f ca="1">IFERROR(__xludf.DUMMYFUNCTION("""COMPUTED_VALUE"""),"Female")</f>
        <v>Female</v>
      </c>
      <c r="S20" s="119">
        <f ca="1">IFERROR(__xludf.DUMMYFUNCTION("""COMPUTED_VALUE"""),0.233115468409586)</f>
        <v>0.233115468409586</v>
      </c>
    </row>
    <row r="21" spans="1:19" ht="15.75" customHeight="1">
      <c r="A21" s="115">
        <f ca="1">IFERROR(__xludf.DUMMYFUNCTION("""COMPUTED_VALUE"""),12)</f>
        <v>12</v>
      </c>
      <c r="B21" s="115" t="str">
        <f ca="1">IFERROR(__xludf.DUMMYFUNCTION("""COMPUTED_VALUE"""),"Easterbrooks (1989)")</f>
        <v>Easterbrooks (1989)</v>
      </c>
      <c r="C21" s="115">
        <f ca="1">IFERROR(__xludf.DUMMYFUNCTION("""COMPUTED_VALUE"""),1)</f>
        <v>1</v>
      </c>
      <c r="D21" s="115" t="str">
        <f ca="1">IFERROR(__xludf.DUMMYFUNCTION("""COMPUTED_VALUE"""),"Father-child")</f>
        <v>Father-child</v>
      </c>
      <c r="E21" s="116" t="str">
        <f ca="1">IFERROR(__xludf.DUMMYFUNCTION("""COMPUTED_VALUE"""),"Infancy - Toddlerhood")</f>
        <v>Infancy - Toddlerhood</v>
      </c>
      <c r="F21" s="117">
        <f ca="1">IFERROR(__xludf.DUMMYFUNCTION("""COMPUTED_VALUE"""),59)</f>
        <v>59</v>
      </c>
      <c r="G21" s="118">
        <f ca="1">IFERROR(__xludf.DUMMYFUNCTION("""COMPUTED_VALUE"""),0)</f>
        <v>0</v>
      </c>
      <c r="H21" s="116" t="str">
        <f ca="1">IFERROR(__xludf.DUMMYFUNCTION("""COMPUTED_VALUE"""),"")</f>
        <v/>
      </c>
      <c r="I21" s="56">
        <f ca="1">IFERROR(__xludf.DUMMYFUNCTION("""COMPUTED_VALUE"""),1989)</f>
        <v>1989</v>
      </c>
      <c r="J21" s="56" t="str">
        <f ca="1">IFERROR(__xludf.DUMMYFUNCTION("""COMPUTED_VALUE"""),"USA")</f>
        <v>USA</v>
      </c>
      <c r="K21" s="56" t="str">
        <f ca="1">IFERROR(__xludf.DUMMYFUNCTION("""COMPUTED_VALUE"""),"Ainsworth/Ainsworth")</f>
        <v>Ainsworth/Ainsworth</v>
      </c>
      <c r="L21" s="56">
        <f ca="1">IFERROR(__xludf.DUMMYFUNCTION("""COMPUTED_VALUE"""),1)</f>
        <v>1</v>
      </c>
      <c r="M21" s="56">
        <f ca="1">IFERROR(__xludf.DUMMYFUNCTION("""COMPUTED_VALUE"""),0)</f>
        <v>0</v>
      </c>
      <c r="N21" s="56">
        <f ca="1">IFERROR(__xludf.DUMMYFUNCTION("""COMPUTED_VALUE"""),0)</f>
        <v>0</v>
      </c>
      <c r="O21" s="56">
        <f ca="1">IFERROR(__xludf.DUMMYFUNCTION("""COMPUTED_VALUE"""),1)</f>
        <v>1</v>
      </c>
      <c r="P21" s="56" t="str">
        <f ca="1">IFERROR(__xludf.DUMMYFUNCTION("""COMPUTED_VALUE"""),"")</f>
        <v/>
      </c>
      <c r="Q21" s="56">
        <f ca="1">IFERROR(__xludf.DUMMYFUNCTION("""COMPUTED_VALUE"""),0)</f>
        <v>0</v>
      </c>
      <c r="R21" s="56" t="str">
        <f ca="1">IFERROR(__xludf.DUMMYFUNCTION("""COMPUTED_VALUE"""),"Male")</f>
        <v>Male</v>
      </c>
      <c r="S21" s="119" t="str">
        <f ca="1">IFERROR(__xludf.DUMMYFUNCTION("""COMPUTED_VALUE"""),"")</f>
        <v/>
      </c>
    </row>
    <row r="22" spans="1:19" ht="15.75" customHeight="1">
      <c r="A22" s="115">
        <f ca="1">IFERROR(__xludf.DUMMYFUNCTION("""COMPUTED_VALUE"""),12)</f>
        <v>12</v>
      </c>
      <c r="B22" s="115" t="str">
        <f ca="1">IFERROR(__xludf.DUMMYFUNCTION("""COMPUTED_VALUE"""),"Easterbrooks (1989)")</f>
        <v>Easterbrooks (1989)</v>
      </c>
      <c r="C22" s="115">
        <f ca="1">IFERROR(__xludf.DUMMYFUNCTION("""COMPUTED_VALUE"""),2)</f>
        <v>2</v>
      </c>
      <c r="D22" s="115" t="str">
        <f ca="1">IFERROR(__xludf.DUMMYFUNCTION("""COMPUTED_VALUE"""),"Mother-child")</f>
        <v>Mother-child</v>
      </c>
      <c r="E22" s="116" t="str">
        <f ca="1">IFERROR(__xludf.DUMMYFUNCTION("""COMPUTED_VALUE"""),"Infancy - Toddlerhood")</f>
        <v>Infancy - Toddlerhood</v>
      </c>
      <c r="F22" s="117">
        <f ca="1">IFERROR(__xludf.DUMMYFUNCTION("""COMPUTED_VALUE"""),57)</f>
        <v>57</v>
      </c>
      <c r="G22" s="118">
        <f ca="1">IFERROR(__xludf.DUMMYFUNCTION("""COMPUTED_VALUE"""),0.11)</f>
        <v>0.11</v>
      </c>
      <c r="H22" s="116" t="str">
        <f ca="1">IFERROR(__xludf.DUMMYFUNCTION("""COMPUTED_VALUE"""),"")</f>
        <v/>
      </c>
      <c r="I22" s="56">
        <f ca="1">IFERROR(__xludf.DUMMYFUNCTION("""COMPUTED_VALUE"""),1989)</f>
        <v>1989</v>
      </c>
      <c r="J22" s="56" t="str">
        <f ca="1">IFERROR(__xludf.DUMMYFUNCTION("""COMPUTED_VALUE"""),"USA")</f>
        <v>USA</v>
      </c>
      <c r="K22" s="56" t="str">
        <f ca="1">IFERROR(__xludf.DUMMYFUNCTION("""COMPUTED_VALUE"""),"Ainsworth/Ainsworth")</f>
        <v>Ainsworth/Ainsworth</v>
      </c>
      <c r="L22" s="56">
        <f ca="1">IFERROR(__xludf.DUMMYFUNCTION("""COMPUTED_VALUE"""),1)</f>
        <v>1</v>
      </c>
      <c r="M22" s="56">
        <f ca="1">IFERROR(__xludf.DUMMYFUNCTION("""COMPUTED_VALUE"""),0)</f>
        <v>0</v>
      </c>
      <c r="N22" s="56">
        <f ca="1">IFERROR(__xludf.DUMMYFUNCTION("""COMPUTED_VALUE"""),0)</f>
        <v>0</v>
      </c>
      <c r="O22" s="56">
        <f ca="1">IFERROR(__xludf.DUMMYFUNCTION("""COMPUTED_VALUE"""),1)</f>
        <v>1</v>
      </c>
      <c r="P22" s="56" t="str">
        <f ca="1">IFERROR(__xludf.DUMMYFUNCTION("""COMPUTED_VALUE"""),"")</f>
        <v/>
      </c>
      <c r="Q22" s="56">
        <f ca="1">IFERROR(__xludf.DUMMYFUNCTION("""COMPUTED_VALUE"""),0)</f>
        <v>0</v>
      </c>
      <c r="R22" s="56" t="str">
        <f ca="1">IFERROR(__xludf.DUMMYFUNCTION("""COMPUTED_VALUE"""),"Female")</f>
        <v>Female</v>
      </c>
      <c r="S22" s="119" t="str">
        <f ca="1">IFERROR(__xludf.DUMMYFUNCTION("""COMPUTED_VALUE"""),"")</f>
        <v/>
      </c>
    </row>
    <row r="23" spans="1:19" ht="15.75" customHeight="1">
      <c r="A23" s="115">
        <f ca="1">IFERROR(__xludf.DUMMYFUNCTION("""COMPUTED_VALUE"""),13)</f>
        <v>13</v>
      </c>
      <c r="B23" s="115" t="str">
        <f ca="1">IFERROR(__xludf.DUMMYFUNCTION("""COMPUTED_VALUE"""),"Fish (2004)")</f>
        <v>Fish (2004)</v>
      </c>
      <c r="C23" s="115">
        <f ca="1">IFERROR(__xludf.DUMMYFUNCTION("""COMPUTED_VALUE"""),1)</f>
        <v>1</v>
      </c>
      <c r="D23" s="115" t="str">
        <f ca="1">IFERROR(__xludf.DUMMYFUNCTION("""COMPUTED_VALUE"""),"Single sample")</f>
        <v>Single sample</v>
      </c>
      <c r="E23" s="116" t="str">
        <f ca="1">IFERROR(__xludf.DUMMYFUNCTION("""COMPUTED_VALUE"""),"Infancy - Preschool")</f>
        <v>Infancy - Preschool</v>
      </c>
      <c r="F23" s="117">
        <f ca="1">IFERROR(__xludf.DUMMYFUNCTION("""COMPUTED_VALUE"""),82)</f>
        <v>82</v>
      </c>
      <c r="G23" s="118">
        <f ca="1">IFERROR(__xludf.DUMMYFUNCTION("""COMPUTED_VALUE"""),0.239309282347697)</f>
        <v>0.23930928234769699</v>
      </c>
      <c r="H23" s="116">
        <f ca="1">IFERROR(__xludf.DUMMYFUNCTION("""COMPUTED_VALUE"""),0.621951219512195)</f>
        <v>0.62195121951219501</v>
      </c>
      <c r="I23" s="56">
        <f ca="1">IFERROR(__xludf.DUMMYFUNCTION("""COMPUTED_VALUE"""),2004)</f>
        <v>2004</v>
      </c>
      <c r="J23" s="56" t="str">
        <f ca="1">IFERROR(__xludf.DUMMYFUNCTION("""COMPUTED_VALUE"""),"USA")</f>
        <v>USA</v>
      </c>
      <c r="K23" s="56" t="str">
        <f ca="1">IFERROR(__xludf.DUMMYFUNCTION("""COMPUTED_VALUE"""),"Ainsworth/Cassidy-Marvin")</f>
        <v>Ainsworth/Cassidy-Marvin</v>
      </c>
      <c r="L23" s="56">
        <f ca="1">IFERROR(__xludf.DUMMYFUNCTION("""COMPUTED_VALUE"""),1)</f>
        <v>1</v>
      </c>
      <c r="M23" s="56">
        <f ca="1">IFERROR(__xludf.DUMMYFUNCTION("""COMPUTED_VALUE"""),1)</f>
        <v>1</v>
      </c>
      <c r="N23" s="56">
        <f ca="1">IFERROR(__xludf.DUMMYFUNCTION("""COMPUTED_VALUE"""),0)</f>
        <v>0</v>
      </c>
      <c r="O23" s="56">
        <f ca="1">IFERROR(__xludf.DUMMYFUNCTION("""COMPUTED_VALUE"""),1)</f>
        <v>1</v>
      </c>
      <c r="P23" s="56">
        <f ca="1">IFERROR(__xludf.DUMMYFUNCTION("""COMPUTED_VALUE"""),0.769)</f>
        <v>0.76900000000000002</v>
      </c>
      <c r="Q23" s="56">
        <f ca="1">IFERROR(__xludf.DUMMYFUNCTION("""COMPUTED_VALUE"""),0)</f>
        <v>0</v>
      </c>
      <c r="R23" s="56" t="str">
        <f ca="1">IFERROR(__xludf.DUMMYFUNCTION("""COMPUTED_VALUE"""),"Female")</f>
        <v>Female</v>
      </c>
      <c r="S23" s="119">
        <f ca="1">IFERROR(__xludf.DUMMYFUNCTION("""COMPUTED_VALUE"""),0.235718580877931)</f>
        <v>0.23571858087793099</v>
      </c>
    </row>
    <row r="24" spans="1:19" ht="15.75" customHeight="1">
      <c r="A24" s="115">
        <f ca="1">IFERROR(__xludf.DUMMYFUNCTION("""COMPUTED_VALUE"""),14)</f>
        <v>14</v>
      </c>
      <c r="B24" s="115" t="str">
        <f ca="1">IFERROR(__xludf.DUMMYFUNCTION("""COMPUTED_VALUE"""),"Ganiban, Barnett &amp; Cicchetti (2000)")</f>
        <v>Ganiban, Barnett &amp; Cicchetti (2000)</v>
      </c>
      <c r="C24" s="115">
        <f ca="1">IFERROR(__xludf.DUMMYFUNCTION("""COMPUTED_VALUE"""),1)</f>
        <v>1</v>
      </c>
      <c r="D24" s="115" t="str">
        <f ca="1">IFERROR(__xludf.DUMMYFUNCTION("""COMPUTED_VALUE"""),"Single sample")</f>
        <v>Single sample</v>
      </c>
      <c r="E24" s="116" t="str">
        <f ca="1">IFERROR(__xludf.DUMMYFUNCTION("""COMPUTED_VALUE"""),"Infancy - Toddlerhood")</f>
        <v>Infancy - Toddlerhood</v>
      </c>
      <c r="F24" s="117">
        <f ca="1">IFERROR(__xludf.DUMMYFUNCTION("""COMPUTED_VALUE"""),30)</f>
        <v>30</v>
      </c>
      <c r="G24" s="118">
        <f ca="1">IFERROR(__xludf.DUMMYFUNCTION("""COMPUTED_VALUE"""),0.413492542545556)</f>
        <v>0.41349254254555601</v>
      </c>
      <c r="H24" s="116">
        <f ca="1">IFERROR(__xludf.DUMMYFUNCTION("""COMPUTED_VALUE"""),0.7)</f>
        <v>0.7</v>
      </c>
      <c r="I24" s="56">
        <f ca="1">IFERROR(__xludf.DUMMYFUNCTION("""COMPUTED_VALUE"""),2000)</f>
        <v>2000</v>
      </c>
      <c r="J24" s="56" t="str">
        <f ca="1">IFERROR(__xludf.DUMMYFUNCTION("""COMPUTED_VALUE"""),"USA")</f>
        <v>USA</v>
      </c>
      <c r="K24" s="56" t="str">
        <f ca="1">IFERROR(__xludf.DUMMYFUNCTION("""COMPUTED_VALUE"""),"Ainsworth/Ainsworth")</f>
        <v>Ainsworth/Ainsworth</v>
      </c>
      <c r="L24" s="56">
        <f ca="1">IFERROR(__xludf.DUMMYFUNCTION("""COMPUTED_VALUE"""),1)</f>
        <v>1</v>
      </c>
      <c r="M24" s="56">
        <f ca="1">IFERROR(__xludf.DUMMYFUNCTION("""COMPUTED_VALUE"""),0)</f>
        <v>0</v>
      </c>
      <c r="N24" s="56">
        <f ca="1">IFERROR(__xludf.DUMMYFUNCTION("""COMPUTED_VALUE"""),1)</f>
        <v>1</v>
      </c>
      <c r="O24" s="56">
        <f ca="1">IFERROR(__xludf.DUMMYFUNCTION("""COMPUTED_VALUE"""),1)</f>
        <v>1</v>
      </c>
      <c r="P24" s="56">
        <f ca="1">IFERROR(__xludf.DUMMYFUNCTION("""COMPUTED_VALUE"""),1)</f>
        <v>1</v>
      </c>
      <c r="Q24" s="56">
        <f ca="1">IFERROR(__xludf.DUMMYFUNCTION("""COMPUTED_VALUE"""),0)</f>
        <v>0</v>
      </c>
      <c r="R24" s="56" t="str">
        <f ca="1">IFERROR(__xludf.DUMMYFUNCTION("""COMPUTED_VALUE"""),"Female")</f>
        <v>Female</v>
      </c>
      <c r="S24" s="119">
        <f ca="1">IFERROR(__xludf.DUMMYFUNCTION("""COMPUTED_VALUE"""),0.405286343612334)</f>
        <v>0.40528634361233401</v>
      </c>
    </row>
    <row r="25" spans="1:19" ht="15.75" customHeight="1">
      <c r="A25" s="115">
        <f ca="1">IFERROR(__xludf.DUMMYFUNCTION("""COMPUTED_VALUE"""),15)</f>
        <v>15</v>
      </c>
      <c r="B25" s="115" t="str">
        <f ca="1">IFERROR(__xludf.DUMMYFUNCTION("""COMPUTED_VALUE"""),"Hautamaki et al. (2010)")</f>
        <v>Hautamaki et al. (2010)</v>
      </c>
      <c r="C25" s="115">
        <f ca="1">IFERROR(__xludf.DUMMYFUNCTION("""COMPUTED_VALUE"""),1)</f>
        <v>1</v>
      </c>
      <c r="D25" s="115" t="str">
        <f ca="1">IFERROR(__xludf.DUMMYFUNCTION("""COMPUTED_VALUE"""),"Mother-child")</f>
        <v>Mother-child</v>
      </c>
      <c r="E25" s="116" t="str">
        <f ca="1">IFERROR(__xludf.DUMMYFUNCTION("""COMPUTED_VALUE"""),"Infancy - Toddlerhood")</f>
        <v>Infancy - Toddlerhood</v>
      </c>
      <c r="F25" s="117">
        <f ca="1">IFERROR(__xludf.DUMMYFUNCTION("""COMPUTED_VALUE"""),33)</f>
        <v>33</v>
      </c>
      <c r="G25" s="118">
        <f ca="1">IFERROR(__xludf.DUMMYFUNCTION("""COMPUTED_VALUE"""),0.78065375798434)</f>
        <v>0.78065375798434</v>
      </c>
      <c r="H25" s="116">
        <f ca="1">IFERROR(__xludf.DUMMYFUNCTION("""COMPUTED_VALUE"""),0.909090909090909)</f>
        <v>0.90909090909090895</v>
      </c>
      <c r="I25" s="56">
        <f ca="1">IFERROR(__xludf.DUMMYFUNCTION("""COMPUTED_VALUE"""),2010)</f>
        <v>2010</v>
      </c>
      <c r="J25" s="56" t="str">
        <f ca="1">IFERROR(__xludf.DUMMYFUNCTION("""COMPUTED_VALUE"""),"Non-USA")</f>
        <v>Non-USA</v>
      </c>
      <c r="K25" s="56" t="str">
        <f ca="1">IFERROR(__xludf.DUMMYFUNCTION("""COMPUTED_VALUE"""),"Ainsworth/Crittenden")</f>
        <v>Ainsworth/Crittenden</v>
      </c>
      <c r="L25" s="56">
        <f ca="1">IFERROR(__xludf.DUMMYFUNCTION("""COMPUTED_VALUE"""),1)</f>
        <v>1</v>
      </c>
      <c r="M25" s="56">
        <f ca="1">IFERROR(__xludf.DUMMYFUNCTION("""COMPUTED_VALUE"""),0)</f>
        <v>0</v>
      </c>
      <c r="N25" s="56">
        <f ca="1">IFERROR(__xludf.DUMMYFUNCTION("""COMPUTED_VALUE"""),0)</f>
        <v>0</v>
      </c>
      <c r="O25" s="56">
        <f ca="1">IFERROR(__xludf.DUMMYFUNCTION("""COMPUTED_VALUE"""),1)</f>
        <v>1</v>
      </c>
      <c r="P25" s="56">
        <f ca="1">IFERROR(__xludf.DUMMYFUNCTION("""COMPUTED_VALUE"""),0.975)</f>
        <v>0.97499999999999998</v>
      </c>
      <c r="Q25" s="56">
        <f ca="1">IFERROR(__xludf.DUMMYFUNCTION("""COMPUTED_VALUE"""),0)</f>
        <v>0</v>
      </c>
      <c r="R25" s="56" t="str">
        <f ca="1">IFERROR(__xludf.DUMMYFUNCTION("""COMPUTED_VALUE"""),"Mixed")</f>
        <v>Mixed</v>
      </c>
      <c r="S25" s="119">
        <f ca="1">IFERROR(__xludf.DUMMYFUNCTION("""COMPUTED_VALUE"""),0.778523489932885)</f>
        <v>0.778523489932885</v>
      </c>
    </row>
    <row r="26" spans="1:19" ht="15.75" customHeight="1">
      <c r="A26" s="115">
        <f ca="1">IFERROR(__xludf.DUMMYFUNCTION("""COMPUTED_VALUE"""),16)</f>
        <v>16</v>
      </c>
      <c r="B26" s="115" t="str">
        <f ca="1">IFERROR(__xludf.DUMMYFUNCTION("""COMPUTED_VALUE"""),"Howes &amp; Hamilton (1992)")</f>
        <v>Howes &amp; Hamilton (1992)</v>
      </c>
      <c r="C26" s="115">
        <f ca="1">IFERROR(__xludf.DUMMYFUNCTION("""COMPUTED_VALUE"""),1)</f>
        <v>1</v>
      </c>
      <c r="D26" s="115" t="str">
        <f ca="1">IFERROR(__xludf.DUMMYFUNCTION("""COMPUTED_VALUE"""),"Sample 2")</f>
        <v>Sample 2</v>
      </c>
      <c r="E26" s="116" t="str">
        <f ca="1">IFERROR(__xludf.DUMMYFUNCTION("""COMPUTED_VALUE"""),"Infancy - Preschool")</f>
        <v>Infancy - Preschool</v>
      </c>
      <c r="F26" s="117">
        <f ca="1">IFERROR(__xludf.DUMMYFUNCTION("""COMPUTED_VALUE"""),89)</f>
        <v>89</v>
      </c>
      <c r="G26" s="118">
        <f ca="1">IFERROR(__xludf.DUMMYFUNCTION("""COMPUTED_VALUE"""),0.450178216897183)</f>
        <v>0.45017821689718301</v>
      </c>
      <c r="H26" s="116">
        <f ca="1">IFERROR(__xludf.DUMMYFUNCTION("""COMPUTED_VALUE"""),0.752808988764044)</f>
        <v>0.75280898876404401</v>
      </c>
      <c r="I26" s="56">
        <f ca="1">IFERROR(__xludf.DUMMYFUNCTION("""COMPUTED_VALUE"""),1992)</f>
        <v>1992</v>
      </c>
      <c r="J26" s="56" t="str">
        <f ca="1">IFERROR(__xludf.DUMMYFUNCTION("""COMPUTED_VALUE"""),"USA")</f>
        <v>USA</v>
      </c>
      <c r="K26" s="56" t="str">
        <f ca="1">IFERROR(__xludf.DUMMYFUNCTION("""COMPUTED_VALUE"""),"Ainsworth/Cassidy-Marvin")</f>
        <v>Ainsworth/Cassidy-Marvin</v>
      </c>
      <c r="L26" s="56">
        <f ca="1">IFERROR(__xludf.DUMMYFUNCTION("""COMPUTED_VALUE"""),1)</f>
        <v>1</v>
      </c>
      <c r="M26" s="56">
        <f ca="1">IFERROR(__xludf.DUMMYFUNCTION("""COMPUTED_VALUE"""),0)</f>
        <v>0</v>
      </c>
      <c r="N26" s="56">
        <f ca="1">IFERROR(__xludf.DUMMYFUNCTION("""COMPUTED_VALUE"""),0)</f>
        <v>0</v>
      </c>
      <c r="O26" s="56">
        <f ca="1">IFERROR(__xludf.DUMMYFUNCTION("""COMPUTED_VALUE"""),1)</f>
        <v>1</v>
      </c>
      <c r="P26" s="56" t="str">
        <f ca="1">IFERROR(__xludf.DUMMYFUNCTION("""COMPUTED_VALUE"""),"")</f>
        <v/>
      </c>
      <c r="Q26" s="56">
        <f ca="1">IFERROR(__xludf.DUMMYFUNCTION("""COMPUTED_VALUE"""),0)</f>
        <v>0</v>
      </c>
      <c r="R26" s="56" t="str">
        <f ca="1">IFERROR(__xludf.DUMMYFUNCTION("""COMPUTED_VALUE"""),"Female")</f>
        <v>Female</v>
      </c>
      <c r="S26" s="119">
        <f ca="1">IFERROR(__xludf.DUMMYFUNCTION("""COMPUTED_VALUE"""),0.435083669936526)</f>
        <v>0.43508366993652597</v>
      </c>
    </row>
    <row r="27" spans="1:19" ht="12.9">
      <c r="A27" s="115">
        <f ca="1">IFERROR(__xludf.DUMMYFUNCTION("""COMPUTED_VALUE"""),17)</f>
        <v>17</v>
      </c>
      <c r="B27" s="115" t="str">
        <f ca="1">IFERROR(__xludf.DUMMYFUNCTION("""COMPUTED_VALUE"""),"Jacobsen et al. (1997)")</f>
        <v>Jacobsen et al. (1997)</v>
      </c>
      <c r="C27" s="115">
        <f ca="1">IFERROR(__xludf.DUMMYFUNCTION("""COMPUTED_VALUE"""),1)</f>
        <v>1</v>
      </c>
      <c r="D27" s="115" t="str">
        <f ca="1">IFERROR(__xludf.DUMMYFUNCTION("""COMPUTED_VALUE"""),"60 month interval")</f>
        <v>60 month interval</v>
      </c>
      <c r="E27" s="116" t="str">
        <f ca="1">IFERROR(__xludf.DUMMYFUNCTION("""COMPUTED_VALUE"""),"Infancy - Preschool")</f>
        <v>Infancy - Preschool</v>
      </c>
      <c r="F27" s="117">
        <f ca="1">IFERROR(__xludf.DUMMYFUNCTION("""COMPUTED_VALUE"""),32)</f>
        <v>32</v>
      </c>
      <c r="G27" s="118">
        <f ca="1">IFERROR(__xludf.DUMMYFUNCTION("""COMPUTED_VALUE"""),0.34)</f>
        <v>0.34</v>
      </c>
      <c r="H27" s="116" t="str">
        <f ca="1">IFERROR(__xludf.DUMMYFUNCTION("""COMPUTED_VALUE"""),"")</f>
        <v/>
      </c>
      <c r="I27" s="56">
        <f ca="1">IFERROR(__xludf.DUMMYFUNCTION("""COMPUTED_VALUE"""),1997)</f>
        <v>1997</v>
      </c>
      <c r="J27" s="56" t="str">
        <f ca="1">IFERROR(__xludf.DUMMYFUNCTION("""COMPUTED_VALUE"""),"Non-USA")</f>
        <v>Non-USA</v>
      </c>
      <c r="K27" s="56" t="str">
        <f ca="1">IFERROR(__xludf.DUMMYFUNCTION("""COMPUTED_VALUE"""),"Ainsworth/Main-Cassidy")</f>
        <v>Ainsworth/Main-Cassidy</v>
      </c>
      <c r="L27" s="56">
        <f ca="1">IFERROR(__xludf.DUMMYFUNCTION("""COMPUTED_VALUE"""),1)</f>
        <v>1</v>
      </c>
      <c r="M27" s="56">
        <f ca="1">IFERROR(__xludf.DUMMYFUNCTION("""COMPUTED_VALUE"""),0)</f>
        <v>0</v>
      </c>
      <c r="N27" s="56">
        <f ca="1">IFERROR(__xludf.DUMMYFUNCTION("""COMPUTED_VALUE"""),0)</f>
        <v>0</v>
      </c>
      <c r="O27" s="56">
        <f ca="1">IFERROR(__xludf.DUMMYFUNCTION("""COMPUTED_VALUE"""),1)</f>
        <v>1</v>
      </c>
      <c r="P27" s="56" t="str">
        <f ca="1">IFERROR(__xludf.DUMMYFUNCTION("""COMPUTED_VALUE"""),"")</f>
        <v/>
      </c>
      <c r="Q27" s="56">
        <f ca="1">IFERROR(__xludf.DUMMYFUNCTION("""COMPUTED_VALUE"""),1)</f>
        <v>1</v>
      </c>
      <c r="R27" s="56" t="str">
        <f ca="1">IFERROR(__xludf.DUMMYFUNCTION("""COMPUTED_VALUE"""),"Female")</f>
        <v>Female</v>
      </c>
      <c r="S27" s="119" t="str">
        <f ca="1">IFERROR(__xludf.DUMMYFUNCTION("""COMPUTED_VALUE"""),"")</f>
        <v/>
      </c>
    </row>
    <row r="28" spans="1:19" ht="12.9">
      <c r="A28" s="115">
        <f ca="1">IFERROR(__xludf.DUMMYFUNCTION("""COMPUTED_VALUE"""),17)</f>
        <v>17</v>
      </c>
      <c r="B28" s="115" t="str">
        <f ca="1">IFERROR(__xludf.DUMMYFUNCTION("""COMPUTED_VALUE"""),"Jacobsen et al. (1997)")</f>
        <v>Jacobsen et al. (1997)</v>
      </c>
      <c r="C28" s="115">
        <f ca="1">IFERROR(__xludf.DUMMYFUNCTION("""COMPUTED_VALUE"""),2)</f>
        <v>2</v>
      </c>
      <c r="D28" s="115" t="str">
        <f ca="1">IFERROR(__xludf.DUMMYFUNCTION("""COMPUTED_VALUE"""),"54 month interval")</f>
        <v>54 month interval</v>
      </c>
      <c r="E28" s="116" t="str">
        <f ca="1">IFERROR(__xludf.DUMMYFUNCTION("""COMPUTED_VALUE"""),"Infancy - Preschool")</f>
        <v>Infancy - Preschool</v>
      </c>
      <c r="F28" s="117">
        <f ca="1">IFERROR(__xludf.DUMMYFUNCTION("""COMPUTED_VALUE"""),32)</f>
        <v>32</v>
      </c>
      <c r="G28" s="118">
        <f ca="1">IFERROR(__xludf.DUMMYFUNCTION("""COMPUTED_VALUE"""),0.54)</f>
        <v>0.54</v>
      </c>
      <c r="H28" s="116" t="str">
        <f ca="1">IFERROR(__xludf.DUMMYFUNCTION("""COMPUTED_VALUE"""),"")</f>
        <v/>
      </c>
      <c r="I28" s="56">
        <f ca="1">IFERROR(__xludf.DUMMYFUNCTION("""COMPUTED_VALUE"""),1997)</f>
        <v>1997</v>
      </c>
      <c r="J28" s="56" t="str">
        <f ca="1">IFERROR(__xludf.DUMMYFUNCTION("""COMPUTED_VALUE"""),"Non-USA")</f>
        <v>Non-USA</v>
      </c>
      <c r="K28" s="56" t="str">
        <f ca="1">IFERROR(__xludf.DUMMYFUNCTION("""COMPUTED_VALUE"""),"Ainsworth/Main-Cassidy")</f>
        <v>Ainsworth/Main-Cassidy</v>
      </c>
      <c r="L28" s="56">
        <f ca="1">IFERROR(__xludf.DUMMYFUNCTION("""COMPUTED_VALUE"""),1)</f>
        <v>1</v>
      </c>
      <c r="M28" s="56">
        <f ca="1">IFERROR(__xludf.DUMMYFUNCTION("""COMPUTED_VALUE"""),0)</f>
        <v>0</v>
      </c>
      <c r="N28" s="56">
        <f ca="1">IFERROR(__xludf.DUMMYFUNCTION("""COMPUTED_VALUE"""),0)</f>
        <v>0</v>
      </c>
      <c r="O28" s="56">
        <f ca="1">IFERROR(__xludf.DUMMYFUNCTION("""COMPUTED_VALUE"""),1)</f>
        <v>1</v>
      </c>
      <c r="P28" s="56" t="str">
        <f ca="1">IFERROR(__xludf.DUMMYFUNCTION("""COMPUTED_VALUE"""),"")</f>
        <v/>
      </c>
      <c r="Q28" s="56">
        <f ca="1">IFERROR(__xludf.DUMMYFUNCTION("""COMPUTED_VALUE"""),0)</f>
        <v>0</v>
      </c>
      <c r="R28" s="56" t="str">
        <f ca="1">IFERROR(__xludf.DUMMYFUNCTION("""COMPUTED_VALUE"""),"Female")</f>
        <v>Female</v>
      </c>
      <c r="S28" s="119" t="str">
        <f ca="1">IFERROR(__xludf.DUMMYFUNCTION("""COMPUTED_VALUE"""),"")</f>
        <v/>
      </c>
    </row>
    <row r="29" spans="1:19" ht="12.9">
      <c r="A29" s="115">
        <f ca="1">IFERROR(__xludf.DUMMYFUNCTION("""COMPUTED_VALUE"""),18)</f>
        <v>18</v>
      </c>
      <c r="B29" s="115" t="str">
        <f ca="1">IFERROR(__xludf.DUMMYFUNCTION("""COMPUTED_VALUE"""),"Jacobsen et al. (2014)")</f>
        <v>Jacobsen et al. (2014)</v>
      </c>
      <c r="C29" s="115">
        <f ca="1">IFERROR(__xludf.DUMMYFUNCTION("""COMPUTED_VALUE"""),1)</f>
        <v>1</v>
      </c>
      <c r="D29" s="115" t="str">
        <f ca="1">IFERROR(__xludf.DUMMYFUNCTION("""COMPUTED_VALUE"""),"Foster children")</f>
        <v>Foster children</v>
      </c>
      <c r="E29" s="116" t="str">
        <f ca="1">IFERROR(__xludf.DUMMYFUNCTION("""COMPUTED_VALUE"""),"Toddlerhood - Preschool")</f>
        <v>Toddlerhood - Preschool</v>
      </c>
      <c r="F29" s="117">
        <f ca="1">IFERROR(__xludf.DUMMYFUNCTION("""COMPUTED_VALUE"""),55)</f>
        <v>55</v>
      </c>
      <c r="G29" s="118">
        <f ca="1">IFERROR(__xludf.DUMMYFUNCTION("""COMPUTED_VALUE"""),0.0915915915915916)</f>
        <v>9.1591591591591595E-2</v>
      </c>
      <c r="H29" s="116">
        <f ca="1">IFERROR(__xludf.DUMMYFUNCTION("""COMPUTED_VALUE"""),0.6)</f>
        <v>0.6</v>
      </c>
      <c r="I29" s="56">
        <f ca="1">IFERROR(__xludf.DUMMYFUNCTION("""COMPUTED_VALUE"""),2014)</f>
        <v>2014</v>
      </c>
      <c r="J29" s="56" t="str">
        <f ca="1">IFERROR(__xludf.DUMMYFUNCTION("""COMPUTED_VALUE"""),"Non-USA")</f>
        <v>Non-USA</v>
      </c>
      <c r="K29" s="56" t="str">
        <f ca="1">IFERROR(__xludf.DUMMYFUNCTION("""COMPUTED_VALUE"""),"Ainsworth/Cassidy-Marvin")</f>
        <v>Ainsworth/Cassidy-Marvin</v>
      </c>
      <c r="L29" s="56">
        <f ca="1">IFERROR(__xludf.DUMMYFUNCTION("""COMPUTED_VALUE"""),0)</f>
        <v>0</v>
      </c>
      <c r="M29" s="56">
        <f ca="1">IFERROR(__xludf.DUMMYFUNCTION("""COMPUTED_VALUE"""),1)</f>
        <v>1</v>
      </c>
      <c r="N29" s="56">
        <f ca="1">IFERROR(__xludf.DUMMYFUNCTION("""COMPUTED_VALUE"""),0)</f>
        <v>0</v>
      </c>
      <c r="O29" s="56">
        <f ca="1">IFERROR(__xludf.DUMMYFUNCTION("""COMPUTED_VALUE"""),1)</f>
        <v>1</v>
      </c>
      <c r="P29" s="56">
        <f ca="1">IFERROR(__xludf.DUMMYFUNCTION("""COMPUTED_VALUE"""),0.82)</f>
        <v>0.82</v>
      </c>
      <c r="Q29" s="56">
        <f ca="1">IFERROR(__xludf.DUMMYFUNCTION("""COMPUTED_VALUE"""),0)</f>
        <v>0</v>
      </c>
      <c r="R29" s="56" t="str">
        <f ca="1">IFERROR(__xludf.DUMMYFUNCTION("""COMPUTED_VALUE"""),"Female")</f>
        <v>Female</v>
      </c>
      <c r="S29" s="119">
        <f ca="1">IFERROR(__xludf.DUMMYFUNCTION("""COMPUTED_VALUE"""),0.0915915915915914)</f>
        <v>9.1591591591591401E-2</v>
      </c>
    </row>
    <row r="30" spans="1:19" ht="12.9">
      <c r="A30" s="115">
        <f ca="1">IFERROR(__xludf.DUMMYFUNCTION("""COMPUTED_VALUE"""),19)</f>
        <v>19</v>
      </c>
      <c r="B30" s="115" t="str">
        <f ca="1">IFERROR(__xludf.DUMMYFUNCTION("""COMPUTED_VALUE"""),"Jacobsen et al. (2014)")</f>
        <v>Jacobsen et al. (2014)</v>
      </c>
      <c r="C30" s="115">
        <f ca="1">IFERROR(__xludf.DUMMYFUNCTION("""COMPUTED_VALUE"""),1)</f>
        <v>1</v>
      </c>
      <c r="D30" s="115" t="str">
        <f ca="1">IFERROR(__xludf.DUMMYFUNCTION("""COMPUTED_VALUE"""),"Comparison")</f>
        <v>Comparison</v>
      </c>
      <c r="E30" s="116" t="str">
        <f ca="1">IFERROR(__xludf.DUMMYFUNCTION("""COMPUTED_VALUE"""),"Toddlerhood - Preschool")</f>
        <v>Toddlerhood - Preschool</v>
      </c>
      <c r="F30" s="117">
        <f ca="1">IFERROR(__xludf.DUMMYFUNCTION("""COMPUTED_VALUE"""),40)</f>
        <v>40</v>
      </c>
      <c r="G30" s="118">
        <f ca="1">IFERROR(__xludf.DUMMYFUNCTION("""COMPUTED_VALUE"""),0.161627045958808)</f>
        <v>0.161627045958808</v>
      </c>
      <c r="H30" s="116">
        <f ca="1">IFERROR(__xludf.DUMMYFUNCTION("""COMPUTED_VALUE"""),0.675)</f>
        <v>0.67500000000000004</v>
      </c>
      <c r="I30" s="56">
        <f ca="1">IFERROR(__xludf.DUMMYFUNCTION("""COMPUTED_VALUE"""),2014)</f>
        <v>2014</v>
      </c>
      <c r="J30" s="56" t="str">
        <f ca="1">IFERROR(__xludf.DUMMYFUNCTION("""COMPUTED_VALUE"""),"Non-USA")</f>
        <v>Non-USA</v>
      </c>
      <c r="K30" s="56" t="str">
        <f ca="1">IFERROR(__xludf.DUMMYFUNCTION("""COMPUTED_VALUE"""),"Cassidy-Marvin/Cassidy-Marvin")</f>
        <v>Cassidy-Marvin/Cassidy-Marvin</v>
      </c>
      <c r="L30" s="56">
        <f ca="1">IFERROR(__xludf.DUMMYFUNCTION("""COMPUTED_VALUE"""),0)</f>
        <v>0</v>
      </c>
      <c r="M30" s="56">
        <f ca="1">IFERROR(__xludf.DUMMYFUNCTION("""COMPUTED_VALUE"""),0)</f>
        <v>0</v>
      </c>
      <c r="N30" s="56">
        <f ca="1">IFERROR(__xludf.DUMMYFUNCTION("""COMPUTED_VALUE"""),0)</f>
        <v>0</v>
      </c>
      <c r="O30" s="56">
        <f ca="1">IFERROR(__xludf.DUMMYFUNCTION("""COMPUTED_VALUE"""),1)</f>
        <v>1</v>
      </c>
      <c r="P30" s="56">
        <f ca="1">IFERROR(__xludf.DUMMYFUNCTION("""COMPUTED_VALUE"""),0.82)</f>
        <v>0.82</v>
      </c>
      <c r="Q30" s="56">
        <f ca="1">IFERROR(__xludf.DUMMYFUNCTION("""COMPUTED_VALUE"""),0)</f>
        <v>0</v>
      </c>
      <c r="R30" s="56" t="str">
        <f ca="1">IFERROR(__xludf.DUMMYFUNCTION("""COMPUTED_VALUE"""),"Female")</f>
        <v>Female</v>
      </c>
      <c r="S30" s="119">
        <f ca="1">IFERROR(__xludf.DUMMYFUNCTION("""COMPUTED_VALUE"""),0.161290322580645)</f>
        <v>0.16129032258064499</v>
      </c>
    </row>
    <row r="31" spans="1:19" ht="12.9">
      <c r="A31" s="115">
        <f ca="1">IFERROR(__xludf.DUMMYFUNCTION("""COMPUTED_VALUE"""),20)</f>
        <v>20</v>
      </c>
      <c r="B31" s="115" t="str">
        <f ca="1">IFERROR(__xludf.DUMMYFUNCTION("""COMPUTED_VALUE"""),"Korntheuer, Lissmann &amp; Lohaus (2010) ")</f>
        <v xml:space="preserve">Korntheuer, Lissmann &amp; Lohaus (2010) </v>
      </c>
      <c r="C31" s="115">
        <f ca="1">IFERROR(__xludf.DUMMYFUNCTION("""COMPUTED_VALUE"""),1)</f>
        <v>1</v>
      </c>
      <c r="D31" s="115" t="str">
        <f ca="1">IFERROR(__xludf.DUMMYFUNCTION("""COMPUTED_VALUE"""),"Single sample")</f>
        <v>Single sample</v>
      </c>
      <c r="E31" s="116" t="str">
        <f ca="1">IFERROR(__xludf.DUMMYFUNCTION("""COMPUTED_VALUE"""),"Infancy - Toddlerhood")</f>
        <v>Infancy - Toddlerhood</v>
      </c>
      <c r="F31" s="117">
        <f ca="1">IFERROR(__xludf.DUMMYFUNCTION("""COMPUTED_VALUE"""),81)</f>
        <v>81</v>
      </c>
      <c r="G31" s="118">
        <f ca="1">IFERROR(__xludf.DUMMYFUNCTION("""COMPUTED_VALUE"""),0.257196551590541)</f>
        <v>0.257196551590541</v>
      </c>
      <c r="H31" s="116">
        <f ca="1">IFERROR(__xludf.DUMMYFUNCTION("""COMPUTED_VALUE"""),0.629629629629629)</f>
        <v>0.62962962962962898</v>
      </c>
      <c r="I31" s="56">
        <f ca="1">IFERROR(__xludf.DUMMYFUNCTION("""COMPUTED_VALUE"""),2010)</f>
        <v>2010</v>
      </c>
      <c r="J31" s="56" t="str">
        <f ca="1">IFERROR(__xludf.DUMMYFUNCTION("""COMPUTED_VALUE"""),"Non-USA")</f>
        <v>Non-USA</v>
      </c>
      <c r="K31" s="56" t="str">
        <f ca="1">IFERROR(__xludf.DUMMYFUNCTION("""COMPUTED_VALUE"""),"Ainsworth/Grossmann")</f>
        <v>Ainsworth/Grossmann</v>
      </c>
      <c r="L31" s="56">
        <f ca="1">IFERROR(__xludf.DUMMYFUNCTION("""COMPUTED_VALUE"""),1)</f>
        <v>1</v>
      </c>
      <c r="M31" s="56">
        <f ca="1">IFERROR(__xludf.DUMMYFUNCTION("""COMPUTED_VALUE"""),0)</f>
        <v>0</v>
      </c>
      <c r="N31" s="56">
        <f ca="1">IFERROR(__xludf.DUMMYFUNCTION("""COMPUTED_VALUE"""),0)</f>
        <v>0</v>
      </c>
      <c r="O31" s="56">
        <f ca="1">IFERROR(__xludf.DUMMYFUNCTION("""COMPUTED_VALUE"""),1)</f>
        <v>1</v>
      </c>
      <c r="P31" s="56" t="str">
        <f ca="1">IFERROR(__xludf.DUMMYFUNCTION("""COMPUTED_VALUE"""),"")</f>
        <v/>
      </c>
      <c r="Q31" s="56">
        <f ca="1">IFERROR(__xludf.DUMMYFUNCTION("""COMPUTED_VALUE"""),0)</f>
        <v>0</v>
      </c>
      <c r="R31" s="56" t="str">
        <f ca="1">IFERROR(__xludf.DUMMYFUNCTION("""COMPUTED_VALUE"""),"Female")</f>
        <v>Female</v>
      </c>
      <c r="S31" s="119">
        <f ca="1">IFERROR(__xludf.DUMMYFUNCTION("""COMPUTED_VALUE"""),0.256880733944954)</f>
        <v>0.25688073394495398</v>
      </c>
    </row>
    <row r="32" spans="1:19" ht="12.9">
      <c r="A32" s="115">
        <f ca="1">IFERROR(__xludf.DUMMYFUNCTION("""COMPUTED_VALUE"""),21)</f>
        <v>21</v>
      </c>
      <c r="B32" s="115" t="str">
        <f ca="1">IFERROR(__xludf.DUMMYFUNCTION("""COMPUTED_VALUE"""),"Levendosky et al. (2011)")</f>
        <v>Levendosky et al. (2011)</v>
      </c>
      <c r="C32" s="115">
        <f ca="1">IFERROR(__xludf.DUMMYFUNCTION("""COMPUTED_VALUE"""),1)</f>
        <v>1</v>
      </c>
      <c r="D32" s="115" t="str">
        <f ca="1">IFERROR(__xludf.DUMMYFUNCTION("""COMPUTED_VALUE"""),"Domestic violence dyads")</f>
        <v>Domestic violence dyads</v>
      </c>
      <c r="E32" s="116" t="str">
        <f ca="1">IFERROR(__xludf.DUMMYFUNCTION("""COMPUTED_VALUE"""),"Infancy - Preschool")</f>
        <v>Infancy - Preschool</v>
      </c>
      <c r="F32" s="117">
        <f ca="1">IFERROR(__xludf.DUMMYFUNCTION("""COMPUTED_VALUE"""),150)</f>
        <v>150</v>
      </c>
      <c r="G32" s="118">
        <f ca="1">IFERROR(__xludf.DUMMYFUNCTION("""COMPUTED_VALUE"""),0.118635047481514)</f>
        <v>0.118635047481514</v>
      </c>
      <c r="H32" s="116">
        <f ca="1">IFERROR(__xludf.DUMMYFUNCTION("""COMPUTED_VALUE"""),0.573333333333333)</f>
        <v>0.57333333333333303</v>
      </c>
      <c r="I32" s="56">
        <f ca="1">IFERROR(__xludf.DUMMYFUNCTION("""COMPUTED_VALUE"""),2011)</f>
        <v>2011</v>
      </c>
      <c r="J32" s="56" t="str">
        <f ca="1">IFERROR(__xludf.DUMMYFUNCTION("""COMPUTED_VALUE"""),"USA")</f>
        <v>USA</v>
      </c>
      <c r="K32" s="56" t="str">
        <f ca="1">IFERROR(__xludf.DUMMYFUNCTION("""COMPUTED_VALUE"""),"Ainsworth/Cassidy-Marvin")</f>
        <v>Ainsworth/Cassidy-Marvin</v>
      </c>
      <c r="L32" s="56">
        <f ca="1">IFERROR(__xludf.DUMMYFUNCTION("""COMPUTED_VALUE"""),1)</f>
        <v>1</v>
      </c>
      <c r="M32" s="56">
        <f ca="1">IFERROR(__xludf.DUMMYFUNCTION("""COMPUTED_VALUE"""),1)</f>
        <v>1</v>
      </c>
      <c r="N32" s="56">
        <f ca="1">IFERROR(__xludf.DUMMYFUNCTION("""COMPUTED_VALUE"""),0)</f>
        <v>0</v>
      </c>
      <c r="O32" s="56">
        <f ca="1">IFERROR(__xludf.DUMMYFUNCTION("""COMPUTED_VALUE"""),1)</f>
        <v>1</v>
      </c>
      <c r="P32" s="56">
        <f ca="1">IFERROR(__xludf.DUMMYFUNCTION("""COMPUTED_VALUE"""),0.83)</f>
        <v>0.83</v>
      </c>
      <c r="Q32" s="56">
        <f ca="1">IFERROR(__xludf.DUMMYFUNCTION("""COMPUTED_VALUE"""),0)</f>
        <v>0</v>
      </c>
      <c r="R32" s="56" t="str">
        <f ca="1">IFERROR(__xludf.DUMMYFUNCTION("""COMPUTED_VALUE"""),"Female")</f>
        <v>Female</v>
      </c>
      <c r="S32" s="119">
        <f ca="1">IFERROR(__xludf.DUMMYFUNCTION("""COMPUTED_VALUE"""),0.116997792494481)</f>
        <v>0.116997792494481</v>
      </c>
    </row>
    <row r="33" spans="1:19" ht="12.9">
      <c r="A33" s="115">
        <f ca="1">IFERROR(__xludf.DUMMYFUNCTION("""COMPUTED_VALUE"""),22)</f>
        <v>22</v>
      </c>
      <c r="B33" s="115" t="str">
        <f ca="1">IFERROR(__xludf.DUMMYFUNCTION("""COMPUTED_VALUE"""),"Lounds et al. (2005)")</f>
        <v>Lounds et al. (2005)</v>
      </c>
      <c r="C33" s="115">
        <f ca="1">IFERROR(__xludf.DUMMYFUNCTION("""COMPUTED_VALUE"""),1)</f>
        <v>1</v>
      </c>
      <c r="D33" s="115" t="str">
        <f ca="1">IFERROR(__xludf.DUMMYFUNCTION("""COMPUTED_VALUE"""),"Single sample")</f>
        <v>Single sample</v>
      </c>
      <c r="E33" s="116" t="str">
        <f ca="1">IFERROR(__xludf.DUMMYFUNCTION("""COMPUTED_VALUE"""),"Infancy - Preschool")</f>
        <v>Infancy - Preschool</v>
      </c>
      <c r="F33" s="117">
        <f ca="1">IFERROR(__xludf.DUMMYFUNCTION("""COMPUTED_VALUE"""),78)</f>
        <v>78</v>
      </c>
      <c r="G33" s="118">
        <f ca="1">IFERROR(__xludf.DUMMYFUNCTION("""COMPUTED_VALUE"""),0.291051369621333)</f>
        <v>0.29105136962133299</v>
      </c>
      <c r="H33" s="116">
        <f ca="1">IFERROR(__xludf.DUMMYFUNCTION("""COMPUTED_VALUE"""),0.666666666666666)</f>
        <v>0.66666666666666596</v>
      </c>
      <c r="I33" s="56">
        <f ca="1">IFERROR(__xludf.DUMMYFUNCTION("""COMPUTED_VALUE"""),2005)</f>
        <v>2005</v>
      </c>
      <c r="J33" s="56" t="str">
        <f ca="1">IFERROR(__xludf.DUMMYFUNCTION("""COMPUTED_VALUE"""),"USA")</f>
        <v>USA</v>
      </c>
      <c r="K33" s="56" t="str">
        <f ca="1">IFERROR(__xludf.DUMMYFUNCTION("""COMPUTED_VALUE"""),"Ainsworth/Cassidy-Marvin")</f>
        <v>Ainsworth/Cassidy-Marvin</v>
      </c>
      <c r="L33" s="56">
        <f ca="1">IFERROR(__xludf.DUMMYFUNCTION("""COMPUTED_VALUE"""),1)</f>
        <v>1</v>
      </c>
      <c r="M33" s="56">
        <f ca="1">IFERROR(__xludf.DUMMYFUNCTION("""COMPUTED_VALUE"""),1)</f>
        <v>1</v>
      </c>
      <c r="N33" s="56">
        <f ca="1">IFERROR(__xludf.DUMMYFUNCTION("""COMPUTED_VALUE"""),0)</f>
        <v>0</v>
      </c>
      <c r="O33" s="56">
        <f ca="1">IFERROR(__xludf.DUMMYFUNCTION("""COMPUTED_VALUE"""),1)</f>
        <v>1</v>
      </c>
      <c r="P33" s="56" t="str">
        <f ca="1">IFERROR(__xludf.DUMMYFUNCTION("""COMPUTED_VALUE"""),"")</f>
        <v/>
      </c>
      <c r="Q33" s="56">
        <f ca="1">IFERROR(__xludf.DUMMYFUNCTION("""COMPUTED_VALUE"""),0)</f>
        <v>0</v>
      </c>
      <c r="R33" s="56" t="str">
        <f ca="1">IFERROR(__xludf.DUMMYFUNCTION("""COMPUTED_VALUE"""),"Female")</f>
        <v>Female</v>
      </c>
      <c r="S33" s="119">
        <f ca="1">IFERROR(__xludf.DUMMYFUNCTION("""COMPUTED_VALUE"""),0.283898305084745)</f>
        <v>0.28389830508474501</v>
      </c>
    </row>
    <row r="34" spans="1:19" ht="12.9">
      <c r="A34" s="115">
        <f ca="1">IFERROR(__xludf.DUMMYFUNCTION("""COMPUTED_VALUE"""),23)</f>
        <v>23</v>
      </c>
      <c r="B34" s="115" t="str">
        <f ca="1">IFERROR(__xludf.DUMMYFUNCTION("""COMPUTED_VALUE"""),"Main &amp; Cassidy (1988)")</f>
        <v>Main &amp; Cassidy (1988)</v>
      </c>
      <c r="C34" s="115">
        <f ca="1">IFERROR(__xludf.DUMMYFUNCTION("""COMPUTED_VALUE"""),1)</f>
        <v>1</v>
      </c>
      <c r="D34" s="115" t="str">
        <f ca="1">IFERROR(__xludf.DUMMYFUNCTION("""COMPUTED_VALUE"""),"Mother-child")</f>
        <v>Mother-child</v>
      </c>
      <c r="E34" s="116" t="str">
        <f ca="1">IFERROR(__xludf.DUMMYFUNCTION("""COMPUTED_VALUE"""),"Infancy - Preschool")</f>
        <v>Infancy - Preschool</v>
      </c>
      <c r="F34" s="117">
        <f ca="1">IFERROR(__xludf.DUMMYFUNCTION("""COMPUTED_VALUE"""),40)</f>
        <v>40</v>
      </c>
      <c r="G34" s="118">
        <f ca="1">IFERROR(__xludf.DUMMYFUNCTION("""COMPUTED_VALUE"""),0.76)</f>
        <v>0.76</v>
      </c>
      <c r="H34" s="116" t="str">
        <f ca="1">IFERROR(__xludf.DUMMYFUNCTION("""COMPUTED_VALUE"""),"")</f>
        <v/>
      </c>
      <c r="I34" s="56">
        <f ca="1">IFERROR(__xludf.DUMMYFUNCTION("""COMPUTED_VALUE"""),1988)</f>
        <v>1988</v>
      </c>
      <c r="J34" s="56" t="str">
        <f ca="1">IFERROR(__xludf.DUMMYFUNCTION("""COMPUTED_VALUE"""),"USA")</f>
        <v>USA</v>
      </c>
      <c r="K34" s="56" t="str">
        <f ca="1">IFERROR(__xludf.DUMMYFUNCTION("""COMPUTED_VALUE"""),"Ainsworth/Main-Cassidy")</f>
        <v>Ainsworth/Main-Cassidy</v>
      </c>
      <c r="L34" s="56">
        <f ca="1">IFERROR(__xludf.DUMMYFUNCTION("""COMPUTED_VALUE"""),1)</f>
        <v>1</v>
      </c>
      <c r="M34" s="56">
        <f ca="1">IFERROR(__xludf.DUMMYFUNCTION("""COMPUTED_VALUE"""),0)</f>
        <v>0</v>
      </c>
      <c r="N34" s="56">
        <f ca="1">IFERROR(__xludf.DUMMYFUNCTION("""COMPUTED_VALUE"""),0)</f>
        <v>0</v>
      </c>
      <c r="O34" s="56">
        <f ca="1">IFERROR(__xludf.DUMMYFUNCTION("""COMPUTED_VALUE"""),1)</f>
        <v>1</v>
      </c>
      <c r="P34" s="56">
        <f ca="1">IFERROR(__xludf.DUMMYFUNCTION("""COMPUTED_VALUE"""),0.83)</f>
        <v>0.83</v>
      </c>
      <c r="Q34" s="56">
        <f ca="1">IFERROR(__xludf.DUMMYFUNCTION("""COMPUTED_VALUE"""),1)</f>
        <v>1</v>
      </c>
      <c r="R34" s="56" t="str">
        <f ca="1">IFERROR(__xludf.DUMMYFUNCTION("""COMPUTED_VALUE"""),"Female")</f>
        <v>Female</v>
      </c>
      <c r="S34" s="119" t="str">
        <f ca="1">IFERROR(__xludf.DUMMYFUNCTION("""COMPUTED_VALUE"""),"")</f>
        <v/>
      </c>
    </row>
    <row r="35" spans="1:19" ht="12.9">
      <c r="A35" s="115">
        <f ca="1">IFERROR(__xludf.DUMMYFUNCTION("""COMPUTED_VALUE"""),23)</f>
        <v>23</v>
      </c>
      <c r="B35" s="115" t="str">
        <f ca="1">IFERROR(__xludf.DUMMYFUNCTION("""COMPUTED_VALUE"""),"Main &amp; Cassidy (1988)")</f>
        <v>Main &amp; Cassidy (1988)</v>
      </c>
      <c r="C35" s="115">
        <f ca="1">IFERROR(__xludf.DUMMYFUNCTION("""COMPUTED_VALUE"""),2)</f>
        <v>2</v>
      </c>
      <c r="D35" s="115" t="str">
        <f ca="1">IFERROR(__xludf.DUMMYFUNCTION("""COMPUTED_VALUE"""),"Father-child")</f>
        <v>Father-child</v>
      </c>
      <c r="E35" s="116" t="str">
        <f ca="1">IFERROR(__xludf.DUMMYFUNCTION("""COMPUTED_VALUE"""),"Infancy - Preschool")</f>
        <v>Infancy - Preschool</v>
      </c>
      <c r="F35" s="117">
        <f ca="1">IFERROR(__xludf.DUMMYFUNCTION("""COMPUTED_VALUE"""),40)</f>
        <v>40</v>
      </c>
      <c r="G35" s="118">
        <f ca="1">IFERROR(__xludf.DUMMYFUNCTION("""COMPUTED_VALUE"""),0.3)</f>
        <v>0.3</v>
      </c>
      <c r="H35" s="116" t="str">
        <f ca="1">IFERROR(__xludf.DUMMYFUNCTION("""COMPUTED_VALUE"""),"")</f>
        <v/>
      </c>
      <c r="I35" s="56">
        <f ca="1">IFERROR(__xludf.DUMMYFUNCTION("""COMPUTED_VALUE"""),1988)</f>
        <v>1988</v>
      </c>
      <c r="J35" s="56" t="str">
        <f ca="1">IFERROR(__xludf.DUMMYFUNCTION("""COMPUTED_VALUE"""),"USA")</f>
        <v>USA</v>
      </c>
      <c r="K35" s="56" t="str">
        <f ca="1">IFERROR(__xludf.DUMMYFUNCTION("""COMPUTED_VALUE"""),"Ainsworth/Main-Cassidy")</f>
        <v>Ainsworth/Main-Cassidy</v>
      </c>
      <c r="L35" s="56">
        <f ca="1">IFERROR(__xludf.DUMMYFUNCTION("""COMPUTED_VALUE"""),1)</f>
        <v>1</v>
      </c>
      <c r="M35" s="56">
        <f ca="1">IFERROR(__xludf.DUMMYFUNCTION("""COMPUTED_VALUE"""),0)</f>
        <v>0</v>
      </c>
      <c r="N35" s="56">
        <f ca="1">IFERROR(__xludf.DUMMYFUNCTION("""COMPUTED_VALUE"""),0)</f>
        <v>0</v>
      </c>
      <c r="O35" s="56">
        <f ca="1">IFERROR(__xludf.DUMMYFUNCTION("""COMPUTED_VALUE"""),1)</f>
        <v>1</v>
      </c>
      <c r="P35" s="56">
        <f ca="1">IFERROR(__xludf.DUMMYFUNCTION("""COMPUTED_VALUE"""),0.77)</f>
        <v>0.77</v>
      </c>
      <c r="Q35" s="56">
        <f ca="1">IFERROR(__xludf.DUMMYFUNCTION("""COMPUTED_VALUE"""),1)</f>
        <v>1</v>
      </c>
      <c r="R35" s="56" t="str">
        <f ca="1">IFERROR(__xludf.DUMMYFUNCTION("""COMPUTED_VALUE"""),"Male")</f>
        <v>Male</v>
      </c>
      <c r="S35" s="119" t="str">
        <f ca="1">IFERROR(__xludf.DUMMYFUNCTION("""COMPUTED_VALUE"""),"")</f>
        <v/>
      </c>
    </row>
    <row r="36" spans="1:19" ht="12.9">
      <c r="A36" s="115">
        <f ca="1">IFERROR(__xludf.DUMMYFUNCTION("""COMPUTED_VALUE"""),24)</f>
        <v>24</v>
      </c>
      <c r="B36" s="115" t="str">
        <f ca="1">IFERROR(__xludf.DUMMYFUNCTION("""COMPUTED_VALUE"""),"Maris et al. (2000)")</f>
        <v>Maris et al. (2000)</v>
      </c>
      <c r="C36" s="115">
        <f ca="1">IFERROR(__xludf.DUMMYFUNCTION("""COMPUTED_VALUE"""),1)</f>
        <v>1</v>
      </c>
      <c r="D36" s="115" t="str">
        <f ca="1">IFERROR(__xludf.DUMMYFUNCTION("""COMPUTED_VALUE"""),"Cleft lip and palate")</f>
        <v>Cleft lip and palate</v>
      </c>
      <c r="E36" s="116" t="str">
        <f ca="1">IFERROR(__xludf.DUMMYFUNCTION("""COMPUTED_VALUE"""),"Infancy - Toddlerhood")</f>
        <v>Infancy - Toddlerhood</v>
      </c>
      <c r="F36" s="117">
        <f ca="1">IFERROR(__xludf.DUMMYFUNCTION("""COMPUTED_VALUE"""),24)</f>
        <v>24</v>
      </c>
      <c r="G36" s="118">
        <f ca="1">IFERROR(__xludf.DUMMYFUNCTION("""COMPUTED_VALUE"""),-0.242535625036332)</f>
        <v>-0.242535625036332</v>
      </c>
      <c r="H36" s="116">
        <f ca="1">IFERROR(__xludf.DUMMYFUNCTION("""COMPUTED_VALUE"""),0.583333333333333)</f>
        <v>0.58333333333333304</v>
      </c>
      <c r="I36" s="56">
        <f ca="1">IFERROR(__xludf.DUMMYFUNCTION("""COMPUTED_VALUE"""),2000)</f>
        <v>2000</v>
      </c>
      <c r="J36" s="56" t="str">
        <f ca="1">IFERROR(__xludf.DUMMYFUNCTION("""COMPUTED_VALUE"""),"USA")</f>
        <v>USA</v>
      </c>
      <c r="K36" s="56" t="str">
        <f ca="1">IFERROR(__xludf.DUMMYFUNCTION("""COMPUTED_VALUE"""),"Ainsworth/Cassidy-Marvin")</f>
        <v>Ainsworth/Cassidy-Marvin</v>
      </c>
      <c r="L36" s="56">
        <f ca="1">IFERROR(__xludf.DUMMYFUNCTION("""COMPUTED_VALUE"""),1)</f>
        <v>1</v>
      </c>
      <c r="M36" s="56">
        <f ca="1">IFERROR(__xludf.DUMMYFUNCTION("""COMPUTED_VALUE"""),0)</f>
        <v>0</v>
      </c>
      <c r="N36" s="56">
        <f ca="1">IFERROR(__xludf.DUMMYFUNCTION("""COMPUTED_VALUE"""),1)</f>
        <v>1</v>
      </c>
      <c r="O36" s="56">
        <f ca="1">IFERROR(__xludf.DUMMYFUNCTION("""COMPUTED_VALUE"""),1)</f>
        <v>1</v>
      </c>
      <c r="P36" s="56">
        <f ca="1">IFERROR(__xludf.DUMMYFUNCTION("""COMPUTED_VALUE"""),0.83)</f>
        <v>0.83</v>
      </c>
      <c r="Q36" s="56">
        <f ca="1">IFERROR(__xludf.DUMMYFUNCTION("""COMPUTED_VALUE"""),0)</f>
        <v>0</v>
      </c>
      <c r="R36" s="56" t="str">
        <f ca="1">IFERROR(__xludf.DUMMYFUNCTION("""COMPUTED_VALUE"""),"Female")</f>
        <v>Female</v>
      </c>
      <c r="S36" s="119">
        <f ca="1">IFERROR(__xludf.DUMMYFUNCTION("""COMPUTED_VALUE"""),-0.212121212121212)</f>
        <v>-0.21212121212121199</v>
      </c>
    </row>
    <row r="37" spans="1:19" ht="12.9">
      <c r="A37" s="115">
        <f ca="1">IFERROR(__xludf.DUMMYFUNCTION("""COMPUTED_VALUE"""),25)</f>
        <v>25</v>
      </c>
      <c r="B37" s="115" t="str">
        <f ca="1">IFERROR(__xludf.DUMMYFUNCTION("""COMPUTED_VALUE"""),"Maris et al. (2000)")</f>
        <v>Maris et al. (2000)</v>
      </c>
      <c r="C37" s="115">
        <f ca="1">IFERROR(__xludf.DUMMYFUNCTION("""COMPUTED_VALUE"""),1)</f>
        <v>1</v>
      </c>
      <c r="D37" s="115" t="str">
        <f ca="1">IFERROR(__xludf.DUMMYFUNCTION("""COMPUTED_VALUE"""),"Comparison")</f>
        <v>Comparison</v>
      </c>
      <c r="E37" s="116" t="str">
        <f ca="1">IFERROR(__xludf.DUMMYFUNCTION("""COMPUTED_VALUE"""),"Infancy - Toddlerhood")</f>
        <v>Infancy - Toddlerhood</v>
      </c>
      <c r="F37" s="117">
        <f ca="1">IFERROR(__xludf.DUMMYFUNCTION("""COMPUTED_VALUE"""),61)</f>
        <v>61</v>
      </c>
      <c r="G37" s="118">
        <f ca="1">IFERROR(__xludf.DUMMYFUNCTION("""COMPUTED_VALUE"""),0.185096738137482)</f>
        <v>0.18509673813748201</v>
      </c>
      <c r="H37" s="116">
        <f ca="1">IFERROR(__xludf.DUMMYFUNCTION("""COMPUTED_VALUE"""),0.622950819672131)</f>
        <v>0.62295081967213095</v>
      </c>
      <c r="I37" s="56">
        <f ca="1">IFERROR(__xludf.DUMMYFUNCTION("""COMPUTED_VALUE"""),2000)</f>
        <v>2000</v>
      </c>
      <c r="J37" s="56" t="str">
        <f ca="1">IFERROR(__xludf.DUMMYFUNCTION("""COMPUTED_VALUE"""),"USA")</f>
        <v>USA</v>
      </c>
      <c r="K37" s="56" t="str">
        <f ca="1">IFERROR(__xludf.DUMMYFUNCTION("""COMPUTED_VALUE"""),"Ainsworth/Cassidy-Marvin")</f>
        <v>Ainsworth/Cassidy-Marvin</v>
      </c>
      <c r="L37" s="56">
        <f ca="1">IFERROR(__xludf.DUMMYFUNCTION("""COMPUTED_VALUE"""),1)</f>
        <v>1</v>
      </c>
      <c r="M37" s="56">
        <f ca="1">IFERROR(__xludf.DUMMYFUNCTION("""COMPUTED_VALUE"""),0)</f>
        <v>0</v>
      </c>
      <c r="N37" s="56">
        <f ca="1">IFERROR(__xludf.DUMMYFUNCTION("""COMPUTED_VALUE"""),0)</f>
        <v>0</v>
      </c>
      <c r="O37" s="56">
        <f ca="1">IFERROR(__xludf.DUMMYFUNCTION("""COMPUTED_VALUE"""),1)</f>
        <v>1</v>
      </c>
      <c r="P37" s="56">
        <f ca="1">IFERROR(__xludf.DUMMYFUNCTION("""COMPUTED_VALUE"""),0.83)</f>
        <v>0.83</v>
      </c>
      <c r="Q37" s="56">
        <f ca="1">IFERROR(__xludf.DUMMYFUNCTION("""COMPUTED_VALUE"""),0)</f>
        <v>0</v>
      </c>
      <c r="R37" s="56" t="str">
        <f ca="1">IFERROR(__xludf.DUMMYFUNCTION("""COMPUTED_VALUE"""),"Female")</f>
        <v>Female</v>
      </c>
      <c r="S37" s="119">
        <f ca="1">IFERROR(__xludf.DUMMYFUNCTION("""COMPUTED_VALUE"""),0.175191064079953)</f>
        <v>0.175191064079953</v>
      </c>
    </row>
    <row r="38" spans="1:19" ht="12.9">
      <c r="A38" s="115">
        <f ca="1">IFERROR(__xludf.DUMMYFUNCTION("""COMPUTED_VALUE"""),26)</f>
        <v>26</v>
      </c>
      <c r="B38" s="115" t="str">
        <f ca="1">IFERROR(__xludf.DUMMYFUNCTION("""COMPUTED_VALUE"""),"Maris et al. (2000)")</f>
        <v>Maris et al. (2000)</v>
      </c>
      <c r="C38" s="115">
        <f ca="1">IFERROR(__xludf.DUMMYFUNCTION("""COMPUTED_VALUE"""),1)</f>
        <v>1</v>
      </c>
      <c r="D38" s="115" t="str">
        <f ca="1">IFERROR(__xludf.DUMMYFUNCTION("""COMPUTED_VALUE"""),"Cleft palate only")</f>
        <v>Cleft palate only</v>
      </c>
      <c r="E38" s="116" t="str">
        <f ca="1">IFERROR(__xludf.DUMMYFUNCTION("""COMPUTED_VALUE"""),"Infancy - Toddlerhood")</f>
        <v>Infancy - Toddlerhood</v>
      </c>
      <c r="F38" s="117">
        <f ca="1">IFERROR(__xludf.DUMMYFUNCTION("""COMPUTED_VALUE"""),22)</f>
        <v>22</v>
      </c>
      <c r="G38" s="118">
        <f ca="1">IFERROR(__xludf.DUMMYFUNCTION("""COMPUTED_VALUE"""),-0.325395686727984)</f>
        <v>-0.32539568672798402</v>
      </c>
      <c r="H38" s="116">
        <f ca="1">IFERROR(__xludf.DUMMYFUNCTION("""COMPUTED_VALUE"""),0.363636363636363)</f>
        <v>0.36363636363636298</v>
      </c>
      <c r="I38" s="56">
        <f ca="1">IFERROR(__xludf.DUMMYFUNCTION("""COMPUTED_VALUE"""),2000)</f>
        <v>2000</v>
      </c>
      <c r="J38" s="56" t="str">
        <f ca="1">IFERROR(__xludf.DUMMYFUNCTION("""COMPUTED_VALUE"""),"USA")</f>
        <v>USA</v>
      </c>
      <c r="K38" s="56" t="str">
        <f ca="1">IFERROR(__xludf.DUMMYFUNCTION("""COMPUTED_VALUE"""),"Ainsworth/Cassidy-Marvin")</f>
        <v>Ainsworth/Cassidy-Marvin</v>
      </c>
      <c r="L38" s="56">
        <f ca="1">IFERROR(__xludf.DUMMYFUNCTION("""COMPUTED_VALUE"""),1)</f>
        <v>1</v>
      </c>
      <c r="M38" s="56">
        <f ca="1">IFERROR(__xludf.DUMMYFUNCTION("""COMPUTED_VALUE"""),0)</f>
        <v>0</v>
      </c>
      <c r="N38" s="56">
        <f ca="1">IFERROR(__xludf.DUMMYFUNCTION("""COMPUTED_VALUE"""),1)</f>
        <v>1</v>
      </c>
      <c r="O38" s="56">
        <f ca="1">IFERROR(__xludf.DUMMYFUNCTION("""COMPUTED_VALUE"""),1)</f>
        <v>1</v>
      </c>
      <c r="P38" s="56">
        <f ca="1">IFERROR(__xludf.DUMMYFUNCTION("""COMPUTED_VALUE"""),0.83)</f>
        <v>0.83</v>
      </c>
      <c r="Q38" s="56">
        <f ca="1">IFERROR(__xludf.DUMMYFUNCTION("""COMPUTED_VALUE"""),0)</f>
        <v>0</v>
      </c>
      <c r="R38" s="56" t="str">
        <f ca="1">IFERROR(__xludf.DUMMYFUNCTION("""COMPUTED_VALUE"""),"Female")</f>
        <v>Female</v>
      </c>
      <c r="S38" s="119">
        <f ca="1">IFERROR(__xludf.DUMMYFUNCTION("""COMPUTED_VALUE"""),-0.272727272727272)</f>
        <v>-0.27272727272727199</v>
      </c>
    </row>
    <row r="39" spans="1:19" ht="12.9">
      <c r="A39" s="115">
        <f ca="1">IFERROR(__xludf.DUMMYFUNCTION("""COMPUTED_VALUE"""),27)</f>
        <v>27</v>
      </c>
      <c r="B39" s="115" t="str">
        <f ca="1">IFERROR(__xludf.DUMMYFUNCTION("""COMPUTED_VALUE"""),"Milentijevic, Altman &amp; Ward (1995)")</f>
        <v>Milentijevic, Altman &amp; Ward (1995)</v>
      </c>
      <c r="C39" s="115">
        <f ca="1">IFERROR(__xludf.DUMMYFUNCTION("""COMPUTED_VALUE"""),1)</f>
        <v>1</v>
      </c>
      <c r="D39" s="115" t="str">
        <f ca="1">IFERROR(__xludf.DUMMYFUNCTION("""COMPUTED_VALUE"""),"Single sample")</f>
        <v>Single sample</v>
      </c>
      <c r="E39" s="116" t="str">
        <f ca="1">IFERROR(__xludf.DUMMYFUNCTION("""COMPUTED_VALUE"""),"Infancy - Preschool")</f>
        <v>Infancy - Preschool</v>
      </c>
      <c r="F39" s="117">
        <f ca="1">IFERROR(__xludf.DUMMYFUNCTION("""COMPUTED_VALUE"""),86)</f>
        <v>86</v>
      </c>
      <c r="G39" s="118">
        <f ca="1">IFERROR(__xludf.DUMMYFUNCTION("""COMPUTED_VALUE"""),0.013242903670462)</f>
        <v>1.3242903670462E-2</v>
      </c>
      <c r="H39" s="116">
        <f ca="1">IFERROR(__xludf.DUMMYFUNCTION("""COMPUTED_VALUE"""),0.5)</f>
        <v>0.5</v>
      </c>
      <c r="I39" s="56">
        <f ca="1">IFERROR(__xludf.DUMMYFUNCTION("""COMPUTED_VALUE"""),1995)</f>
        <v>1995</v>
      </c>
      <c r="J39" s="56" t="str">
        <f ca="1">IFERROR(__xludf.DUMMYFUNCTION("""COMPUTED_VALUE"""),"USA")</f>
        <v>USA</v>
      </c>
      <c r="K39" s="56" t="str">
        <f ca="1">IFERROR(__xludf.DUMMYFUNCTION("""COMPUTED_VALUE"""),"Ainsworth/Cassidy-Marvin")</f>
        <v>Ainsworth/Cassidy-Marvin</v>
      </c>
      <c r="L39" s="56">
        <f ca="1">IFERROR(__xludf.DUMMYFUNCTION("""COMPUTED_VALUE"""),0)</f>
        <v>0</v>
      </c>
      <c r="M39" s="56">
        <f ca="1">IFERROR(__xludf.DUMMYFUNCTION("""COMPUTED_VALUE"""),1)</f>
        <v>1</v>
      </c>
      <c r="N39" s="56">
        <f ca="1">IFERROR(__xludf.DUMMYFUNCTION("""COMPUTED_VALUE"""),0)</f>
        <v>0</v>
      </c>
      <c r="O39" s="56">
        <f ca="1">IFERROR(__xludf.DUMMYFUNCTION("""COMPUTED_VALUE"""),0)</f>
        <v>0</v>
      </c>
      <c r="P39" s="56">
        <f ca="1">IFERROR(__xludf.DUMMYFUNCTION("""COMPUTED_VALUE"""),0.8)</f>
        <v>0.8</v>
      </c>
      <c r="Q39" s="56">
        <f ca="1">IFERROR(__xludf.DUMMYFUNCTION("""COMPUTED_VALUE"""),1)</f>
        <v>1</v>
      </c>
      <c r="R39" s="56" t="str">
        <f ca="1">IFERROR(__xludf.DUMMYFUNCTION("""COMPUTED_VALUE"""),"Female")</f>
        <v>Female</v>
      </c>
      <c r="S39" s="119">
        <f ca="1">IFERROR(__xludf.DUMMYFUNCTION("""COMPUTED_VALUE"""),0.0128136679124398)</f>
        <v>1.28136679124398E-2</v>
      </c>
    </row>
    <row r="40" spans="1:19" ht="12.9">
      <c r="A40" s="115">
        <f ca="1">IFERROR(__xludf.DUMMYFUNCTION("""COMPUTED_VALUE"""),28)</f>
        <v>28</v>
      </c>
      <c r="B40" s="115" t="str">
        <f ca="1">IFERROR(__xludf.DUMMYFUNCTION("""COMPUTED_VALUE"""),"Moss et al. (2005)")</f>
        <v>Moss et al. (2005)</v>
      </c>
      <c r="C40" s="115">
        <f ca="1">IFERROR(__xludf.DUMMYFUNCTION("""COMPUTED_VALUE"""),1)</f>
        <v>1</v>
      </c>
      <c r="D40" s="115" t="str">
        <f ca="1">IFERROR(__xludf.DUMMYFUNCTION("""COMPUTED_VALUE"""),"Single sample")</f>
        <v>Single sample</v>
      </c>
      <c r="E40" s="116" t="str">
        <f ca="1">IFERROR(__xludf.DUMMYFUNCTION("""COMPUTED_VALUE"""),"Preschool - Preschool")</f>
        <v>Preschool - Preschool</v>
      </c>
      <c r="F40" s="117">
        <f ca="1">IFERROR(__xludf.DUMMYFUNCTION("""COMPUTED_VALUE"""),120)</f>
        <v>120</v>
      </c>
      <c r="G40" s="118">
        <f ca="1">IFERROR(__xludf.DUMMYFUNCTION("""COMPUTED_VALUE"""),0.548907431212395)</f>
        <v>0.54890743121239505</v>
      </c>
      <c r="H40" s="116">
        <f ca="1">IFERROR(__xludf.DUMMYFUNCTION("""COMPUTED_VALUE"""),0.766666666666666)</f>
        <v>0.76666666666666605</v>
      </c>
      <c r="I40" s="56">
        <f ca="1">IFERROR(__xludf.DUMMYFUNCTION("""COMPUTED_VALUE"""),2005)</f>
        <v>2005</v>
      </c>
      <c r="J40" s="56" t="str">
        <f ca="1">IFERROR(__xludf.DUMMYFUNCTION("""COMPUTED_VALUE"""),"Non-USA")</f>
        <v>Non-USA</v>
      </c>
      <c r="K40" s="56" t="str">
        <f ca="1">IFERROR(__xludf.DUMMYFUNCTION("""COMPUTED_VALUE"""),"Cassidy-Marvin/Main-Cassidy")</f>
        <v>Cassidy-Marvin/Main-Cassidy</v>
      </c>
      <c r="L40" s="56">
        <f ca="1">IFERROR(__xludf.DUMMYFUNCTION("""COMPUTED_VALUE"""),1)</f>
        <v>1</v>
      </c>
      <c r="M40" s="56">
        <f ca="1">IFERROR(__xludf.DUMMYFUNCTION("""COMPUTED_VALUE"""),0)</f>
        <v>0</v>
      </c>
      <c r="N40" s="56">
        <f ca="1">IFERROR(__xludf.DUMMYFUNCTION("""COMPUTED_VALUE"""),0)</f>
        <v>0</v>
      </c>
      <c r="O40" s="56">
        <f ca="1">IFERROR(__xludf.DUMMYFUNCTION("""COMPUTED_VALUE"""),1)</f>
        <v>1</v>
      </c>
      <c r="P40" s="56">
        <f ca="1">IFERROR(__xludf.DUMMYFUNCTION("""COMPUTED_VALUE"""),0.895)</f>
        <v>0.89500000000000002</v>
      </c>
      <c r="Q40" s="56">
        <f ca="1">IFERROR(__xludf.DUMMYFUNCTION("""COMPUTED_VALUE"""),0)</f>
        <v>0</v>
      </c>
      <c r="R40" s="56" t="str">
        <f ca="1">IFERROR(__xludf.DUMMYFUNCTION("""COMPUTED_VALUE"""),"Female")</f>
        <v>Female</v>
      </c>
      <c r="S40" s="119">
        <f ca="1">IFERROR(__xludf.DUMMYFUNCTION("""COMPUTED_VALUE"""),0.528619528619528)</f>
        <v>0.52861952861952799</v>
      </c>
    </row>
    <row r="41" spans="1:19" ht="12.9">
      <c r="A41" s="115">
        <f ca="1">IFERROR(__xludf.DUMMYFUNCTION("""COMPUTED_VALUE"""),29)</f>
        <v>29</v>
      </c>
      <c r="B41" s="115" t="str">
        <f ca="1">IFERROR(__xludf.DUMMYFUNCTION("""COMPUTED_VALUE"""),"NICHD (2001)")</f>
        <v>NICHD (2001)</v>
      </c>
      <c r="C41" s="115">
        <f ca="1">IFERROR(__xludf.DUMMYFUNCTION("""COMPUTED_VALUE"""),1)</f>
        <v>1</v>
      </c>
      <c r="D41" s="115" t="str">
        <f ca="1">IFERROR(__xludf.DUMMYFUNCTION("""COMPUTED_VALUE"""),"Single sample")</f>
        <v>Single sample</v>
      </c>
      <c r="E41" s="116" t="str">
        <f ca="1">IFERROR(__xludf.DUMMYFUNCTION("""COMPUTED_VALUE"""),"Infancy - Toddlerhood")</f>
        <v>Infancy - Toddlerhood</v>
      </c>
      <c r="F41" s="117">
        <f ca="1">IFERROR(__xludf.DUMMYFUNCTION("""COMPUTED_VALUE"""),1060)</f>
        <v>1060</v>
      </c>
      <c r="G41" s="118">
        <f ca="1">IFERROR(__xludf.DUMMYFUNCTION("""COMPUTED_VALUE"""),0.0447643888649019)</f>
        <v>4.4764388864901902E-2</v>
      </c>
      <c r="H41" s="116">
        <f ca="1">IFERROR(__xludf.DUMMYFUNCTION("""COMPUTED_VALUE"""),0.55)</f>
        <v>0.55000000000000004</v>
      </c>
      <c r="I41" s="56">
        <f ca="1">IFERROR(__xludf.DUMMYFUNCTION("""COMPUTED_VALUE"""),2001)</f>
        <v>2001</v>
      </c>
      <c r="J41" s="56" t="str">
        <f ca="1">IFERROR(__xludf.DUMMYFUNCTION("""COMPUTED_VALUE"""),"USA")</f>
        <v>USA</v>
      </c>
      <c r="K41" s="56" t="str">
        <f ca="1">IFERROR(__xludf.DUMMYFUNCTION("""COMPUTED_VALUE"""),"Ainsworth/Cassidy-Marvin")</f>
        <v>Ainsworth/Cassidy-Marvin</v>
      </c>
      <c r="L41" s="56">
        <f ca="1">IFERROR(__xludf.DUMMYFUNCTION("""COMPUTED_VALUE"""),1)</f>
        <v>1</v>
      </c>
      <c r="M41" s="56">
        <f ca="1">IFERROR(__xludf.DUMMYFUNCTION("""COMPUTED_VALUE"""),0)</f>
        <v>0</v>
      </c>
      <c r="N41" s="56">
        <f ca="1">IFERROR(__xludf.DUMMYFUNCTION("""COMPUTED_VALUE"""),0)</f>
        <v>0</v>
      </c>
      <c r="O41" s="56">
        <f ca="1">IFERROR(__xludf.DUMMYFUNCTION("""COMPUTED_VALUE"""),1)</f>
        <v>1</v>
      </c>
      <c r="P41" s="56">
        <f ca="1">IFERROR(__xludf.DUMMYFUNCTION("""COMPUTED_VALUE"""),0.7885)</f>
        <v>0.78849999999999998</v>
      </c>
      <c r="Q41" s="56">
        <f ca="1">IFERROR(__xludf.DUMMYFUNCTION("""COMPUTED_VALUE"""),0)</f>
        <v>0</v>
      </c>
      <c r="R41" s="56" t="str">
        <f ca="1">IFERROR(__xludf.DUMMYFUNCTION("""COMPUTED_VALUE"""),"Female")</f>
        <v>Female</v>
      </c>
      <c r="S41" s="119">
        <f ca="1">IFERROR(__xludf.DUMMYFUNCTION("""COMPUTED_VALUE"""),0.0447599903270662)</f>
        <v>4.47599903270662E-2</v>
      </c>
    </row>
    <row r="42" spans="1:19" ht="12.9">
      <c r="A42" s="115">
        <f ca="1">IFERROR(__xludf.DUMMYFUNCTION("""COMPUTED_VALUE"""),30)</f>
        <v>30</v>
      </c>
      <c r="B42" s="115" t="str">
        <f ca="1">IFERROR(__xludf.DUMMYFUNCTION("""COMPUTED_VALUE"""),"Rauh et al. (2000)")</f>
        <v>Rauh et al. (2000)</v>
      </c>
      <c r="C42" s="115">
        <f ca="1">IFERROR(__xludf.DUMMYFUNCTION("""COMPUTED_VALUE"""),1)</f>
        <v>1</v>
      </c>
      <c r="D42" s="115" t="str">
        <f ca="1">IFERROR(__xludf.DUMMYFUNCTION("""COMPUTED_VALUE"""),"Ainsworth-Ainsworth")</f>
        <v>Ainsworth-Ainsworth</v>
      </c>
      <c r="E42" s="116" t="str">
        <f ca="1">IFERROR(__xludf.DUMMYFUNCTION("""COMPUTED_VALUE"""),"Infancy - Toddlerhood")</f>
        <v>Infancy - Toddlerhood</v>
      </c>
      <c r="F42" s="117">
        <f ca="1">IFERROR(__xludf.DUMMYFUNCTION("""COMPUTED_VALUE"""),75)</f>
        <v>75</v>
      </c>
      <c r="G42" s="118">
        <f ca="1">IFERROR(__xludf.DUMMYFUNCTION("""COMPUTED_VALUE"""),0.178434459677103)</f>
        <v>0.178434459677103</v>
      </c>
      <c r="H42" s="116">
        <f ca="1">IFERROR(__xludf.DUMMYFUNCTION("""COMPUTED_VALUE"""),0.626666666666666)</f>
        <v>0.62666666666666604</v>
      </c>
      <c r="I42" s="56">
        <f ca="1">IFERROR(__xludf.DUMMYFUNCTION("""COMPUTED_VALUE"""),2000)</f>
        <v>2000</v>
      </c>
      <c r="J42" s="56" t="str">
        <f ca="1">IFERROR(__xludf.DUMMYFUNCTION("""COMPUTED_VALUE"""),"Non-USA")</f>
        <v>Non-USA</v>
      </c>
      <c r="K42" s="56" t="str">
        <f ca="1">IFERROR(__xludf.DUMMYFUNCTION("""COMPUTED_VALUE"""),"Ainsworth/Ainsworth")</f>
        <v>Ainsworth/Ainsworth</v>
      </c>
      <c r="L42" s="56">
        <f ca="1">IFERROR(__xludf.DUMMYFUNCTION("""COMPUTED_VALUE"""),1)</f>
        <v>1</v>
      </c>
      <c r="M42" s="56">
        <f ca="1">IFERROR(__xludf.DUMMYFUNCTION("""COMPUTED_VALUE"""),0)</f>
        <v>0</v>
      </c>
      <c r="N42" s="56">
        <f ca="1">IFERROR(__xludf.DUMMYFUNCTION("""COMPUTED_VALUE"""),0)</f>
        <v>0</v>
      </c>
      <c r="O42" s="56">
        <f ca="1">IFERROR(__xludf.DUMMYFUNCTION("""COMPUTED_VALUE"""),1)</f>
        <v>1</v>
      </c>
      <c r="P42" s="56">
        <f ca="1">IFERROR(__xludf.DUMMYFUNCTION("""COMPUTED_VALUE"""),0.94)</f>
        <v>0.94</v>
      </c>
      <c r="Q42" s="56">
        <f ca="1">IFERROR(__xludf.DUMMYFUNCTION("""COMPUTED_VALUE"""),1)</f>
        <v>1</v>
      </c>
      <c r="R42" s="56" t="str">
        <f ca="1">IFERROR(__xludf.DUMMYFUNCTION("""COMPUTED_VALUE"""),"Female")</f>
        <v>Female</v>
      </c>
      <c r="S42" s="119">
        <f ca="1">IFERROR(__xludf.DUMMYFUNCTION("""COMPUTED_VALUE"""),0.166666666666666)</f>
        <v>0.16666666666666599</v>
      </c>
    </row>
    <row r="43" spans="1:19" ht="12.9">
      <c r="A43" s="115">
        <f ca="1">IFERROR(__xludf.DUMMYFUNCTION("""COMPUTED_VALUE"""),30)</f>
        <v>30</v>
      </c>
      <c r="B43" s="115" t="str">
        <f ca="1">IFERROR(__xludf.DUMMYFUNCTION("""COMPUTED_VALUE"""),"Rauh et al. (2000)")</f>
        <v>Rauh et al. (2000)</v>
      </c>
      <c r="C43" s="115">
        <f ca="1">IFERROR(__xludf.DUMMYFUNCTION("""COMPUTED_VALUE"""),2)</f>
        <v>2</v>
      </c>
      <c r="D43" s="115" t="str">
        <f ca="1">IFERROR(__xludf.DUMMYFUNCTION("""COMPUTED_VALUE"""),"Main-Main")</f>
        <v>Main-Main</v>
      </c>
      <c r="E43" s="116" t="str">
        <f ca="1">IFERROR(__xludf.DUMMYFUNCTION("""COMPUTED_VALUE"""),"Infancy - Toddlerhood")</f>
        <v>Infancy - Toddlerhood</v>
      </c>
      <c r="F43" s="117">
        <f ca="1">IFERROR(__xludf.DUMMYFUNCTION("""COMPUTED_VALUE"""),75)</f>
        <v>75</v>
      </c>
      <c r="G43" s="118">
        <f ca="1">IFERROR(__xludf.DUMMYFUNCTION("""COMPUTED_VALUE"""),0.214825515063075)</f>
        <v>0.21482551506307501</v>
      </c>
      <c r="H43" s="116">
        <f ca="1">IFERROR(__xludf.DUMMYFUNCTION("""COMPUTED_VALUE"""),0.6)</f>
        <v>0.6</v>
      </c>
      <c r="I43" s="56">
        <f ca="1">IFERROR(__xludf.DUMMYFUNCTION("""COMPUTED_VALUE"""),2000)</f>
        <v>2000</v>
      </c>
      <c r="J43" s="56" t="str">
        <f ca="1">IFERROR(__xludf.DUMMYFUNCTION("""COMPUTED_VALUE"""),"Non-USA")</f>
        <v>Non-USA</v>
      </c>
      <c r="K43" s="56" t="str">
        <f ca="1">IFERROR(__xludf.DUMMYFUNCTION("""COMPUTED_VALUE"""),"Main-Cassidy/Main-Cassidy")</f>
        <v>Main-Cassidy/Main-Cassidy</v>
      </c>
      <c r="L43" s="56">
        <f ca="1">IFERROR(__xludf.DUMMYFUNCTION("""COMPUTED_VALUE"""),1)</f>
        <v>1</v>
      </c>
      <c r="M43" s="56">
        <f ca="1">IFERROR(__xludf.DUMMYFUNCTION("""COMPUTED_VALUE"""),0)</f>
        <v>0</v>
      </c>
      <c r="N43" s="56">
        <f ca="1">IFERROR(__xludf.DUMMYFUNCTION("""COMPUTED_VALUE"""),0)</f>
        <v>0</v>
      </c>
      <c r="O43" s="56">
        <f ca="1">IFERROR(__xludf.DUMMYFUNCTION("""COMPUTED_VALUE"""),1)</f>
        <v>1</v>
      </c>
      <c r="P43" s="56">
        <f ca="1">IFERROR(__xludf.DUMMYFUNCTION("""COMPUTED_VALUE"""),0.94)</f>
        <v>0.94</v>
      </c>
      <c r="Q43" s="56">
        <f ca="1">IFERROR(__xludf.DUMMYFUNCTION("""COMPUTED_VALUE"""),0)</f>
        <v>0</v>
      </c>
      <c r="R43" s="56" t="str">
        <f ca="1">IFERROR(__xludf.DUMMYFUNCTION("""COMPUTED_VALUE"""),"Female")</f>
        <v>Female</v>
      </c>
      <c r="S43" s="119">
        <f ca="1">IFERROR(__xludf.DUMMYFUNCTION("""COMPUTED_VALUE"""),0.207188160676532)</f>
        <v>0.20718816067653201</v>
      </c>
    </row>
    <row r="44" spans="1:19" ht="12.9">
      <c r="A44" s="115">
        <f ca="1">IFERROR(__xludf.DUMMYFUNCTION("""COMPUTED_VALUE"""),30)</f>
        <v>30</v>
      </c>
      <c r="B44" s="115" t="str">
        <f ca="1">IFERROR(__xludf.DUMMYFUNCTION("""COMPUTED_VALUE"""),"Rauh et al. (2000)")</f>
        <v>Rauh et al. (2000)</v>
      </c>
      <c r="C44" s="115">
        <f ca="1">IFERROR(__xludf.DUMMYFUNCTION("""COMPUTED_VALUE"""),3)</f>
        <v>3</v>
      </c>
      <c r="D44" s="115" t="str">
        <f ca="1">IFERROR(__xludf.DUMMYFUNCTION("""COMPUTED_VALUE"""),"Main-Ainsworth")</f>
        <v>Main-Ainsworth</v>
      </c>
      <c r="E44" s="116" t="str">
        <f ca="1">IFERROR(__xludf.DUMMYFUNCTION("""COMPUTED_VALUE"""),"Infancy - Toddlerhood")</f>
        <v>Infancy - Toddlerhood</v>
      </c>
      <c r="F44" s="117">
        <f ca="1">IFERROR(__xludf.DUMMYFUNCTION("""COMPUTED_VALUE"""),75)</f>
        <v>75</v>
      </c>
      <c r="G44" s="118">
        <f ca="1">IFERROR(__xludf.DUMMYFUNCTION("""COMPUTED_VALUE"""),0.125650939321211)</f>
        <v>0.12565093932121099</v>
      </c>
      <c r="H44" s="116">
        <f ca="1">IFERROR(__xludf.DUMMYFUNCTION("""COMPUTED_VALUE"""),0.493333333333333)</f>
        <v>0.49333333333333301</v>
      </c>
      <c r="I44" s="56">
        <f ca="1">IFERROR(__xludf.DUMMYFUNCTION("""COMPUTED_VALUE"""),2000)</f>
        <v>2000</v>
      </c>
      <c r="J44" s="56" t="str">
        <f ca="1">IFERROR(__xludf.DUMMYFUNCTION("""COMPUTED_VALUE"""),"Non-USA")</f>
        <v>Non-USA</v>
      </c>
      <c r="K44" s="56" t="str">
        <f ca="1">IFERROR(__xludf.DUMMYFUNCTION("""COMPUTED_VALUE"""),"Main-Cassidy/Ainsworth")</f>
        <v>Main-Cassidy/Ainsworth</v>
      </c>
      <c r="L44" s="56">
        <f ca="1">IFERROR(__xludf.DUMMYFUNCTION("""COMPUTED_VALUE"""),1)</f>
        <v>1</v>
      </c>
      <c r="M44" s="56">
        <f ca="1">IFERROR(__xludf.DUMMYFUNCTION("""COMPUTED_VALUE"""),0)</f>
        <v>0</v>
      </c>
      <c r="N44" s="56">
        <f ca="1">IFERROR(__xludf.DUMMYFUNCTION("""COMPUTED_VALUE"""),0)</f>
        <v>0</v>
      </c>
      <c r="O44" s="56">
        <f ca="1">IFERROR(__xludf.DUMMYFUNCTION("""COMPUTED_VALUE"""),1)</f>
        <v>1</v>
      </c>
      <c r="P44" s="56">
        <f ca="1">IFERROR(__xludf.DUMMYFUNCTION("""COMPUTED_VALUE"""),0.94)</f>
        <v>0.94</v>
      </c>
      <c r="Q44" s="56">
        <f ca="1">IFERROR(__xludf.DUMMYFUNCTION("""COMPUTED_VALUE"""),0)</f>
        <v>0</v>
      </c>
      <c r="R44" s="56" t="str">
        <f ca="1">IFERROR(__xludf.DUMMYFUNCTION("""COMPUTED_VALUE"""),"Female")</f>
        <v>Female</v>
      </c>
      <c r="S44" s="119">
        <f ca="1">IFERROR(__xludf.DUMMYFUNCTION("""COMPUTED_VALUE"""),0.0935114503816794)</f>
        <v>9.3511450381679406E-2</v>
      </c>
    </row>
    <row r="45" spans="1:19" ht="12.9">
      <c r="A45" s="115">
        <f ca="1">IFERROR(__xludf.DUMMYFUNCTION("""COMPUTED_VALUE"""),30)</f>
        <v>30</v>
      </c>
      <c r="B45" s="115" t="str">
        <f ca="1">IFERROR(__xludf.DUMMYFUNCTION("""COMPUTED_VALUE"""),"Rauh et al. (2000)")</f>
        <v>Rauh et al. (2000)</v>
      </c>
      <c r="C45" s="115">
        <f ca="1">IFERROR(__xludf.DUMMYFUNCTION("""COMPUTED_VALUE"""),4)</f>
        <v>4</v>
      </c>
      <c r="D45" s="115" t="str">
        <f ca="1">IFERROR(__xludf.DUMMYFUNCTION("""COMPUTED_VALUE"""),"Ainsworth-Main")</f>
        <v>Ainsworth-Main</v>
      </c>
      <c r="E45" s="116" t="str">
        <f ca="1">IFERROR(__xludf.DUMMYFUNCTION("""COMPUTED_VALUE"""),"Infancy - Toddlerhood")</f>
        <v>Infancy - Toddlerhood</v>
      </c>
      <c r="F45" s="117">
        <f ca="1">IFERROR(__xludf.DUMMYFUNCTION("""COMPUTED_VALUE"""),75)</f>
        <v>75</v>
      </c>
      <c r="G45" s="118">
        <f ca="1">IFERROR(__xludf.DUMMYFUNCTION("""COMPUTED_VALUE"""),0.141639430933132)</f>
        <v>0.141639430933132</v>
      </c>
      <c r="H45" s="116">
        <f ca="1">IFERROR(__xludf.DUMMYFUNCTION("""COMPUTED_VALUE"""),0.573333333333333)</f>
        <v>0.57333333333333303</v>
      </c>
      <c r="I45" s="56">
        <f ca="1">IFERROR(__xludf.DUMMYFUNCTION("""COMPUTED_VALUE"""),2000)</f>
        <v>2000</v>
      </c>
      <c r="J45" s="56" t="str">
        <f ca="1">IFERROR(__xludf.DUMMYFUNCTION("""COMPUTED_VALUE"""),"Non-USA")</f>
        <v>Non-USA</v>
      </c>
      <c r="K45" s="56" t="str">
        <f ca="1">IFERROR(__xludf.DUMMYFUNCTION("""COMPUTED_VALUE"""),"Ainsworth/Main-Cassidy")</f>
        <v>Ainsworth/Main-Cassidy</v>
      </c>
      <c r="L45" s="56">
        <f ca="1">IFERROR(__xludf.DUMMYFUNCTION("""COMPUTED_VALUE"""),1)</f>
        <v>1</v>
      </c>
      <c r="M45" s="56">
        <f ca="1">IFERROR(__xludf.DUMMYFUNCTION("""COMPUTED_VALUE"""),0)</f>
        <v>0</v>
      </c>
      <c r="N45" s="56">
        <f ca="1">IFERROR(__xludf.DUMMYFUNCTION("""COMPUTED_VALUE"""),0)</f>
        <v>0</v>
      </c>
      <c r="O45" s="56">
        <f ca="1">IFERROR(__xludf.DUMMYFUNCTION("""COMPUTED_VALUE"""),1)</f>
        <v>1</v>
      </c>
      <c r="P45" s="56">
        <f ca="1">IFERROR(__xludf.DUMMYFUNCTION("""COMPUTED_VALUE"""),0.94)</f>
        <v>0.94</v>
      </c>
      <c r="Q45" s="56">
        <f ca="1">IFERROR(__xludf.DUMMYFUNCTION("""COMPUTED_VALUE"""),0)</f>
        <v>0</v>
      </c>
      <c r="R45" s="56" t="str">
        <f ca="1">IFERROR(__xludf.DUMMYFUNCTION("""COMPUTED_VALUE"""),"Female")</f>
        <v>Female</v>
      </c>
      <c r="S45" s="119">
        <f ca="1">IFERROR(__xludf.DUMMYFUNCTION("""COMPUTED_VALUE"""),0.139784946236559)</f>
        <v>0.13978494623655899</v>
      </c>
    </row>
    <row r="46" spans="1:19" ht="12.9">
      <c r="A46" s="115">
        <f ca="1">IFERROR(__xludf.DUMMYFUNCTION("""COMPUTED_VALUE"""),30)</f>
        <v>30</v>
      </c>
      <c r="B46" s="115" t="str">
        <f ca="1">IFERROR(__xludf.DUMMYFUNCTION("""COMPUTED_VALUE"""),"Rauh et al. (2000)")</f>
        <v>Rauh et al. (2000)</v>
      </c>
      <c r="C46" s="115">
        <f ca="1">IFERROR(__xludf.DUMMYFUNCTION("""COMPUTED_VALUE"""),5)</f>
        <v>5</v>
      </c>
      <c r="D46" s="115" t="str">
        <f ca="1">IFERROR(__xludf.DUMMYFUNCTION("""COMPUTED_VALUE"""),"Main-Crittenden")</f>
        <v>Main-Crittenden</v>
      </c>
      <c r="E46" s="116" t="str">
        <f ca="1">IFERROR(__xludf.DUMMYFUNCTION("""COMPUTED_VALUE"""),"Infancy - Toddlerhood")</f>
        <v>Infancy - Toddlerhood</v>
      </c>
      <c r="F46" s="117">
        <f ca="1">IFERROR(__xludf.DUMMYFUNCTION("""COMPUTED_VALUE"""),75)</f>
        <v>75</v>
      </c>
      <c r="G46" s="118">
        <f ca="1">IFERROR(__xludf.DUMMYFUNCTION("""COMPUTED_VALUE"""),0.287389454726294)</f>
        <v>0.28738945472629401</v>
      </c>
      <c r="H46" s="116">
        <f ca="1">IFERROR(__xludf.DUMMYFUNCTION("""COMPUTED_VALUE"""),0.68)</f>
        <v>0.68</v>
      </c>
      <c r="I46" s="56">
        <f ca="1">IFERROR(__xludf.DUMMYFUNCTION("""COMPUTED_VALUE"""),2000)</f>
        <v>2000</v>
      </c>
      <c r="J46" s="56" t="str">
        <f ca="1">IFERROR(__xludf.DUMMYFUNCTION("""COMPUTED_VALUE"""),"Non-USA")</f>
        <v>Non-USA</v>
      </c>
      <c r="K46" s="56" t="str">
        <f ca="1">IFERROR(__xludf.DUMMYFUNCTION("""COMPUTED_VALUE"""),"Main-Cassidy/Crittenden")</f>
        <v>Main-Cassidy/Crittenden</v>
      </c>
      <c r="L46" s="56">
        <f ca="1">IFERROR(__xludf.DUMMYFUNCTION("""COMPUTED_VALUE"""),1)</f>
        <v>1</v>
      </c>
      <c r="M46" s="56">
        <f ca="1">IFERROR(__xludf.DUMMYFUNCTION("""COMPUTED_VALUE"""),0)</f>
        <v>0</v>
      </c>
      <c r="N46" s="56">
        <f ca="1">IFERROR(__xludf.DUMMYFUNCTION("""COMPUTED_VALUE"""),0)</f>
        <v>0</v>
      </c>
      <c r="O46" s="56">
        <f ca="1">IFERROR(__xludf.DUMMYFUNCTION("""COMPUTED_VALUE"""),1)</f>
        <v>1</v>
      </c>
      <c r="P46" s="56">
        <f ca="1">IFERROR(__xludf.DUMMYFUNCTION("""COMPUTED_VALUE"""),0.94)</f>
        <v>0.94</v>
      </c>
      <c r="Q46" s="56">
        <f ca="1">IFERROR(__xludf.DUMMYFUNCTION("""COMPUTED_VALUE"""),0)</f>
        <v>0</v>
      </c>
      <c r="R46" s="56" t="str">
        <f ca="1">IFERROR(__xludf.DUMMYFUNCTION("""COMPUTED_VALUE"""),"Female")</f>
        <v>Female</v>
      </c>
      <c r="S46" s="119">
        <f ca="1">IFERROR(__xludf.DUMMYFUNCTION("""COMPUTED_VALUE"""),0.248747913188647)</f>
        <v>0.248747913188647</v>
      </c>
    </row>
    <row r="47" spans="1:19" ht="12.9">
      <c r="A47" s="115">
        <f ca="1">IFERROR(__xludf.DUMMYFUNCTION("""COMPUTED_VALUE"""),30)</f>
        <v>30</v>
      </c>
      <c r="B47" s="115" t="str">
        <f ca="1">IFERROR(__xludf.DUMMYFUNCTION("""COMPUTED_VALUE"""),"Rauh et al. (2000)")</f>
        <v>Rauh et al. (2000)</v>
      </c>
      <c r="C47" s="115">
        <f ca="1">IFERROR(__xludf.DUMMYFUNCTION("""COMPUTED_VALUE"""),6)</f>
        <v>6</v>
      </c>
      <c r="D47" s="115" t="str">
        <f ca="1">IFERROR(__xludf.DUMMYFUNCTION("""COMPUTED_VALUE"""),"Ainsworth-Crittenden")</f>
        <v>Ainsworth-Crittenden</v>
      </c>
      <c r="E47" s="116" t="str">
        <f ca="1">IFERROR(__xludf.DUMMYFUNCTION("""COMPUTED_VALUE"""),"Infancy - Toddlerhood")</f>
        <v>Infancy - Toddlerhood</v>
      </c>
      <c r="F47" s="117">
        <f ca="1">IFERROR(__xludf.DUMMYFUNCTION("""COMPUTED_VALUE"""),75)</f>
        <v>75</v>
      </c>
      <c r="G47" s="118">
        <f ca="1">IFERROR(__xludf.DUMMYFUNCTION("""COMPUTED_VALUE"""),0.158179259849338)</f>
        <v>0.15817925984933801</v>
      </c>
      <c r="H47" s="116">
        <f ca="1">IFERROR(__xludf.DUMMYFUNCTION("""COMPUTED_VALUE"""),0.493333333333333)</f>
        <v>0.49333333333333301</v>
      </c>
      <c r="I47" s="56">
        <f ca="1">IFERROR(__xludf.DUMMYFUNCTION("""COMPUTED_VALUE"""),2000)</f>
        <v>2000</v>
      </c>
      <c r="J47" s="56" t="str">
        <f ca="1">IFERROR(__xludf.DUMMYFUNCTION("""COMPUTED_VALUE"""),"Non-USA")</f>
        <v>Non-USA</v>
      </c>
      <c r="K47" s="56" t="str">
        <f ca="1">IFERROR(__xludf.DUMMYFUNCTION("""COMPUTED_VALUE"""),"Ainsworth/Crittenden")</f>
        <v>Ainsworth/Crittenden</v>
      </c>
      <c r="L47" s="56">
        <f ca="1">IFERROR(__xludf.DUMMYFUNCTION("""COMPUTED_VALUE"""),1)</f>
        <v>1</v>
      </c>
      <c r="M47" s="56">
        <f ca="1">IFERROR(__xludf.DUMMYFUNCTION("""COMPUTED_VALUE"""),0)</f>
        <v>0</v>
      </c>
      <c r="N47" s="56">
        <f ca="1">IFERROR(__xludf.DUMMYFUNCTION("""COMPUTED_VALUE"""),0)</f>
        <v>0</v>
      </c>
      <c r="O47" s="56">
        <f ca="1">IFERROR(__xludf.DUMMYFUNCTION("""COMPUTED_VALUE"""),1)</f>
        <v>1</v>
      </c>
      <c r="P47" s="56">
        <f ca="1">IFERROR(__xludf.DUMMYFUNCTION("""COMPUTED_VALUE"""),0.94)</f>
        <v>0.94</v>
      </c>
      <c r="Q47" s="56">
        <f ca="1">IFERROR(__xludf.DUMMYFUNCTION("""COMPUTED_VALUE"""),0)</f>
        <v>0</v>
      </c>
      <c r="R47" s="56" t="str">
        <f ca="1">IFERROR(__xludf.DUMMYFUNCTION("""COMPUTED_VALUE"""),"Female")</f>
        <v>Female</v>
      </c>
      <c r="S47" s="119">
        <f ca="1">IFERROR(__xludf.DUMMYFUNCTION("""COMPUTED_VALUE"""),0.10377358490566)</f>
        <v>0.10377358490565999</v>
      </c>
    </row>
    <row r="48" spans="1:19" ht="12.9">
      <c r="A48" s="116">
        <f ca="1">IFERROR(__xludf.DUMMYFUNCTION("""COMPUTED_VALUE"""),31)</f>
        <v>31</v>
      </c>
      <c r="B48" s="116" t="str">
        <f ca="1">IFERROR(__xludf.DUMMYFUNCTION("""COMPUTED_VALUE"""),"Seifer et al. (2004) ")</f>
        <v xml:space="preserve">Seifer et al. (2004) </v>
      </c>
      <c r="C48" s="116">
        <f ca="1">IFERROR(__xludf.DUMMYFUNCTION("""COMPUTED_VALUE"""),1)</f>
        <v>1</v>
      </c>
      <c r="D48" s="116" t="str">
        <f ca="1">IFERROR(__xludf.DUMMYFUNCTION("""COMPUTED_VALUE"""),"Single sample")</f>
        <v>Single sample</v>
      </c>
      <c r="E48" s="116" t="str">
        <f ca="1">IFERROR(__xludf.DUMMYFUNCTION("""COMPUTED_VALUE"""),"Infancy - Toddlerhood")</f>
        <v>Infancy - Toddlerhood</v>
      </c>
      <c r="F48" s="117">
        <f ca="1">IFERROR(__xludf.DUMMYFUNCTION("""COMPUTED_VALUE"""),601)</f>
        <v>601</v>
      </c>
      <c r="G48" s="118">
        <f ca="1">IFERROR(__xludf.DUMMYFUNCTION("""COMPUTED_VALUE"""),0.0793458946614647)</f>
        <v>7.9345894661464703E-2</v>
      </c>
      <c r="H48" s="116">
        <f ca="1">IFERROR(__xludf.DUMMYFUNCTION("""COMPUTED_VALUE"""),0.600665557404326)</f>
        <v>0.60066555740432603</v>
      </c>
      <c r="I48" s="56">
        <f ca="1">IFERROR(__xludf.DUMMYFUNCTION("""COMPUTED_VALUE"""),2004)</f>
        <v>2004</v>
      </c>
      <c r="J48" s="56" t="str">
        <f ca="1">IFERROR(__xludf.DUMMYFUNCTION("""COMPUTED_VALUE"""),"USA")</f>
        <v>USA</v>
      </c>
      <c r="K48" s="56" t="str">
        <f ca="1">IFERROR(__xludf.DUMMYFUNCTION("""COMPUTED_VALUE"""),"Ainsworth/Cassidy-Marvin")</f>
        <v>Ainsworth/Cassidy-Marvin</v>
      </c>
      <c r="L48" s="56">
        <f ca="1">IFERROR(__xludf.DUMMYFUNCTION("""COMPUTED_VALUE"""),1)</f>
        <v>1</v>
      </c>
      <c r="M48" s="56">
        <f ca="1">IFERROR(__xludf.DUMMYFUNCTION("""COMPUTED_VALUE"""),1)</f>
        <v>1</v>
      </c>
      <c r="N48" s="56">
        <f ca="1">IFERROR(__xludf.DUMMYFUNCTION("""COMPUTED_VALUE"""),0)</f>
        <v>0</v>
      </c>
      <c r="O48" s="56">
        <f ca="1">IFERROR(__xludf.DUMMYFUNCTION("""COMPUTED_VALUE"""),1)</f>
        <v>1</v>
      </c>
      <c r="P48" s="56">
        <f ca="1">IFERROR(__xludf.DUMMYFUNCTION("""COMPUTED_VALUE"""),0.900244462224634)</f>
        <v>0.90024446222463395</v>
      </c>
      <c r="Q48" s="56">
        <f ca="1">IFERROR(__xludf.DUMMYFUNCTION("""COMPUTED_VALUE"""),0)</f>
        <v>0</v>
      </c>
      <c r="R48" s="56" t="str">
        <f ca="1">IFERROR(__xludf.DUMMYFUNCTION("""COMPUTED_VALUE"""),"Female")</f>
        <v>Female</v>
      </c>
      <c r="S48" s="119">
        <f ca="1">IFERROR(__xludf.DUMMYFUNCTION("""COMPUTED_VALUE"""),0.0779851700332395)</f>
        <v>7.7985170033239501E-2</v>
      </c>
    </row>
    <row r="49" spans="1:19" ht="12.9">
      <c r="A49" s="116">
        <f ca="1">IFERROR(__xludf.DUMMYFUNCTION("""COMPUTED_VALUE"""),32)</f>
        <v>32</v>
      </c>
      <c r="B49" s="116" t="str">
        <f ca="1">IFERROR(__xludf.DUMMYFUNCTION("""COMPUTED_VALUE"""),"Steele, Steele &amp; Fonagy (1996)")</f>
        <v>Steele, Steele &amp; Fonagy (1996)</v>
      </c>
      <c r="C49" s="116">
        <f ca="1">IFERROR(__xludf.DUMMYFUNCTION("""COMPUTED_VALUE"""),1)</f>
        <v>1</v>
      </c>
      <c r="D49" s="116" t="str">
        <f ca="1">IFERROR(__xludf.DUMMYFUNCTION("""COMPUTED_VALUE"""),"Mother-child")</f>
        <v>Mother-child</v>
      </c>
      <c r="E49" s="116" t="str">
        <f ca="1">IFERROR(__xludf.DUMMYFUNCTION("""COMPUTED_VALUE"""),"Infancy - Preschool")</f>
        <v>Infancy - Preschool</v>
      </c>
      <c r="F49" s="117">
        <f ca="1">IFERROR(__xludf.DUMMYFUNCTION("""COMPUTED_VALUE"""),88)</f>
        <v>88</v>
      </c>
      <c r="G49" s="118">
        <f ca="1">IFERROR(__xludf.DUMMYFUNCTION("""COMPUTED_VALUE"""),0.0690065559342354)</f>
        <v>6.9006555934235395E-2</v>
      </c>
      <c r="H49" s="116">
        <f ca="1">IFERROR(__xludf.DUMMYFUNCTION("""COMPUTED_VALUE"""),0.545454545454545)</f>
        <v>0.54545454545454497</v>
      </c>
      <c r="I49" s="56">
        <f ca="1">IFERROR(__xludf.DUMMYFUNCTION("""COMPUTED_VALUE"""),1996)</f>
        <v>1996</v>
      </c>
      <c r="J49" s="56" t="str">
        <f ca="1">IFERROR(__xludf.DUMMYFUNCTION("""COMPUTED_VALUE"""),"Non-USA")</f>
        <v>Non-USA</v>
      </c>
      <c r="K49" s="56" t="str">
        <f ca="1">IFERROR(__xludf.DUMMYFUNCTION("""COMPUTED_VALUE"""),"Ainsworth/Cassidy-Marvin")</f>
        <v>Ainsworth/Cassidy-Marvin</v>
      </c>
      <c r="L49" s="56">
        <f ca="1">IFERROR(__xludf.DUMMYFUNCTION("""COMPUTED_VALUE"""),0)</f>
        <v>0</v>
      </c>
      <c r="M49" s="56">
        <f ca="1">IFERROR(__xludf.DUMMYFUNCTION("""COMPUTED_VALUE"""),0)</f>
        <v>0</v>
      </c>
      <c r="N49" s="56">
        <f ca="1">IFERROR(__xludf.DUMMYFUNCTION("""COMPUTED_VALUE"""),0)</f>
        <v>0</v>
      </c>
      <c r="O49" s="56">
        <f ca="1">IFERROR(__xludf.DUMMYFUNCTION("""COMPUTED_VALUE"""),0)</f>
        <v>0</v>
      </c>
      <c r="P49" s="56">
        <f ca="1">IFERROR(__xludf.DUMMYFUNCTION("""COMPUTED_VALUE"""),0.91)</f>
        <v>0.91</v>
      </c>
      <c r="Q49" s="56">
        <f ca="1">IFERROR(__xludf.DUMMYFUNCTION("""COMPUTED_VALUE"""),1)</f>
        <v>1</v>
      </c>
      <c r="R49" s="56" t="str">
        <f ca="1">IFERROR(__xludf.DUMMYFUNCTION("""COMPUTED_VALUE"""),"Female")</f>
        <v>Female</v>
      </c>
      <c r="S49" s="119">
        <f ca="1">IFERROR(__xludf.DUMMYFUNCTION("""COMPUTED_VALUE"""),0.0677966101694915)</f>
        <v>6.7796610169491497E-2</v>
      </c>
    </row>
    <row r="50" spans="1:19" ht="12.9">
      <c r="A50" s="116">
        <f ca="1">IFERROR(__xludf.DUMMYFUNCTION("""COMPUTED_VALUE"""),32)</f>
        <v>32</v>
      </c>
      <c r="B50" s="116" t="str">
        <f ca="1">IFERROR(__xludf.DUMMYFUNCTION("""COMPUTED_VALUE"""),"Steele, Steele &amp; Fonagy (1996)")</f>
        <v>Steele, Steele &amp; Fonagy (1996)</v>
      </c>
      <c r="C50" s="116">
        <f ca="1">IFERROR(__xludf.DUMMYFUNCTION("""COMPUTED_VALUE"""),1)</f>
        <v>1</v>
      </c>
      <c r="D50" s="116" t="str">
        <f ca="1">IFERROR(__xludf.DUMMYFUNCTION("""COMPUTED_VALUE"""),"Father-child")</f>
        <v>Father-child</v>
      </c>
      <c r="E50" s="116" t="str">
        <f ca="1">IFERROR(__xludf.DUMMYFUNCTION("""COMPUTED_VALUE"""),"Infancy - Preschool")</f>
        <v>Infancy - Preschool</v>
      </c>
      <c r="F50" s="117">
        <f ca="1">IFERROR(__xludf.DUMMYFUNCTION("""COMPUTED_VALUE"""),68)</f>
        <v>68</v>
      </c>
      <c r="G50" s="118">
        <f ca="1">IFERROR(__xludf.DUMMYFUNCTION("""COMPUTED_VALUE"""),0.278593046430135)</f>
        <v>0.27859304643013499</v>
      </c>
      <c r="H50" s="116">
        <f ca="1">IFERROR(__xludf.DUMMYFUNCTION("""COMPUTED_VALUE"""),0.676470588235294)</f>
        <v>0.67647058823529405</v>
      </c>
      <c r="I50" s="56">
        <f ca="1">IFERROR(__xludf.DUMMYFUNCTION("""COMPUTED_VALUE"""),1996)</f>
        <v>1996</v>
      </c>
      <c r="J50" s="56" t="str">
        <f ca="1">IFERROR(__xludf.DUMMYFUNCTION("""COMPUTED_VALUE"""),"Non-USA")</f>
        <v>Non-USA</v>
      </c>
      <c r="K50" s="56" t="str">
        <f ca="1">IFERROR(__xludf.DUMMYFUNCTION("""COMPUTED_VALUE"""),"Ainsworth/Cassidy-Marvin")</f>
        <v>Ainsworth/Cassidy-Marvin</v>
      </c>
      <c r="L50" s="56">
        <f ca="1">IFERROR(__xludf.DUMMYFUNCTION("""COMPUTED_VALUE"""),0)</f>
        <v>0</v>
      </c>
      <c r="M50" s="56">
        <f ca="1">IFERROR(__xludf.DUMMYFUNCTION("""COMPUTED_VALUE"""),0)</f>
        <v>0</v>
      </c>
      <c r="N50" s="56">
        <f ca="1">IFERROR(__xludf.DUMMYFUNCTION("""COMPUTED_VALUE"""),0)</f>
        <v>0</v>
      </c>
      <c r="O50" s="56">
        <f ca="1">IFERROR(__xludf.DUMMYFUNCTION("""COMPUTED_VALUE"""),0)</f>
        <v>0</v>
      </c>
      <c r="P50" s="56">
        <f ca="1">IFERROR(__xludf.DUMMYFUNCTION("""COMPUTED_VALUE"""),0.91)</f>
        <v>0.91</v>
      </c>
      <c r="Q50" s="56">
        <f ca="1">IFERROR(__xludf.DUMMYFUNCTION("""COMPUTED_VALUE"""),1)</f>
        <v>1</v>
      </c>
      <c r="R50" s="56" t="str">
        <f ca="1">IFERROR(__xludf.DUMMYFUNCTION("""COMPUTED_VALUE"""),"Male")</f>
        <v>Male</v>
      </c>
      <c r="S50" s="119">
        <f ca="1">IFERROR(__xludf.DUMMYFUNCTION("""COMPUTED_VALUE"""),0.277992277992278)</f>
        <v>0.27799227799227799</v>
      </c>
    </row>
    <row r="51" spans="1:19" ht="12.9">
      <c r="A51" s="116">
        <f ca="1">IFERROR(__xludf.DUMMYFUNCTION("""COMPUTED_VALUE"""),33)</f>
        <v>33</v>
      </c>
      <c r="B51" s="116" t="str">
        <f ca="1">IFERROR(__xludf.DUMMYFUNCTION("""COMPUTED_VALUE"""),"Stevenson-Hinde &amp; Shouldice (1990)")</f>
        <v>Stevenson-Hinde &amp; Shouldice (1990)</v>
      </c>
      <c r="C51" s="116">
        <f ca="1">IFERROR(__xludf.DUMMYFUNCTION("""COMPUTED_VALUE"""),1)</f>
        <v>1</v>
      </c>
      <c r="D51" s="116" t="str">
        <f ca="1">IFERROR(__xludf.DUMMYFUNCTION("""COMPUTED_VALUE"""),"Single sample")</f>
        <v>Single sample</v>
      </c>
      <c r="E51" s="116" t="str">
        <f ca="1">IFERROR(__xludf.DUMMYFUNCTION("""COMPUTED_VALUE"""),"Toddlerhood - Preschool")</f>
        <v>Toddlerhood - Preschool</v>
      </c>
      <c r="F51" s="117">
        <f ca="1">IFERROR(__xludf.DUMMYFUNCTION("""COMPUTED_VALUE"""),78)</f>
        <v>78</v>
      </c>
      <c r="G51" s="118">
        <f ca="1">IFERROR(__xludf.DUMMYFUNCTION("""COMPUTED_VALUE"""),0.459558235884617)</f>
        <v>0.45955823588461697</v>
      </c>
      <c r="H51" s="116">
        <f ca="1">IFERROR(__xludf.DUMMYFUNCTION("""COMPUTED_VALUE"""),0.791666666666666)</f>
        <v>0.79166666666666596</v>
      </c>
      <c r="I51" s="56">
        <f ca="1">IFERROR(__xludf.DUMMYFUNCTION("""COMPUTED_VALUE"""),1990)</f>
        <v>1990</v>
      </c>
      <c r="J51" s="56" t="str">
        <f ca="1">IFERROR(__xludf.DUMMYFUNCTION("""COMPUTED_VALUE"""),"Non-USA")</f>
        <v>Non-USA</v>
      </c>
      <c r="K51" s="56" t="str">
        <f ca="1">IFERROR(__xludf.DUMMYFUNCTION("""COMPUTED_VALUE"""),"Ainsworth/Cassidy-Marvin")</f>
        <v>Ainsworth/Cassidy-Marvin</v>
      </c>
      <c r="L51" s="56">
        <f ca="1">IFERROR(__xludf.DUMMYFUNCTION("""COMPUTED_VALUE"""),1)</f>
        <v>1</v>
      </c>
      <c r="M51" s="56">
        <f ca="1">IFERROR(__xludf.DUMMYFUNCTION("""COMPUTED_VALUE"""),0)</f>
        <v>0</v>
      </c>
      <c r="N51" s="56">
        <f ca="1">IFERROR(__xludf.DUMMYFUNCTION("""COMPUTED_VALUE"""),0)</f>
        <v>0</v>
      </c>
      <c r="O51" s="56">
        <f ca="1">IFERROR(__xludf.DUMMYFUNCTION("""COMPUTED_VALUE"""),1)</f>
        <v>1</v>
      </c>
      <c r="P51" s="56">
        <f ca="1">IFERROR(__xludf.DUMMYFUNCTION("""COMPUTED_VALUE"""),0.88)</f>
        <v>0.88</v>
      </c>
      <c r="Q51" s="56">
        <f ca="1">IFERROR(__xludf.DUMMYFUNCTION("""COMPUTED_VALUE"""),0)</f>
        <v>0</v>
      </c>
      <c r="R51" s="56" t="str">
        <f ca="1">IFERROR(__xludf.DUMMYFUNCTION("""COMPUTED_VALUE"""),"Female")</f>
        <v>Female</v>
      </c>
      <c r="S51" s="119">
        <f ca="1">IFERROR(__xludf.DUMMYFUNCTION("""COMPUTED_VALUE"""),0.492957746478873)</f>
        <v>0.49295774647887303</v>
      </c>
    </row>
    <row r="52" spans="1:19" ht="12.9">
      <c r="A52" s="116">
        <f ca="1">IFERROR(__xludf.DUMMYFUNCTION("""COMPUTED_VALUE"""),34)</f>
        <v>34</v>
      </c>
      <c r="B52" s="116" t="str">
        <f ca="1">IFERROR(__xludf.DUMMYFUNCTION("""COMPUTED_VALUE"""),"Takahashi (1990) ")</f>
        <v xml:space="preserve">Takahashi (1990) </v>
      </c>
      <c r="C52" s="116">
        <f ca="1">IFERROR(__xludf.DUMMYFUNCTION("""COMPUTED_VALUE"""),1)</f>
        <v>1</v>
      </c>
      <c r="D52" s="116" t="str">
        <f ca="1">IFERROR(__xludf.DUMMYFUNCTION("""COMPUTED_VALUE"""),"Single sample")</f>
        <v>Single sample</v>
      </c>
      <c r="E52" s="116" t="str">
        <f ca="1">IFERROR(__xludf.DUMMYFUNCTION("""COMPUTED_VALUE"""),"Infancy - Toddlerhood")</f>
        <v>Infancy - Toddlerhood</v>
      </c>
      <c r="F52" s="117">
        <f ca="1">IFERROR(__xludf.DUMMYFUNCTION("""COMPUTED_VALUE"""),60)</f>
        <v>60</v>
      </c>
      <c r="G52" s="118">
        <f ca="1">IFERROR(__xludf.DUMMYFUNCTION("""COMPUTED_VALUE"""),0.18)</f>
        <v>0.18</v>
      </c>
      <c r="H52" s="116" t="str">
        <f ca="1">IFERROR(__xludf.DUMMYFUNCTION("""COMPUTED_VALUE"""),"")</f>
        <v/>
      </c>
      <c r="I52" s="56">
        <f ca="1">IFERROR(__xludf.DUMMYFUNCTION("""COMPUTED_VALUE"""),1990)</f>
        <v>1990</v>
      </c>
      <c r="J52" s="56" t="str">
        <f ca="1">IFERROR(__xludf.DUMMYFUNCTION("""COMPUTED_VALUE"""),"Non-USA")</f>
        <v>Non-USA</v>
      </c>
      <c r="K52" s="56" t="str">
        <f ca="1">IFERROR(__xludf.DUMMYFUNCTION("""COMPUTED_VALUE"""),"Ainsworth/Ainsworth")</f>
        <v>Ainsworth/Ainsworth</v>
      </c>
      <c r="L52" s="56">
        <f ca="1">IFERROR(__xludf.DUMMYFUNCTION("""COMPUTED_VALUE"""),1)</f>
        <v>1</v>
      </c>
      <c r="M52" s="56">
        <f ca="1">IFERROR(__xludf.DUMMYFUNCTION("""COMPUTED_VALUE"""),0)</f>
        <v>0</v>
      </c>
      <c r="N52" s="56">
        <f ca="1">IFERROR(__xludf.DUMMYFUNCTION("""COMPUTED_VALUE"""),0)</f>
        <v>0</v>
      </c>
      <c r="O52" s="56">
        <f ca="1">IFERROR(__xludf.DUMMYFUNCTION("""COMPUTED_VALUE"""),1)</f>
        <v>1</v>
      </c>
      <c r="P52" s="56" t="str">
        <f ca="1">IFERROR(__xludf.DUMMYFUNCTION("""COMPUTED_VALUE"""),"")</f>
        <v/>
      </c>
      <c r="Q52" s="56">
        <f ca="1">IFERROR(__xludf.DUMMYFUNCTION("""COMPUTED_VALUE"""),0)</f>
        <v>0</v>
      </c>
      <c r="R52" s="56" t="str">
        <f ca="1">IFERROR(__xludf.DUMMYFUNCTION("""COMPUTED_VALUE"""),"Female")</f>
        <v>Female</v>
      </c>
      <c r="S52" s="119" t="str">
        <f ca="1">IFERROR(__xludf.DUMMYFUNCTION("""COMPUTED_VALUE"""),"")</f>
        <v/>
      </c>
    </row>
    <row r="53" spans="1:19" ht="12.9">
      <c r="A53" s="116">
        <f ca="1">IFERROR(__xludf.DUMMYFUNCTION("""COMPUTED_VALUE"""),35)</f>
        <v>35</v>
      </c>
      <c r="B53" s="116" t="str">
        <f ca="1">IFERROR(__xludf.DUMMYFUNCTION("""COMPUTED_VALUE"""),"Wartner et al. (1994) ")</f>
        <v xml:space="preserve">Wartner et al. (1994) </v>
      </c>
      <c r="C53" s="116">
        <f ca="1">IFERROR(__xludf.DUMMYFUNCTION("""COMPUTED_VALUE"""),1)</f>
        <v>1</v>
      </c>
      <c r="D53" s="116" t="str">
        <f ca="1">IFERROR(__xludf.DUMMYFUNCTION("""COMPUTED_VALUE"""),"Single sample")</f>
        <v>Single sample</v>
      </c>
      <c r="E53" s="116" t="str">
        <f ca="1">IFERROR(__xludf.DUMMYFUNCTION("""COMPUTED_VALUE"""),"Infancy - Preschool")</f>
        <v>Infancy - Preschool</v>
      </c>
      <c r="F53" s="117">
        <f ca="1">IFERROR(__xludf.DUMMYFUNCTION("""COMPUTED_VALUE"""),39)</f>
        <v>39</v>
      </c>
      <c r="G53" s="118">
        <f ca="1">IFERROR(__xludf.DUMMYFUNCTION("""COMPUTED_VALUE"""),0.794736842105263)</f>
        <v>0.79473684210526296</v>
      </c>
      <c r="H53" s="116">
        <f ca="1">IFERROR(__xludf.DUMMYFUNCTION("""COMPUTED_VALUE"""),0.897435897435897)</f>
        <v>0.89743589743589702</v>
      </c>
      <c r="I53" s="56">
        <f ca="1">IFERROR(__xludf.DUMMYFUNCTION("""COMPUTED_VALUE"""),1994)</f>
        <v>1994</v>
      </c>
      <c r="J53" s="56" t="str">
        <f ca="1">IFERROR(__xludf.DUMMYFUNCTION("""COMPUTED_VALUE"""),"Non-USA")</f>
        <v>Non-USA</v>
      </c>
      <c r="K53" s="56" t="str">
        <f ca="1">IFERROR(__xludf.DUMMYFUNCTION("""COMPUTED_VALUE"""),"Ainsworth/Main-Cassidy")</f>
        <v>Ainsworth/Main-Cassidy</v>
      </c>
      <c r="L53" s="56">
        <f ca="1">IFERROR(__xludf.DUMMYFUNCTION("""COMPUTED_VALUE"""),0)</f>
        <v>0</v>
      </c>
      <c r="M53" s="56">
        <f ca="1">IFERROR(__xludf.DUMMYFUNCTION("""COMPUTED_VALUE"""),0)</f>
        <v>0</v>
      </c>
      <c r="N53" s="56">
        <f ca="1">IFERROR(__xludf.DUMMYFUNCTION("""COMPUTED_VALUE"""),0)</f>
        <v>0</v>
      </c>
      <c r="O53" s="56">
        <f ca="1">IFERROR(__xludf.DUMMYFUNCTION("""COMPUTED_VALUE"""),1)</f>
        <v>1</v>
      </c>
      <c r="P53" s="56">
        <f ca="1">IFERROR(__xludf.DUMMYFUNCTION("""COMPUTED_VALUE"""),0.97)</f>
        <v>0.97</v>
      </c>
      <c r="Q53" s="56">
        <f ca="1">IFERROR(__xludf.DUMMYFUNCTION("""COMPUTED_VALUE"""),1)</f>
        <v>1</v>
      </c>
      <c r="R53" s="56" t="str">
        <f ca="1">IFERROR(__xludf.DUMMYFUNCTION("""COMPUTED_VALUE"""),"Female")</f>
        <v>Female</v>
      </c>
      <c r="S53" s="119">
        <f ca="1">IFERROR(__xludf.DUMMYFUNCTION("""COMPUTED_VALUE"""),0.794736842105263)</f>
        <v>0.79473684210526296</v>
      </c>
    </row>
    <row r="54" spans="1:19" ht="12.9">
      <c r="A54" s="116">
        <f ca="1">IFERROR(__xludf.DUMMYFUNCTION("""COMPUTED_VALUE"""),36)</f>
        <v>36</v>
      </c>
      <c r="B54" s="116" t="str">
        <f ca="1">IFERROR(__xludf.DUMMYFUNCTION("""COMPUTED_VALUE"""),"Waters &amp; Valenzuela (1999)")</f>
        <v>Waters &amp; Valenzuela (1999)</v>
      </c>
      <c r="C54" s="116">
        <f ca="1">IFERROR(__xludf.DUMMYFUNCTION("""COMPUTED_VALUE"""),1)</f>
        <v>1</v>
      </c>
      <c r="D54" s="116" t="str">
        <f ca="1">IFERROR(__xludf.DUMMYFUNCTION("""COMPUTED_VALUE"""),"Well nourished")</f>
        <v>Well nourished</v>
      </c>
      <c r="E54" s="116" t="str">
        <f ca="1">IFERROR(__xludf.DUMMYFUNCTION("""COMPUTED_VALUE"""),"Infancy - Toddlerhood")</f>
        <v>Infancy - Toddlerhood</v>
      </c>
      <c r="F54" s="117">
        <f ca="1">IFERROR(__xludf.DUMMYFUNCTION("""COMPUTED_VALUE"""),34)</f>
        <v>34</v>
      </c>
      <c r="G54" s="118">
        <f ca="1">IFERROR(__xludf.DUMMYFUNCTION("""COMPUTED_VALUE"""),0.314347306730965)</f>
        <v>0.314347306730965</v>
      </c>
      <c r="H54" s="116">
        <f ca="1">IFERROR(__xludf.DUMMYFUNCTION("""COMPUTED_VALUE"""),0.647058823529411)</f>
        <v>0.64705882352941102</v>
      </c>
      <c r="I54" s="56">
        <f ca="1">IFERROR(__xludf.DUMMYFUNCTION("""COMPUTED_VALUE"""),1999)</f>
        <v>1999</v>
      </c>
      <c r="J54" s="56" t="str">
        <f ca="1">IFERROR(__xludf.DUMMYFUNCTION("""COMPUTED_VALUE"""),"Non-USA")</f>
        <v>Non-USA</v>
      </c>
      <c r="K54" s="56" t="str">
        <f ca="1">IFERROR(__xludf.DUMMYFUNCTION("""COMPUTED_VALUE"""),"Ainsworth/Ainsworth")</f>
        <v>Ainsworth/Ainsworth</v>
      </c>
      <c r="L54" s="56">
        <f ca="1">IFERROR(__xludf.DUMMYFUNCTION("""COMPUTED_VALUE"""),0)</f>
        <v>0</v>
      </c>
      <c r="M54" s="56">
        <f ca="1">IFERROR(__xludf.DUMMYFUNCTION("""COMPUTED_VALUE"""),1)</f>
        <v>1</v>
      </c>
      <c r="N54" s="56">
        <f ca="1">IFERROR(__xludf.DUMMYFUNCTION("""COMPUTED_VALUE"""),0)</f>
        <v>0</v>
      </c>
      <c r="O54" s="56">
        <f ca="1">IFERROR(__xludf.DUMMYFUNCTION("""COMPUTED_VALUE"""),1)</f>
        <v>1</v>
      </c>
      <c r="P54" s="56">
        <f ca="1">IFERROR(__xludf.DUMMYFUNCTION("""COMPUTED_VALUE"""),0.859499999999999)</f>
        <v>0.85949999999999904</v>
      </c>
      <c r="Q54" s="56">
        <f ca="1">IFERROR(__xludf.DUMMYFUNCTION("""COMPUTED_VALUE"""),0)</f>
        <v>0</v>
      </c>
      <c r="R54" s="56" t="str">
        <f ca="1">IFERROR(__xludf.DUMMYFUNCTION("""COMPUTED_VALUE"""),"Female")</f>
        <v>Female</v>
      </c>
      <c r="S54" s="119">
        <f ca="1">IFERROR(__xludf.DUMMYFUNCTION("""COMPUTED_VALUE"""),0.294117647058823)</f>
        <v>0.29411764705882298</v>
      </c>
    </row>
    <row r="55" spans="1:19" ht="12.9">
      <c r="A55" s="116">
        <f ca="1">IFERROR(__xludf.DUMMYFUNCTION("""COMPUTED_VALUE"""),37)</f>
        <v>37</v>
      </c>
      <c r="B55" s="116" t="str">
        <f ca="1">IFERROR(__xludf.DUMMYFUNCTION("""COMPUTED_VALUE"""),"Waters &amp; Valenzuela (1999)")</f>
        <v>Waters &amp; Valenzuela (1999)</v>
      </c>
      <c r="C55" s="116">
        <f ca="1">IFERROR(__xludf.DUMMYFUNCTION("""COMPUTED_VALUE"""),1)</f>
        <v>1</v>
      </c>
      <c r="D55" s="116" t="str">
        <f ca="1">IFERROR(__xludf.DUMMYFUNCTION("""COMPUTED_VALUE"""),"Undernourished")</f>
        <v>Undernourished</v>
      </c>
      <c r="E55" s="116" t="str">
        <f ca="1">IFERROR(__xludf.DUMMYFUNCTION("""COMPUTED_VALUE"""),"Infancy - Toddlerhood")</f>
        <v>Infancy - Toddlerhood</v>
      </c>
      <c r="F55" s="117">
        <f ca="1">IFERROR(__xludf.DUMMYFUNCTION("""COMPUTED_VALUE"""),37)</f>
        <v>37</v>
      </c>
      <c r="G55" s="118">
        <f ca="1">IFERROR(__xludf.DUMMYFUNCTION("""COMPUTED_VALUE"""),-0.180775381515546)</f>
        <v>-0.18077538151554601</v>
      </c>
      <c r="H55" s="116">
        <f ca="1">IFERROR(__xludf.DUMMYFUNCTION("""COMPUTED_VALUE"""),0.648648648648648)</f>
        <v>0.64864864864864802</v>
      </c>
      <c r="I55" s="56">
        <f ca="1">IFERROR(__xludf.DUMMYFUNCTION("""COMPUTED_VALUE"""),1999)</f>
        <v>1999</v>
      </c>
      <c r="J55" s="56" t="str">
        <f ca="1">IFERROR(__xludf.DUMMYFUNCTION("""COMPUTED_VALUE"""),"Non-USA")</f>
        <v>Non-USA</v>
      </c>
      <c r="K55" s="56" t="str">
        <f ca="1">IFERROR(__xludf.DUMMYFUNCTION("""COMPUTED_VALUE"""),"Ainsworth/Ainsworth")</f>
        <v>Ainsworth/Ainsworth</v>
      </c>
      <c r="L55" s="56">
        <f ca="1">IFERROR(__xludf.DUMMYFUNCTION("""COMPUTED_VALUE"""),0)</f>
        <v>0</v>
      </c>
      <c r="M55" s="56">
        <f ca="1">IFERROR(__xludf.DUMMYFUNCTION("""COMPUTED_VALUE"""),1)</f>
        <v>1</v>
      </c>
      <c r="N55" s="56">
        <f ca="1">IFERROR(__xludf.DUMMYFUNCTION("""COMPUTED_VALUE"""),1)</f>
        <v>1</v>
      </c>
      <c r="O55" s="56">
        <f ca="1">IFERROR(__xludf.DUMMYFUNCTION("""COMPUTED_VALUE"""),1)</f>
        <v>1</v>
      </c>
      <c r="P55" s="56">
        <f ca="1">IFERROR(__xludf.DUMMYFUNCTION("""COMPUTED_VALUE"""),0.859499999999999)</f>
        <v>0.85949999999999904</v>
      </c>
      <c r="Q55" s="56">
        <f ca="1">IFERROR(__xludf.DUMMYFUNCTION("""COMPUTED_VALUE"""),0)</f>
        <v>0</v>
      </c>
      <c r="R55" s="56" t="str">
        <f ca="1">IFERROR(__xludf.DUMMYFUNCTION("""COMPUTED_VALUE"""),"Female")</f>
        <v>Female</v>
      </c>
      <c r="S55" s="119">
        <f ca="1">IFERROR(__xludf.DUMMYFUNCTION("""COMPUTED_VALUE"""),-0.14251781472684)</f>
        <v>-0.14251781472684</v>
      </c>
    </row>
    <row r="56" spans="1:19" ht="12.9">
      <c r="A56" s="116">
        <f ca="1">IFERROR(__xludf.DUMMYFUNCTION("""COMPUTED_VALUE"""),38)</f>
        <v>38</v>
      </c>
      <c r="B56" s="116" t="str">
        <f ca="1">IFERROR(__xludf.DUMMYFUNCTION("""COMPUTED_VALUE"""),"Vondra et al. (2001)")</f>
        <v>Vondra et al. (2001)</v>
      </c>
      <c r="C56" s="116">
        <f ca="1">IFERROR(__xludf.DUMMYFUNCTION("""COMPUTED_VALUE"""),1)</f>
        <v>1</v>
      </c>
      <c r="D56" s="116" t="str">
        <f ca="1">IFERROR(__xludf.DUMMYFUNCTION("""COMPUTED_VALUE"""),"12/24 months (12 month interval)")</f>
        <v>12/24 months (12 month interval)</v>
      </c>
      <c r="E56" s="116" t="str">
        <f ca="1">IFERROR(__xludf.DUMMYFUNCTION("""COMPUTED_VALUE"""),"Infancy - Toddlerhood")</f>
        <v>Infancy - Toddlerhood</v>
      </c>
      <c r="F56" s="117">
        <f ca="1">IFERROR(__xludf.DUMMYFUNCTION("""COMPUTED_VALUE"""),198)</f>
        <v>198</v>
      </c>
      <c r="G56" s="118">
        <f ca="1">IFERROR(__xludf.DUMMYFUNCTION("""COMPUTED_VALUE"""),0.165841253644326)</f>
        <v>0.165841253644326</v>
      </c>
      <c r="H56" s="116">
        <f ca="1">IFERROR(__xludf.DUMMYFUNCTION("""COMPUTED_VALUE"""),0.56060606060606)</f>
        <v>0.56060606060606</v>
      </c>
      <c r="I56" s="56">
        <f ca="1">IFERROR(__xludf.DUMMYFUNCTION("""COMPUTED_VALUE"""),2001)</f>
        <v>2001</v>
      </c>
      <c r="J56" s="56" t="str">
        <f ca="1">IFERROR(__xludf.DUMMYFUNCTION("""COMPUTED_VALUE"""),"USA")</f>
        <v>USA</v>
      </c>
      <c r="K56" s="56" t="str">
        <f ca="1">IFERROR(__xludf.DUMMYFUNCTION("""COMPUTED_VALUE"""),"Ainsworth/Crittenden")</f>
        <v>Ainsworth/Crittenden</v>
      </c>
      <c r="L56" s="56">
        <f ca="1">IFERROR(__xludf.DUMMYFUNCTION("""COMPUTED_VALUE"""),0)</f>
        <v>0</v>
      </c>
      <c r="M56" s="56">
        <f ca="1">IFERROR(__xludf.DUMMYFUNCTION("""COMPUTED_VALUE"""),1)</f>
        <v>1</v>
      </c>
      <c r="N56" s="56">
        <f ca="1">IFERROR(__xludf.DUMMYFUNCTION("""COMPUTED_VALUE"""),0)</f>
        <v>0</v>
      </c>
      <c r="O56" s="56">
        <f ca="1">IFERROR(__xludf.DUMMYFUNCTION("""COMPUTED_VALUE"""),1)</f>
        <v>1</v>
      </c>
      <c r="P56" s="56">
        <f ca="1">IFERROR(__xludf.DUMMYFUNCTION("""COMPUTED_VALUE"""),0.695)</f>
        <v>0.69499999999999995</v>
      </c>
      <c r="Q56" s="56">
        <f ca="1">IFERROR(__xludf.DUMMYFUNCTION("""COMPUTED_VALUE"""),0)</f>
        <v>0</v>
      </c>
      <c r="R56" s="56" t="str">
        <f ca="1">IFERROR(__xludf.DUMMYFUNCTION("""COMPUTED_VALUE"""),"Female")</f>
        <v>Female</v>
      </c>
      <c r="S56" s="119">
        <f ca="1">IFERROR(__xludf.DUMMYFUNCTION("""COMPUTED_VALUE"""),0.139130434782608)</f>
        <v>0.139130434782608</v>
      </c>
    </row>
    <row r="57" spans="1:19" ht="12.9">
      <c r="A57" s="116">
        <f ca="1">IFERROR(__xludf.DUMMYFUNCTION("""COMPUTED_VALUE"""),38)</f>
        <v>38</v>
      </c>
      <c r="B57" s="116" t="str">
        <f ca="1">IFERROR(__xludf.DUMMYFUNCTION("""COMPUTED_VALUE"""),"Vondra et al. (2001)")</f>
        <v>Vondra et al. (2001)</v>
      </c>
      <c r="C57" s="116">
        <f ca="1">IFERROR(__xludf.DUMMYFUNCTION("""COMPUTED_VALUE"""),2)</f>
        <v>2</v>
      </c>
      <c r="D57" s="116" t="str">
        <f ca="1">IFERROR(__xludf.DUMMYFUNCTION("""COMPUTED_VALUE"""),"12/18 months (6 month interval)")</f>
        <v>12/18 months (6 month interval)</v>
      </c>
      <c r="E57" s="116" t="str">
        <f ca="1">IFERROR(__xludf.DUMMYFUNCTION("""COMPUTED_VALUE"""),"Infancy - Infancy")</f>
        <v>Infancy - Infancy</v>
      </c>
      <c r="F57" s="117">
        <f ca="1">IFERROR(__xludf.DUMMYFUNCTION("""COMPUTED_VALUE"""),195)</f>
        <v>195</v>
      </c>
      <c r="G57" s="118">
        <f ca="1">IFERROR(__xludf.DUMMYFUNCTION("""COMPUTED_VALUE"""),0.220021314234611)</f>
        <v>0.22002131423461099</v>
      </c>
      <c r="H57" s="116">
        <f ca="1">IFERROR(__xludf.DUMMYFUNCTION("""COMPUTED_VALUE"""),0.61025641025641)</f>
        <v>0.61025641025640998</v>
      </c>
      <c r="I57" s="56">
        <f ca="1">IFERROR(__xludf.DUMMYFUNCTION("""COMPUTED_VALUE"""),2001)</f>
        <v>2001</v>
      </c>
      <c r="J57" s="56" t="str">
        <f ca="1">IFERROR(__xludf.DUMMYFUNCTION("""COMPUTED_VALUE"""),"USA")</f>
        <v>USA</v>
      </c>
      <c r="K57" s="56" t="str">
        <f ca="1">IFERROR(__xludf.DUMMYFUNCTION("""COMPUTED_VALUE"""),"Ainsworth/Ainsworth")</f>
        <v>Ainsworth/Ainsworth</v>
      </c>
      <c r="L57" s="56">
        <f ca="1">IFERROR(__xludf.DUMMYFUNCTION("""COMPUTED_VALUE"""),1)</f>
        <v>1</v>
      </c>
      <c r="M57" s="56">
        <f ca="1">IFERROR(__xludf.DUMMYFUNCTION("""COMPUTED_VALUE"""),1)</f>
        <v>1</v>
      </c>
      <c r="N57" s="56">
        <f ca="1">IFERROR(__xludf.DUMMYFUNCTION("""COMPUTED_VALUE"""),0)</f>
        <v>0</v>
      </c>
      <c r="O57" s="56">
        <f ca="1">IFERROR(__xludf.DUMMYFUNCTION("""COMPUTED_VALUE"""),1)</f>
        <v>1</v>
      </c>
      <c r="P57" s="56">
        <f ca="1">IFERROR(__xludf.DUMMYFUNCTION("""COMPUTED_VALUE"""),0.77)</f>
        <v>0.77</v>
      </c>
      <c r="Q57" s="56">
        <f ca="1">IFERROR(__xludf.DUMMYFUNCTION("""COMPUTED_VALUE"""),0)</f>
        <v>0</v>
      </c>
      <c r="R57" s="56" t="str">
        <f ca="1">IFERROR(__xludf.DUMMYFUNCTION("""COMPUTED_VALUE"""),"Female")</f>
        <v>Female</v>
      </c>
      <c r="S57" s="119">
        <f ca="1">IFERROR(__xludf.DUMMYFUNCTION("""COMPUTED_VALUE"""),0.219835754895767)</f>
        <v>0.21983575489576701</v>
      </c>
    </row>
    <row r="58" spans="1:19" ht="12.9">
      <c r="A58" s="116">
        <f ca="1">IFERROR(__xludf.DUMMYFUNCTION("""COMPUTED_VALUE"""),39)</f>
        <v>39</v>
      </c>
      <c r="B58" s="116" t="str">
        <f ca="1">IFERROR(__xludf.DUMMYFUNCTION("""COMPUTED_VALUE"""),"Xue (2010)")</f>
        <v>Xue (2010)</v>
      </c>
      <c r="C58" s="116">
        <f ca="1">IFERROR(__xludf.DUMMYFUNCTION("""COMPUTED_VALUE"""),1)</f>
        <v>1</v>
      </c>
      <c r="D58" s="116" t="str">
        <f ca="1">IFERROR(__xludf.DUMMYFUNCTION("""COMPUTED_VALUE"""),"13/42 months (29 month interval)")</f>
        <v>13/42 months (29 month interval)</v>
      </c>
      <c r="E58" s="116" t="str">
        <f ca="1">IFERROR(__xludf.DUMMYFUNCTION("""COMPUTED_VALUE"""),"Infancy - Preschool")</f>
        <v>Infancy - Preschool</v>
      </c>
      <c r="F58" s="117">
        <f ca="1">IFERROR(__xludf.DUMMYFUNCTION("""COMPUTED_VALUE"""),46)</f>
        <v>46</v>
      </c>
      <c r="G58" s="118">
        <f ca="1">IFERROR(__xludf.DUMMYFUNCTION("""COMPUTED_VALUE"""),0.159214239791607)</f>
        <v>0.15921423979160701</v>
      </c>
      <c r="H58" s="116">
        <f ca="1">IFERROR(__xludf.DUMMYFUNCTION("""COMPUTED_VALUE"""),0.426229508196721)</f>
        <v>0.42622950819672101</v>
      </c>
      <c r="I58" s="56">
        <f ca="1">IFERROR(__xludf.DUMMYFUNCTION("""COMPUTED_VALUE"""),2010)</f>
        <v>2010</v>
      </c>
      <c r="J58" s="56" t="str">
        <f ca="1">IFERROR(__xludf.DUMMYFUNCTION("""COMPUTED_VALUE"""),"Non-USA")</f>
        <v>Non-USA</v>
      </c>
      <c r="K58" s="56" t="str">
        <f ca="1">IFERROR(__xludf.DUMMYFUNCTION("""COMPUTED_VALUE"""),"Ainsworth/Cassidy-Marvin")</f>
        <v>Ainsworth/Cassidy-Marvin</v>
      </c>
      <c r="L58" s="56">
        <f ca="1">IFERROR(__xludf.DUMMYFUNCTION("""COMPUTED_VALUE"""),0)</f>
        <v>0</v>
      </c>
      <c r="M58" s="56">
        <f ca="1">IFERROR(__xludf.DUMMYFUNCTION("""COMPUTED_VALUE"""),0)</f>
        <v>0</v>
      </c>
      <c r="N58" s="56">
        <f ca="1">IFERROR(__xludf.DUMMYFUNCTION("""COMPUTED_VALUE"""),0)</f>
        <v>0</v>
      </c>
      <c r="O58" s="56">
        <f ca="1">IFERROR(__xludf.DUMMYFUNCTION("""COMPUTED_VALUE"""),0)</f>
        <v>0</v>
      </c>
      <c r="P58" s="56">
        <f ca="1">IFERROR(__xludf.DUMMYFUNCTION("""COMPUTED_VALUE"""),0.89)</f>
        <v>0.89</v>
      </c>
      <c r="Q58" s="56">
        <f ca="1">IFERROR(__xludf.DUMMYFUNCTION("""COMPUTED_VALUE"""),0)</f>
        <v>0</v>
      </c>
      <c r="R58" s="56" t="str">
        <f ca="1">IFERROR(__xludf.DUMMYFUNCTION("""COMPUTED_VALUE"""),"Female")</f>
        <v>Female</v>
      </c>
      <c r="S58" s="119">
        <f ca="1">IFERROR(__xludf.DUMMYFUNCTION("""COMPUTED_VALUE"""),0.205433569036099)</f>
        <v>0.205433569036099</v>
      </c>
    </row>
    <row r="59" spans="1:19" ht="12.9">
      <c r="A59" s="116">
        <f ca="1">IFERROR(__xludf.DUMMYFUNCTION("""COMPUTED_VALUE"""),40)</f>
        <v>40</v>
      </c>
      <c r="B59" s="116" t="str">
        <f ca="1">IFERROR(__xludf.DUMMYFUNCTION("""COMPUTED_VALUE"""),"Fargot &amp; Pears (1996)")</f>
        <v>Fargot &amp; Pears (1996)</v>
      </c>
      <c r="C59" s="116">
        <f ca="1">IFERROR(__xludf.DUMMYFUNCTION("""COMPUTED_VALUE"""),1)</f>
        <v>1</v>
      </c>
      <c r="D59" s="116" t="str">
        <f ca="1">IFERROR(__xludf.DUMMYFUNCTION("""COMPUTED_VALUE"""),"Single sample")</f>
        <v>Single sample</v>
      </c>
      <c r="E59" s="116" t="str">
        <f ca="1">IFERROR(__xludf.DUMMYFUNCTION("""COMPUTED_VALUE"""),"Infancy - Toddlerhood")</f>
        <v>Infancy - Toddlerhood</v>
      </c>
      <c r="F59" s="117">
        <f ca="1">IFERROR(__xludf.DUMMYFUNCTION("""COMPUTED_VALUE"""),96)</f>
        <v>96</v>
      </c>
      <c r="G59" s="118">
        <f ca="1">IFERROR(__xludf.DUMMYFUNCTION("""COMPUTED_VALUE"""),0.707514839096588)</f>
        <v>0.70751483909658797</v>
      </c>
      <c r="H59" s="116">
        <f ca="1">IFERROR(__xludf.DUMMYFUNCTION("""COMPUTED_VALUE"""),0.84375)</f>
        <v>0.84375</v>
      </c>
      <c r="I59" s="56">
        <f ca="1">IFERROR(__xludf.DUMMYFUNCTION("""COMPUTED_VALUE"""),1996)</f>
        <v>1996</v>
      </c>
      <c r="J59" s="56" t="str">
        <f ca="1">IFERROR(__xludf.DUMMYFUNCTION("""COMPUTED_VALUE"""),"USA")</f>
        <v>USA</v>
      </c>
      <c r="K59" s="56" t="str">
        <f ca="1">IFERROR(__xludf.DUMMYFUNCTION("""COMPUTED_VALUE"""),"Ainsworth/Crittenden")</f>
        <v>Ainsworth/Crittenden</v>
      </c>
      <c r="L59" s="56">
        <f ca="1">IFERROR(__xludf.DUMMYFUNCTION("""COMPUTED_VALUE"""),1)</f>
        <v>1</v>
      </c>
      <c r="M59" s="56">
        <f ca="1">IFERROR(__xludf.DUMMYFUNCTION("""COMPUTED_VALUE"""),0)</f>
        <v>0</v>
      </c>
      <c r="N59" s="56">
        <f ca="1">IFERROR(__xludf.DUMMYFUNCTION("""COMPUTED_VALUE"""),0)</f>
        <v>0</v>
      </c>
      <c r="O59" s="56">
        <f ca="1">IFERROR(__xludf.DUMMYFUNCTION("""COMPUTED_VALUE"""),1)</f>
        <v>1</v>
      </c>
      <c r="P59" s="56">
        <f ca="1">IFERROR(__xludf.DUMMYFUNCTION("""COMPUTED_VALUE"""),0.832763671875)</f>
        <v>0.832763671875</v>
      </c>
      <c r="Q59" s="56">
        <f ca="1">IFERROR(__xludf.DUMMYFUNCTION("""COMPUTED_VALUE"""),0)</f>
        <v>0</v>
      </c>
      <c r="R59" s="56" t="str">
        <f ca="1">IFERROR(__xludf.DUMMYFUNCTION("""COMPUTED_VALUE"""),"Female")</f>
        <v>Female</v>
      </c>
      <c r="S59" s="119">
        <f ca="1">IFERROR(__xludf.DUMMYFUNCTION("""COMPUTED_VALUE"""),0.688850475367329)</f>
        <v>0.68885047536732902</v>
      </c>
    </row>
    <row r="60" spans="1:19" ht="12.9">
      <c r="A60" s="116">
        <f ca="1">IFERROR(__xludf.DUMMYFUNCTION("""COMPUTED_VALUE"""),41)</f>
        <v>41</v>
      </c>
      <c r="B60" s="116" t="str">
        <f ca="1">IFERROR(__xludf.DUMMYFUNCTION("""COMPUTED_VALUE"""),"Toth et al. (2006)")</f>
        <v>Toth et al. (2006)</v>
      </c>
      <c r="C60" s="116">
        <f ca="1">IFERROR(__xludf.DUMMYFUNCTION("""COMPUTED_VALUE"""),1)</f>
        <v>1</v>
      </c>
      <c r="D60" s="116" t="str">
        <f ca="1">IFERROR(__xludf.DUMMYFUNCTION("""COMPUTED_VALUE"""),"Non-depressed control")</f>
        <v>Non-depressed control</v>
      </c>
      <c r="E60" s="116" t="str">
        <f ca="1">IFERROR(__xludf.DUMMYFUNCTION("""COMPUTED_VALUE"""),"Toddlerhood - Preschool")</f>
        <v>Toddlerhood - Preschool</v>
      </c>
      <c r="F60" s="117">
        <f ca="1">IFERROR(__xludf.DUMMYFUNCTION("""COMPUTED_VALUE"""),63)</f>
        <v>63</v>
      </c>
      <c r="G60" s="118">
        <f ca="1">IFERROR(__xludf.DUMMYFUNCTION("""COMPUTED_VALUE"""),0.306680790295498)</f>
        <v>0.306680790295498</v>
      </c>
      <c r="H60" s="116">
        <f ca="1">IFERROR(__xludf.DUMMYFUNCTION("""COMPUTED_VALUE"""),0.65079365079365)</f>
        <v>0.65079365079365004</v>
      </c>
      <c r="I60" s="56">
        <f ca="1">IFERROR(__xludf.DUMMYFUNCTION("""COMPUTED_VALUE"""),2006)</f>
        <v>2006</v>
      </c>
      <c r="J60" s="56" t="str">
        <f ca="1">IFERROR(__xludf.DUMMYFUNCTION("""COMPUTED_VALUE"""),"USA")</f>
        <v>USA</v>
      </c>
      <c r="K60" s="56" t="str">
        <f ca="1">IFERROR(__xludf.DUMMYFUNCTION("""COMPUTED_VALUE"""),"Ainsworth/Cassidy-Marvin")</f>
        <v>Ainsworth/Cassidy-Marvin</v>
      </c>
      <c r="L60" s="56">
        <f ca="1">IFERROR(__xludf.DUMMYFUNCTION("""COMPUTED_VALUE"""),0)</f>
        <v>0</v>
      </c>
      <c r="M60" s="56">
        <f ca="1">IFERROR(__xludf.DUMMYFUNCTION("""COMPUTED_VALUE"""),0)</f>
        <v>0</v>
      </c>
      <c r="N60" s="56">
        <f ca="1">IFERROR(__xludf.DUMMYFUNCTION("""COMPUTED_VALUE"""),0)</f>
        <v>0</v>
      </c>
      <c r="O60" s="56">
        <f ca="1">IFERROR(__xludf.DUMMYFUNCTION("""COMPUTED_VALUE"""),1)</f>
        <v>1</v>
      </c>
      <c r="P60" s="56">
        <f ca="1">IFERROR(__xludf.DUMMYFUNCTION("""COMPUTED_VALUE"""),0.919999999999999)</f>
        <v>0.91999999999999904</v>
      </c>
      <c r="Q60" s="56">
        <f ca="1">IFERROR(__xludf.DUMMYFUNCTION("""COMPUTED_VALUE"""),0)</f>
        <v>0</v>
      </c>
      <c r="R60" s="56" t="str">
        <f ca="1">IFERROR(__xludf.DUMMYFUNCTION("""COMPUTED_VALUE"""),"Female")</f>
        <v>Female</v>
      </c>
      <c r="S60" s="119">
        <f ca="1">IFERROR(__xludf.DUMMYFUNCTION("""COMPUTED_VALUE"""),0.304216867469879)</f>
        <v>0.30421686746987903</v>
      </c>
    </row>
    <row r="61" spans="1:19" ht="12.9">
      <c r="A61" s="116">
        <f ca="1">IFERROR(__xludf.DUMMYFUNCTION("""COMPUTED_VALUE"""),42)</f>
        <v>42</v>
      </c>
      <c r="B61" s="116" t="str">
        <f ca="1">IFERROR(__xludf.DUMMYFUNCTION("""COMPUTED_VALUE"""),"Toth et al. (2006)")</f>
        <v>Toth et al. (2006)</v>
      </c>
      <c r="C61" s="116">
        <f ca="1">IFERROR(__xludf.DUMMYFUNCTION("""COMPUTED_VALUE"""),1)</f>
        <v>1</v>
      </c>
      <c r="D61" s="116" t="str">
        <f ca="1">IFERROR(__xludf.DUMMYFUNCTION("""COMPUTED_VALUE"""),"Depressed control")</f>
        <v>Depressed control</v>
      </c>
      <c r="E61" s="116" t="str">
        <f ca="1">IFERROR(__xludf.DUMMYFUNCTION("""COMPUTED_VALUE"""),"Toddlerhood - Preschool")</f>
        <v>Toddlerhood - Preschool</v>
      </c>
      <c r="F61" s="117">
        <f ca="1">IFERROR(__xludf.DUMMYFUNCTION("""COMPUTED_VALUE"""),54)</f>
        <v>54</v>
      </c>
      <c r="G61" s="118">
        <f ca="1">IFERROR(__xludf.DUMMYFUNCTION("""COMPUTED_VALUE"""),0.390695157547515)</f>
        <v>0.39069515754751499</v>
      </c>
      <c r="H61" s="116">
        <f ca="1">IFERROR(__xludf.DUMMYFUNCTION("""COMPUTED_VALUE"""),0.814814814814814)</f>
        <v>0.81481481481481399</v>
      </c>
      <c r="I61" s="56">
        <f ca="1">IFERROR(__xludf.DUMMYFUNCTION("""COMPUTED_VALUE"""),2006)</f>
        <v>2006</v>
      </c>
      <c r="J61" s="56" t="str">
        <f ca="1">IFERROR(__xludf.DUMMYFUNCTION("""COMPUTED_VALUE"""),"USA")</f>
        <v>USA</v>
      </c>
      <c r="K61" s="56" t="str">
        <f ca="1">IFERROR(__xludf.DUMMYFUNCTION("""COMPUTED_VALUE"""),"Ainsworth/Cassidy-Marvin")</f>
        <v>Ainsworth/Cassidy-Marvin</v>
      </c>
      <c r="L61" s="56">
        <f ca="1">IFERROR(__xludf.DUMMYFUNCTION("""COMPUTED_VALUE"""),0)</f>
        <v>0</v>
      </c>
      <c r="M61" s="56">
        <f ca="1">IFERROR(__xludf.DUMMYFUNCTION("""COMPUTED_VALUE"""),1)</f>
        <v>1</v>
      </c>
      <c r="N61" s="56">
        <f ca="1">IFERROR(__xludf.DUMMYFUNCTION("""COMPUTED_VALUE"""),0)</f>
        <v>0</v>
      </c>
      <c r="O61" s="56">
        <f ca="1">IFERROR(__xludf.DUMMYFUNCTION("""COMPUTED_VALUE"""),1)</f>
        <v>1</v>
      </c>
      <c r="P61" s="56">
        <f ca="1">IFERROR(__xludf.DUMMYFUNCTION("""COMPUTED_VALUE"""),0.919999999999999)</f>
        <v>0.91999999999999904</v>
      </c>
      <c r="Q61" s="56">
        <f ca="1">IFERROR(__xludf.DUMMYFUNCTION("""COMPUTED_VALUE"""),0)</f>
        <v>0</v>
      </c>
      <c r="R61" s="56" t="str">
        <f ca="1">IFERROR(__xludf.DUMMYFUNCTION("""COMPUTED_VALUE"""),"Female")</f>
        <v>Female</v>
      </c>
      <c r="S61" s="119">
        <f ca="1">IFERROR(__xludf.DUMMYFUNCTION("""COMPUTED_VALUE"""),0.387755102040816)</f>
        <v>0.38775510204081598</v>
      </c>
    </row>
    <row r="62" spans="1:19" ht="12.9">
      <c r="A62" s="116">
        <f ca="1">IFERROR(__xludf.DUMMYFUNCTION("""COMPUTED_VALUE"""),43)</f>
        <v>43</v>
      </c>
      <c r="B62" s="116" t="str">
        <f ca="1">IFERROR(__xludf.DUMMYFUNCTION("""COMPUTED_VALUE"""),"Kreppner et al. (2011)")</f>
        <v>Kreppner et al. (2011)</v>
      </c>
      <c r="C62" s="116">
        <f ca="1">IFERROR(__xludf.DUMMYFUNCTION("""COMPUTED_VALUE"""),1)</f>
        <v>1</v>
      </c>
      <c r="D62" s="116" t="str">
        <f ca="1">IFERROR(__xludf.DUMMYFUNCTION("""COMPUTED_VALUE"""),"Family care &lt; 6 mo")</f>
        <v>Family care &lt; 6 mo</v>
      </c>
      <c r="E62" s="116" t="str">
        <f ca="1">IFERROR(__xludf.DUMMYFUNCTION("""COMPUTED_VALUE"""),"Preschool - Preschool")</f>
        <v>Preschool - Preschool</v>
      </c>
      <c r="F62" s="117">
        <f ca="1">IFERROR(__xludf.DUMMYFUNCTION("""COMPUTED_VALUE"""),106)</f>
        <v>106</v>
      </c>
      <c r="G62" s="118">
        <f ca="1">IFERROR(__xludf.DUMMYFUNCTION("""COMPUTED_VALUE"""),0.239632008928088)</f>
        <v>0.239632008928088</v>
      </c>
      <c r="H62" s="116">
        <f ca="1">IFERROR(__xludf.DUMMYFUNCTION("""COMPUTED_VALUE"""),0.613207547169811)</f>
        <v>0.61320754716981096</v>
      </c>
      <c r="I62" s="56">
        <f ca="1">IFERROR(__xludf.DUMMYFUNCTION("""COMPUTED_VALUE"""),2011)</f>
        <v>2011</v>
      </c>
      <c r="J62" s="56" t="str">
        <f ca="1">IFERROR(__xludf.DUMMYFUNCTION("""COMPUTED_VALUE"""),"Non-USA")</f>
        <v>Non-USA</v>
      </c>
      <c r="K62" s="56" t="str">
        <f ca="1">IFERROR(__xludf.DUMMYFUNCTION("""COMPUTED_VALUE"""),"Cassidy-Marvin/Cassidy-Marvin")</f>
        <v>Cassidy-Marvin/Cassidy-Marvin</v>
      </c>
      <c r="L62" s="56">
        <f ca="1">IFERROR(__xludf.DUMMYFUNCTION("""COMPUTED_VALUE"""),0)</f>
        <v>0</v>
      </c>
      <c r="M62" s="56">
        <f ca="1">IFERROR(__xludf.DUMMYFUNCTION("""COMPUTED_VALUE"""),0)</f>
        <v>0</v>
      </c>
      <c r="N62" s="56">
        <f ca="1">IFERROR(__xludf.DUMMYFUNCTION("""COMPUTED_VALUE"""),0)</f>
        <v>0</v>
      </c>
      <c r="O62" s="56">
        <f ca="1">IFERROR(__xludf.DUMMYFUNCTION("""COMPUTED_VALUE"""),1)</f>
        <v>1</v>
      </c>
      <c r="P62" s="56">
        <f ca="1">IFERROR(__xludf.DUMMYFUNCTION("""COMPUTED_VALUE"""),0.818814524741901)</f>
        <v>0.81881452474190097</v>
      </c>
      <c r="Q62" s="56">
        <f ca="1">IFERROR(__xludf.DUMMYFUNCTION("""COMPUTED_VALUE"""),0)</f>
        <v>0</v>
      </c>
      <c r="R62" s="56" t="str">
        <f ca="1">IFERROR(__xludf.DUMMYFUNCTION("""COMPUTED_VALUE"""),"Female")</f>
        <v>Female</v>
      </c>
      <c r="S62" s="119">
        <f ca="1">IFERROR(__xludf.DUMMYFUNCTION("""COMPUTED_VALUE"""),0.232426704344754)</f>
        <v>0.23242670434475399</v>
      </c>
    </row>
    <row r="63" spans="1:19" ht="12.9">
      <c r="A63" s="116">
        <f ca="1">IFERROR(__xludf.DUMMYFUNCTION("""COMPUTED_VALUE"""),44)</f>
        <v>44</v>
      </c>
      <c r="B63" s="116" t="str">
        <f ca="1">IFERROR(__xludf.DUMMYFUNCTION("""COMPUTED_VALUE"""),"Kreppner et al. (2011)")</f>
        <v>Kreppner et al. (2011)</v>
      </c>
      <c r="C63" s="116">
        <f ca="1">IFERROR(__xludf.DUMMYFUNCTION("""COMPUTED_VALUE"""),1)</f>
        <v>1</v>
      </c>
      <c r="D63" s="116" t="str">
        <f ca="1">IFERROR(__xludf.DUMMYFUNCTION("""COMPUTED_VALUE"""),"Institutionalised &gt; 6 mo")</f>
        <v>Institutionalised &gt; 6 mo</v>
      </c>
      <c r="E63" s="116" t="str">
        <f ca="1">IFERROR(__xludf.DUMMYFUNCTION("""COMPUTED_VALUE"""),"Preschool - Preschool")</f>
        <v>Preschool - Preschool</v>
      </c>
      <c r="F63" s="117">
        <f ca="1">IFERROR(__xludf.DUMMYFUNCTION("""COMPUTED_VALUE"""),31)</f>
        <v>31</v>
      </c>
      <c r="G63" s="118">
        <f ca="1">IFERROR(__xludf.DUMMYFUNCTION("""COMPUTED_VALUE"""),0.220369118894977)</f>
        <v>0.22036911889497701</v>
      </c>
      <c r="H63" s="116">
        <f ca="1">IFERROR(__xludf.DUMMYFUNCTION("""COMPUTED_VALUE"""),0.580645161290322)</f>
        <v>0.58064516129032195</v>
      </c>
      <c r="I63" s="56">
        <f ca="1">IFERROR(__xludf.DUMMYFUNCTION("""COMPUTED_VALUE"""),2011)</f>
        <v>2011</v>
      </c>
      <c r="J63" s="56" t="str">
        <f ca="1">IFERROR(__xludf.DUMMYFUNCTION("""COMPUTED_VALUE"""),"Non-USA")</f>
        <v>Non-USA</v>
      </c>
      <c r="K63" s="56" t="str">
        <f ca="1">IFERROR(__xludf.DUMMYFUNCTION("""COMPUTED_VALUE"""),"Cassidy-Marvin/Cassidy-Marvin")</f>
        <v>Cassidy-Marvin/Cassidy-Marvin</v>
      </c>
      <c r="L63" s="56">
        <f ca="1">IFERROR(__xludf.DUMMYFUNCTION("""COMPUTED_VALUE"""),0)</f>
        <v>0</v>
      </c>
      <c r="M63" s="56">
        <f ca="1">IFERROR(__xludf.DUMMYFUNCTION("""COMPUTED_VALUE"""),1)</f>
        <v>1</v>
      </c>
      <c r="N63" s="56">
        <f ca="1">IFERROR(__xludf.DUMMYFUNCTION("""COMPUTED_VALUE"""),0)</f>
        <v>0</v>
      </c>
      <c r="O63" s="56">
        <f ca="1">IFERROR(__xludf.DUMMYFUNCTION("""COMPUTED_VALUE"""),1)</f>
        <v>1</v>
      </c>
      <c r="P63" s="56">
        <f ca="1">IFERROR(__xludf.DUMMYFUNCTION("""COMPUTED_VALUE"""),0.810790842872008)</f>
        <v>0.81079084287200798</v>
      </c>
      <c r="Q63" s="56">
        <f ca="1">IFERROR(__xludf.DUMMYFUNCTION("""COMPUTED_VALUE"""),0)</f>
        <v>0</v>
      </c>
      <c r="R63" s="56" t="str">
        <f ca="1">IFERROR(__xludf.DUMMYFUNCTION("""COMPUTED_VALUE"""),"Female")</f>
        <v>Female</v>
      </c>
      <c r="S63" s="119">
        <f ca="1">IFERROR(__xludf.DUMMYFUNCTION("""COMPUTED_VALUE"""),0.198807157057654)</f>
        <v>0.198807157057654</v>
      </c>
    </row>
    <row r="64" spans="1:19" ht="12.9">
      <c r="A64" s="116">
        <f ca="1">IFERROR(__xludf.DUMMYFUNCTION("""COMPUTED_VALUE"""),46)</f>
        <v>46</v>
      </c>
      <c r="B64" s="116" t="str">
        <f ca="1">IFERROR(__xludf.DUMMYFUNCTION("""COMPUTED_VALUE"""),"Frodi, Grolnick &amp; Bridges (1985)")</f>
        <v>Frodi, Grolnick &amp; Bridges (1985)</v>
      </c>
      <c r="C64" s="116">
        <f ca="1">IFERROR(__xludf.DUMMYFUNCTION("""COMPUTED_VALUE"""),1)</f>
        <v>1</v>
      </c>
      <c r="D64" s="116" t="str">
        <f ca="1">IFERROR(__xludf.DUMMYFUNCTION("""COMPUTED_VALUE"""),"Single sample")</f>
        <v>Single sample</v>
      </c>
      <c r="E64" s="116" t="str">
        <f ca="1">IFERROR(__xludf.DUMMYFUNCTION("""COMPUTED_VALUE"""),"Infancy - Toddlerhood")</f>
        <v>Infancy - Toddlerhood</v>
      </c>
      <c r="F64" s="117">
        <f ca="1">IFERROR(__xludf.DUMMYFUNCTION("""COMPUTED_VALUE"""),38)</f>
        <v>38</v>
      </c>
      <c r="G64" s="118">
        <f ca="1">IFERROR(__xludf.DUMMYFUNCTION("""COMPUTED_VALUE"""),0.131157847467778)</f>
        <v>0.131157847467778</v>
      </c>
      <c r="H64" s="116">
        <f ca="1">IFERROR(__xludf.DUMMYFUNCTION("""COMPUTED_VALUE"""),0.684210526315789)</f>
        <v>0.68421052631578905</v>
      </c>
      <c r="I64" s="56">
        <f ca="1">IFERROR(__xludf.DUMMYFUNCTION("""COMPUTED_VALUE"""),1985)</f>
        <v>1985</v>
      </c>
      <c r="J64" s="56" t="str">
        <f ca="1">IFERROR(__xludf.DUMMYFUNCTION("""COMPUTED_VALUE"""),"USA")</f>
        <v>USA</v>
      </c>
      <c r="K64" s="56" t="str">
        <f ca="1">IFERROR(__xludf.DUMMYFUNCTION("""COMPUTED_VALUE"""),"Ainsworth/Ainsworth")</f>
        <v>Ainsworth/Ainsworth</v>
      </c>
      <c r="L64" s="56">
        <f ca="1">IFERROR(__xludf.DUMMYFUNCTION("""COMPUTED_VALUE"""),1)</f>
        <v>1</v>
      </c>
      <c r="M64" s="56">
        <f ca="1">IFERROR(__xludf.DUMMYFUNCTION("""COMPUTED_VALUE"""),0)</f>
        <v>0</v>
      </c>
      <c r="N64" s="56">
        <f ca="1">IFERROR(__xludf.DUMMYFUNCTION("""COMPUTED_VALUE"""),0)</f>
        <v>0</v>
      </c>
      <c r="O64" s="56">
        <f ca="1">IFERROR(__xludf.DUMMYFUNCTION("""COMPUTED_VALUE"""),1)</f>
        <v>1</v>
      </c>
      <c r="P64" s="56">
        <f ca="1">IFERROR(__xludf.DUMMYFUNCTION("""COMPUTED_VALUE"""),0.79)</f>
        <v>0.79</v>
      </c>
      <c r="Q64" s="56">
        <f ca="1">IFERROR(__xludf.DUMMYFUNCTION("""COMPUTED_VALUE"""),0)</f>
        <v>0</v>
      </c>
      <c r="R64" s="56" t="str">
        <f ca="1">IFERROR(__xludf.DUMMYFUNCTION("""COMPUTED_VALUE"""),"Female")</f>
        <v>Female</v>
      </c>
      <c r="S64" s="119">
        <f ca="1">IFERROR(__xludf.DUMMYFUNCTION("""COMPUTED_VALUE"""),0.129770992366412)</f>
        <v>0.12977099236641201</v>
      </c>
    </row>
    <row r="65" spans="1:19" ht="12.9">
      <c r="A65" s="116">
        <f ca="1">IFERROR(__xludf.DUMMYFUNCTION("""COMPUTED_VALUE"""),47)</f>
        <v>47</v>
      </c>
      <c r="B65" s="116" t="str">
        <f ca="1">IFERROR(__xludf.DUMMYFUNCTION("""COMPUTED_VALUE"""),"Thompson, Lamb &amp; Estes (1982)")</f>
        <v>Thompson, Lamb &amp; Estes (1982)</v>
      </c>
      <c r="C65" s="116">
        <f ca="1">IFERROR(__xludf.DUMMYFUNCTION("""COMPUTED_VALUE"""),1)</f>
        <v>1</v>
      </c>
      <c r="D65" s="116" t="str">
        <f ca="1">IFERROR(__xludf.DUMMYFUNCTION("""COMPUTED_VALUE"""),"Single sample")</f>
        <v>Single sample</v>
      </c>
      <c r="E65" s="116" t="str">
        <f ca="1">IFERROR(__xludf.DUMMYFUNCTION("""COMPUTED_VALUE"""),"Infancy - Toddlerhood")</f>
        <v>Infancy - Toddlerhood</v>
      </c>
      <c r="F65" s="117">
        <f ca="1">IFERROR(__xludf.DUMMYFUNCTION("""COMPUTED_VALUE"""),43)</f>
        <v>43</v>
      </c>
      <c r="G65" s="118">
        <f ca="1">IFERROR(__xludf.DUMMYFUNCTION("""COMPUTED_VALUE"""),-0.0251307054355878)</f>
        <v>-2.5130705435587802E-2</v>
      </c>
      <c r="H65" s="116">
        <f ca="1">IFERROR(__xludf.DUMMYFUNCTION("""COMPUTED_VALUE"""),0.55813953488372)</f>
        <v>0.55813953488372003</v>
      </c>
      <c r="I65" s="56">
        <f ca="1">IFERROR(__xludf.DUMMYFUNCTION("""COMPUTED_VALUE"""),1982)</f>
        <v>1982</v>
      </c>
      <c r="J65" s="56" t="str">
        <f ca="1">IFERROR(__xludf.DUMMYFUNCTION("""COMPUTED_VALUE"""),"USA")</f>
        <v>USA</v>
      </c>
      <c r="K65" s="56" t="str">
        <f ca="1">IFERROR(__xludf.DUMMYFUNCTION("""COMPUTED_VALUE"""),"Ainsworth/Ainsworth")</f>
        <v>Ainsworth/Ainsworth</v>
      </c>
      <c r="L65" s="56">
        <f ca="1">IFERROR(__xludf.DUMMYFUNCTION("""COMPUTED_VALUE"""),1)</f>
        <v>1</v>
      </c>
      <c r="M65" s="56">
        <f ca="1">IFERROR(__xludf.DUMMYFUNCTION("""COMPUTED_VALUE"""),0)</f>
        <v>0</v>
      </c>
      <c r="N65" s="56">
        <f ca="1">IFERROR(__xludf.DUMMYFUNCTION("""COMPUTED_VALUE"""),0)</f>
        <v>0</v>
      </c>
      <c r="O65" s="56">
        <f ca="1">IFERROR(__xludf.DUMMYFUNCTION("""COMPUTED_VALUE"""),1)</f>
        <v>1</v>
      </c>
      <c r="P65" s="56">
        <f ca="1">IFERROR(__xludf.DUMMYFUNCTION("""COMPUTED_VALUE"""),0.94)</f>
        <v>0.94</v>
      </c>
      <c r="Q65" s="56">
        <f ca="1">IFERROR(__xludf.DUMMYFUNCTION("""COMPUTED_VALUE"""),0)</f>
        <v>0</v>
      </c>
      <c r="R65" s="56" t="str">
        <f ca="1">IFERROR(__xludf.DUMMYFUNCTION("""COMPUTED_VALUE"""),"Female")</f>
        <v>Female</v>
      </c>
      <c r="S65" s="119">
        <f ca="1">IFERROR(__xludf.DUMMYFUNCTION("""COMPUTED_VALUE"""),-0.0250941028858218)</f>
        <v>-2.5094102885821801E-2</v>
      </c>
    </row>
    <row r="66" spans="1:19" ht="12.3">
      <c r="A66" s="120">
        <f ca="1">IFERROR(__xludf.DUMMYFUNCTION("""COMPUTED_VALUE"""),48)</f>
        <v>48</v>
      </c>
      <c r="B66" s="120" t="str">
        <f ca="1">IFERROR(__xludf.DUMMYFUNCTION("""COMPUTED_VALUE"""),"Owen et al. (1984)")</f>
        <v>Owen et al. (1984)</v>
      </c>
      <c r="C66" s="120">
        <f ca="1">IFERROR(__xludf.DUMMYFUNCTION("""COMPUTED_VALUE"""),1)</f>
        <v>1</v>
      </c>
      <c r="D66" s="120" t="str">
        <f ca="1">IFERROR(__xludf.DUMMYFUNCTION("""COMPUTED_VALUE"""),"Mother-child")</f>
        <v>Mother-child</v>
      </c>
      <c r="E66" s="120" t="str">
        <f ca="1">IFERROR(__xludf.DUMMYFUNCTION("""COMPUTED_VALUE"""),"Infancy - Toddlerhood")</f>
        <v>Infancy - Toddlerhood</v>
      </c>
      <c r="F66" s="121">
        <f ca="1">IFERROR(__xludf.DUMMYFUNCTION("""COMPUTED_VALUE"""),59)</f>
        <v>59</v>
      </c>
      <c r="G66" s="122">
        <f ca="1">IFERROR(__xludf.DUMMYFUNCTION("""COMPUTED_VALUE"""),0.107354806442147)</f>
        <v>0.107354806442147</v>
      </c>
      <c r="H66" s="120">
        <f ca="1">IFERROR(__xludf.DUMMYFUNCTION("""COMPUTED_VALUE"""),0.779661016949152)</f>
        <v>0.77966101694915202</v>
      </c>
      <c r="I66">
        <f ca="1">IFERROR(__xludf.DUMMYFUNCTION("""COMPUTED_VALUE"""),1984)</f>
        <v>1984</v>
      </c>
      <c r="J66" t="str">
        <f ca="1">IFERROR(__xludf.DUMMYFUNCTION("""COMPUTED_VALUE"""),"USA")</f>
        <v>USA</v>
      </c>
      <c r="K66" t="str">
        <f ca="1">IFERROR(__xludf.DUMMYFUNCTION("""COMPUTED_VALUE"""),"Ainsworth/Ainsworth")</f>
        <v>Ainsworth/Ainsworth</v>
      </c>
      <c r="L66">
        <f ca="1">IFERROR(__xludf.DUMMYFUNCTION("""COMPUTED_VALUE"""),1)</f>
        <v>1</v>
      </c>
      <c r="M66">
        <f ca="1">IFERROR(__xludf.DUMMYFUNCTION("""COMPUTED_VALUE"""),0)</f>
        <v>0</v>
      </c>
      <c r="N66">
        <f ca="1">IFERROR(__xludf.DUMMYFUNCTION("""COMPUTED_VALUE"""),0)</f>
        <v>0</v>
      </c>
      <c r="O66">
        <f ca="1">IFERROR(__xludf.DUMMYFUNCTION("""COMPUTED_VALUE"""),1)</f>
        <v>1</v>
      </c>
      <c r="P66">
        <f ca="1">IFERROR(__xludf.DUMMYFUNCTION("""COMPUTED_VALUE"""),0.945)</f>
        <v>0.94499999999999995</v>
      </c>
      <c r="Q66">
        <f ca="1">IFERROR(__xludf.DUMMYFUNCTION("""COMPUTED_VALUE"""),0)</f>
        <v>0</v>
      </c>
      <c r="R66" t="str">
        <f ca="1">IFERROR(__xludf.DUMMYFUNCTION("""COMPUTED_VALUE"""),"Female")</f>
        <v>Female</v>
      </c>
      <c r="S66" s="119">
        <f ca="1">IFERROR(__xludf.DUMMYFUNCTION("""COMPUTED_VALUE"""),0.107101280558789)</f>
        <v>0.10710128055878899</v>
      </c>
    </row>
    <row r="67" spans="1:19" ht="12.3">
      <c r="A67" s="120">
        <f ca="1">IFERROR(__xludf.DUMMYFUNCTION("""COMPUTED_VALUE"""),48)</f>
        <v>48</v>
      </c>
      <c r="B67" s="120" t="str">
        <f ca="1">IFERROR(__xludf.DUMMYFUNCTION("""COMPUTED_VALUE"""),"Owen et al. (1984)")</f>
        <v>Owen et al. (1984)</v>
      </c>
      <c r="C67" s="120">
        <f ca="1">IFERROR(__xludf.DUMMYFUNCTION("""COMPUTED_VALUE"""),2)</f>
        <v>2</v>
      </c>
      <c r="D67" s="120" t="str">
        <f ca="1">IFERROR(__xludf.DUMMYFUNCTION("""COMPUTED_VALUE"""),"Father-child")</f>
        <v>Father-child</v>
      </c>
      <c r="E67" s="120" t="str">
        <f ca="1">IFERROR(__xludf.DUMMYFUNCTION("""COMPUTED_VALUE"""),"Infancy - Toddlerhood")</f>
        <v>Infancy - Toddlerhood</v>
      </c>
      <c r="F67" s="121">
        <f ca="1">IFERROR(__xludf.DUMMYFUNCTION("""COMPUTED_VALUE"""),53)</f>
        <v>53</v>
      </c>
      <c r="G67" s="122">
        <f ca="1">IFERROR(__xludf.DUMMYFUNCTION("""COMPUTED_VALUE"""),0.138394220722654)</f>
        <v>0.138394220722654</v>
      </c>
      <c r="H67" s="120">
        <f ca="1">IFERROR(__xludf.DUMMYFUNCTION("""COMPUTED_VALUE"""),0.641509433962264)</f>
        <v>0.64150943396226401</v>
      </c>
      <c r="I67">
        <f ca="1">IFERROR(__xludf.DUMMYFUNCTION("""COMPUTED_VALUE"""),1984)</f>
        <v>1984</v>
      </c>
      <c r="J67" t="str">
        <f ca="1">IFERROR(__xludf.DUMMYFUNCTION("""COMPUTED_VALUE"""),"USA")</f>
        <v>USA</v>
      </c>
      <c r="K67" t="str">
        <f ca="1">IFERROR(__xludf.DUMMYFUNCTION("""COMPUTED_VALUE"""),"Ainsworth/Ainsworth")</f>
        <v>Ainsworth/Ainsworth</v>
      </c>
      <c r="L67">
        <f ca="1">IFERROR(__xludf.DUMMYFUNCTION("""COMPUTED_VALUE"""),1)</f>
        <v>1</v>
      </c>
      <c r="M67">
        <f ca="1">IFERROR(__xludf.DUMMYFUNCTION("""COMPUTED_VALUE"""),0)</f>
        <v>0</v>
      </c>
      <c r="N67">
        <f ca="1">IFERROR(__xludf.DUMMYFUNCTION("""COMPUTED_VALUE"""),0)</f>
        <v>0</v>
      </c>
      <c r="O67">
        <f ca="1">IFERROR(__xludf.DUMMYFUNCTION("""COMPUTED_VALUE"""),1)</f>
        <v>1</v>
      </c>
      <c r="P67">
        <f ca="1">IFERROR(__xludf.DUMMYFUNCTION("""COMPUTED_VALUE"""),0.945)</f>
        <v>0.94499999999999995</v>
      </c>
      <c r="Q67">
        <f ca="1">IFERROR(__xludf.DUMMYFUNCTION("""COMPUTED_VALUE"""),0)</f>
        <v>0</v>
      </c>
      <c r="R67" t="str">
        <f ca="1">IFERROR(__xludf.DUMMYFUNCTION("""COMPUTED_VALUE"""),"Male")</f>
        <v>Male</v>
      </c>
      <c r="S67" s="119">
        <f ca="1">IFERROR(__xludf.DUMMYFUNCTION("""COMPUTED_VALUE"""),0.137103684661525)</f>
        <v>0.137103684661525</v>
      </c>
    </row>
    <row r="68" spans="1:19" ht="12.3">
      <c r="A68" s="120">
        <f ca="1">IFERROR(__xludf.DUMMYFUNCTION("""COMPUTED_VALUE"""),49)</f>
        <v>49</v>
      </c>
      <c r="B68" s="120" t="str">
        <f ca="1">IFERROR(__xludf.DUMMYFUNCTION("""COMPUTED_VALUE"""),"Belsky et al. (1996)")</f>
        <v>Belsky et al. (1996)</v>
      </c>
      <c r="C68" s="120">
        <f ca="1">IFERROR(__xludf.DUMMYFUNCTION("""COMPUTED_VALUE"""),1)</f>
        <v>1</v>
      </c>
      <c r="D68" s="120" t="str">
        <f ca="1">IFERROR(__xludf.DUMMYFUNCTION("""COMPUTED_VALUE"""),"Father-son (Penn. State)")</f>
        <v>Father-son (Penn. State)</v>
      </c>
      <c r="E68" s="120" t="str">
        <f ca="1">IFERROR(__xludf.DUMMYFUNCTION("""COMPUTED_VALUE"""),"Infancy - Toddlerhood")</f>
        <v>Infancy - Toddlerhood</v>
      </c>
      <c r="F68" s="121">
        <f ca="1">IFERROR(__xludf.DUMMYFUNCTION("""COMPUTED_VALUE"""),120)</f>
        <v>120</v>
      </c>
      <c r="G68" s="122">
        <f ca="1">IFERROR(__xludf.DUMMYFUNCTION("""COMPUTED_VALUE"""),-0.0573043200523977)</f>
        <v>-5.7304320052397703E-2</v>
      </c>
      <c r="H68" s="120">
        <f ca="1">IFERROR(__xludf.DUMMYFUNCTION("""COMPUTED_VALUE"""),0.5)</f>
        <v>0.5</v>
      </c>
      <c r="I68">
        <f ca="1">IFERROR(__xludf.DUMMYFUNCTION("""COMPUTED_VALUE"""),1996)</f>
        <v>1996</v>
      </c>
      <c r="J68" t="str">
        <f ca="1">IFERROR(__xludf.DUMMYFUNCTION("""COMPUTED_VALUE"""),"USA")</f>
        <v>USA</v>
      </c>
      <c r="K68" t="str">
        <f ca="1">IFERROR(__xludf.DUMMYFUNCTION("""COMPUTED_VALUE"""),"Ainsworth/Ainsworth")</f>
        <v>Ainsworth/Ainsworth</v>
      </c>
      <c r="L68">
        <f ca="1">IFERROR(__xludf.DUMMYFUNCTION("""COMPUTED_VALUE"""),1)</f>
        <v>1</v>
      </c>
      <c r="M68">
        <f ca="1">IFERROR(__xludf.DUMMYFUNCTION("""COMPUTED_VALUE"""),0)</f>
        <v>0</v>
      </c>
      <c r="N68">
        <f ca="1">IFERROR(__xludf.DUMMYFUNCTION("""COMPUTED_VALUE"""),0)</f>
        <v>0</v>
      </c>
      <c r="O68">
        <f ca="1">IFERROR(__xludf.DUMMYFUNCTION("""COMPUTED_VALUE"""),1)</f>
        <v>1</v>
      </c>
      <c r="P68">
        <f ca="1">IFERROR(__xludf.DUMMYFUNCTION("""COMPUTED_VALUE"""),0.929177083333333)</f>
        <v>0.92917708333333304</v>
      </c>
      <c r="Q68">
        <f ca="1">IFERROR(__xludf.DUMMYFUNCTION("""COMPUTED_VALUE"""),0)</f>
        <v>0</v>
      </c>
      <c r="R68" t="str">
        <f ca="1">IFERROR(__xludf.DUMMYFUNCTION("""COMPUTED_VALUE"""),"Male")</f>
        <v>Male</v>
      </c>
      <c r="S68" s="119">
        <f ca="1">IFERROR(__xludf.DUMMYFUNCTION("""COMPUTED_VALUE"""),-0.0572687224669603)</f>
        <v>-5.7268722466960298E-2</v>
      </c>
    </row>
    <row r="69" spans="1:19" ht="12.3">
      <c r="A69" s="120">
        <f ca="1">IFERROR(__xludf.DUMMYFUNCTION("""COMPUTED_VALUE"""),49)</f>
        <v>49</v>
      </c>
      <c r="B69" s="120" t="str">
        <f ca="1">IFERROR(__xludf.DUMMYFUNCTION("""COMPUTED_VALUE"""),"Belsky et al. (1996)")</f>
        <v>Belsky et al. (1996)</v>
      </c>
      <c r="C69" s="120">
        <f ca="1">IFERROR(__xludf.DUMMYFUNCTION("""COMPUTED_VALUE"""),2)</f>
        <v>2</v>
      </c>
      <c r="D69" s="120" t="str">
        <f ca="1">IFERROR(__xludf.DUMMYFUNCTION("""COMPUTED_VALUE"""),"Mother-son (Penn. State)")</f>
        <v>Mother-son (Penn. State)</v>
      </c>
      <c r="E69" s="120" t="str">
        <f ca="1">IFERROR(__xludf.DUMMYFUNCTION("""COMPUTED_VALUE"""),"Infancy - Infancy")</f>
        <v>Infancy - Infancy</v>
      </c>
      <c r="F69" s="121">
        <f ca="1">IFERROR(__xludf.DUMMYFUNCTION("""COMPUTED_VALUE"""),125)</f>
        <v>125</v>
      </c>
      <c r="G69" s="122">
        <f ca="1">IFERROR(__xludf.DUMMYFUNCTION("""COMPUTED_VALUE"""),0.0414869906822511)</f>
        <v>4.1486990682251097E-2</v>
      </c>
      <c r="H69" s="120">
        <f ca="1">IFERROR(__xludf.DUMMYFUNCTION("""COMPUTED_VALUE"""),0.552)</f>
        <v>0.55200000000000005</v>
      </c>
      <c r="I69">
        <f ca="1">IFERROR(__xludf.DUMMYFUNCTION("""COMPUTED_VALUE"""),1996)</f>
        <v>1996</v>
      </c>
      <c r="J69" t="str">
        <f ca="1">IFERROR(__xludf.DUMMYFUNCTION("""COMPUTED_VALUE"""),"USA")</f>
        <v>USA</v>
      </c>
      <c r="K69" t="str">
        <f ca="1">IFERROR(__xludf.DUMMYFUNCTION("""COMPUTED_VALUE"""),"Ainsworth/Ainsworth")</f>
        <v>Ainsworth/Ainsworth</v>
      </c>
      <c r="L69">
        <f ca="1">IFERROR(__xludf.DUMMYFUNCTION("""COMPUTED_VALUE"""),1)</f>
        <v>1</v>
      </c>
      <c r="M69">
        <f ca="1">IFERROR(__xludf.DUMMYFUNCTION("""COMPUTED_VALUE"""),0)</f>
        <v>0</v>
      </c>
      <c r="N69">
        <f ca="1">IFERROR(__xludf.DUMMYFUNCTION("""COMPUTED_VALUE"""),0)</f>
        <v>0</v>
      </c>
      <c r="O69">
        <f ca="1">IFERROR(__xludf.DUMMYFUNCTION("""COMPUTED_VALUE"""),1)</f>
        <v>1</v>
      </c>
      <c r="P69">
        <f ca="1">IFERROR(__xludf.DUMMYFUNCTION("""COMPUTED_VALUE"""),0.93082752)</f>
        <v>0.93082752000000002</v>
      </c>
      <c r="Q69">
        <f ca="1">IFERROR(__xludf.DUMMYFUNCTION("""COMPUTED_VALUE"""),0)</f>
        <v>0</v>
      </c>
      <c r="R69" t="str">
        <f ca="1">IFERROR(__xludf.DUMMYFUNCTION("""COMPUTED_VALUE"""),"Female")</f>
        <v>Female</v>
      </c>
      <c r="S69" s="119">
        <f ca="1">IFERROR(__xludf.DUMMYFUNCTION("""COMPUTED_VALUE"""),0.0410958904109588)</f>
        <v>4.1095890410958798E-2</v>
      </c>
    </row>
    <row r="70" spans="1:19" ht="12.3">
      <c r="A70" s="120">
        <f ca="1">IFERROR(__xludf.DUMMYFUNCTION("""COMPUTED_VALUE"""),50)</f>
        <v>50</v>
      </c>
      <c r="B70" s="120" t="str">
        <f ca="1">IFERROR(__xludf.DUMMYFUNCTION("""COMPUTED_VALUE"""),"Belsky et al. (1996)")</f>
        <v>Belsky et al. (1996)</v>
      </c>
      <c r="C70" s="120">
        <f ca="1">IFERROR(__xludf.DUMMYFUNCTION("""COMPUTED_VALUE"""),1)</f>
        <v>1</v>
      </c>
      <c r="D70" s="120" t="str">
        <f ca="1">IFERROR(__xludf.DUMMYFUNCTION("""COMPUTED_VALUE"""),"Mother-child (Univ. Pitt.)")</f>
        <v>Mother-child (Univ. Pitt.)</v>
      </c>
      <c r="E70" s="120" t="str">
        <f ca="1">IFERROR(__xludf.DUMMYFUNCTION("""COMPUTED_VALUE"""),"Infancy - Infancy")</f>
        <v>Infancy - Infancy</v>
      </c>
      <c r="F70" s="121">
        <f ca="1">IFERROR(__xludf.DUMMYFUNCTION("""COMPUTED_VALUE"""),90)</f>
        <v>90</v>
      </c>
      <c r="G70" s="122">
        <f ca="1">IFERROR(__xludf.DUMMYFUNCTION("""COMPUTED_VALUE"""),-0.0254823595718812)</f>
        <v>-2.5482359571881202E-2</v>
      </c>
      <c r="H70" s="120">
        <f ca="1">IFERROR(__xludf.DUMMYFUNCTION("""COMPUTED_VALUE"""),0.5)</f>
        <v>0.5</v>
      </c>
      <c r="I70">
        <f ca="1">IFERROR(__xludf.DUMMYFUNCTION("""COMPUTED_VALUE"""),1996)</f>
        <v>1996</v>
      </c>
      <c r="J70" t="str">
        <f ca="1">IFERROR(__xludf.DUMMYFUNCTION("""COMPUTED_VALUE"""),"USA")</f>
        <v>USA</v>
      </c>
      <c r="K70" t="str">
        <f ca="1">IFERROR(__xludf.DUMMYFUNCTION("""COMPUTED_VALUE"""),"Ainsworth/Ainsworth")</f>
        <v>Ainsworth/Ainsworth</v>
      </c>
      <c r="L70">
        <f ca="1">IFERROR(__xludf.DUMMYFUNCTION("""COMPUTED_VALUE"""),1)</f>
        <v>1</v>
      </c>
      <c r="M70">
        <f ca="1">IFERROR(__xludf.DUMMYFUNCTION("""COMPUTED_VALUE"""),0)</f>
        <v>0</v>
      </c>
      <c r="N70">
        <f ca="1">IFERROR(__xludf.DUMMYFUNCTION("""COMPUTED_VALUE"""),0)</f>
        <v>0</v>
      </c>
      <c r="O70">
        <f ca="1">IFERROR(__xludf.DUMMYFUNCTION("""COMPUTED_VALUE"""),1)</f>
        <v>1</v>
      </c>
      <c r="P70">
        <f ca="1">IFERROR(__xludf.DUMMYFUNCTION("""COMPUTED_VALUE"""),0.956701234567901)</f>
        <v>0.95670123456790102</v>
      </c>
      <c r="Q70">
        <f ca="1">IFERROR(__xludf.DUMMYFUNCTION("""COMPUTED_VALUE"""),0)</f>
        <v>0</v>
      </c>
      <c r="R70" t="str">
        <f ca="1">IFERROR(__xludf.DUMMYFUNCTION("""COMPUTED_VALUE"""),"Female")</f>
        <v>Female</v>
      </c>
      <c r="S70" s="119">
        <f ca="1">IFERROR(__xludf.DUMMYFUNCTION("""COMPUTED_VALUE"""),-0.0253164556962026)</f>
        <v>-2.5316455696202601E-2</v>
      </c>
    </row>
    <row r="71" spans="1:19" ht="12.3">
      <c r="A71" s="120">
        <f ca="1">IFERROR(__xludf.DUMMYFUNCTION("""COMPUTED_VALUE"""),51)</f>
        <v>51</v>
      </c>
      <c r="B71" s="120" t="str">
        <f ca="1">IFERROR(__xludf.DUMMYFUNCTION("""COMPUTED_VALUE"""),"Main &amp; Weston (1981)")</f>
        <v>Main &amp; Weston (1981)</v>
      </c>
      <c r="C71" s="120">
        <f ca="1">IFERROR(__xludf.DUMMYFUNCTION("""COMPUTED_VALUE"""),1)</f>
        <v>1</v>
      </c>
      <c r="D71" s="120" t="str">
        <f ca="1">IFERROR(__xludf.DUMMYFUNCTION("""COMPUTED_VALUE"""),"Mother-child")</f>
        <v>Mother-child</v>
      </c>
      <c r="E71" s="120" t="str">
        <f ca="1">IFERROR(__xludf.DUMMYFUNCTION("""COMPUTED_VALUE"""),"Infancy - Toddlerhood")</f>
        <v>Infancy - Toddlerhood</v>
      </c>
      <c r="F71" s="121">
        <f ca="1">IFERROR(__xludf.DUMMYFUNCTION("""COMPUTED_VALUE"""),15)</f>
        <v>15</v>
      </c>
      <c r="G71" s="122">
        <f ca="1">IFERROR(__xludf.DUMMYFUNCTION("""COMPUTED_VALUE"""),0.46)</f>
        <v>0.46</v>
      </c>
      <c r="H71" s="120" t="str">
        <f ca="1">IFERROR(__xludf.DUMMYFUNCTION("""COMPUTED_VALUE"""),"")</f>
        <v/>
      </c>
      <c r="I71">
        <f ca="1">IFERROR(__xludf.DUMMYFUNCTION("""COMPUTED_VALUE"""),1981)</f>
        <v>1981</v>
      </c>
      <c r="J71" t="str">
        <f ca="1">IFERROR(__xludf.DUMMYFUNCTION("""COMPUTED_VALUE"""),"USA")</f>
        <v>USA</v>
      </c>
      <c r="K71" t="str">
        <f ca="1">IFERROR(__xludf.DUMMYFUNCTION("""COMPUTED_VALUE"""),"Ainsworth/Ainsworth")</f>
        <v>Ainsworth/Ainsworth</v>
      </c>
      <c r="L71">
        <f ca="1">IFERROR(__xludf.DUMMYFUNCTION("""COMPUTED_VALUE"""),1)</f>
        <v>1</v>
      </c>
      <c r="M71">
        <f ca="1">IFERROR(__xludf.DUMMYFUNCTION("""COMPUTED_VALUE"""),0)</f>
        <v>0</v>
      </c>
      <c r="N71">
        <f ca="1">IFERROR(__xludf.DUMMYFUNCTION("""COMPUTED_VALUE"""),0)</f>
        <v>0</v>
      </c>
      <c r="O71">
        <f ca="1">IFERROR(__xludf.DUMMYFUNCTION("""COMPUTED_VALUE"""),1)</f>
        <v>1</v>
      </c>
      <c r="P71">
        <f ca="1">IFERROR(__xludf.DUMMYFUNCTION("""COMPUTED_VALUE"""),0.94)</f>
        <v>0.94</v>
      </c>
      <c r="Q71">
        <f ca="1">IFERROR(__xludf.DUMMYFUNCTION("""COMPUTED_VALUE"""),0)</f>
        <v>0</v>
      </c>
      <c r="R71" t="str">
        <f ca="1">IFERROR(__xludf.DUMMYFUNCTION("""COMPUTED_VALUE"""),"Female")</f>
        <v>Female</v>
      </c>
      <c r="S71" s="119" t="str">
        <f ca="1">IFERROR(__xludf.DUMMYFUNCTION("""COMPUTED_VALUE"""),"")</f>
        <v/>
      </c>
    </row>
    <row r="72" spans="1:19" ht="12.3">
      <c r="A72" s="120">
        <f ca="1">IFERROR(__xludf.DUMMYFUNCTION("""COMPUTED_VALUE"""),51)</f>
        <v>51</v>
      </c>
      <c r="B72" s="120" t="str">
        <f ca="1">IFERROR(__xludf.DUMMYFUNCTION("""COMPUTED_VALUE"""),"Main &amp; Weston (1981)")</f>
        <v>Main &amp; Weston (1981)</v>
      </c>
      <c r="C72" s="120">
        <f ca="1">IFERROR(__xludf.DUMMYFUNCTION("""COMPUTED_VALUE"""),2)</f>
        <v>2</v>
      </c>
      <c r="D72" s="120" t="str">
        <f ca="1">IFERROR(__xludf.DUMMYFUNCTION("""COMPUTED_VALUE"""),"Father-child")</f>
        <v>Father-child</v>
      </c>
      <c r="E72" s="120" t="str">
        <f ca="1">IFERROR(__xludf.DUMMYFUNCTION("""COMPUTED_VALUE"""),"Infancy - Toddlerhood")</f>
        <v>Infancy - Toddlerhood</v>
      </c>
      <c r="F72" s="121">
        <f ca="1">IFERROR(__xludf.DUMMYFUNCTION("""COMPUTED_VALUE"""),15)</f>
        <v>15</v>
      </c>
      <c r="G72" s="122">
        <f ca="1">IFERROR(__xludf.DUMMYFUNCTION("""COMPUTED_VALUE"""),0.73)</f>
        <v>0.73</v>
      </c>
      <c r="H72" s="120" t="str">
        <f ca="1">IFERROR(__xludf.DUMMYFUNCTION("""COMPUTED_VALUE"""),"")</f>
        <v/>
      </c>
      <c r="I72">
        <f ca="1">IFERROR(__xludf.DUMMYFUNCTION("""COMPUTED_VALUE"""),1981)</f>
        <v>1981</v>
      </c>
      <c r="J72" t="str">
        <f ca="1">IFERROR(__xludf.DUMMYFUNCTION("""COMPUTED_VALUE"""),"USA")</f>
        <v>USA</v>
      </c>
      <c r="K72" t="str">
        <f ca="1">IFERROR(__xludf.DUMMYFUNCTION("""COMPUTED_VALUE"""),"Ainsworth/Ainsworth")</f>
        <v>Ainsworth/Ainsworth</v>
      </c>
      <c r="L72">
        <f ca="1">IFERROR(__xludf.DUMMYFUNCTION("""COMPUTED_VALUE"""),1)</f>
        <v>1</v>
      </c>
      <c r="M72">
        <f ca="1">IFERROR(__xludf.DUMMYFUNCTION("""COMPUTED_VALUE"""),0)</f>
        <v>0</v>
      </c>
      <c r="N72">
        <f ca="1">IFERROR(__xludf.DUMMYFUNCTION("""COMPUTED_VALUE"""),0)</f>
        <v>0</v>
      </c>
      <c r="O72">
        <f ca="1">IFERROR(__xludf.DUMMYFUNCTION("""COMPUTED_VALUE"""),1)</f>
        <v>1</v>
      </c>
      <c r="P72">
        <f ca="1">IFERROR(__xludf.DUMMYFUNCTION("""COMPUTED_VALUE"""),0.94)</f>
        <v>0.94</v>
      </c>
      <c r="Q72">
        <f ca="1">IFERROR(__xludf.DUMMYFUNCTION("""COMPUTED_VALUE"""),0)</f>
        <v>0</v>
      </c>
      <c r="R72" t="str">
        <f ca="1">IFERROR(__xludf.DUMMYFUNCTION("""COMPUTED_VALUE"""),"Male")</f>
        <v>Male</v>
      </c>
      <c r="S72" s="119" t="str">
        <f ca="1">IFERROR(__xludf.DUMMYFUNCTION("""COMPUTED_VALUE"""),"")</f>
        <v/>
      </c>
    </row>
    <row r="73" spans="1:19" ht="12.3">
      <c r="A73" s="120">
        <f ca="1">IFERROR(__xludf.DUMMYFUNCTION("""COMPUTED_VALUE"""),52)</f>
        <v>52</v>
      </c>
      <c r="B73" s="120" t="str">
        <f ca="1">IFERROR(__xludf.DUMMYFUNCTION("""COMPUTED_VALUE"""),"Meins, Bureau &amp; Fernyhough (2017)")</f>
        <v>Meins, Bureau &amp; Fernyhough (2017)</v>
      </c>
      <c r="C73" s="120">
        <f ca="1">IFERROR(__xludf.DUMMYFUNCTION("""COMPUTED_VALUE"""),1)</f>
        <v>1</v>
      </c>
      <c r="D73" s="120" t="str">
        <f ca="1">IFERROR(__xludf.DUMMYFUNCTION("""COMPUTED_VALUE"""),"Mother-child")</f>
        <v>Mother-child</v>
      </c>
      <c r="E73" s="120" t="str">
        <f ca="1">IFERROR(__xludf.DUMMYFUNCTION("""COMPUTED_VALUE"""),"Infancy - Preschool")</f>
        <v>Infancy - Preschool</v>
      </c>
      <c r="F73" s="121">
        <f ca="1">IFERROR(__xludf.DUMMYFUNCTION("""COMPUTED_VALUE"""),164)</f>
        <v>164</v>
      </c>
      <c r="G73" s="122">
        <f ca="1">IFERROR(__xludf.DUMMYFUNCTION("""COMPUTED_VALUE"""),0.354782239506409)</f>
        <v>0.35478223950640903</v>
      </c>
      <c r="H73" s="120">
        <f ca="1">IFERROR(__xludf.DUMMYFUNCTION("""COMPUTED_VALUE"""),0.676829268292683)</f>
        <v>0.67682926829268297</v>
      </c>
      <c r="I73">
        <f ca="1">IFERROR(__xludf.DUMMYFUNCTION("""COMPUTED_VALUE"""),2017)</f>
        <v>2017</v>
      </c>
      <c r="J73" t="str">
        <f ca="1">IFERROR(__xludf.DUMMYFUNCTION("""COMPUTED_VALUE"""),"Non-USA")</f>
        <v>Non-USA</v>
      </c>
      <c r="K73" t="str">
        <f ca="1">IFERROR(__xludf.DUMMYFUNCTION("""COMPUTED_VALUE"""),"Ainsworth/Cassidy-Marvin")</f>
        <v>Ainsworth/Cassidy-Marvin</v>
      </c>
      <c r="L73">
        <f ca="1">IFERROR(__xludf.DUMMYFUNCTION("""COMPUTED_VALUE"""),0)</f>
        <v>0</v>
      </c>
      <c r="M73">
        <f ca="1">IFERROR(__xludf.DUMMYFUNCTION("""COMPUTED_VALUE"""),0)</f>
        <v>0</v>
      </c>
      <c r="N73">
        <f ca="1">IFERROR(__xludf.DUMMYFUNCTION("""COMPUTED_VALUE"""),0)</f>
        <v>0</v>
      </c>
      <c r="O73">
        <f ca="1">IFERROR(__xludf.DUMMYFUNCTION("""COMPUTED_VALUE"""),1)</f>
        <v>1</v>
      </c>
      <c r="P73">
        <f ca="1">IFERROR(__xludf.DUMMYFUNCTION("""COMPUTED_VALUE"""),0.877286585365853)</f>
        <v>0.87728658536585302</v>
      </c>
      <c r="Q73">
        <f ca="1">IFERROR(__xludf.DUMMYFUNCTION("""COMPUTED_VALUE"""),0)</f>
        <v>0</v>
      </c>
      <c r="R73" t="str">
        <f ca="1">IFERROR(__xludf.DUMMYFUNCTION("""COMPUTED_VALUE"""),"Female")</f>
        <v>Female</v>
      </c>
      <c r="S73" s="119">
        <f ca="1">IFERROR(__xludf.DUMMYFUNCTION("""COMPUTED_VALUE"""),0.339914945321992)</f>
        <v>0.33991494532199201</v>
      </c>
    </row>
    <row r="74" spans="1:19" ht="12.3">
      <c r="A74" s="120">
        <f ca="1">IFERROR(__xludf.DUMMYFUNCTION("""COMPUTED_VALUE"""),52)</f>
        <v>52</v>
      </c>
      <c r="B74" s="120" t="str">
        <f ca="1">IFERROR(__xludf.DUMMYFUNCTION("""COMPUTED_VALUE"""),"Meins, Bureau &amp; Fernyhough (2017)")</f>
        <v>Meins, Bureau &amp; Fernyhough (2017)</v>
      </c>
      <c r="C74" s="120">
        <f ca="1">IFERROR(__xludf.DUMMYFUNCTION("""COMPUTED_VALUE"""),2)</f>
        <v>2</v>
      </c>
      <c r="D74" s="120" t="str">
        <f ca="1">IFERROR(__xludf.DUMMYFUNCTION("""COMPUTED_VALUE"""),"Mother-child")</f>
        <v>Mother-child</v>
      </c>
      <c r="E74" s="120" t="str">
        <f ca="1">IFERROR(__xludf.DUMMYFUNCTION("""COMPUTED_VALUE"""),"Infancy - Preschool")</f>
        <v>Infancy - Preschool</v>
      </c>
      <c r="F74" s="121">
        <f ca="1">IFERROR(__xludf.DUMMYFUNCTION("""COMPUTED_VALUE"""),128)</f>
        <v>128</v>
      </c>
      <c r="G74" s="122">
        <f ca="1">IFERROR(__xludf.DUMMYFUNCTION("""COMPUTED_VALUE"""),0.226456701595982)</f>
        <v>0.226456701595982</v>
      </c>
      <c r="H74" s="120">
        <f ca="1">IFERROR(__xludf.DUMMYFUNCTION("""COMPUTED_VALUE"""),0.6328125)</f>
        <v>0.6328125</v>
      </c>
      <c r="I74">
        <f ca="1">IFERROR(__xludf.DUMMYFUNCTION("""COMPUTED_VALUE"""),2017)</f>
        <v>2017</v>
      </c>
      <c r="J74" t="str">
        <f ca="1">IFERROR(__xludf.DUMMYFUNCTION("""COMPUTED_VALUE"""),"Non-USA")</f>
        <v>Non-USA</v>
      </c>
      <c r="K74" t="str">
        <f ca="1">IFERROR(__xludf.DUMMYFUNCTION("""COMPUTED_VALUE"""),"Ainsworth/Cassidy-Marvin")</f>
        <v>Ainsworth/Cassidy-Marvin</v>
      </c>
      <c r="L74">
        <f ca="1">IFERROR(__xludf.DUMMYFUNCTION("""COMPUTED_VALUE"""),0)</f>
        <v>0</v>
      </c>
      <c r="M74">
        <f ca="1">IFERROR(__xludf.DUMMYFUNCTION("""COMPUTED_VALUE"""),0)</f>
        <v>0</v>
      </c>
      <c r="N74">
        <f ca="1">IFERROR(__xludf.DUMMYFUNCTION("""COMPUTED_VALUE"""),0)</f>
        <v>0</v>
      </c>
      <c r="O74">
        <f ca="1">IFERROR(__xludf.DUMMYFUNCTION("""COMPUTED_VALUE"""),1)</f>
        <v>1</v>
      </c>
      <c r="P74">
        <f ca="1">IFERROR(__xludf.DUMMYFUNCTION("""COMPUTED_VALUE"""),0.86837890625)</f>
        <v>0.86837890625000003</v>
      </c>
      <c r="Q74">
        <f ca="1">IFERROR(__xludf.DUMMYFUNCTION("""COMPUTED_VALUE"""),0)</f>
        <v>0</v>
      </c>
      <c r="R74" t="str">
        <f ca="1">IFERROR(__xludf.DUMMYFUNCTION("""COMPUTED_VALUE"""),"Female")</f>
        <v>Female</v>
      </c>
      <c r="S74" s="119">
        <f ca="1">IFERROR(__xludf.DUMMYFUNCTION("""COMPUTED_VALUE"""),0.223942208462332)</f>
        <v>0.22394220846233201</v>
      </c>
    </row>
    <row r="75" spans="1:19" ht="12.3">
      <c r="A75" s="120">
        <f ca="1">IFERROR(__xludf.DUMMYFUNCTION("""COMPUTED_VALUE"""),53)</f>
        <v>53</v>
      </c>
      <c r="B75" s="120" t="str">
        <f ca="1">IFERROR(__xludf.DUMMYFUNCTION("""COMPUTED_VALUE"""),"Waters (1978)")</f>
        <v>Waters (1978)</v>
      </c>
      <c r="C75" s="120">
        <f ca="1">IFERROR(__xludf.DUMMYFUNCTION("""COMPUTED_VALUE"""),1)</f>
        <v>1</v>
      </c>
      <c r="D75" s="120" t="str">
        <f ca="1">IFERROR(__xludf.DUMMYFUNCTION("""COMPUTED_VALUE"""),"Mother-child")</f>
        <v>Mother-child</v>
      </c>
      <c r="E75" s="120" t="str">
        <f ca="1">IFERROR(__xludf.DUMMYFUNCTION("""COMPUTED_VALUE"""),"Infancy - Infancy")</f>
        <v>Infancy - Infancy</v>
      </c>
      <c r="F75" s="121">
        <f ca="1">IFERROR(__xludf.DUMMYFUNCTION("""COMPUTED_VALUE"""),50)</f>
        <v>50</v>
      </c>
      <c r="G75" s="122">
        <f ca="1">IFERROR(__xludf.DUMMYFUNCTION("""COMPUTED_VALUE"""),0.918558653543691)</f>
        <v>0.91855865354369104</v>
      </c>
      <c r="H75" s="120">
        <f ca="1">IFERROR(__xludf.DUMMYFUNCTION("""COMPUTED_VALUE"""),0.96)</f>
        <v>0.96</v>
      </c>
      <c r="I75">
        <f ca="1">IFERROR(__xludf.DUMMYFUNCTION("""COMPUTED_VALUE"""),1978)</f>
        <v>1978</v>
      </c>
      <c r="J75" t="str">
        <f ca="1">IFERROR(__xludf.DUMMYFUNCTION("""COMPUTED_VALUE"""),"USA")</f>
        <v>USA</v>
      </c>
      <c r="K75" t="str">
        <f ca="1">IFERROR(__xludf.DUMMYFUNCTION("""COMPUTED_VALUE"""),"Ainsworth/Ainsworth")</f>
        <v>Ainsworth/Ainsworth</v>
      </c>
      <c r="L75">
        <f ca="1">IFERROR(__xludf.DUMMYFUNCTION("""COMPUTED_VALUE"""),1)</f>
        <v>1</v>
      </c>
      <c r="M75">
        <f ca="1">IFERROR(__xludf.DUMMYFUNCTION("""COMPUTED_VALUE"""),0)</f>
        <v>0</v>
      </c>
      <c r="N75">
        <f ca="1">IFERROR(__xludf.DUMMYFUNCTION("""COMPUTED_VALUE"""),0)</f>
        <v>0</v>
      </c>
      <c r="O75">
        <f ca="1">IFERROR(__xludf.DUMMYFUNCTION("""COMPUTED_VALUE"""),1)</f>
        <v>1</v>
      </c>
      <c r="P75">
        <f ca="1">IFERROR(__xludf.DUMMYFUNCTION("""COMPUTED_VALUE"""),0.92)</f>
        <v>0.92</v>
      </c>
      <c r="Q75">
        <f ca="1">IFERROR(__xludf.DUMMYFUNCTION("""COMPUTED_VALUE"""),0)</f>
        <v>0</v>
      </c>
      <c r="R75" t="str">
        <f ca="1">IFERROR(__xludf.DUMMYFUNCTION("""COMPUTED_VALUE"""),"Female")</f>
        <v>Female</v>
      </c>
      <c r="S75" s="119">
        <f ca="1">IFERROR(__xludf.DUMMYFUNCTION("""COMPUTED_VALUE"""),0.915254237288135)</f>
        <v>0.91525423728813504</v>
      </c>
    </row>
    <row r="76" spans="1:19" ht="12.3">
      <c r="A76" s="120">
        <f ca="1">IFERROR(__xludf.DUMMYFUNCTION("""COMPUTED_VALUE"""),54)</f>
        <v>54</v>
      </c>
      <c r="B76" s="120" t="str">
        <f ca="1">IFERROR(__xludf.DUMMYFUNCTION("""COMPUTED_VALUE"""),"Lyons-Ruth et al. (1991)")</f>
        <v>Lyons-Ruth et al. (1991)</v>
      </c>
      <c r="C76" s="120">
        <f ca="1">IFERROR(__xludf.DUMMYFUNCTION("""COMPUTED_VALUE"""),1)</f>
        <v>1</v>
      </c>
      <c r="D76" s="120" t="str">
        <f ca="1">IFERROR(__xludf.DUMMYFUNCTION("""COMPUTED_VALUE"""),"Low income")</f>
        <v>Low income</v>
      </c>
      <c r="E76" s="120" t="str">
        <f ca="1">IFERROR(__xludf.DUMMYFUNCTION("""COMPUTED_VALUE"""),"Infancy - Infancy")</f>
        <v>Infancy - Infancy</v>
      </c>
      <c r="F76" s="121">
        <f ca="1">IFERROR(__xludf.DUMMYFUNCTION("""COMPUTED_VALUE"""),46)</f>
        <v>46</v>
      </c>
      <c r="G76" s="122">
        <f ca="1">IFERROR(__xludf.DUMMYFUNCTION("""COMPUTED_VALUE"""),-0.0278886675511358)</f>
        <v>-2.7888667551135799E-2</v>
      </c>
      <c r="H76" s="120">
        <f ca="1">IFERROR(__xludf.DUMMYFUNCTION("""COMPUTED_VALUE"""),0.5)</f>
        <v>0.5</v>
      </c>
      <c r="I76">
        <f ca="1">IFERROR(__xludf.DUMMYFUNCTION("""COMPUTED_VALUE"""),1991)</f>
        <v>1991</v>
      </c>
      <c r="J76" t="str">
        <f ca="1">IFERROR(__xludf.DUMMYFUNCTION("""COMPUTED_VALUE"""),"USA")</f>
        <v>USA</v>
      </c>
      <c r="K76" t="str">
        <f ca="1">IFERROR(__xludf.DUMMYFUNCTION("""COMPUTED_VALUE"""),"Ainsworth/Ainsworth")</f>
        <v>Ainsworth/Ainsworth</v>
      </c>
      <c r="L76">
        <f ca="1">IFERROR(__xludf.DUMMYFUNCTION("""COMPUTED_VALUE"""),1)</f>
        <v>1</v>
      </c>
      <c r="M76">
        <f ca="1">IFERROR(__xludf.DUMMYFUNCTION("""COMPUTED_VALUE"""),1)</f>
        <v>1</v>
      </c>
      <c r="N76">
        <f ca="1">IFERROR(__xludf.DUMMYFUNCTION("""COMPUTED_VALUE"""),0)</f>
        <v>0</v>
      </c>
      <c r="O76">
        <f ca="1">IFERROR(__xludf.DUMMYFUNCTION("""COMPUTED_VALUE"""),1)</f>
        <v>1</v>
      </c>
      <c r="P76">
        <f ca="1">IFERROR(__xludf.DUMMYFUNCTION("""COMPUTED_VALUE"""),0.86)</f>
        <v>0.86</v>
      </c>
      <c r="Q76">
        <f ca="1">IFERROR(__xludf.DUMMYFUNCTION("""COMPUTED_VALUE"""),1)</f>
        <v>1</v>
      </c>
      <c r="R76" t="str">
        <f ca="1">IFERROR(__xludf.DUMMYFUNCTION("""COMPUTED_VALUE"""),"Female")</f>
        <v>Female</v>
      </c>
      <c r="S76" s="119">
        <f ca="1">IFERROR(__xludf.DUMMYFUNCTION("""COMPUTED_VALUE"""),-0.0271844660194175)</f>
        <v>-2.71844660194175E-2</v>
      </c>
    </row>
    <row r="77" spans="1:19" ht="12.3">
      <c r="A77" s="120">
        <f ca="1">IFERROR(__xludf.DUMMYFUNCTION("""COMPUTED_VALUE"""),55)</f>
        <v>55</v>
      </c>
      <c r="B77" s="120" t="str">
        <f ca="1">IFERROR(__xludf.DUMMYFUNCTION("""COMPUTED_VALUE"""),"Ziegenhain &amp; Wolff (2000)")</f>
        <v>Ziegenhain &amp; Wolff (2000)</v>
      </c>
      <c r="C77" s="120">
        <f ca="1">IFERROR(__xludf.DUMMYFUNCTION("""COMPUTED_VALUE"""),1)</f>
        <v>1</v>
      </c>
      <c r="D77" s="120" t="str">
        <f ca="1">IFERROR(__xludf.DUMMYFUNCTION("""COMPUTED_VALUE"""),"Mother-child")</f>
        <v>Mother-child</v>
      </c>
      <c r="E77" s="120" t="str">
        <f ca="1">IFERROR(__xludf.DUMMYFUNCTION("""COMPUTED_VALUE"""),"Infancy - Infancy")</f>
        <v>Infancy - Infancy</v>
      </c>
      <c r="F77" s="121">
        <f ca="1">IFERROR(__xludf.DUMMYFUNCTION("""COMPUTED_VALUE"""),35)</f>
        <v>35</v>
      </c>
      <c r="G77" s="122">
        <f ca="1">IFERROR(__xludf.DUMMYFUNCTION("""COMPUTED_VALUE"""),0.255739079493506)</f>
        <v>0.25573907949350599</v>
      </c>
      <c r="H77" s="120">
        <f ca="1">IFERROR(__xludf.DUMMYFUNCTION("""COMPUTED_VALUE"""),0.628571428571428)</f>
        <v>0.628571428571428</v>
      </c>
      <c r="I77">
        <f ca="1">IFERROR(__xludf.DUMMYFUNCTION("""COMPUTED_VALUE"""),2000)</f>
        <v>2000</v>
      </c>
      <c r="J77" t="str">
        <f ca="1">IFERROR(__xludf.DUMMYFUNCTION("""COMPUTED_VALUE"""),"Non-USA")</f>
        <v>Non-USA</v>
      </c>
      <c r="K77" t="str">
        <f ca="1">IFERROR(__xludf.DUMMYFUNCTION("""COMPUTED_VALUE"""),"Ainsworth/Ainsworth")</f>
        <v>Ainsworth/Ainsworth</v>
      </c>
      <c r="L77">
        <f ca="1">IFERROR(__xludf.DUMMYFUNCTION("""COMPUTED_VALUE"""),1)</f>
        <v>1</v>
      </c>
      <c r="M77">
        <f ca="1">IFERROR(__xludf.DUMMYFUNCTION("""COMPUTED_VALUE"""),0)</f>
        <v>0</v>
      </c>
      <c r="N77">
        <f ca="1">IFERROR(__xludf.DUMMYFUNCTION("""COMPUTED_VALUE"""),0)</f>
        <v>0</v>
      </c>
      <c r="O77">
        <f ca="1">IFERROR(__xludf.DUMMYFUNCTION("""COMPUTED_VALUE"""),1)</f>
        <v>1</v>
      </c>
      <c r="P77" t="str">
        <f ca="1">IFERROR(__xludf.DUMMYFUNCTION("""COMPUTED_VALUE"""),"")</f>
        <v/>
      </c>
      <c r="Q77">
        <f ca="1">IFERROR(__xludf.DUMMYFUNCTION("""COMPUTED_VALUE"""),0)</f>
        <v>0</v>
      </c>
      <c r="R77" t="str">
        <f ca="1">IFERROR(__xludf.DUMMYFUNCTION("""COMPUTED_VALUE"""),"Female")</f>
        <v>Female</v>
      </c>
      <c r="S77" s="119">
        <f ca="1">IFERROR(__xludf.DUMMYFUNCTION("""COMPUTED_VALUE"""),0.25531914893617)</f>
        <v>0.25531914893617003</v>
      </c>
    </row>
    <row r="78" spans="1:19" ht="12.3">
      <c r="A78" s="120">
        <f ca="1">IFERROR(__xludf.DUMMYFUNCTION("""COMPUTED_VALUE"""),56)</f>
        <v>56</v>
      </c>
      <c r="B78" s="120" t="str">
        <f ca="1">IFERROR(__xludf.DUMMYFUNCTION("""COMPUTED_VALUE"""),"Edwards et al. (2004)")</f>
        <v>Edwards et al. (2004)</v>
      </c>
      <c r="C78" s="120">
        <f ca="1">IFERROR(__xludf.DUMMYFUNCTION("""COMPUTED_VALUE"""),1)</f>
        <v>1</v>
      </c>
      <c r="D78" s="120" t="str">
        <f ca="1">IFERROR(__xludf.DUMMYFUNCTION("""COMPUTED_VALUE"""),"Mother-child")</f>
        <v>Mother-child</v>
      </c>
      <c r="E78" s="120" t="str">
        <f ca="1">IFERROR(__xludf.DUMMYFUNCTION("""COMPUTED_VALUE"""),"Infancy - Infancy")</f>
        <v>Infancy - Infancy</v>
      </c>
      <c r="F78" s="121">
        <f ca="1">IFERROR(__xludf.DUMMYFUNCTION("""COMPUTED_VALUE"""),217)</f>
        <v>217</v>
      </c>
      <c r="G78" s="122">
        <f ca="1">IFERROR(__xludf.DUMMYFUNCTION("""COMPUTED_VALUE"""),0.258636448790449)</f>
        <v>0.258636448790449</v>
      </c>
      <c r="H78" s="120">
        <f ca="1">IFERROR(__xludf.DUMMYFUNCTION("""COMPUTED_VALUE"""),0.663594470046083)</f>
        <v>0.66359447004608296</v>
      </c>
      <c r="I78">
        <f ca="1">IFERROR(__xludf.DUMMYFUNCTION("""COMPUTED_VALUE"""),2004)</f>
        <v>2004</v>
      </c>
      <c r="J78" t="str">
        <f ca="1">IFERROR(__xludf.DUMMYFUNCTION("""COMPUTED_VALUE"""),"USA")</f>
        <v>USA</v>
      </c>
      <c r="K78" t="str">
        <f ca="1">IFERROR(__xludf.DUMMYFUNCTION("""COMPUTED_VALUE"""),"Ainsworth/Ainsworth")</f>
        <v>Ainsworth/Ainsworth</v>
      </c>
      <c r="L78">
        <f ca="1">IFERROR(__xludf.DUMMYFUNCTION("""COMPUTED_VALUE"""),1)</f>
        <v>1</v>
      </c>
      <c r="M78">
        <f ca="1">IFERROR(__xludf.DUMMYFUNCTION("""COMPUTED_VALUE"""),1)</f>
        <v>1</v>
      </c>
      <c r="N78">
        <f ca="1">IFERROR(__xludf.DUMMYFUNCTION("""COMPUTED_VALUE"""),0)</f>
        <v>0</v>
      </c>
      <c r="O78">
        <f ca="1">IFERROR(__xludf.DUMMYFUNCTION("""COMPUTED_VALUE"""),1)</f>
        <v>1</v>
      </c>
      <c r="P78">
        <f ca="1">IFERROR(__xludf.DUMMYFUNCTION("""COMPUTED_VALUE"""),0.89)</f>
        <v>0.89</v>
      </c>
      <c r="Q78">
        <f ca="1">IFERROR(__xludf.DUMMYFUNCTION("""COMPUTED_VALUE"""),0)</f>
        <v>0</v>
      </c>
      <c r="R78" t="str">
        <f ca="1">IFERROR(__xludf.DUMMYFUNCTION("""COMPUTED_VALUE"""),"Female")</f>
        <v>Female</v>
      </c>
      <c r="S78" s="119">
        <f ca="1">IFERROR(__xludf.DUMMYFUNCTION("""COMPUTED_VALUE"""),0.258623110403893)</f>
        <v>0.25862311040389302</v>
      </c>
    </row>
    <row r="79" spans="1:19" ht="12.3">
      <c r="A79" s="120">
        <f ca="1">IFERROR(__xludf.DUMMYFUNCTION("""COMPUTED_VALUE"""),56)</f>
        <v>56</v>
      </c>
      <c r="B79" s="120" t="str">
        <f ca="1">IFERROR(__xludf.DUMMYFUNCTION("""COMPUTED_VALUE"""),"Edwards et al. (2004)")</f>
        <v>Edwards et al. (2004)</v>
      </c>
      <c r="C79" s="120">
        <f ca="1">IFERROR(__xludf.DUMMYFUNCTION("""COMPUTED_VALUE"""),2)</f>
        <v>2</v>
      </c>
      <c r="D79" s="120" t="str">
        <f ca="1">IFERROR(__xludf.DUMMYFUNCTION("""COMPUTED_VALUE"""),"Father-child")</f>
        <v>Father-child</v>
      </c>
      <c r="E79" s="120" t="str">
        <f ca="1">IFERROR(__xludf.DUMMYFUNCTION("""COMPUTED_VALUE"""),"Infancy - Infancy")</f>
        <v>Infancy - Infancy</v>
      </c>
      <c r="F79" s="121">
        <f ca="1">IFERROR(__xludf.DUMMYFUNCTION("""COMPUTED_VALUE"""),208)</f>
        <v>208</v>
      </c>
      <c r="G79" s="122">
        <f ca="1">IFERROR(__xludf.DUMMYFUNCTION("""COMPUTED_VALUE"""),0.199372732116283)</f>
        <v>0.19937273211628301</v>
      </c>
      <c r="H79" s="120">
        <f ca="1">IFERROR(__xludf.DUMMYFUNCTION("""COMPUTED_VALUE"""),0.620192307692307)</f>
        <v>0.62019230769230704</v>
      </c>
      <c r="I79">
        <f ca="1">IFERROR(__xludf.DUMMYFUNCTION("""COMPUTED_VALUE"""),2004)</f>
        <v>2004</v>
      </c>
      <c r="J79" t="str">
        <f ca="1">IFERROR(__xludf.DUMMYFUNCTION("""COMPUTED_VALUE"""),"USA")</f>
        <v>USA</v>
      </c>
      <c r="K79" t="str">
        <f ca="1">IFERROR(__xludf.DUMMYFUNCTION("""COMPUTED_VALUE"""),"Ainsworth/Ainsworth")</f>
        <v>Ainsworth/Ainsworth</v>
      </c>
      <c r="L79">
        <f ca="1">IFERROR(__xludf.DUMMYFUNCTION("""COMPUTED_VALUE"""),1)</f>
        <v>1</v>
      </c>
      <c r="M79">
        <f ca="1">IFERROR(__xludf.DUMMYFUNCTION("""COMPUTED_VALUE"""),1)</f>
        <v>1</v>
      </c>
      <c r="N79">
        <f ca="1">IFERROR(__xludf.DUMMYFUNCTION("""COMPUTED_VALUE"""),0)</f>
        <v>0</v>
      </c>
      <c r="O79">
        <f ca="1">IFERROR(__xludf.DUMMYFUNCTION("""COMPUTED_VALUE"""),1)</f>
        <v>1</v>
      </c>
      <c r="P79">
        <f ca="1">IFERROR(__xludf.DUMMYFUNCTION("""COMPUTED_VALUE"""),0.89)</f>
        <v>0.89</v>
      </c>
      <c r="Q79">
        <f ca="1">IFERROR(__xludf.DUMMYFUNCTION("""COMPUTED_VALUE"""),0)</f>
        <v>0</v>
      </c>
      <c r="R79" t="str">
        <f ca="1">IFERROR(__xludf.DUMMYFUNCTION("""COMPUTED_VALUE"""),"Male")</f>
        <v>Male</v>
      </c>
      <c r="S79" s="119">
        <f ca="1">IFERROR(__xludf.DUMMYFUNCTION("""COMPUTED_VALUE"""),0.198126097989459)</f>
        <v>0.19812609798945899</v>
      </c>
    </row>
    <row r="80" spans="1:19" ht="12.3">
      <c r="A80" s="120">
        <f ca="1">IFERROR(__xludf.DUMMYFUNCTION("""COMPUTED_VALUE"""),57)</f>
        <v>57</v>
      </c>
      <c r="B80" s="120" t="str">
        <f ca="1">IFERROR(__xludf.DUMMYFUNCTION("""COMPUTED_VALUE"""),"Ahnert et al. (2004)")</f>
        <v>Ahnert et al. (2004)</v>
      </c>
      <c r="C80" s="120">
        <f ca="1">IFERROR(__xludf.DUMMYFUNCTION("""COMPUTED_VALUE"""),1)</f>
        <v>1</v>
      </c>
      <c r="D80" s="120" t="str">
        <f ca="1">IFERROR(__xludf.DUMMYFUNCTION("""COMPUTED_VALUE"""),"Mother-child")</f>
        <v>Mother-child</v>
      </c>
      <c r="E80" s="120" t="str">
        <f ca="1">IFERROR(__xludf.DUMMYFUNCTION("""COMPUTED_VALUE"""),"Infancy - Infancy")</f>
        <v>Infancy - Infancy</v>
      </c>
      <c r="F80" s="121">
        <f ca="1">IFERROR(__xludf.DUMMYFUNCTION("""COMPUTED_VALUE"""),56)</f>
        <v>56</v>
      </c>
      <c r="G80" s="122">
        <f ca="1">IFERROR(__xludf.DUMMYFUNCTION("""COMPUTED_VALUE"""),0.178685422472965)</f>
        <v>0.17868542247296501</v>
      </c>
      <c r="H80" s="120">
        <f ca="1">IFERROR(__xludf.DUMMYFUNCTION("""COMPUTED_VALUE"""),0.589285714285714)</f>
        <v>0.58928571428571397</v>
      </c>
      <c r="I80">
        <f ca="1">IFERROR(__xludf.DUMMYFUNCTION("""COMPUTED_VALUE"""),2004)</f>
        <v>2004</v>
      </c>
      <c r="J80" t="str">
        <f ca="1">IFERROR(__xludf.DUMMYFUNCTION("""COMPUTED_VALUE"""),"Non-USA")</f>
        <v>Non-USA</v>
      </c>
      <c r="K80" t="str">
        <f ca="1">IFERROR(__xludf.DUMMYFUNCTION("""COMPUTED_VALUE"""),"Ainsworth/Ainsworth")</f>
        <v>Ainsworth/Ainsworth</v>
      </c>
      <c r="L80">
        <f ca="1">IFERROR(__xludf.DUMMYFUNCTION("""COMPUTED_VALUE"""),1)</f>
        <v>1</v>
      </c>
      <c r="M80">
        <f ca="1">IFERROR(__xludf.DUMMYFUNCTION("""COMPUTED_VALUE"""),0)</f>
        <v>0</v>
      </c>
      <c r="N80">
        <f ca="1">IFERROR(__xludf.DUMMYFUNCTION("""COMPUTED_VALUE"""),0)</f>
        <v>0</v>
      </c>
      <c r="O80">
        <f ca="1">IFERROR(__xludf.DUMMYFUNCTION("""COMPUTED_VALUE"""),1)</f>
        <v>1</v>
      </c>
      <c r="P80">
        <f ca="1">IFERROR(__xludf.DUMMYFUNCTION("""COMPUTED_VALUE"""),0.89)</f>
        <v>0.89</v>
      </c>
      <c r="Q80">
        <f ca="1">IFERROR(__xludf.DUMMYFUNCTION("""COMPUTED_VALUE"""),0)</f>
        <v>0</v>
      </c>
      <c r="R80" t="str">
        <f ca="1">IFERROR(__xludf.DUMMYFUNCTION("""COMPUTED_VALUE"""),"Female")</f>
        <v>Female</v>
      </c>
      <c r="S80" s="119">
        <f ca="1">IFERROR(__xludf.DUMMYFUNCTION("""COMPUTED_VALUE"""),0.178571428571428)</f>
        <v>0.17857142857142799</v>
      </c>
    </row>
    <row r="81" spans="1:19" ht="12.3">
      <c r="A81" s="120">
        <f ca="1">IFERROR(__xludf.DUMMYFUNCTION("""COMPUTED_VALUE"""),58)</f>
        <v>58</v>
      </c>
      <c r="B81" s="120" t="str">
        <f ca="1">IFERROR(__xludf.DUMMYFUNCTION("""COMPUTED_VALUE"""),"Connell (1977)")</f>
        <v>Connell (1977)</v>
      </c>
      <c r="C81" s="120">
        <f ca="1">IFERROR(__xludf.DUMMYFUNCTION("""COMPUTED_VALUE"""),1)</f>
        <v>1</v>
      </c>
      <c r="D81" s="120" t="str">
        <f ca="1">IFERROR(__xludf.DUMMYFUNCTION("""COMPUTED_VALUE"""),"Mother-child")</f>
        <v>Mother-child</v>
      </c>
      <c r="E81" s="120" t="str">
        <f ca="1">IFERROR(__xludf.DUMMYFUNCTION("""COMPUTED_VALUE"""),"Infancy - Infancy")</f>
        <v>Infancy - Infancy</v>
      </c>
      <c r="F81" s="121">
        <f ca="1">IFERROR(__xludf.DUMMYFUNCTION("""COMPUTED_VALUE"""),47)</f>
        <v>47</v>
      </c>
      <c r="G81" s="122">
        <f ca="1">IFERROR(__xludf.DUMMYFUNCTION("""COMPUTED_VALUE"""),0.580573120838453)</f>
        <v>0.58057312083845303</v>
      </c>
      <c r="H81" s="120">
        <f ca="1">IFERROR(__xludf.DUMMYFUNCTION("""COMPUTED_VALUE"""),0.808510638297872)</f>
        <v>0.80851063829787195</v>
      </c>
      <c r="I81">
        <f ca="1">IFERROR(__xludf.DUMMYFUNCTION("""COMPUTED_VALUE"""),1976)</f>
        <v>1976</v>
      </c>
      <c r="J81" t="str">
        <f ca="1">IFERROR(__xludf.DUMMYFUNCTION("""COMPUTED_VALUE"""),"USA")</f>
        <v>USA</v>
      </c>
      <c r="K81" t="str">
        <f ca="1">IFERROR(__xludf.DUMMYFUNCTION("""COMPUTED_VALUE"""),"Ainsworth/Ainsworth")</f>
        <v>Ainsworth/Ainsworth</v>
      </c>
      <c r="L81">
        <f ca="1">IFERROR(__xludf.DUMMYFUNCTION("""COMPUTED_VALUE"""),1)</f>
        <v>1</v>
      </c>
      <c r="M81">
        <f ca="1">IFERROR(__xludf.DUMMYFUNCTION("""COMPUTED_VALUE"""),0)</f>
        <v>0</v>
      </c>
      <c r="N81">
        <f ca="1">IFERROR(__xludf.DUMMYFUNCTION("""COMPUTED_VALUE"""),0)</f>
        <v>0</v>
      </c>
      <c r="O81">
        <f ca="1">IFERROR(__xludf.DUMMYFUNCTION("""COMPUTED_VALUE"""),0)</f>
        <v>0</v>
      </c>
      <c r="P81">
        <f ca="1">IFERROR(__xludf.DUMMYFUNCTION("""COMPUTED_VALUE"""),0.939735174287007)</f>
        <v>0.93973517428700704</v>
      </c>
      <c r="Q81">
        <f ca="1">IFERROR(__xludf.DUMMYFUNCTION("""COMPUTED_VALUE"""),0)</f>
        <v>0</v>
      </c>
      <c r="R81" t="str">
        <f ca="1">IFERROR(__xludf.DUMMYFUNCTION("""COMPUTED_VALUE"""),"Female")</f>
        <v>Female</v>
      </c>
      <c r="S81" s="119">
        <f ca="1">IFERROR(__xludf.DUMMYFUNCTION("""COMPUTED_VALUE"""),0.579940417080436)</f>
        <v>0.57994041708043598</v>
      </c>
    </row>
    <row r="82" spans="1:19" ht="12.3">
      <c r="A82" s="120">
        <f ca="1">IFERROR(__xludf.DUMMYFUNCTION("""COMPUTED_VALUE"""),60)</f>
        <v>60</v>
      </c>
      <c r="B82" s="120" t="str">
        <f ca="1">IFERROR(__xludf.DUMMYFUNCTION("""COMPUTED_VALUE"""),"Ainsworthet al. (1978)")</f>
        <v>Ainsworthet al. (1978)</v>
      </c>
      <c r="C82" s="120">
        <f ca="1">IFERROR(__xludf.DUMMYFUNCTION("""COMPUTED_VALUE"""),1)</f>
        <v>1</v>
      </c>
      <c r="D82" s="120" t="str">
        <f ca="1">IFERROR(__xludf.DUMMYFUNCTION("""COMPUTED_VALUE"""),"Mother-child")</f>
        <v>Mother-child</v>
      </c>
      <c r="E82" s="120" t="str">
        <f ca="1">IFERROR(__xludf.DUMMYFUNCTION("""COMPUTED_VALUE"""),"Infancy - Infancy")</f>
        <v>Infancy - Infancy</v>
      </c>
      <c r="F82" s="121">
        <f ca="1">IFERROR(__xludf.DUMMYFUNCTION("""COMPUTED_VALUE"""),23)</f>
        <v>23</v>
      </c>
      <c r="G82" s="122">
        <f ca="1">IFERROR(__xludf.DUMMYFUNCTION("""COMPUTED_VALUE"""),-0.0460043706228236)</f>
        <v>-4.6004370622823601E-2</v>
      </c>
      <c r="H82" s="120">
        <f ca="1">IFERROR(__xludf.DUMMYFUNCTION("""COMPUTED_VALUE"""),0.565217391304347)</f>
        <v>0.56521739130434701</v>
      </c>
      <c r="I82">
        <f ca="1">IFERROR(__xludf.DUMMYFUNCTION("""COMPUTED_VALUE"""),1978)</f>
        <v>1978</v>
      </c>
      <c r="J82" t="str">
        <f ca="1">IFERROR(__xludf.DUMMYFUNCTION("""COMPUTED_VALUE"""),"USA")</f>
        <v>USA</v>
      </c>
      <c r="K82" t="str">
        <f ca="1">IFERROR(__xludf.DUMMYFUNCTION("""COMPUTED_VALUE"""),"Ainsworth/Ainsworth")</f>
        <v>Ainsworth/Ainsworth</v>
      </c>
      <c r="L82">
        <f ca="1">IFERROR(__xludf.DUMMYFUNCTION("""COMPUTED_VALUE"""),1)</f>
        <v>1</v>
      </c>
      <c r="M82">
        <f ca="1">IFERROR(__xludf.DUMMYFUNCTION("""COMPUTED_VALUE"""),0)</f>
        <v>0</v>
      </c>
      <c r="N82">
        <f ca="1">IFERROR(__xludf.DUMMYFUNCTION("""COMPUTED_VALUE"""),0)</f>
        <v>0</v>
      </c>
      <c r="O82">
        <f ca="1">IFERROR(__xludf.DUMMYFUNCTION("""COMPUTED_VALUE"""),1)</f>
        <v>1</v>
      </c>
      <c r="P82" t="str">
        <f ca="1">IFERROR(__xludf.DUMMYFUNCTION("""COMPUTED_VALUE"""),"")</f>
        <v/>
      </c>
      <c r="Q82">
        <f ca="1">IFERROR(__xludf.DUMMYFUNCTION("""COMPUTED_VALUE"""),0)</f>
        <v>0</v>
      </c>
      <c r="R82" t="str">
        <f ca="1">IFERROR(__xludf.DUMMYFUNCTION("""COMPUTED_VALUE"""),"Female")</f>
        <v>Female</v>
      </c>
      <c r="S82" s="119">
        <f ca="1">IFERROR(__xludf.DUMMYFUNCTION("""COMPUTED_VALUE"""),-0.0360360360360361)</f>
        <v>-3.6036036036036098E-2</v>
      </c>
    </row>
    <row r="83" spans="1:19" ht="12.3">
      <c r="A83" s="120">
        <f ca="1">IFERROR(__xludf.DUMMYFUNCTION("""COMPUTED_VALUE"""),61)</f>
        <v>61</v>
      </c>
      <c r="B83" s="120" t="str">
        <f ca="1">IFERROR(__xludf.DUMMYFUNCTION("""COMPUTED_VALUE"""),"Cassidy (1988)")</f>
        <v>Cassidy (1988)</v>
      </c>
      <c r="C83" s="120">
        <f ca="1">IFERROR(__xludf.DUMMYFUNCTION("""COMPUTED_VALUE"""),1)</f>
        <v>1</v>
      </c>
      <c r="D83" s="120" t="str">
        <f ca="1">IFERROR(__xludf.DUMMYFUNCTION("""COMPUTED_VALUE"""),"Mother-child")</f>
        <v>Mother-child</v>
      </c>
      <c r="E83" s="120" t="str">
        <f ca="1">IFERROR(__xludf.DUMMYFUNCTION("""COMPUTED_VALUE"""),"Preschool - Preschool")</f>
        <v>Preschool - Preschool</v>
      </c>
      <c r="F83" s="121">
        <f ca="1">IFERROR(__xludf.DUMMYFUNCTION("""COMPUTED_VALUE"""),50)</f>
        <v>50</v>
      </c>
      <c r="G83" s="122">
        <f ca="1">IFERROR(__xludf.DUMMYFUNCTION("""COMPUTED_VALUE"""),0.726106525690946)</f>
        <v>0.72610652569094603</v>
      </c>
      <c r="H83" s="120">
        <f ca="1">IFERROR(__xludf.DUMMYFUNCTION("""COMPUTED_VALUE"""),0.86)</f>
        <v>0.86</v>
      </c>
      <c r="I83">
        <f ca="1">IFERROR(__xludf.DUMMYFUNCTION("""COMPUTED_VALUE"""),1988)</f>
        <v>1988</v>
      </c>
      <c r="J83" t="str">
        <f ca="1">IFERROR(__xludf.DUMMYFUNCTION("""COMPUTED_VALUE"""),"USA")</f>
        <v>USA</v>
      </c>
      <c r="K83" t="str">
        <f ca="1">IFERROR(__xludf.DUMMYFUNCTION("""COMPUTED_VALUE"""),"Main-Cassidy/Main-Cassidy")</f>
        <v>Main-Cassidy/Main-Cassidy</v>
      </c>
      <c r="L83">
        <f ca="1">IFERROR(__xludf.DUMMYFUNCTION("""COMPUTED_VALUE"""),1)</f>
        <v>1</v>
      </c>
      <c r="M83">
        <f ca="1">IFERROR(__xludf.DUMMYFUNCTION("""COMPUTED_VALUE"""),0)</f>
        <v>0</v>
      </c>
      <c r="N83">
        <f ca="1">IFERROR(__xludf.DUMMYFUNCTION("""COMPUTED_VALUE"""),0)</f>
        <v>0</v>
      </c>
      <c r="O83">
        <f ca="1">IFERROR(__xludf.DUMMYFUNCTION("""COMPUTED_VALUE"""),1)</f>
        <v>1</v>
      </c>
      <c r="P83">
        <f ca="1">IFERROR(__xludf.DUMMYFUNCTION("""COMPUTED_VALUE"""),0.84)</f>
        <v>0.84</v>
      </c>
      <c r="Q83">
        <f ca="1">IFERROR(__xludf.DUMMYFUNCTION("""COMPUTED_VALUE"""),0)</f>
        <v>0</v>
      </c>
      <c r="R83" t="str">
        <f ca="1">IFERROR(__xludf.DUMMYFUNCTION("""COMPUTED_VALUE"""),"Female")</f>
        <v>Female</v>
      </c>
      <c r="S83" s="119">
        <f ca="1">IFERROR(__xludf.DUMMYFUNCTION("""COMPUTED_VALUE"""),0.720893141945773)</f>
        <v>0.72089314194577303</v>
      </c>
    </row>
    <row r="84" spans="1:19" ht="12.3">
      <c r="A84" s="120">
        <f ca="1">IFERROR(__xludf.DUMMYFUNCTION("""COMPUTED_VALUE"""),62)</f>
        <v>62</v>
      </c>
      <c r="B84" s="120" t="str">
        <f ca="1">IFERROR(__xludf.DUMMYFUNCTION("""COMPUTED_VALUE"""),"Goossens et al. (1986)")</f>
        <v>Goossens et al. (1986)</v>
      </c>
      <c r="C84" s="120">
        <f ca="1">IFERROR(__xludf.DUMMYFUNCTION("""COMPUTED_VALUE"""),1)</f>
        <v>1</v>
      </c>
      <c r="D84" s="120" t="str">
        <f ca="1">IFERROR(__xludf.DUMMYFUNCTION("""COMPUTED_VALUE"""),"Mother-child")</f>
        <v>Mother-child</v>
      </c>
      <c r="E84" s="120" t="str">
        <f ca="1">IFERROR(__xludf.DUMMYFUNCTION("""COMPUTED_VALUE"""),"Infancy - Infancy")</f>
        <v>Infancy - Infancy</v>
      </c>
      <c r="F84" s="121">
        <f ca="1">IFERROR(__xludf.DUMMYFUNCTION("""COMPUTED_VALUE"""),9)</f>
        <v>9</v>
      </c>
      <c r="G84" s="122">
        <f ca="1">IFERROR(__xludf.DUMMYFUNCTION("""COMPUTED_VALUE"""),1)</f>
        <v>1</v>
      </c>
      <c r="H84" s="120">
        <f ca="1">IFERROR(__xludf.DUMMYFUNCTION("""COMPUTED_VALUE"""),1)</f>
        <v>1</v>
      </c>
      <c r="I84">
        <f ca="1">IFERROR(__xludf.DUMMYFUNCTION("""COMPUTED_VALUE"""),1986)</f>
        <v>1986</v>
      </c>
      <c r="J84" t="str">
        <f ca="1">IFERROR(__xludf.DUMMYFUNCTION("""COMPUTED_VALUE"""),"Non-USA")</f>
        <v>Non-USA</v>
      </c>
      <c r="K84" t="str">
        <f ca="1">IFERROR(__xludf.DUMMYFUNCTION("""COMPUTED_VALUE"""),"Ainsworth/Ainsworth")</f>
        <v>Ainsworth/Ainsworth</v>
      </c>
      <c r="L84">
        <f ca="1">IFERROR(__xludf.DUMMYFUNCTION("""COMPUTED_VALUE"""),1)</f>
        <v>1</v>
      </c>
      <c r="M84">
        <f ca="1">IFERROR(__xludf.DUMMYFUNCTION("""COMPUTED_VALUE"""),0)</f>
        <v>0</v>
      </c>
      <c r="N84">
        <f ca="1">IFERROR(__xludf.DUMMYFUNCTION("""COMPUTED_VALUE"""),0)</f>
        <v>0</v>
      </c>
      <c r="O84">
        <f ca="1">IFERROR(__xludf.DUMMYFUNCTION("""COMPUTED_VALUE"""),1)</f>
        <v>1</v>
      </c>
      <c r="P84">
        <f ca="1">IFERROR(__xludf.DUMMYFUNCTION("""COMPUTED_VALUE"""),0.94)</f>
        <v>0.94</v>
      </c>
      <c r="Q84">
        <f ca="1">IFERROR(__xludf.DUMMYFUNCTION("""COMPUTED_VALUE"""),0)</f>
        <v>0</v>
      </c>
      <c r="R84" t="str">
        <f ca="1">IFERROR(__xludf.DUMMYFUNCTION("""COMPUTED_VALUE"""),"Female")</f>
        <v>Female</v>
      </c>
      <c r="S84" s="119">
        <f ca="1">IFERROR(__xludf.DUMMYFUNCTION("""COMPUTED_VALUE"""),1)</f>
        <v>1</v>
      </c>
    </row>
    <row r="85" spans="1:19" ht="12.3">
      <c r="A85" s="120">
        <f ca="1">IFERROR(__xludf.DUMMYFUNCTION("""COMPUTED_VALUE"""),63)</f>
        <v>63</v>
      </c>
      <c r="B85" s="120" t="str">
        <f ca="1">IFERROR(__xludf.DUMMYFUNCTION("""COMPUTED_VALUE"""),"Vondra, Hommerding, &amp; Shaw (1999)")</f>
        <v>Vondra, Hommerding, &amp; Shaw (1999)</v>
      </c>
      <c r="C85" s="120">
        <f ca="1">IFERROR(__xludf.DUMMYFUNCTION("""COMPUTED_VALUE"""),1)</f>
        <v>1</v>
      </c>
      <c r="D85" s="120" t="str">
        <f ca="1">IFERROR(__xludf.DUMMYFUNCTION("""COMPUTED_VALUE"""),"Mother-child")</f>
        <v>Mother-child</v>
      </c>
      <c r="E85" s="120" t="str">
        <f ca="1">IFERROR(__xludf.DUMMYFUNCTION("""COMPUTED_VALUE"""),"Infancy - Infancy")</f>
        <v>Infancy - Infancy</v>
      </c>
      <c r="F85" s="121">
        <f ca="1">IFERROR(__xludf.DUMMYFUNCTION("""COMPUTED_VALUE"""),90)</f>
        <v>90</v>
      </c>
      <c r="G85" s="122">
        <f ca="1">IFERROR(__xludf.DUMMYFUNCTION("""COMPUTED_VALUE"""),0.314944889466093)</f>
        <v>0.314944889466093</v>
      </c>
      <c r="H85" s="120">
        <f ca="1">IFERROR(__xludf.DUMMYFUNCTION("""COMPUTED_VALUE"""),0.655555555555555)</f>
        <v>0.655555555555555</v>
      </c>
      <c r="I85">
        <f ca="1">IFERROR(__xludf.DUMMYFUNCTION("""COMPUTED_VALUE"""),1999)</f>
        <v>1999</v>
      </c>
      <c r="J85" t="str">
        <f ca="1">IFERROR(__xludf.DUMMYFUNCTION("""COMPUTED_VALUE"""),"USA")</f>
        <v>USA</v>
      </c>
      <c r="K85" t="str">
        <f ca="1">IFERROR(__xludf.DUMMYFUNCTION("""COMPUTED_VALUE"""),"Ainsworth/Ainsworth")</f>
        <v>Ainsworth/Ainsworth</v>
      </c>
      <c r="L85">
        <f ca="1">IFERROR(__xludf.DUMMYFUNCTION("""COMPUTED_VALUE"""),0)</f>
        <v>0</v>
      </c>
      <c r="M85">
        <f ca="1">IFERROR(__xludf.DUMMYFUNCTION("""COMPUTED_VALUE"""),1)</f>
        <v>1</v>
      </c>
      <c r="N85">
        <f ca="1">IFERROR(__xludf.DUMMYFUNCTION("""COMPUTED_VALUE"""),0)</f>
        <v>0</v>
      </c>
      <c r="O85">
        <f ca="1">IFERROR(__xludf.DUMMYFUNCTION("""COMPUTED_VALUE"""),1)</f>
        <v>1</v>
      </c>
      <c r="P85">
        <f ca="1">IFERROR(__xludf.DUMMYFUNCTION("""COMPUTED_VALUE"""),0.8)</f>
        <v>0.8</v>
      </c>
      <c r="Q85">
        <f ca="1">IFERROR(__xludf.DUMMYFUNCTION("""COMPUTED_VALUE"""),0)</f>
        <v>0</v>
      </c>
      <c r="R85" t="str">
        <f ca="1">IFERROR(__xludf.DUMMYFUNCTION("""COMPUTED_VALUE"""),"Female")</f>
        <v>Female</v>
      </c>
      <c r="S85" s="119">
        <f ca="1">IFERROR(__xludf.DUMMYFUNCTION("""COMPUTED_VALUE"""),0.311111111111111)</f>
        <v>0.31111111111111101</v>
      </c>
    </row>
    <row r="86" spans="1:19" ht="12.3">
      <c r="A86" s="120">
        <f ca="1">IFERROR(__xludf.DUMMYFUNCTION("""COMPUTED_VALUE"""),64)</f>
        <v>64</v>
      </c>
      <c r="B86" s="120" t="str">
        <f ca="1">IFERROR(__xludf.DUMMYFUNCTION("""COMPUTED_VALUE"""),"Vaughn et al. (1979)")</f>
        <v>Vaughn et al. (1979)</v>
      </c>
      <c r="C86" s="120">
        <f ca="1">IFERROR(__xludf.DUMMYFUNCTION("""COMPUTED_VALUE"""),1)</f>
        <v>1</v>
      </c>
      <c r="D86" s="120" t="str">
        <f ca="1">IFERROR(__xludf.DUMMYFUNCTION("""COMPUTED_VALUE"""),"Mother-child")</f>
        <v>Mother-child</v>
      </c>
      <c r="E86" s="120" t="str">
        <f ca="1">IFERROR(__xludf.DUMMYFUNCTION("""COMPUTED_VALUE"""),"Infancy - Infancy")</f>
        <v>Infancy - Infancy</v>
      </c>
      <c r="F86" s="121">
        <f ca="1">IFERROR(__xludf.DUMMYFUNCTION("""COMPUTED_VALUE"""),100)</f>
        <v>100</v>
      </c>
      <c r="G86" s="122">
        <f ca="1">IFERROR(__xludf.DUMMYFUNCTION("""COMPUTED_VALUE"""),0.369164749425566)</f>
        <v>0.36916474942556599</v>
      </c>
      <c r="H86" s="120">
        <f ca="1">IFERROR(__xludf.DUMMYFUNCTION("""COMPUTED_VALUE"""),0.69)</f>
        <v>0.69</v>
      </c>
      <c r="I86">
        <f ca="1">IFERROR(__xludf.DUMMYFUNCTION("""COMPUTED_VALUE"""),1979)</f>
        <v>1979</v>
      </c>
      <c r="J86" t="str">
        <f ca="1">IFERROR(__xludf.DUMMYFUNCTION("""COMPUTED_VALUE"""),"USA")</f>
        <v>USA</v>
      </c>
      <c r="K86" t="str">
        <f ca="1">IFERROR(__xludf.DUMMYFUNCTION("""COMPUTED_VALUE"""),"Ainsworth/Ainsworth")</f>
        <v>Ainsworth/Ainsworth</v>
      </c>
      <c r="L86">
        <f ca="1">IFERROR(__xludf.DUMMYFUNCTION("""COMPUTED_VALUE"""),1)</f>
        <v>1</v>
      </c>
      <c r="M86">
        <f ca="1">IFERROR(__xludf.DUMMYFUNCTION("""COMPUTED_VALUE"""),1)</f>
        <v>1</v>
      </c>
      <c r="N86">
        <f ca="1">IFERROR(__xludf.DUMMYFUNCTION("""COMPUTED_VALUE"""),0)</f>
        <v>0</v>
      </c>
      <c r="O86">
        <f ca="1">IFERROR(__xludf.DUMMYFUNCTION("""COMPUTED_VALUE"""),1)</f>
        <v>1</v>
      </c>
      <c r="P86">
        <f ca="1">IFERROR(__xludf.DUMMYFUNCTION("""COMPUTED_VALUE"""),0.905)</f>
        <v>0.90500000000000003</v>
      </c>
      <c r="Q86">
        <f ca="1">IFERROR(__xludf.DUMMYFUNCTION("""COMPUTED_VALUE"""),0)</f>
        <v>0</v>
      </c>
      <c r="R86" t="str">
        <f ca="1">IFERROR(__xludf.DUMMYFUNCTION("""COMPUTED_VALUE"""),"Female")</f>
        <v>Female</v>
      </c>
      <c r="S86" s="119">
        <f ca="1">IFERROR(__xludf.DUMMYFUNCTION("""COMPUTED_VALUE"""),0.359504132231404)</f>
        <v>0.35950413223140398</v>
      </c>
    </row>
    <row r="87" spans="1:19" ht="12.3">
      <c r="A87" s="120">
        <f ca="1">IFERROR(__xludf.DUMMYFUNCTION("""COMPUTED_VALUE"""),65)</f>
        <v>65</v>
      </c>
      <c r="B87" s="120" t="str">
        <f ca="1">IFERROR(__xludf.DUMMYFUNCTION("""COMPUTED_VALUE"""),"Schneider-Rosen et al. (1985) ")</f>
        <v xml:space="preserve">Schneider-Rosen et al. (1985) </v>
      </c>
      <c r="C87" s="120">
        <f ca="1">IFERROR(__xludf.DUMMYFUNCTION("""COMPUTED_VALUE"""),1)</f>
        <v>1</v>
      </c>
      <c r="D87" s="120" t="str">
        <f ca="1">IFERROR(__xludf.DUMMYFUNCTION("""COMPUTED_VALUE"""),"Comparison (12-18 mo.)")</f>
        <v>Comparison (12-18 mo.)</v>
      </c>
      <c r="E87" s="120" t="str">
        <f ca="1">IFERROR(__xludf.DUMMYFUNCTION("""COMPUTED_VALUE"""),"Infancy - Infancy")</f>
        <v>Infancy - Infancy</v>
      </c>
      <c r="F87" s="121">
        <f ca="1">IFERROR(__xludf.DUMMYFUNCTION("""COMPUTED_VALUE"""),17)</f>
        <v>17</v>
      </c>
      <c r="G87" s="122">
        <f ca="1">IFERROR(__xludf.DUMMYFUNCTION("""COMPUTED_VALUE"""),0.484848484848484)</f>
        <v>0.48484848484848397</v>
      </c>
      <c r="H87" s="120">
        <f ca="1">IFERROR(__xludf.DUMMYFUNCTION("""COMPUTED_VALUE"""),0.764705882352941)</f>
        <v>0.76470588235294101</v>
      </c>
      <c r="I87">
        <f ca="1">IFERROR(__xludf.DUMMYFUNCTION("""COMPUTED_VALUE"""),1985)</f>
        <v>1985</v>
      </c>
      <c r="J87" t="str">
        <f ca="1">IFERROR(__xludf.DUMMYFUNCTION("""COMPUTED_VALUE"""),"USA")</f>
        <v>USA</v>
      </c>
      <c r="K87" t="str">
        <f ca="1">IFERROR(__xludf.DUMMYFUNCTION("""COMPUTED_VALUE"""),"Ainsworth/Ainsworth")</f>
        <v>Ainsworth/Ainsworth</v>
      </c>
      <c r="L87">
        <f ca="1">IFERROR(__xludf.DUMMYFUNCTION("""COMPUTED_VALUE"""),1)</f>
        <v>1</v>
      </c>
      <c r="M87">
        <f ca="1">IFERROR(__xludf.DUMMYFUNCTION("""COMPUTED_VALUE"""),0)</f>
        <v>0</v>
      </c>
      <c r="N87">
        <f ca="1">IFERROR(__xludf.DUMMYFUNCTION("""COMPUTED_VALUE"""),0)</f>
        <v>0</v>
      </c>
      <c r="O87">
        <f ca="1">IFERROR(__xludf.DUMMYFUNCTION("""COMPUTED_VALUE"""),1)</f>
        <v>1</v>
      </c>
      <c r="P87">
        <f ca="1">IFERROR(__xludf.DUMMYFUNCTION("""COMPUTED_VALUE"""),0.895)</f>
        <v>0.89500000000000002</v>
      </c>
      <c r="Q87">
        <f ca="1">IFERROR(__xludf.DUMMYFUNCTION("""COMPUTED_VALUE"""),0)</f>
        <v>0</v>
      </c>
      <c r="R87" t="str">
        <f ca="1">IFERROR(__xludf.DUMMYFUNCTION("""COMPUTED_VALUE"""),"Mixed")</f>
        <v>Mixed</v>
      </c>
      <c r="S87" s="119">
        <f ca="1">IFERROR(__xludf.DUMMYFUNCTION("""COMPUTED_VALUE"""),0.484848484848484)</f>
        <v>0.48484848484848397</v>
      </c>
    </row>
    <row r="88" spans="1:19" ht="12.3">
      <c r="A88" s="120">
        <f ca="1">IFERROR(__xludf.DUMMYFUNCTION("""COMPUTED_VALUE"""),65)</f>
        <v>65</v>
      </c>
      <c r="B88" s="120" t="str">
        <f ca="1">IFERROR(__xludf.DUMMYFUNCTION("""COMPUTED_VALUE"""),"Schneider-Rosen et al. (1985) ")</f>
        <v xml:space="preserve">Schneider-Rosen et al. (1985) </v>
      </c>
      <c r="C88" s="120">
        <f ca="1">IFERROR(__xludf.DUMMYFUNCTION("""COMPUTED_VALUE"""),2)</f>
        <v>2</v>
      </c>
      <c r="D88" s="120" t="str">
        <f ca="1">IFERROR(__xludf.DUMMYFUNCTION("""COMPUTED_VALUE"""),"Comparison (18-24 mo.)")</f>
        <v>Comparison (18-24 mo.)</v>
      </c>
      <c r="E88" s="120" t="str">
        <f ca="1">IFERROR(__xludf.DUMMYFUNCTION("""COMPUTED_VALUE"""),"Infancy - Infancy")</f>
        <v>Infancy - Infancy</v>
      </c>
      <c r="F88" s="121">
        <f ca="1">IFERROR(__xludf.DUMMYFUNCTION("""COMPUTED_VALUE"""),23)</f>
        <v>23</v>
      </c>
      <c r="G88" s="122">
        <f ca="1">IFERROR(__xludf.DUMMYFUNCTION("""COMPUTED_VALUE"""),0.349697526139891)</f>
        <v>0.34969752613989102</v>
      </c>
      <c r="H88" s="120">
        <f ca="1">IFERROR(__xludf.DUMMYFUNCTION("""COMPUTED_VALUE"""),0.695652173913043)</f>
        <v>0.69565217391304301</v>
      </c>
      <c r="I88">
        <f ca="1">IFERROR(__xludf.DUMMYFUNCTION("""COMPUTED_VALUE"""),1985)</f>
        <v>1985</v>
      </c>
      <c r="J88" t="str">
        <f ca="1">IFERROR(__xludf.DUMMYFUNCTION("""COMPUTED_VALUE"""),"USA")</f>
        <v>USA</v>
      </c>
      <c r="K88" t="str">
        <f ca="1">IFERROR(__xludf.DUMMYFUNCTION("""COMPUTED_VALUE"""),"Ainsworth/Ainsworth")</f>
        <v>Ainsworth/Ainsworth</v>
      </c>
      <c r="L88">
        <f ca="1">IFERROR(__xludf.DUMMYFUNCTION("""COMPUTED_VALUE"""),1)</f>
        <v>1</v>
      </c>
      <c r="M88">
        <f ca="1">IFERROR(__xludf.DUMMYFUNCTION("""COMPUTED_VALUE"""),0)</f>
        <v>0</v>
      </c>
      <c r="N88">
        <f ca="1">IFERROR(__xludf.DUMMYFUNCTION("""COMPUTED_VALUE"""),0)</f>
        <v>0</v>
      </c>
      <c r="O88">
        <f ca="1">IFERROR(__xludf.DUMMYFUNCTION("""COMPUTED_VALUE"""),1)</f>
        <v>1</v>
      </c>
      <c r="P88">
        <f ca="1">IFERROR(__xludf.DUMMYFUNCTION("""COMPUTED_VALUE"""),0.91)</f>
        <v>0.91</v>
      </c>
      <c r="Q88">
        <f ca="1">IFERROR(__xludf.DUMMYFUNCTION("""COMPUTED_VALUE"""),0)</f>
        <v>0</v>
      </c>
      <c r="R88" t="str">
        <f ca="1">IFERROR(__xludf.DUMMYFUNCTION("""COMPUTED_VALUE"""),"Mixed")</f>
        <v>Mixed</v>
      </c>
      <c r="S88" s="119">
        <f ca="1">IFERROR(__xludf.DUMMYFUNCTION("""COMPUTED_VALUE"""),0.348178137651821)</f>
        <v>0.34817813765182098</v>
      </c>
    </row>
    <row r="89" spans="1:19" ht="12.3">
      <c r="A89" s="120">
        <f ca="1">IFERROR(__xludf.DUMMYFUNCTION("""COMPUTED_VALUE"""),66)</f>
        <v>66</v>
      </c>
      <c r="B89" s="120" t="str">
        <f ca="1">IFERROR(__xludf.DUMMYFUNCTION("""COMPUTED_VALUE"""),"Schneider-Rosen et al. (1985) ")</f>
        <v xml:space="preserve">Schneider-Rosen et al. (1985) </v>
      </c>
      <c r="C89" s="120">
        <f ca="1">IFERROR(__xludf.DUMMYFUNCTION("""COMPUTED_VALUE"""),1)</f>
        <v>1</v>
      </c>
      <c r="D89" s="120" t="str">
        <f ca="1">IFERROR(__xludf.DUMMYFUNCTION("""COMPUTED_VALUE"""),"Maltreated (12-18 mo.)")</f>
        <v>Maltreated (12-18 mo.)</v>
      </c>
      <c r="E89" s="120" t="str">
        <f ca="1">IFERROR(__xludf.DUMMYFUNCTION("""COMPUTED_VALUE"""),"Infancy - Infancy")</f>
        <v>Infancy - Infancy</v>
      </c>
      <c r="F89" s="121">
        <f ca="1">IFERROR(__xludf.DUMMYFUNCTION("""COMPUTED_VALUE"""),12)</f>
        <v>12</v>
      </c>
      <c r="G89" s="122">
        <f ca="1">IFERROR(__xludf.DUMMYFUNCTION("""COMPUTED_VALUE"""),0.0755928946018454)</f>
        <v>7.5592894601845401E-2</v>
      </c>
      <c r="H89" s="120">
        <f ca="1">IFERROR(__xludf.DUMMYFUNCTION("""COMPUTED_VALUE"""),0.583333333333333)</f>
        <v>0.58333333333333304</v>
      </c>
      <c r="I89">
        <f ca="1">IFERROR(__xludf.DUMMYFUNCTION("""COMPUTED_VALUE"""),1985)</f>
        <v>1985</v>
      </c>
      <c r="J89" t="str">
        <f ca="1">IFERROR(__xludf.DUMMYFUNCTION("""COMPUTED_VALUE"""),"USA")</f>
        <v>USA</v>
      </c>
      <c r="K89" t="str">
        <f ca="1">IFERROR(__xludf.DUMMYFUNCTION("""COMPUTED_VALUE"""),"Ainsworth/Ainsworth")</f>
        <v>Ainsworth/Ainsworth</v>
      </c>
      <c r="L89">
        <f ca="1">IFERROR(__xludf.DUMMYFUNCTION("""COMPUTED_VALUE"""),1)</f>
        <v>1</v>
      </c>
      <c r="M89">
        <f ca="1">IFERROR(__xludf.DUMMYFUNCTION("""COMPUTED_VALUE"""),1)</f>
        <v>1</v>
      </c>
      <c r="N89">
        <f ca="1">IFERROR(__xludf.DUMMYFUNCTION("""COMPUTED_VALUE"""),0)</f>
        <v>0</v>
      </c>
      <c r="O89">
        <f ca="1">IFERROR(__xludf.DUMMYFUNCTION("""COMPUTED_VALUE"""),1)</f>
        <v>1</v>
      </c>
      <c r="P89">
        <f ca="1">IFERROR(__xludf.DUMMYFUNCTION("""COMPUTED_VALUE"""),0.895)</f>
        <v>0.89500000000000002</v>
      </c>
      <c r="Q89">
        <f ca="1">IFERROR(__xludf.DUMMYFUNCTION("""COMPUTED_VALUE"""),0)</f>
        <v>0</v>
      </c>
      <c r="R89" t="str">
        <f ca="1">IFERROR(__xludf.DUMMYFUNCTION("""COMPUTED_VALUE"""),"Mixed")</f>
        <v>Mixed</v>
      </c>
      <c r="S89" s="119">
        <f ca="1">IFERROR(__xludf.DUMMYFUNCTION("""COMPUTED_VALUE"""),0.0625)</f>
        <v>6.25E-2</v>
      </c>
    </row>
    <row r="90" spans="1:19" ht="12.3">
      <c r="A90" s="120">
        <f ca="1">IFERROR(__xludf.DUMMYFUNCTION("""COMPUTED_VALUE"""),66)</f>
        <v>66</v>
      </c>
      <c r="B90" s="120" t="str">
        <f ca="1">IFERROR(__xludf.DUMMYFUNCTION("""COMPUTED_VALUE"""),"Schneider-Rosen et al. (1985) ")</f>
        <v xml:space="preserve">Schneider-Rosen et al. (1985) </v>
      </c>
      <c r="C90" s="120">
        <f ca="1">IFERROR(__xludf.DUMMYFUNCTION("""COMPUTED_VALUE"""),2)</f>
        <v>2</v>
      </c>
      <c r="D90" s="120" t="str">
        <f ca="1">IFERROR(__xludf.DUMMYFUNCTION("""COMPUTED_VALUE"""),"Maltreated (18-24 mo.)")</f>
        <v>Maltreated (18-24 mo.)</v>
      </c>
      <c r="E90" s="120" t="str">
        <f ca="1">IFERROR(__xludf.DUMMYFUNCTION("""COMPUTED_VALUE"""),"Infancy - Infancy")</f>
        <v>Infancy - Infancy</v>
      </c>
      <c r="F90" s="121">
        <f ca="1">IFERROR(__xludf.DUMMYFUNCTION("""COMPUTED_VALUE"""),19)</f>
        <v>19</v>
      </c>
      <c r="G90" s="122">
        <f ca="1">IFERROR(__xludf.DUMMYFUNCTION("""COMPUTED_VALUE"""),0.130437298687487)</f>
        <v>0.13043729868748699</v>
      </c>
      <c r="H90" s="120">
        <f ca="1">IFERROR(__xludf.DUMMYFUNCTION("""COMPUTED_VALUE"""),0.736842105263157)</f>
        <v>0.73684210526315697</v>
      </c>
      <c r="I90">
        <f ca="1">IFERROR(__xludf.DUMMYFUNCTION("""COMPUTED_VALUE"""),1985)</f>
        <v>1985</v>
      </c>
      <c r="J90" t="str">
        <f ca="1">IFERROR(__xludf.DUMMYFUNCTION("""COMPUTED_VALUE"""),"USA")</f>
        <v>USA</v>
      </c>
      <c r="K90" t="str">
        <f ca="1">IFERROR(__xludf.DUMMYFUNCTION("""COMPUTED_VALUE"""),"Ainsworth/Ainsworth")</f>
        <v>Ainsworth/Ainsworth</v>
      </c>
      <c r="L90">
        <f ca="1">IFERROR(__xludf.DUMMYFUNCTION("""COMPUTED_VALUE"""),1)</f>
        <v>1</v>
      </c>
      <c r="M90">
        <f ca="1">IFERROR(__xludf.DUMMYFUNCTION("""COMPUTED_VALUE"""),1)</f>
        <v>1</v>
      </c>
      <c r="N90">
        <f ca="1">IFERROR(__xludf.DUMMYFUNCTION("""COMPUTED_VALUE"""),0)</f>
        <v>0</v>
      </c>
      <c r="O90">
        <f ca="1">IFERROR(__xludf.DUMMYFUNCTION("""COMPUTED_VALUE"""),1)</f>
        <v>1</v>
      </c>
      <c r="P90">
        <f ca="1">IFERROR(__xludf.DUMMYFUNCTION("""COMPUTED_VALUE"""),0.91)</f>
        <v>0.91</v>
      </c>
      <c r="Q90">
        <f ca="1">IFERROR(__xludf.DUMMYFUNCTION("""COMPUTED_VALUE"""),0)</f>
        <v>0</v>
      </c>
      <c r="R90" t="str">
        <f ca="1">IFERROR(__xludf.DUMMYFUNCTION("""COMPUTED_VALUE"""),"Mixed")</f>
        <v>Mixed</v>
      </c>
      <c r="S90" s="119">
        <f ca="1">IFERROR(__xludf.DUMMYFUNCTION("""COMPUTED_VALUE"""),0.128440366972476)</f>
        <v>0.12844036697247599</v>
      </c>
    </row>
    <row r="91" spans="1:19" ht="12.3">
      <c r="A91" s="120">
        <f ca="1">IFERROR(__xludf.DUMMYFUNCTION("""COMPUTED_VALUE"""),67)</f>
        <v>67</v>
      </c>
      <c r="B91" s="120" t="str">
        <f ca="1">IFERROR(__xludf.DUMMYFUNCTION("""COMPUTED_VALUE"""),"Mangelsdorf et al. (1996)")</f>
        <v>Mangelsdorf et al. (1996)</v>
      </c>
      <c r="C91" s="120">
        <f ca="1">IFERROR(__xludf.DUMMYFUNCTION("""COMPUTED_VALUE"""),1)</f>
        <v>1</v>
      </c>
      <c r="D91" s="120" t="str">
        <f ca="1">IFERROR(__xludf.DUMMYFUNCTION("""COMPUTED_VALUE"""),"Full-term births")</f>
        <v>Full-term births</v>
      </c>
      <c r="E91" s="120" t="str">
        <f ca="1">IFERROR(__xludf.DUMMYFUNCTION("""COMPUTED_VALUE"""),"Infancy - Infancy")</f>
        <v>Infancy - Infancy</v>
      </c>
      <c r="F91" s="121">
        <f ca="1">IFERROR(__xludf.DUMMYFUNCTION("""COMPUTED_VALUE"""),39)</f>
        <v>39</v>
      </c>
      <c r="G91" s="122">
        <f ca="1">IFERROR(__xludf.DUMMYFUNCTION("""COMPUTED_VALUE"""),0.0740834074167778)</f>
        <v>7.4083407416777797E-2</v>
      </c>
      <c r="H91" s="120">
        <f ca="1">IFERROR(__xludf.DUMMYFUNCTION("""COMPUTED_VALUE"""),0.641025641025641)</f>
        <v>0.64102564102564097</v>
      </c>
      <c r="I91">
        <f ca="1">IFERROR(__xludf.DUMMYFUNCTION("""COMPUTED_VALUE"""),1996)</f>
        <v>1996</v>
      </c>
      <c r="J91" t="str">
        <f ca="1">IFERROR(__xludf.DUMMYFUNCTION("""COMPUTED_VALUE"""),"USA")</f>
        <v>USA</v>
      </c>
      <c r="K91" t="str">
        <f ca="1">IFERROR(__xludf.DUMMYFUNCTION("""COMPUTED_VALUE"""),"Ainsworth/Ainsworth")</f>
        <v>Ainsworth/Ainsworth</v>
      </c>
      <c r="L91">
        <f ca="1">IFERROR(__xludf.DUMMYFUNCTION("""COMPUTED_VALUE"""),1)</f>
        <v>1</v>
      </c>
      <c r="M91">
        <f ca="1">IFERROR(__xludf.DUMMYFUNCTION("""COMPUTED_VALUE"""),0)</f>
        <v>0</v>
      </c>
      <c r="N91">
        <f ca="1">IFERROR(__xludf.DUMMYFUNCTION("""COMPUTED_VALUE"""),0)</f>
        <v>0</v>
      </c>
      <c r="O91">
        <f ca="1">IFERROR(__xludf.DUMMYFUNCTION("""COMPUTED_VALUE"""),1)</f>
        <v>1</v>
      </c>
      <c r="P91">
        <f ca="1">IFERROR(__xludf.DUMMYFUNCTION("""COMPUTED_VALUE"""),0.9)</f>
        <v>0.9</v>
      </c>
      <c r="Q91">
        <f ca="1">IFERROR(__xludf.DUMMYFUNCTION("""COMPUTED_VALUE"""),0)</f>
        <v>0</v>
      </c>
      <c r="R91" t="str">
        <f ca="1">IFERROR(__xludf.DUMMYFUNCTION("""COMPUTED_VALUE"""),"Female")</f>
        <v>Female</v>
      </c>
      <c r="S91" s="119">
        <f ca="1">IFERROR(__xludf.DUMMYFUNCTION("""COMPUTED_VALUE"""),0.0714285714285715)</f>
        <v>7.1428571428571494E-2</v>
      </c>
    </row>
    <row r="92" spans="1:19" ht="12.3">
      <c r="A92" s="120">
        <f ca="1">IFERROR(__xludf.DUMMYFUNCTION("""COMPUTED_VALUE"""),68)</f>
        <v>68</v>
      </c>
      <c r="B92" s="120" t="str">
        <f ca="1">IFERROR(__xludf.DUMMYFUNCTION("""COMPUTED_VALUE"""),"Mangelsdorf et al. (1996)")</f>
        <v>Mangelsdorf et al. (1996)</v>
      </c>
      <c r="C92" s="120">
        <f ca="1">IFERROR(__xludf.DUMMYFUNCTION("""COMPUTED_VALUE"""),1)</f>
        <v>1</v>
      </c>
      <c r="D92" s="120" t="str">
        <f ca="1">IFERROR(__xludf.DUMMYFUNCTION("""COMPUTED_VALUE"""),"Low birth weight")</f>
        <v>Low birth weight</v>
      </c>
      <c r="E92" s="120" t="str">
        <f ca="1">IFERROR(__xludf.DUMMYFUNCTION("""COMPUTED_VALUE"""),"Infancy - Infancy")</f>
        <v>Infancy - Infancy</v>
      </c>
      <c r="F92" s="121">
        <f ca="1">IFERROR(__xludf.DUMMYFUNCTION("""COMPUTED_VALUE"""),31)</f>
        <v>31</v>
      </c>
      <c r="G92" s="122">
        <f ca="1">IFERROR(__xludf.DUMMYFUNCTION("""COMPUTED_VALUE"""),0.158171662613127)</f>
        <v>0.15817166261312701</v>
      </c>
      <c r="H92" s="120">
        <f ca="1">IFERROR(__xludf.DUMMYFUNCTION("""COMPUTED_VALUE"""),0.580645161290322)</f>
        <v>0.58064516129032195</v>
      </c>
      <c r="I92">
        <f ca="1">IFERROR(__xludf.DUMMYFUNCTION("""COMPUTED_VALUE"""),1996)</f>
        <v>1996</v>
      </c>
      <c r="J92" t="str">
        <f ca="1">IFERROR(__xludf.DUMMYFUNCTION("""COMPUTED_VALUE"""),"USA")</f>
        <v>USA</v>
      </c>
      <c r="K92" t="str">
        <f ca="1">IFERROR(__xludf.DUMMYFUNCTION("""COMPUTED_VALUE"""),"Ainsworth/Ainsworth")</f>
        <v>Ainsworth/Ainsworth</v>
      </c>
      <c r="L92">
        <f ca="1">IFERROR(__xludf.DUMMYFUNCTION("""COMPUTED_VALUE"""),1)</f>
        <v>1</v>
      </c>
      <c r="M92">
        <f ca="1">IFERROR(__xludf.DUMMYFUNCTION("""COMPUTED_VALUE"""),0)</f>
        <v>0</v>
      </c>
      <c r="N92">
        <f ca="1">IFERROR(__xludf.DUMMYFUNCTION("""COMPUTED_VALUE"""),1)</f>
        <v>1</v>
      </c>
      <c r="O92">
        <f ca="1">IFERROR(__xludf.DUMMYFUNCTION("""COMPUTED_VALUE"""),1)</f>
        <v>1</v>
      </c>
      <c r="P92">
        <f ca="1">IFERROR(__xludf.DUMMYFUNCTION("""COMPUTED_VALUE"""),0.9)</f>
        <v>0.9</v>
      </c>
      <c r="Q92">
        <f ca="1">IFERROR(__xludf.DUMMYFUNCTION("""COMPUTED_VALUE"""),0)</f>
        <v>0</v>
      </c>
      <c r="R92" t="str">
        <f ca="1">IFERROR(__xludf.DUMMYFUNCTION("""COMPUTED_VALUE"""),"Female")</f>
        <v>Female</v>
      </c>
      <c r="S92" s="119">
        <f ca="1">IFERROR(__xludf.DUMMYFUNCTION("""COMPUTED_VALUE"""),0.155136268343815)</f>
        <v>0.155136268343815</v>
      </c>
    </row>
    <row r="93" spans="1:19" ht="12.3">
      <c r="A93" s="120">
        <f ca="1">IFERROR(__xludf.DUMMYFUNCTION("""COMPUTED_VALUE"""),69)</f>
        <v>69</v>
      </c>
      <c r="B93" s="120" t="str">
        <f ca="1">IFERROR(__xludf.DUMMYFUNCTION("""COMPUTED_VALUE"""),"Sutton (1994)")</f>
        <v>Sutton (1994)</v>
      </c>
      <c r="C93" s="120">
        <f ca="1">IFERROR(__xludf.DUMMYFUNCTION("""COMPUTED_VALUE"""),1)</f>
        <v>1</v>
      </c>
      <c r="D93" s="120" t="str">
        <f ca="1">IFERROR(__xludf.DUMMYFUNCTION("""COMPUTED_VALUE"""),"14-24 months")</f>
        <v>14-24 months</v>
      </c>
      <c r="E93" s="120" t="str">
        <f ca="1">IFERROR(__xludf.DUMMYFUNCTION("""COMPUTED_VALUE"""),"Infancy - Toddlerhood")</f>
        <v>Infancy - Toddlerhood</v>
      </c>
      <c r="F93" s="121">
        <f ca="1">IFERROR(__xludf.DUMMYFUNCTION("""COMPUTED_VALUE"""),44)</f>
        <v>44</v>
      </c>
      <c r="G93" s="122">
        <f ca="1">IFERROR(__xludf.DUMMYFUNCTION("""COMPUTED_VALUE"""),0.27)</f>
        <v>0.27</v>
      </c>
      <c r="H93" s="120" t="str">
        <f ca="1">IFERROR(__xludf.DUMMYFUNCTION("""COMPUTED_VALUE"""),"")</f>
        <v/>
      </c>
      <c r="I93">
        <f ca="1">IFERROR(__xludf.DUMMYFUNCTION("""COMPUTED_VALUE"""),1994)</f>
        <v>1994</v>
      </c>
      <c r="J93" t="str">
        <f ca="1">IFERROR(__xludf.DUMMYFUNCTION("""COMPUTED_VALUE"""),"USA")</f>
        <v>USA</v>
      </c>
      <c r="K93" t="str">
        <f ca="1">IFERROR(__xludf.DUMMYFUNCTION("""COMPUTED_VALUE"""),"Ainsworth/Ainsworth")</f>
        <v>Ainsworth/Ainsworth</v>
      </c>
      <c r="L93">
        <f ca="1">IFERROR(__xludf.DUMMYFUNCTION("""COMPUTED_VALUE"""),0)</f>
        <v>0</v>
      </c>
      <c r="M93">
        <f ca="1">IFERROR(__xludf.DUMMYFUNCTION("""COMPUTED_VALUE"""),0)</f>
        <v>0</v>
      </c>
      <c r="N93">
        <f ca="1">IFERROR(__xludf.DUMMYFUNCTION("""COMPUTED_VALUE"""),0)</f>
        <v>0</v>
      </c>
      <c r="O93">
        <f ca="1">IFERROR(__xludf.DUMMYFUNCTION("""COMPUTED_VALUE"""),0)</f>
        <v>0</v>
      </c>
      <c r="P93">
        <f ca="1">IFERROR(__xludf.DUMMYFUNCTION("""COMPUTED_VALUE"""),0.82)</f>
        <v>0.82</v>
      </c>
      <c r="Q93">
        <f ca="1">IFERROR(__xludf.DUMMYFUNCTION("""COMPUTED_VALUE"""),0)</f>
        <v>0</v>
      </c>
      <c r="R93" t="str">
        <f ca="1">IFERROR(__xludf.DUMMYFUNCTION("""COMPUTED_VALUE"""),"Female")</f>
        <v>Female</v>
      </c>
      <c r="S93" s="119" t="str">
        <f ca="1">IFERROR(__xludf.DUMMYFUNCTION("""COMPUTED_VALUE"""),"")</f>
        <v/>
      </c>
    </row>
    <row r="94" spans="1:19" ht="12.3">
      <c r="A94" s="120">
        <f ca="1">IFERROR(__xludf.DUMMYFUNCTION("""COMPUTED_VALUE"""),69)</f>
        <v>69</v>
      </c>
      <c r="B94" s="120" t="str">
        <f ca="1">IFERROR(__xludf.DUMMYFUNCTION("""COMPUTED_VALUE"""),"Sutton (1994)")</f>
        <v>Sutton (1994)</v>
      </c>
      <c r="C94" s="120">
        <f ca="1">IFERROR(__xludf.DUMMYFUNCTION("""COMPUTED_VALUE"""),2)</f>
        <v>2</v>
      </c>
      <c r="D94" s="120" t="str">
        <f ca="1">IFERROR(__xludf.DUMMYFUNCTION("""COMPUTED_VALUE"""),"14-58 months")</f>
        <v>14-58 months</v>
      </c>
      <c r="E94" s="120" t="str">
        <f ca="1">IFERROR(__xludf.DUMMYFUNCTION("""COMPUTED_VALUE"""),"Infancy - Preschool")</f>
        <v>Infancy - Preschool</v>
      </c>
      <c r="F94" s="121">
        <f ca="1">IFERROR(__xludf.DUMMYFUNCTION("""COMPUTED_VALUE"""),44)</f>
        <v>44</v>
      </c>
      <c r="G94" s="122">
        <f ca="1">IFERROR(__xludf.DUMMYFUNCTION("""COMPUTED_VALUE"""),-0.08)</f>
        <v>-0.08</v>
      </c>
      <c r="H94" s="120" t="str">
        <f ca="1">IFERROR(__xludf.DUMMYFUNCTION("""COMPUTED_VALUE"""),"")</f>
        <v/>
      </c>
      <c r="I94">
        <f ca="1">IFERROR(__xludf.DUMMYFUNCTION("""COMPUTED_VALUE"""),1994)</f>
        <v>1994</v>
      </c>
      <c r="J94" t="str">
        <f ca="1">IFERROR(__xludf.DUMMYFUNCTION("""COMPUTED_VALUE"""),"USA")</f>
        <v>USA</v>
      </c>
      <c r="K94" t="str">
        <f ca="1">IFERROR(__xludf.DUMMYFUNCTION("""COMPUTED_VALUE"""),"Ainsworth/Cassidy-Marvin")</f>
        <v>Ainsworth/Cassidy-Marvin</v>
      </c>
      <c r="L94">
        <f ca="1">IFERROR(__xludf.DUMMYFUNCTION("""COMPUTED_VALUE"""),0)</f>
        <v>0</v>
      </c>
      <c r="M94">
        <f ca="1">IFERROR(__xludf.DUMMYFUNCTION("""COMPUTED_VALUE"""),0)</f>
        <v>0</v>
      </c>
      <c r="N94">
        <f ca="1">IFERROR(__xludf.DUMMYFUNCTION("""COMPUTED_VALUE"""),0)</f>
        <v>0</v>
      </c>
      <c r="O94">
        <f ca="1">IFERROR(__xludf.DUMMYFUNCTION("""COMPUTED_VALUE"""),0)</f>
        <v>0</v>
      </c>
      <c r="P94">
        <f ca="1">IFERROR(__xludf.DUMMYFUNCTION("""COMPUTED_VALUE"""),0.82)</f>
        <v>0.82</v>
      </c>
      <c r="Q94">
        <f ca="1">IFERROR(__xludf.DUMMYFUNCTION("""COMPUTED_VALUE"""),0)</f>
        <v>0</v>
      </c>
      <c r="R94" t="str">
        <f ca="1">IFERROR(__xludf.DUMMYFUNCTION("""COMPUTED_VALUE"""),"Female")</f>
        <v>Female</v>
      </c>
      <c r="S94" s="119" t="str">
        <f ca="1">IFERROR(__xludf.DUMMYFUNCTION("""COMPUTED_VALUE"""),"")</f>
        <v/>
      </c>
    </row>
    <row r="95" spans="1:19" ht="12.3">
      <c r="A95" s="120">
        <f ca="1">IFERROR(__xludf.DUMMYFUNCTION("""COMPUTED_VALUE"""),69)</f>
        <v>69</v>
      </c>
      <c r="B95" s="120" t="str">
        <f ca="1">IFERROR(__xludf.DUMMYFUNCTION("""COMPUTED_VALUE"""),"Sutton (1994)")</f>
        <v>Sutton (1994)</v>
      </c>
      <c r="C95" s="120">
        <f ca="1">IFERROR(__xludf.DUMMYFUNCTION("""COMPUTED_VALUE"""),3)</f>
        <v>3</v>
      </c>
      <c r="D95" s="120" t="str">
        <f ca="1">IFERROR(__xludf.DUMMYFUNCTION("""COMPUTED_VALUE"""),"24-58 months")</f>
        <v>24-58 months</v>
      </c>
      <c r="E95" s="120" t="str">
        <f ca="1">IFERROR(__xludf.DUMMYFUNCTION("""COMPUTED_VALUE"""),"Toddlerhood - Preschool")</f>
        <v>Toddlerhood - Preschool</v>
      </c>
      <c r="F95" s="121">
        <f ca="1">IFERROR(__xludf.DUMMYFUNCTION("""COMPUTED_VALUE"""),46)</f>
        <v>46</v>
      </c>
      <c r="G95" s="122">
        <f ca="1">IFERROR(__xludf.DUMMYFUNCTION("""COMPUTED_VALUE"""),-0.09)</f>
        <v>-0.09</v>
      </c>
      <c r="H95" s="120" t="str">
        <f ca="1">IFERROR(__xludf.DUMMYFUNCTION("""COMPUTED_VALUE"""),"")</f>
        <v/>
      </c>
      <c r="I95">
        <f ca="1">IFERROR(__xludf.DUMMYFUNCTION("""COMPUTED_VALUE"""),1994)</f>
        <v>1994</v>
      </c>
      <c r="J95" t="str">
        <f ca="1">IFERROR(__xludf.DUMMYFUNCTION("""COMPUTED_VALUE"""),"USA")</f>
        <v>USA</v>
      </c>
      <c r="K95" t="str">
        <f ca="1">IFERROR(__xludf.DUMMYFUNCTION("""COMPUTED_VALUE"""),"Ainsworth/Cassidy-Marvin")</f>
        <v>Ainsworth/Cassidy-Marvin</v>
      </c>
      <c r="L95">
        <f ca="1">IFERROR(__xludf.DUMMYFUNCTION("""COMPUTED_VALUE"""),0)</f>
        <v>0</v>
      </c>
      <c r="M95">
        <f ca="1">IFERROR(__xludf.DUMMYFUNCTION("""COMPUTED_VALUE"""),0)</f>
        <v>0</v>
      </c>
      <c r="N95">
        <f ca="1">IFERROR(__xludf.DUMMYFUNCTION("""COMPUTED_VALUE"""),0)</f>
        <v>0</v>
      </c>
      <c r="O95">
        <f ca="1">IFERROR(__xludf.DUMMYFUNCTION("""COMPUTED_VALUE"""),0)</f>
        <v>0</v>
      </c>
      <c r="P95">
        <f ca="1">IFERROR(__xludf.DUMMYFUNCTION("""COMPUTED_VALUE"""),0.82)</f>
        <v>0.82</v>
      </c>
      <c r="Q95">
        <f ca="1">IFERROR(__xludf.DUMMYFUNCTION("""COMPUTED_VALUE"""),0)</f>
        <v>0</v>
      </c>
      <c r="R95" t="str">
        <f ca="1">IFERROR(__xludf.DUMMYFUNCTION("""COMPUTED_VALUE"""),"Female")</f>
        <v>Female</v>
      </c>
      <c r="S95" s="119" t="str">
        <f ca="1">IFERROR(__xludf.DUMMYFUNCTION("""COMPUTED_VALUE"""),"")</f>
        <v/>
      </c>
    </row>
    <row r="96" spans="1:19" ht="12.3">
      <c r="A96" s="120">
        <f ca="1">IFERROR(__xludf.DUMMYFUNCTION("""COMPUTED_VALUE"""),70)</f>
        <v>70</v>
      </c>
      <c r="B96" s="120" t="str">
        <f ca="1">IFERROR(__xludf.DUMMYFUNCTION("""COMPUTED_VALUE"""),"Touris, Krimelow, &amp; Harding (1995)")</f>
        <v>Touris, Krimelow, &amp; Harding (1995)</v>
      </c>
      <c r="C96" s="120">
        <f ca="1">IFERROR(__xludf.DUMMYFUNCTION("""COMPUTED_VALUE"""),1)</f>
        <v>1</v>
      </c>
      <c r="D96" s="120" t="str">
        <f ca="1">IFERROR(__xludf.DUMMYFUNCTION("""COMPUTED_VALUE"""),"At-risk")</f>
        <v>At-risk</v>
      </c>
      <c r="E96" s="120" t="str">
        <f ca="1">IFERROR(__xludf.DUMMYFUNCTION("""COMPUTED_VALUE"""),"Toddlerhood - Toddlerhood")</f>
        <v>Toddlerhood - Toddlerhood</v>
      </c>
      <c r="F96" s="121">
        <f ca="1">IFERROR(__xludf.DUMMYFUNCTION("""COMPUTED_VALUE"""),20)</f>
        <v>20</v>
      </c>
      <c r="G96" s="122">
        <f ca="1">IFERROR(__xludf.DUMMYFUNCTION("""COMPUTED_VALUE"""),-0.171184197004365)</f>
        <v>-0.17118419700436499</v>
      </c>
      <c r="H96" s="120">
        <f ca="1">IFERROR(__xludf.DUMMYFUNCTION("""COMPUTED_VALUE"""),0.45)</f>
        <v>0.45</v>
      </c>
      <c r="I96">
        <f ca="1">IFERROR(__xludf.DUMMYFUNCTION("""COMPUTED_VALUE"""),1995)</f>
        <v>1995</v>
      </c>
      <c r="J96" t="str">
        <f ca="1">IFERROR(__xludf.DUMMYFUNCTION("""COMPUTED_VALUE"""),"USA")</f>
        <v>USA</v>
      </c>
      <c r="K96" t="str">
        <f ca="1">IFERROR(__xludf.DUMMYFUNCTION("""COMPUTED_VALUE"""),"Ainsworth/Ainsworth")</f>
        <v>Ainsworth/Ainsworth</v>
      </c>
      <c r="L96">
        <f ca="1">IFERROR(__xludf.DUMMYFUNCTION("""COMPUTED_VALUE"""),1)</f>
        <v>1</v>
      </c>
      <c r="M96">
        <f ca="1">IFERROR(__xludf.DUMMYFUNCTION("""COMPUTED_VALUE"""),1)</f>
        <v>1</v>
      </c>
      <c r="N96">
        <f ca="1">IFERROR(__xludf.DUMMYFUNCTION("""COMPUTED_VALUE"""),0)</f>
        <v>0</v>
      </c>
      <c r="O96">
        <f ca="1">IFERROR(__xludf.DUMMYFUNCTION("""COMPUTED_VALUE"""),1)</f>
        <v>1</v>
      </c>
      <c r="P96">
        <f ca="1">IFERROR(__xludf.DUMMYFUNCTION("""COMPUTED_VALUE"""),0.82)</f>
        <v>0.82</v>
      </c>
      <c r="Q96">
        <f ca="1">IFERROR(__xludf.DUMMYFUNCTION("""COMPUTED_VALUE"""),0)</f>
        <v>0</v>
      </c>
      <c r="R96" t="str">
        <f ca="1">IFERROR(__xludf.DUMMYFUNCTION("""COMPUTED_VALUE"""),"Female")</f>
        <v>Female</v>
      </c>
      <c r="S96" s="119">
        <f ca="1">IFERROR(__xludf.DUMMYFUNCTION("""COMPUTED_VALUE"""),-0.170212765957446)</f>
        <v>-0.170212765957446</v>
      </c>
    </row>
    <row r="97" spans="1:19" ht="12.3">
      <c r="A97" s="120">
        <f ca="1">IFERROR(__xludf.DUMMYFUNCTION("""COMPUTED_VALUE"""),71)</f>
        <v>71</v>
      </c>
      <c r="B97" s="120" t="str">
        <f ca="1">IFERROR(__xludf.DUMMYFUNCTION("""COMPUTED_VALUE"""),"Touris, Krimelow, &amp; Harding (1995)")</f>
        <v>Touris, Krimelow, &amp; Harding (1995)</v>
      </c>
      <c r="C97" s="120">
        <f ca="1">IFERROR(__xludf.DUMMYFUNCTION("""COMPUTED_VALUE"""),2)</f>
        <v>2</v>
      </c>
      <c r="D97" s="120" t="str">
        <f ca="1">IFERROR(__xludf.DUMMYFUNCTION("""COMPUTED_VALUE"""),"Comparison")</f>
        <v>Comparison</v>
      </c>
      <c r="E97" s="120" t="str">
        <f ca="1">IFERROR(__xludf.DUMMYFUNCTION("""COMPUTED_VALUE"""),"Toddlerhood - Toddlerhood")</f>
        <v>Toddlerhood - Toddlerhood</v>
      </c>
      <c r="F97" s="121">
        <f ca="1">IFERROR(__xludf.DUMMYFUNCTION("""COMPUTED_VALUE"""),20)</f>
        <v>20</v>
      </c>
      <c r="G97" s="122">
        <f ca="1">IFERROR(__xludf.DUMMYFUNCTION("""COMPUTED_VALUE"""),0.215686274509803)</f>
        <v>0.21568627450980299</v>
      </c>
      <c r="H97" s="120">
        <f ca="1">IFERROR(__xludf.DUMMYFUNCTION("""COMPUTED_VALUE"""),0.8)</f>
        <v>0.8</v>
      </c>
      <c r="I97">
        <f ca="1">IFERROR(__xludf.DUMMYFUNCTION("""COMPUTED_VALUE"""),1995)</f>
        <v>1995</v>
      </c>
      <c r="J97" t="str">
        <f ca="1">IFERROR(__xludf.DUMMYFUNCTION("""COMPUTED_VALUE"""),"USA")</f>
        <v>USA</v>
      </c>
      <c r="K97" t="str">
        <f ca="1">IFERROR(__xludf.DUMMYFUNCTION("""COMPUTED_VALUE"""),"Ainsworth/Ainsworth")</f>
        <v>Ainsworth/Ainsworth</v>
      </c>
      <c r="L97">
        <f ca="1">IFERROR(__xludf.DUMMYFUNCTION("""COMPUTED_VALUE"""),1)</f>
        <v>1</v>
      </c>
      <c r="M97">
        <f ca="1">IFERROR(__xludf.DUMMYFUNCTION("""COMPUTED_VALUE"""),0)</f>
        <v>0</v>
      </c>
      <c r="N97">
        <f ca="1">IFERROR(__xludf.DUMMYFUNCTION("""COMPUTED_VALUE"""),0)</f>
        <v>0</v>
      </c>
      <c r="O97">
        <f ca="1">IFERROR(__xludf.DUMMYFUNCTION("""COMPUTED_VALUE"""),1)</f>
        <v>1</v>
      </c>
      <c r="P97">
        <f ca="1">IFERROR(__xludf.DUMMYFUNCTION("""COMPUTED_VALUE"""),0.82)</f>
        <v>0.82</v>
      </c>
      <c r="Q97">
        <f ca="1">IFERROR(__xludf.DUMMYFUNCTION("""COMPUTED_VALUE"""),0)</f>
        <v>0</v>
      </c>
      <c r="R97" t="str">
        <f ca="1">IFERROR(__xludf.DUMMYFUNCTION("""COMPUTED_VALUE"""),"Female")</f>
        <v>Female</v>
      </c>
      <c r="S97" s="119">
        <f ca="1">IFERROR(__xludf.DUMMYFUNCTION("""COMPUTED_VALUE"""),0.215686274509804)</f>
        <v>0.21568627450980399</v>
      </c>
    </row>
    <row r="98" spans="1:19" ht="12.3">
      <c r="A98" s="120">
        <f ca="1">IFERROR(__xludf.DUMMYFUNCTION("""COMPUTED_VALUE"""),72)</f>
        <v>72</v>
      </c>
      <c r="B98" s="120" t="str">
        <f ca="1">IFERROR(__xludf.DUMMYFUNCTION("""COMPUTED_VALUE"""),"Egeland &amp; Farber (1984)")</f>
        <v>Egeland &amp; Farber (1984)</v>
      </c>
      <c r="C98" s="120">
        <f ca="1">IFERROR(__xludf.DUMMYFUNCTION("""COMPUTED_VALUE"""),1)</f>
        <v>1</v>
      </c>
      <c r="D98" s="120" t="str">
        <f ca="1">IFERROR(__xludf.DUMMYFUNCTION("""COMPUTED_VALUE"""),"Mother-child")</f>
        <v>Mother-child</v>
      </c>
      <c r="E98" s="120" t="str">
        <f ca="1">IFERROR(__xludf.DUMMYFUNCTION("""COMPUTED_VALUE"""),"Infancy - Infancy")</f>
        <v>Infancy - Infancy</v>
      </c>
      <c r="F98" s="121">
        <f ca="1">IFERROR(__xludf.DUMMYFUNCTION("""COMPUTED_VALUE"""),189)</f>
        <v>189</v>
      </c>
      <c r="G98" s="122">
        <f ca="1">IFERROR(__xludf.DUMMYFUNCTION("""COMPUTED_VALUE"""),0.315542425329407)</f>
        <v>0.31554242532940702</v>
      </c>
      <c r="H98" s="120">
        <f ca="1">IFERROR(__xludf.DUMMYFUNCTION("""COMPUTED_VALUE"""),0.666666666666666)</f>
        <v>0.66666666666666596</v>
      </c>
      <c r="I98">
        <f ca="1">IFERROR(__xludf.DUMMYFUNCTION("""COMPUTED_VALUE"""),1984)</f>
        <v>1984</v>
      </c>
      <c r="J98" t="str">
        <f ca="1">IFERROR(__xludf.DUMMYFUNCTION("""COMPUTED_VALUE"""),"USA")</f>
        <v>USA</v>
      </c>
      <c r="K98" t="str">
        <f ca="1">IFERROR(__xludf.DUMMYFUNCTION("""COMPUTED_VALUE"""),"Ainsworth/Ainsworth")</f>
        <v>Ainsworth/Ainsworth</v>
      </c>
      <c r="L98">
        <f ca="1">IFERROR(__xludf.DUMMYFUNCTION("""COMPUTED_VALUE"""),1)</f>
        <v>1</v>
      </c>
      <c r="M98">
        <f ca="1">IFERROR(__xludf.DUMMYFUNCTION("""COMPUTED_VALUE"""),1)</f>
        <v>1</v>
      </c>
      <c r="N98">
        <f ca="1">IFERROR(__xludf.DUMMYFUNCTION("""COMPUTED_VALUE"""),0)</f>
        <v>0</v>
      </c>
      <c r="O98">
        <f ca="1">IFERROR(__xludf.DUMMYFUNCTION("""COMPUTED_VALUE"""),1)</f>
        <v>1</v>
      </c>
      <c r="P98">
        <f ca="1">IFERROR(__xludf.DUMMYFUNCTION("""COMPUTED_VALUE"""),0.91)</f>
        <v>0.91</v>
      </c>
      <c r="Q98">
        <f ca="1">IFERROR(__xludf.DUMMYFUNCTION("""COMPUTED_VALUE"""),0)</f>
        <v>0</v>
      </c>
      <c r="R98" t="str">
        <f ca="1">IFERROR(__xludf.DUMMYFUNCTION("""COMPUTED_VALUE"""),"Female")</f>
        <v>Female</v>
      </c>
      <c r="S98" s="119">
        <f ca="1">IFERROR(__xludf.DUMMYFUNCTION("""COMPUTED_VALUE"""),0.314626144016577)</f>
        <v>0.31462614401657701</v>
      </c>
    </row>
    <row r="99" spans="1:19" ht="12.3">
      <c r="A99" s="120">
        <f ca="1">IFERROR(__xludf.DUMMYFUNCTION("""COMPUTED_VALUE"""),73)</f>
        <v>73</v>
      </c>
      <c r="B99" s="120" t="str">
        <f ca="1">IFERROR(__xludf.DUMMYFUNCTION("""COMPUTED_VALUE"""),"Egeland &amp; Sroufe (1981)")</f>
        <v>Egeland &amp; Sroufe (1981)</v>
      </c>
      <c r="C99" s="120">
        <f ca="1">IFERROR(__xludf.DUMMYFUNCTION("""COMPUTED_VALUE"""),1)</f>
        <v>1</v>
      </c>
      <c r="D99" s="120" t="str">
        <f ca="1">IFERROR(__xludf.DUMMYFUNCTION("""COMPUTED_VALUE"""),"Maltreated")</f>
        <v>Maltreated</v>
      </c>
      <c r="E99" s="120" t="str">
        <f ca="1">IFERROR(__xludf.DUMMYFUNCTION("""COMPUTED_VALUE"""),"Infancy - Infancy")</f>
        <v>Infancy - Infancy</v>
      </c>
      <c r="F99" s="121">
        <f ca="1">IFERROR(__xludf.DUMMYFUNCTION("""COMPUTED_VALUE"""),25)</f>
        <v>25</v>
      </c>
      <c r="G99" s="122">
        <f ca="1">IFERROR(__xludf.DUMMYFUNCTION("""COMPUTED_VALUE"""),0.32904437697703)</f>
        <v>0.32904437697702998</v>
      </c>
      <c r="H99" s="120">
        <f ca="1">IFERROR(__xludf.DUMMYFUNCTION("""COMPUTED_VALUE"""),0.64)</f>
        <v>0.64</v>
      </c>
      <c r="I99">
        <f ca="1">IFERROR(__xludf.DUMMYFUNCTION("""COMPUTED_VALUE"""),1981)</f>
        <v>1981</v>
      </c>
      <c r="J99" t="str">
        <f ca="1">IFERROR(__xludf.DUMMYFUNCTION("""COMPUTED_VALUE"""),"USA")</f>
        <v>USA</v>
      </c>
      <c r="K99" t="str">
        <f ca="1">IFERROR(__xludf.DUMMYFUNCTION("""COMPUTED_VALUE"""),"Ainsworth/Ainsworth")</f>
        <v>Ainsworth/Ainsworth</v>
      </c>
      <c r="L99">
        <f ca="1">IFERROR(__xludf.DUMMYFUNCTION("""COMPUTED_VALUE"""),1)</f>
        <v>1</v>
      </c>
      <c r="M99">
        <f ca="1">IFERROR(__xludf.DUMMYFUNCTION("""COMPUTED_VALUE"""),1)</f>
        <v>1</v>
      </c>
      <c r="N99">
        <f ca="1">IFERROR(__xludf.DUMMYFUNCTION("""COMPUTED_VALUE"""),0)</f>
        <v>0</v>
      </c>
      <c r="O99">
        <f ca="1">IFERROR(__xludf.DUMMYFUNCTION("""COMPUTED_VALUE"""),1)</f>
        <v>1</v>
      </c>
      <c r="P99">
        <f ca="1">IFERROR(__xludf.DUMMYFUNCTION("""COMPUTED_VALUE"""),0.91)</f>
        <v>0.91</v>
      </c>
      <c r="Q99">
        <f ca="1">IFERROR(__xludf.DUMMYFUNCTION("""COMPUTED_VALUE"""),0)</f>
        <v>0</v>
      </c>
      <c r="R99" t="str">
        <f ca="1">IFERROR(__xludf.DUMMYFUNCTION("""COMPUTED_VALUE"""),"Female")</f>
        <v>Female</v>
      </c>
      <c r="S99" s="119">
        <f ca="1">IFERROR(__xludf.DUMMYFUNCTION("""COMPUTED_VALUE"""),0.303405572755417)</f>
        <v>0.30340557275541702</v>
      </c>
    </row>
    <row r="100" spans="1:19" ht="12.3">
      <c r="A100" s="120">
        <f ca="1">IFERROR(__xludf.DUMMYFUNCTION("""COMPUTED_VALUE"""),74)</f>
        <v>74</v>
      </c>
      <c r="B100" s="120" t="str">
        <f ca="1">IFERROR(__xludf.DUMMYFUNCTION("""COMPUTED_VALUE"""),"Egeland &amp; Sroufe (1981)")</f>
        <v>Egeland &amp; Sroufe (1981)</v>
      </c>
      <c r="C100" s="120">
        <f ca="1">IFERROR(__xludf.DUMMYFUNCTION("""COMPUTED_VALUE"""),1)</f>
        <v>1</v>
      </c>
      <c r="D100" s="120" t="str">
        <f ca="1">IFERROR(__xludf.DUMMYFUNCTION("""COMPUTED_VALUE"""),"Comparison")</f>
        <v>Comparison</v>
      </c>
      <c r="E100" s="120" t="str">
        <f ca="1">IFERROR(__xludf.DUMMYFUNCTION("""COMPUTED_VALUE"""),"Infancy - Infancy")</f>
        <v>Infancy - Infancy</v>
      </c>
      <c r="F100" s="121">
        <f ca="1">IFERROR(__xludf.DUMMYFUNCTION("""COMPUTED_VALUE"""),32)</f>
        <v>32</v>
      </c>
      <c r="G100" s="122">
        <f ca="1">IFERROR(__xludf.DUMMYFUNCTION("""COMPUTED_VALUE"""),0.666666666666666)</f>
        <v>0.66666666666666596</v>
      </c>
      <c r="H100" s="120">
        <f ca="1">IFERROR(__xludf.DUMMYFUNCTION("""COMPUTED_VALUE"""),0.875)</f>
        <v>0.875</v>
      </c>
      <c r="I100">
        <f ca="1">IFERROR(__xludf.DUMMYFUNCTION("""COMPUTED_VALUE"""),1981)</f>
        <v>1981</v>
      </c>
      <c r="J100" t="str">
        <f ca="1">IFERROR(__xludf.DUMMYFUNCTION("""COMPUTED_VALUE"""),"USA")</f>
        <v>USA</v>
      </c>
      <c r="K100" t="str">
        <f ca="1">IFERROR(__xludf.DUMMYFUNCTION("""COMPUTED_VALUE"""),"Ainsworth/Ainsworth")</f>
        <v>Ainsworth/Ainsworth</v>
      </c>
      <c r="L100">
        <f ca="1">IFERROR(__xludf.DUMMYFUNCTION("""COMPUTED_VALUE"""),1)</f>
        <v>1</v>
      </c>
      <c r="M100">
        <f ca="1">IFERROR(__xludf.DUMMYFUNCTION("""COMPUTED_VALUE"""),0)</f>
        <v>0</v>
      </c>
      <c r="N100">
        <f ca="1">IFERROR(__xludf.DUMMYFUNCTION("""COMPUTED_VALUE"""),0)</f>
        <v>0</v>
      </c>
      <c r="O100">
        <f ca="1">IFERROR(__xludf.DUMMYFUNCTION("""COMPUTED_VALUE"""),1)</f>
        <v>1</v>
      </c>
      <c r="P100">
        <f ca="1">IFERROR(__xludf.DUMMYFUNCTION("""COMPUTED_VALUE"""),0.91)</f>
        <v>0.91</v>
      </c>
      <c r="Q100">
        <f ca="1">IFERROR(__xludf.DUMMYFUNCTION("""COMPUTED_VALUE"""),0)</f>
        <v>0</v>
      </c>
      <c r="R100" t="str">
        <f ca="1">IFERROR(__xludf.DUMMYFUNCTION("""COMPUTED_VALUE"""),"Female")</f>
        <v>Female</v>
      </c>
      <c r="S100" s="119">
        <f ca="1">IFERROR(__xludf.DUMMYFUNCTION("""COMPUTED_VALUE"""),0.666666666666666)</f>
        <v>0.66666666666666596</v>
      </c>
    </row>
    <row r="101" spans="1:19" ht="12.3">
      <c r="A101" s="120">
        <f ca="1">IFERROR(__xludf.DUMMYFUNCTION("""COMPUTED_VALUE"""),75)</f>
        <v>75</v>
      </c>
      <c r="B101" s="120" t="str">
        <f ca="1">IFERROR(__xludf.DUMMYFUNCTION("""COMPUTED_VALUE"""),"Vaughn, Gove, &amp; Egeland (1980) ")</f>
        <v xml:space="preserve">Vaughn, Gove, &amp; Egeland (1980) </v>
      </c>
      <c r="C101" s="120">
        <f ca="1">IFERROR(__xludf.DUMMYFUNCTION("""COMPUTED_VALUE"""),1)</f>
        <v>1</v>
      </c>
      <c r="D101" s="120" t="str">
        <f ca="1">IFERROR(__xludf.DUMMYFUNCTION("""COMPUTED_VALUE"""),"Early return to work")</f>
        <v>Early return to work</v>
      </c>
      <c r="E101" s="120" t="str">
        <f ca="1">IFERROR(__xludf.DUMMYFUNCTION("""COMPUTED_VALUE"""),"Infancy - Infancy")</f>
        <v>Infancy - Infancy</v>
      </c>
      <c r="F101" s="121">
        <f ca="1">IFERROR(__xludf.DUMMYFUNCTION("""COMPUTED_VALUE"""),34)</f>
        <v>34</v>
      </c>
      <c r="G101" s="122">
        <f ca="1">IFERROR(__xludf.DUMMYFUNCTION("""COMPUTED_VALUE"""),0.589255650988789)</f>
        <v>0.58925565098878896</v>
      </c>
      <c r="H101" s="120">
        <f ca="1">IFERROR(__xludf.DUMMYFUNCTION("""COMPUTED_VALUE"""),0.794117647058823)</f>
        <v>0.79411764705882304</v>
      </c>
      <c r="I101">
        <f ca="1">IFERROR(__xludf.DUMMYFUNCTION("""COMPUTED_VALUE"""),1980)</f>
        <v>1980</v>
      </c>
      <c r="J101" t="str">
        <f ca="1">IFERROR(__xludf.DUMMYFUNCTION("""COMPUTED_VALUE"""),"USA")</f>
        <v>USA</v>
      </c>
      <c r="K101" t="str">
        <f ca="1">IFERROR(__xludf.DUMMYFUNCTION("""COMPUTED_VALUE"""),"Ainsworth/Ainsworth")</f>
        <v>Ainsworth/Ainsworth</v>
      </c>
      <c r="L101">
        <f ca="1">IFERROR(__xludf.DUMMYFUNCTION("""COMPUTED_VALUE"""),0)</f>
        <v>0</v>
      </c>
      <c r="M101">
        <f ca="1">IFERROR(__xludf.DUMMYFUNCTION("""COMPUTED_VALUE"""),1)</f>
        <v>1</v>
      </c>
      <c r="N101">
        <f ca="1">IFERROR(__xludf.DUMMYFUNCTION("""COMPUTED_VALUE"""),0)</f>
        <v>0</v>
      </c>
      <c r="O101">
        <f ca="1">IFERROR(__xludf.DUMMYFUNCTION("""COMPUTED_VALUE"""),1)</f>
        <v>1</v>
      </c>
      <c r="P101">
        <f ca="1">IFERROR(__xludf.DUMMYFUNCTION("""COMPUTED_VALUE"""),0.915)</f>
        <v>0.91500000000000004</v>
      </c>
      <c r="Q101">
        <f ca="1">IFERROR(__xludf.DUMMYFUNCTION("""COMPUTED_VALUE"""),0)</f>
        <v>0</v>
      </c>
      <c r="R101" t="str">
        <f ca="1">IFERROR(__xludf.DUMMYFUNCTION("""COMPUTED_VALUE"""),"Female")</f>
        <v>Female</v>
      </c>
      <c r="S101" s="119">
        <f ca="1">IFERROR(__xludf.DUMMYFUNCTION("""COMPUTED_VALUE"""),0.588235294117647)</f>
        <v>0.58823529411764697</v>
      </c>
    </row>
    <row r="102" spans="1:19" ht="12.3">
      <c r="A102" s="120">
        <f ca="1">IFERROR(__xludf.DUMMYFUNCTION("""COMPUTED_VALUE"""),76)</f>
        <v>76</v>
      </c>
      <c r="B102" s="120" t="str">
        <f ca="1">IFERROR(__xludf.DUMMYFUNCTION("""COMPUTED_VALUE"""),"Vaughn, Gove, &amp; Egeland (1980) ")</f>
        <v xml:space="preserve">Vaughn, Gove, &amp; Egeland (1980) </v>
      </c>
      <c r="C102" s="120">
        <f ca="1">IFERROR(__xludf.DUMMYFUNCTION("""COMPUTED_VALUE"""),1)</f>
        <v>1</v>
      </c>
      <c r="D102" s="120" t="str">
        <f ca="1">IFERROR(__xludf.DUMMYFUNCTION("""COMPUTED_VALUE"""),"Late return to work")</f>
        <v>Late return to work</v>
      </c>
      <c r="E102" s="120" t="str">
        <f ca="1">IFERROR(__xludf.DUMMYFUNCTION("""COMPUTED_VALUE"""),"Infancy - Infancy")</f>
        <v>Infancy - Infancy</v>
      </c>
      <c r="F102" s="121">
        <f ca="1">IFERROR(__xludf.DUMMYFUNCTION("""COMPUTED_VALUE"""),18)</f>
        <v>18</v>
      </c>
      <c r="G102" s="122">
        <f ca="1">IFERROR(__xludf.DUMMYFUNCTION("""COMPUTED_VALUE"""),0.113960576459637)</f>
        <v>0.113960576459637</v>
      </c>
      <c r="H102" s="120">
        <f ca="1">IFERROR(__xludf.DUMMYFUNCTION("""COMPUTED_VALUE"""),0.555555555555555)</f>
        <v>0.55555555555555503</v>
      </c>
      <c r="I102">
        <f ca="1">IFERROR(__xludf.DUMMYFUNCTION("""COMPUTED_VALUE"""),1980)</f>
        <v>1980</v>
      </c>
      <c r="J102" t="str">
        <f ca="1">IFERROR(__xludf.DUMMYFUNCTION("""COMPUTED_VALUE"""),"USA")</f>
        <v>USA</v>
      </c>
      <c r="K102" t="str">
        <f ca="1">IFERROR(__xludf.DUMMYFUNCTION("""COMPUTED_VALUE"""),"Ainsworth/Ainsworth")</f>
        <v>Ainsworth/Ainsworth</v>
      </c>
      <c r="L102">
        <f ca="1">IFERROR(__xludf.DUMMYFUNCTION("""COMPUTED_VALUE"""),0)</f>
        <v>0</v>
      </c>
      <c r="M102">
        <f ca="1">IFERROR(__xludf.DUMMYFUNCTION("""COMPUTED_VALUE"""),1)</f>
        <v>1</v>
      </c>
      <c r="N102">
        <f ca="1">IFERROR(__xludf.DUMMYFUNCTION("""COMPUTED_VALUE"""),0)</f>
        <v>0</v>
      </c>
      <c r="O102">
        <f ca="1">IFERROR(__xludf.DUMMYFUNCTION("""COMPUTED_VALUE"""),1)</f>
        <v>1</v>
      </c>
      <c r="P102">
        <f ca="1">IFERROR(__xludf.DUMMYFUNCTION("""COMPUTED_VALUE"""),0.915)</f>
        <v>0.91500000000000004</v>
      </c>
      <c r="Q102">
        <f ca="1">IFERROR(__xludf.DUMMYFUNCTION("""COMPUTED_VALUE"""),0)</f>
        <v>0</v>
      </c>
      <c r="R102" t="str">
        <f ca="1">IFERROR(__xludf.DUMMYFUNCTION("""COMPUTED_VALUE"""),"Female")</f>
        <v>Female</v>
      </c>
      <c r="S102" s="119">
        <f ca="1">IFERROR(__xludf.DUMMYFUNCTION("""COMPUTED_VALUE"""),0.111111111111111)</f>
        <v>0.11111111111111099</v>
      </c>
    </row>
    <row r="103" spans="1:19" ht="12.3">
      <c r="A103" s="120">
        <f ca="1">IFERROR(__xludf.DUMMYFUNCTION("""COMPUTED_VALUE"""),77)</f>
        <v>77</v>
      </c>
      <c r="B103" s="120" t="str">
        <f ca="1">IFERROR(__xludf.DUMMYFUNCTION("""COMPUTED_VALUE"""),"Vaughn, Gove, &amp; Egeland (1980) ")</f>
        <v xml:space="preserve">Vaughn, Gove, &amp; Egeland (1980) </v>
      </c>
      <c r="C103" s="120">
        <f ca="1">IFERROR(__xludf.DUMMYFUNCTION("""COMPUTED_VALUE"""),1)</f>
        <v>1</v>
      </c>
      <c r="D103" s="120" t="str">
        <f ca="1">IFERROR(__xludf.DUMMYFUNCTION("""COMPUTED_VALUE"""),"Did not return")</f>
        <v>Did not return</v>
      </c>
      <c r="E103" s="120" t="str">
        <f ca="1">IFERROR(__xludf.DUMMYFUNCTION("""COMPUTED_VALUE"""),"Infancy - Infancy")</f>
        <v>Infancy - Infancy</v>
      </c>
      <c r="F103" s="121">
        <f ca="1">IFERROR(__xludf.DUMMYFUNCTION("""COMPUTED_VALUE"""),52)</f>
        <v>52</v>
      </c>
      <c r="G103" s="122">
        <f ca="1">IFERROR(__xludf.DUMMYFUNCTION("""COMPUTED_VALUE"""),0.291691675598474)</f>
        <v>0.29169167559847398</v>
      </c>
      <c r="H103" s="120">
        <f ca="1">IFERROR(__xludf.DUMMYFUNCTION("""COMPUTED_VALUE"""),0.673076923076923)</f>
        <v>0.67307692307692302</v>
      </c>
      <c r="I103">
        <f ca="1">IFERROR(__xludf.DUMMYFUNCTION("""COMPUTED_VALUE"""),1980)</f>
        <v>1980</v>
      </c>
      <c r="J103" t="str">
        <f ca="1">IFERROR(__xludf.DUMMYFUNCTION("""COMPUTED_VALUE"""),"USA")</f>
        <v>USA</v>
      </c>
      <c r="K103" t="str">
        <f ca="1">IFERROR(__xludf.DUMMYFUNCTION("""COMPUTED_VALUE"""),"Ainsworth/Ainsworth")</f>
        <v>Ainsworth/Ainsworth</v>
      </c>
      <c r="L103">
        <f ca="1">IFERROR(__xludf.DUMMYFUNCTION("""COMPUTED_VALUE"""),0)</f>
        <v>0</v>
      </c>
      <c r="M103">
        <f ca="1">IFERROR(__xludf.DUMMYFUNCTION("""COMPUTED_VALUE"""),1)</f>
        <v>1</v>
      </c>
      <c r="N103">
        <f ca="1">IFERROR(__xludf.DUMMYFUNCTION("""COMPUTED_VALUE"""),0)</f>
        <v>0</v>
      </c>
      <c r="O103">
        <f ca="1">IFERROR(__xludf.DUMMYFUNCTION("""COMPUTED_VALUE"""),1)</f>
        <v>1</v>
      </c>
      <c r="P103">
        <f ca="1">IFERROR(__xludf.DUMMYFUNCTION("""COMPUTED_VALUE"""),0.915)</f>
        <v>0.91500000000000004</v>
      </c>
      <c r="Q103">
        <f ca="1">IFERROR(__xludf.DUMMYFUNCTION("""COMPUTED_VALUE"""),0)</f>
        <v>0</v>
      </c>
      <c r="R103" t="str">
        <f ca="1">IFERROR(__xludf.DUMMYFUNCTION("""COMPUTED_VALUE"""),"Female")</f>
        <v>Female</v>
      </c>
      <c r="S103" s="119">
        <f ca="1">IFERROR(__xludf.DUMMYFUNCTION("""COMPUTED_VALUE"""),0.289389067524115)</f>
        <v>0.28938906752411497</v>
      </c>
    </row>
    <row r="104" spans="1:19" ht="12.3">
      <c r="A104" s="120">
        <f ca="1">IFERROR(__xludf.DUMMYFUNCTION("""COMPUTED_VALUE"""),78)</f>
        <v>78</v>
      </c>
      <c r="B104" s="120" t="str">
        <f ca="1">IFERROR(__xludf.DUMMYFUNCTION("""COMPUTED_VALUE"""),"Wijnroks (1994) ")</f>
        <v xml:space="preserve">Wijnroks (1994) </v>
      </c>
      <c r="C104" s="120">
        <f ca="1">IFERROR(__xludf.DUMMYFUNCTION("""COMPUTED_VALUE"""),1)</f>
        <v>1</v>
      </c>
      <c r="D104" s="120" t="str">
        <f ca="1">IFERROR(__xludf.DUMMYFUNCTION("""COMPUTED_VALUE"""),"Mother-child")</f>
        <v>Mother-child</v>
      </c>
      <c r="E104" s="120" t="str">
        <f ca="1">IFERROR(__xludf.DUMMYFUNCTION("""COMPUTED_VALUE"""),"Infancy - Infancy")</f>
        <v>Infancy - Infancy</v>
      </c>
      <c r="F104" s="121">
        <f ca="1">IFERROR(__xludf.DUMMYFUNCTION("""COMPUTED_VALUE"""),35)</f>
        <v>35</v>
      </c>
      <c r="G104" s="122">
        <f ca="1">IFERROR(__xludf.DUMMYFUNCTION("""COMPUTED_VALUE"""),0.113480484441531)</f>
        <v>0.113480484441531</v>
      </c>
      <c r="H104" s="120">
        <f ca="1">IFERROR(__xludf.DUMMYFUNCTION("""COMPUTED_VALUE"""),0.714285714285714)</f>
        <v>0.71428571428571397</v>
      </c>
      <c r="I104">
        <f ca="1">IFERROR(__xludf.DUMMYFUNCTION("""COMPUTED_VALUE"""),1994)</f>
        <v>1994</v>
      </c>
      <c r="J104" t="str">
        <f ca="1">IFERROR(__xludf.DUMMYFUNCTION("""COMPUTED_VALUE"""),"Non-USA")</f>
        <v>Non-USA</v>
      </c>
      <c r="K104" t="str">
        <f ca="1">IFERROR(__xludf.DUMMYFUNCTION("""COMPUTED_VALUE"""),"Ainsworth/Ainsworth")</f>
        <v>Ainsworth/Ainsworth</v>
      </c>
      <c r="L104">
        <f ca="1">IFERROR(__xludf.DUMMYFUNCTION("""COMPUTED_VALUE"""),1)</f>
        <v>1</v>
      </c>
      <c r="M104">
        <f ca="1">IFERROR(__xludf.DUMMYFUNCTION("""COMPUTED_VALUE"""),0)</f>
        <v>0</v>
      </c>
      <c r="N104">
        <f ca="1">IFERROR(__xludf.DUMMYFUNCTION("""COMPUTED_VALUE"""),1)</f>
        <v>1</v>
      </c>
      <c r="O104">
        <f ca="1">IFERROR(__xludf.DUMMYFUNCTION("""COMPUTED_VALUE"""),0)</f>
        <v>0</v>
      </c>
      <c r="P104">
        <f ca="1">IFERROR(__xludf.DUMMYFUNCTION("""COMPUTED_VALUE"""),0.9)</f>
        <v>0.9</v>
      </c>
      <c r="Q104">
        <f ca="1">IFERROR(__xludf.DUMMYFUNCTION("""COMPUTED_VALUE"""),0)</f>
        <v>0</v>
      </c>
      <c r="R104" t="str">
        <f ca="1">IFERROR(__xludf.DUMMYFUNCTION("""COMPUTED_VALUE"""),"Female")</f>
        <v>Female</v>
      </c>
      <c r="S104" s="119">
        <f ca="1">IFERROR(__xludf.DUMMYFUNCTION("""COMPUTED_VALUE"""),0.111675126903553)</f>
        <v>0.111675126903553</v>
      </c>
    </row>
    <row r="105" spans="1:19" ht="12.3">
      <c r="A105" s="120"/>
      <c r="B105" s="120"/>
      <c r="C105" s="120"/>
      <c r="D105" s="120"/>
      <c r="E105" s="120"/>
      <c r="F105" s="121"/>
      <c r="G105" s="122"/>
      <c r="H105" s="120"/>
    </row>
    <row r="106" spans="1:19" ht="12.3">
      <c r="A106" s="120"/>
      <c r="B106" s="120"/>
      <c r="C106" s="120"/>
      <c r="D106" s="120"/>
      <c r="E106" s="120"/>
      <c r="F106" s="121"/>
      <c r="G106" s="122"/>
      <c r="H106" s="120"/>
    </row>
    <row r="107" spans="1:19" ht="12.3">
      <c r="A107" s="120"/>
      <c r="B107" s="120"/>
      <c r="C107" s="120"/>
      <c r="D107" s="120"/>
      <c r="E107" s="120"/>
      <c r="F107" s="121"/>
      <c r="G107" s="122"/>
      <c r="H107" s="120"/>
    </row>
    <row r="108" spans="1:19" ht="12.3">
      <c r="A108" s="120"/>
      <c r="B108" s="120"/>
      <c r="C108" s="120"/>
      <c r="D108" s="120"/>
      <c r="E108" s="120"/>
      <c r="F108" s="121"/>
      <c r="G108" s="122"/>
      <c r="H108" s="120"/>
    </row>
    <row r="109" spans="1:19" ht="12.3">
      <c r="A109" s="120"/>
      <c r="B109" s="120"/>
      <c r="C109" s="120"/>
      <c r="D109" s="120"/>
      <c r="E109" s="120"/>
      <c r="F109" s="121"/>
      <c r="G109" s="122"/>
      <c r="H109" s="120"/>
    </row>
    <row r="110" spans="1:19" ht="12.3">
      <c r="A110" s="120"/>
      <c r="B110" s="120"/>
      <c r="C110" s="120"/>
      <c r="D110" s="120"/>
      <c r="E110" s="120"/>
      <c r="F110" s="121"/>
      <c r="G110" s="122"/>
      <c r="H110" s="120"/>
    </row>
    <row r="111" spans="1:19" ht="12.3">
      <c r="A111" s="120"/>
      <c r="B111" s="120"/>
      <c r="C111" s="120"/>
      <c r="D111" s="120"/>
      <c r="E111" s="120"/>
      <c r="F111" s="121"/>
      <c r="G111" s="122"/>
      <c r="H111" s="120"/>
    </row>
    <row r="112" spans="1:19" ht="12.3">
      <c r="A112" s="120"/>
      <c r="B112" s="120"/>
      <c r="C112" s="120"/>
      <c r="D112" s="120"/>
      <c r="E112" s="120"/>
      <c r="F112" s="121"/>
      <c r="G112" s="122"/>
      <c r="H112" s="120"/>
    </row>
    <row r="113" spans="1:8" ht="12.3">
      <c r="A113" s="120"/>
      <c r="B113" s="120"/>
      <c r="C113" s="120"/>
      <c r="D113" s="120"/>
      <c r="E113" s="120"/>
      <c r="F113" s="121"/>
      <c r="G113" s="122"/>
      <c r="H113" s="120"/>
    </row>
    <row r="114" spans="1:8" ht="12.3">
      <c r="A114" s="120"/>
      <c r="B114" s="120"/>
      <c r="C114" s="120"/>
      <c r="D114" s="120"/>
      <c r="E114" s="120"/>
      <c r="F114" s="121"/>
      <c r="G114" s="122"/>
      <c r="H114" s="120"/>
    </row>
    <row r="115" spans="1:8" ht="12.3">
      <c r="A115" s="120"/>
      <c r="B115" s="120"/>
      <c r="C115" s="120"/>
      <c r="D115" s="120"/>
      <c r="E115" s="120"/>
      <c r="F115" s="121"/>
      <c r="G115" s="122"/>
      <c r="H115" s="120"/>
    </row>
    <row r="116" spans="1:8" ht="12.3">
      <c r="A116" s="120"/>
      <c r="B116" s="120"/>
      <c r="C116" s="120"/>
      <c r="D116" s="120"/>
      <c r="E116" s="120"/>
      <c r="F116" s="121"/>
      <c r="G116" s="122"/>
      <c r="H116" s="120"/>
    </row>
    <row r="117" spans="1:8" ht="12.3">
      <c r="A117" s="120"/>
      <c r="B117" s="120"/>
      <c r="C117" s="120"/>
      <c r="D117" s="120"/>
      <c r="E117" s="120"/>
      <c r="F117" s="121"/>
      <c r="G117" s="122"/>
      <c r="H117" s="120"/>
    </row>
    <row r="118" spans="1:8" ht="12.3">
      <c r="A118" s="120"/>
      <c r="B118" s="120"/>
      <c r="C118" s="120"/>
      <c r="D118" s="120"/>
      <c r="E118" s="120"/>
      <c r="F118" s="121"/>
      <c r="G118" s="122"/>
      <c r="H118" s="120"/>
    </row>
    <row r="119" spans="1:8" ht="12.3">
      <c r="A119" s="120"/>
      <c r="B119" s="120"/>
      <c r="C119" s="120"/>
      <c r="D119" s="120"/>
      <c r="E119" s="120"/>
      <c r="F119" s="121"/>
      <c r="G119" s="122"/>
      <c r="H119" s="120"/>
    </row>
    <row r="120" spans="1:8" ht="12.3">
      <c r="A120" s="120"/>
      <c r="B120" s="120"/>
      <c r="C120" s="120"/>
      <c r="D120" s="120"/>
      <c r="E120" s="120"/>
      <c r="F120" s="121"/>
      <c r="G120" s="122"/>
      <c r="H120" s="120"/>
    </row>
    <row r="121" spans="1:8" ht="12.3">
      <c r="A121" s="120"/>
      <c r="B121" s="120"/>
      <c r="C121" s="120"/>
      <c r="D121" s="120"/>
      <c r="E121" s="120"/>
      <c r="F121" s="121"/>
      <c r="G121" s="122"/>
      <c r="H121" s="120"/>
    </row>
    <row r="122" spans="1:8" ht="12.3">
      <c r="A122" s="120"/>
      <c r="B122" s="120"/>
      <c r="C122" s="120"/>
      <c r="D122" s="120"/>
      <c r="E122" s="120"/>
      <c r="F122" s="121"/>
      <c r="G122" s="122"/>
      <c r="H122" s="120"/>
    </row>
    <row r="123" spans="1:8" ht="12.3">
      <c r="A123" s="120"/>
      <c r="B123" s="120"/>
      <c r="C123" s="120"/>
      <c r="D123" s="120"/>
      <c r="E123" s="120"/>
      <c r="F123" s="121"/>
      <c r="G123" s="122"/>
      <c r="H123" s="120"/>
    </row>
    <row r="124" spans="1:8" ht="12.3">
      <c r="A124" s="120"/>
      <c r="B124" s="120"/>
      <c r="C124" s="120"/>
      <c r="D124" s="120"/>
      <c r="E124" s="120"/>
      <c r="F124" s="121"/>
      <c r="G124" s="122"/>
      <c r="H124" s="120"/>
    </row>
    <row r="125" spans="1:8" ht="12.3">
      <c r="A125" s="120"/>
      <c r="B125" s="120"/>
      <c r="C125" s="120"/>
      <c r="D125" s="120"/>
      <c r="E125" s="120"/>
      <c r="F125" s="121"/>
      <c r="G125" s="122"/>
      <c r="H125" s="120"/>
    </row>
    <row r="126" spans="1:8" ht="12.3">
      <c r="A126" s="120"/>
      <c r="B126" s="120"/>
      <c r="C126" s="120"/>
      <c r="D126" s="120"/>
      <c r="E126" s="120"/>
      <c r="F126" s="121"/>
      <c r="G126" s="122"/>
      <c r="H126" s="120"/>
    </row>
    <row r="127" spans="1:8" ht="12.3">
      <c r="A127" s="120"/>
      <c r="B127" s="120"/>
      <c r="C127" s="120"/>
      <c r="D127" s="120"/>
      <c r="E127" s="120"/>
      <c r="F127" s="121"/>
      <c r="G127" s="122"/>
      <c r="H127" s="120"/>
    </row>
    <row r="128" spans="1:8" ht="12.3">
      <c r="A128" s="120"/>
      <c r="B128" s="120"/>
      <c r="C128" s="120"/>
      <c r="D128" s="120"/>
      <c r="E128" s="120"/>
      <c r="F128" s="121"/>
      <c r="G128" s="122"/>
      <c r="H128" s="120"/>
    </row>
    <row r="129" spans="1:8" ht="12.3">
      <c r="A129" s="120"/>
      <c r="B129" s="120"/>
      <c r="C129" s="120"/>
      <c r="D129" s="120"/>
      <c r="E129" s="120"/>
      <c r="F129" s="121"/>
      <c r="G129" s="122"/>
      <c r="H129" s="120"/>
    </row>
    <row r="130" spans="1:8" ht="12.3">
      <c r="A130" s="120"/>
      <c r="B130" s="120"/>
      <c r="C130" s="120"/>
      <c r="D130" s="120"/>
      <c r="E130" s="120"/>
      <c r="F130" s="121"/>
      <c r="G130" s="122"/>
      <c r="H130" s="120"/>
    </row>
    <row r="131" spans="1:8" ht="12.3">
      <c r="A131" s="120"/>
      <c r="B131" s="120"/>
      <c r="C131" s="120"/>
      <c r="D131" s="120"/>
      <c r="E131" s="120"/>
      <c r="F131" s="121"/>
      <c r="G131" s="122"/>
      <c r="H131" s="120"/>
    </row>
    <row r="132" spans="1:8" ht="12.3">
      <c r="A132" s="120"/>
      <c r="B132" s="120"/>
      <c r="C132" s="120"/>
      <c r="D132" s="120"/>
      <c r="E132" s="120"/>
      <c r="F132" s="121"/>
      <c r="G132" s="122"/>
      <c r="H132" s="120"/>
    </row>
    <row r="133" spans="1:8" ht="12.3">
      <c r="A133" s="120"/>
      <c r="B133" s="120"/>
      <c r="C133" s="120"/>
      <c r="D133" s="120"/>
      <c r="E133" s="120"/>
      <c r="F133" s="121"/>
      <c r="G133" s="122"/>
      <c r="H133" s="120"/>
    </row>
    <row r="134" spans="1:8" ht="12.3">
      <c r="A134" s="120"/>
      <c r="B134" s="120"/>
      <c r="C134" s="120"/>
      <c r="D134" s="120"/>
      <c r="E134" s="120"/>
      <c r="F134" s="121"/>
      <c r="G134" s="122"/>
      <c r="H134" s="120"/>
    </row>
    <row r="135" spans="1:8" ht="12.3">
      <c r="A135" s="120"/>
      <c r="B135" s="120"/>
      <c r="C135" s="120"/>
      <c r="D135" s="120"/>
      <c r="E135" s="120"/>
      <c r="F135" s="121"/>
      <c r="G135" s="122"/>
      <c r="H135" s="120"/>
    </row>
    <row r="136" spans="1:8" ht="12.3">
      <c r="A136" s="120"/>
      <c r="B136" s="120"/>
      <c r="C136" s="120"/>
      <c r="D136" s="120"/>
      <c r="E136" s="120"/>
      <c r="F136" s="121"/>
      <c r="G136" s="122"/>
      <c r="H136" s="120"/>
    </row>
    <row r="137" spans="1:8" ht="12.3">
      <c r="A137" s="120"/>
      <c r="B137" s="120"/>
      <c r="C137" s="120"/>
      <c r="D137" s="120"/>
      <c r="E137" s="120"/>
      <c r="F137" s="121"/>
      <c r="G137" s="122"/>
      <c r="H137" s="120"/>
    </row>
    <row r="138" spans="1:8" ht="12.3">
      <c r="A138" s="120"/>
      <c r="B138" s="120"/>
      <c r="C138" s="120"/>
      <c r="D138" s="120"/>
      <c r="E138" s="120"/>
      <c r="F138" s="121"/>
      <c r="G138" s="122"/>
      <c r="H138" s="120"/>
    </row>
    <row r="139" spans="1:8" ht="12.3">
      <c r="A139" s="120"/>
      <c r="B139" s="120"/>
      <c r="C139" s="120"/>
      <c r="D139" s="120"/>
      <c r="E139" s="120"/>
      <c r="F139" s="121"/>
      <c r="G139" s="122"/>
      <c r="H139" s="120"/>
    </row>
    <row r="140" spans="1:8" ht="12.3">
      <c r="A140" s="120"/>
      <c r="B140" s="120"/>
      <c r="C140" s="120"/>
      <c r="D140" s="120"/>
      <c r="E140" s="120"/>
      <c r="F140" s="121"/>
      <c r="G140" s="122"/>
      <c r="H140" s="120"/>
    </row>
    <row r="141" spans="1:8" ht="12.3">
      <c r="A141" s="120"/>
      <c r="B141" s="120"/>
      <c r="C141" s="120"/>
      <c r="D141" s="120"/>
      <c r="E141" s="120"/>
      <c r="F141" s="121"/>
      <c r="G141" s="122"/>
      <c r="H141" s="120"/>
    </row>
    <row r="142" spans="1:8" ht="12.3">
      <c r="A142" s="120"/>
      <c r="B142" s="120"/>
      <c r="C142" s="120"/>
      <c r="D142" s="120"/>
      <c r="E142" s="120"/>
      <c r="F142" s="121"/>
      <c r="G142" s="122"/>
      <c r="H142" s="120"/>
    </row>
    <row r="143" spans="1:8" ht="12.3">
      <c r="A143" s="120"/>
      <c r="B143" s="120"/>
      <c r="C143" s="120"/>
      <c r="D143" s="120"/>
      <c r="E143" s="120"/>
      <c r="F143" s="121"/>
      <c r="G143" s="122"/>
      <c r="H143" s="120"/>
    </row>
    <row r="144" spans="1:8" ht="12.3">
      <c r="A144" s="120"/>
      <c r="B144" s="120"/>
      <c r="C144" s="120"/>
      <c r="D144" s="120"/>
      <c r="E144" s="120"/>
      <c r="F144" s="121"/>
      <c r="G144" s="122"/>
      <c r="H144" s="120"/>
    </row>
    <row r="145" spans="1:8" ht="12.3">
      <c r="A145" s="120"/>
      <c r="B145" s="120"/>
      <c r="C145" s="120"/>
      <c r="D145" s="120"/>
      <c r="E145" s="120"/>
      <c r="F145" s="121"/>
      <c r="G145" s="122"/>
      <c r="H145" s="120"/>
    </row>
    <row r="146" spans="1:8" ht="12.3">
      <c r="A146" s="120"/>
      <c r="B146" s="120"/>
      <c r="C146" s="120"/>
      <c r="D146" s="120"/>
      <c r="E146" s="120"/>
      <c r="F146" s="121"/>
      <c r="G146" s="122"/>
      <c r="H146" s="120"/>
    </row>
    <row r="147" spans="1:8" ht="12.3">
      <c r="A147" s="120"/>
      <c r="B147" s="120"/>
      <c r="C147" s="120"/>
      <c r="D147" s="120"/>
      <c r="E147" s="120"/>
      <c r="F147" s="121"/>
      <c r="G147" s="122"/>
      <c r="H147" s="120"/>
    </row>
    <row r="148" spans="1:8" ht="12.3">
      <c r="A148" s="120"/>
      <c r="B148" s="120"/>
      <c r="C148" s="120"/>
      <c r="D148" s="120"/>
      <c r="E148" s="120"/>
      <c r="F148" s="121"/>
      <c r="G148" s="122"/>
      <c r="H148" s="120"/>
    </row>
    <row r="149" spans="1:8" ht="12.3">
      <c r="A149" s="120"/>
      <c r="B149" s="120"/>
      <c r="C149" s="120"/>
      <c r="D149" s="120"/>
      <c r="E149" s="120"/>
      <c r="F149" s="121"/>
      <c r="G149" s="122"/>
      <c r="H149" s="120"/>
    </row>
    <row r="150" spans="1:8" ht="12.3">
      <c r="A150" s="120"/>
      <c r="B150" s="120"/>
      <c r="C150" s="120"/>
      <c r="D150" s="120"/>
      <c r="E150" s="120"/>
      <c r="F150" s="121"/>
      <c r="G150" s="122"/>
      <c r="H150" s="120"/>
    </row>
    <row r="151" spans="1:8" ht="12.3">
      <c r="A151" s="120"/>
      <c r="B151" s="120"/>
      <c r="C151" s="120"/>
      <c r="D151" s="120"/>
      <c r="E151" s="120"/>
      <c r="F151" s="121"/>
      <c r="G151" s="122"/>
      <c r="H151" s="120"/>
    </row>
    <row r="152" spans="1:8" ht="12.3">
      <c r="A152" s="120"/>
      <c r="B152" s="120"/>
      <c r="C152" s="120"/>
      <c r="D152" s="120"/>
      <c r="E152" s="120"/>
      <c r="F152" s="121"/>
      <c r="G152" s="122"/>
      <c r="H152" s="120"/>
    </row>
    <row r="153" spans="1:8" ht="12.3">
      <c r="A153" s="120"/>
      <c r="B153" s="120"/>
      <c r="C153" s="120"/>
      <c r="D153" s="120"/>
      <c r="E153" s="120"/>
      <c r="F153" s="121"/>
      <c r="G153" s="122"/>
      <c r="H153" s="120"/>
    </row>
    <row r="154" spans="1:8" ht="12.3">
      <c r="A154" s="120"/>
      <c r="B154" s="120"/>
      <c r="C154" s="120"/>
      <c r="D154" s="120"/>
      <c r="E154" s="120"/>
      <c r="F154" s="121"/>
      <c r="G154" s="122"/>
      <c r="H154" s="120"/>
    </row>
    <row r="155" spans="1:8" ht="12.3">
      <c r="A155" s="120"/>
      <c r="B155" s="120"/>
      <c r="C155" s="120"/>
      <c r="D155" s="120"/>
      <c r="E155" s="120"/>
      <c r="F155" s="121"/>
      <c r="G155" s="122"/>
      <c r="H155" s="120"/>
    </row>
    <row r="156" spans="1:8" ht="12.3">
      <c r="A156" s="120"/>
      <c r="B156" s="120"/>
      <c r="C156" s="120"/>
      <c r="D156" s="120"/>
      <c r="E156" s="120"/>
      <c r="F156" s="121"/>
      <c r="G156" s="122"/>
      <c r="H156" s="120"/>
    </row>
    <row r="157" spans="1:8" ht="12.3">
      <c r="A157" s="120"/>
      <c r="B157" s="120"/>
      <c r="C157" s="120"/>
      <c r="D157" s="120"/>
      <c r="E157" s="120"/>
      <c r="F157" s="121"/>
      <c r="G157" s="122"/>
      <c r="H157" s="120"/>
    </row>
    <row r="158" spans="1:8" ht="12.3">
      <c r="A158" s="120"/>
      <c r="B158" s="120"/>
      <c r="C158" s="120"/>
      <c r="D158" s="120"/>
      <c r="E158" s="120"/>
      <c r="F158" s="121"/>
      <c r="G158" s="122"/>
      <c r="H158" s="120"/>
    </row>
    <row r="159" spans="1:8" ht="12.3">
      <c r="A159" s="120"/>
      <c r="B159" s="120"/>
      <c r="C159" s="120"/>
      <c r="D159" s="120"/>
      <c r="E159" s="120"/>
      <c r="F159" s="121"/>
      <c r="G159" s="122"/>
      <c r="H159" s="120"/>
    </row>
    <row r="160" spans="1:8" ht="12.3">
      <c r="A160" s="120"/>
      <c r="B160" s="120"/>
      <c r="C160" s="120"/>
      <c r="D160" s="120"/>
      <c r="E160" s="120"/>
      <c r="F160" s="121"/>
      <c r="G160" s="122"/>
      <c r="H160" s="120"/>
    </row>
    <row r="161" spans="1:8" ht="12.3">
      <c r="A161" s="120"/>
      <c r="B161" s="120"/>
      <c r="C161" s="120"/>
      <c r="D161" s="120"/>
      <c r="E161" s="120"/>
      <c r="F161" s="121"/>
      <c r="G161" s="122"/>
      <c r="H161" s="120"/>
    </row>
    <row r="162" spans="1:8" ht="12.3">
      <c r="A162" s="120"/>
      <c r="B162" s="120"/>
      <c r="C162" s="120"/>
      <c r="D162" s="120"/>
      <c r="E162" s="120"/>
      <c r="F162" s="121"/>
      <c r="G162" s="122"/>
      <c r="H162" s="120"/>
    </row>
    <row r="163" spans="1:8" ht="12.3">
      <c r="A163" s="120"/>
      <c r="B163" s="120"/>
      <c r="C163" s="120"/>
      <c r="D163" s="120"/>
      <c r="E163" s="120"/>
      <c r="F163" s="121"/>
      <c r="G163" s="122"/>
      <c r="H163" s="120"/>
    </row>
    <row r="164" spans="1:8" ht="12.3">
      <c r="A164" s="120"/>
      <c r="B164" s="120"/>
      <c r="C164" s="120"/>
      <c r="D164" s="120"/>
      <c r="E164" s="120"/>
      <c r="F164" s="121"/>
      <c r="G164" s="122"/>
      <c r="H164" s="120"/>
    </row>
    <row r="165" spans="1:8" ht="12.3">
      <c r="A165" s="120"/>
      <c r="B165" s="120"/>
      <c r="C165" s="120"/>
      <c r="D165" s="120"/>
      <c r="E165" s="120"/>
      <c r="F165" s="121"/>
      <c r="G165" s="122"/>
      <c r="H165" s="120"/>
    </row>
    <row r="166" spans="1:8" ht="12.3">
      <c r="A166" s="120"/>
      <c r="B166" s="120"/>
      <c r="C166" s="120"/>
      <c r="D166" s="120"/>
      <c r="E166" s="120"/>
      <c r="F166" s="121"/>
      <c r="G166" s="122"/>
      <c r="H166" s="120"/>
    </row>
    <row r="167" spans="1:8" ht="12.3">
      <c r="A167" s="120"/>
      <c r="B167" s="120"/>
      <c r="C167" s="120"/>
      <c r="D167" s="120"/>
      <c r="E167" s="120"/>
      <c r="F167" s="121"/>
      <c r="G167" s="122"/>
      <c r="H167" s="120"/>
    </row>
    <row r="168" spans="1:8" ht="12.3">
      <c r="A168" s="120"/>
      <c r="B168" s="120"/>
      <c r="C168" s="120"/>
      <c r="D168" s="120"/>
      <c r="E168" s="120"/>
      <c r="F168" s="121"/>
      <c r="G168" s="122"/>
      <c r="H168" s="120"/>
    </row>
    <row r="169" spans="1:8" ht="12.3">
      <c r="A169" s="120"/>
      <c r="B169" s="120"/>
      <c r="C169" s="120"/>
      <c r="D169" s="120"/>
      <c r="E169" s="120"/>
      <c r="F169" s="121"/>
      <c r="G169" s="122"/>
      <c r="H169" s="120"/>
    </row>
    <row r="170" spans="1:8" ht="12.3">
      <c r="A170" s="120"/>
      <c r="B170" s="120"/>
      <c r="C170" s="120"/>
      <c r="D170" s="120"/>
      <c r="E170" s="120"/>
      <c r="F170" s="121"/>
      <c r="G170" s="122"/>
      <c r="H170" s="120"/>
    </row>
    <row r="171" spans="1:8" ht="12.3">
      <c r="A171" s="120"/>
      <c r="B171" s="120"/>
      <c r="C171" s="120"/>
      <c r="D171" s="120"/>
      <c r="E171" s="120"/>
      <c r="F171" s="121"/>
      <c r="G171" s="122"/>
      <c r="H171" s="120"/>
    </row>
    <row r="172" spans="1:8" ht="12.3">
      <c r="A172" s="120"/>
      <c r="B172" s="120"/>
      <c r="C172" s="120"/>
      <c r="D172" s="120"/>
      <c r="E172" s="120"/>
      <c r="F172" s="121"/>
      <c r="G172" s="122"/>
      <c r="H172" s="120"/>
    </row>
    <row r="173" spans="1:8" ht="12.3">
      <c r="A173" s="120"/>
      <c r="B173" s="120"/>
      <c r="C173" s="120"/>
      <c r="D173" s="120"/>
      <c r="E173" s="120"/>
      <c r="F173" s="121"/>
      <c r="G173" s="122"/>
      <c r="H173" s="120"/>
    </row>
    <row r="174" spans="1:8" ht="12.3">
      <c r="A174" s="120"/>
      <c r="B174" s="120"/>
      <c r="C174" s="120"/>
      <c r="D174" s="120"/>
      <c r="E174" s="120"/>
      <c r="F174" s="121"/>
      <c r="G174" s="122"/>
      <c r="H174" s="120"/>
    </row>
    <row r="175" spans="1:8" ht="12.3">
      <c r="A175" s="120"/>
      <c r="B175" s="120"/>
      <c r="C175" s="120"/>
      <c r="D175" s="120"/>
      <c r="E175" s="120"/>
      <c r="F175" s="121"/>
      <c r="G175" s="122"/>
      <c r="H175" s="120"/>
    </row>
    <row r="176" spans="1:8" ht="12.3">
      <c r="A176" s="120"/>
      <c r="B176" s="120"/>
      <c r="C176" s="120"/>
      <c r="D176" s="120"/>
      <c r="E176" s="120"/>
      <c r="F176" s="121"/>
      <c r="G176" s="122"/>
      <c r="H176" s="120"/>
    </row>
    <row r="177" spans="1:8" ht="12.3">
      <c r="A177" s="120"/>
      <c r="B177" s="120"/>
      <c r="C177" s="120"/>
      <c r="D177" s="120"/>
      <c r="E177" s="120"/>
      <c r="F177" s="121"/>
      <c r="G177" s="122"/>
      <c r="H177" s="120"/>
    </row>
    <row r="178" spans="1:8" ht="12.3">
      <c r="A178" s="120"/>
      <c r="B178" s="120"/>
      <c r="C178" s="120"/>
      <c r="D178" s="120"/>
      <c r="E178" s="120"/>
      <c r="F178" s="121"/>
      <c r="G178" s="122"/>
      <c r="H178" s="120"/>
    </row>
    <row r="179" spans="1:8" ht="12.3">
      <c r="A179" s="120"/>
      <c r="B179" s="120"/>
      <c r="C179" s="120"/>
      <c r="D179" s="120"/>
      <c r="E179" s="120"/>
      <c r="F179" s="121"/>
      <c r="G179" s="122"/>
      <c r="H179" s="120"/>
    </row>
    <row r="180" spans="1:8" ht="12.3">
      <c r="A180" s="120"/>
      <c r="B180" s="120"/>
      <c r="C180" s="120"/>
      <c r="D180" s="120"/>
      <c r="E180" s="120"/>
      <c r="F180" s="121"/>
      <c r="G180" s="122"/>
      <c r="H180" s="120"/>
    </row>
    <row r="181" spans="1:8" ht="12.3">
      <c r="A181" s="120"/>
      <c r="B181" s="120"/>
      <c r="C181" s="120"/>
      <c r="D181" s="120"/>
      <c r="E181" s="120"/>
      <c r="F181" s="121"/>
      <c r="G181" s="122"/>
      <c r="H181" s="120"/>
    </row>
    <row r="182" spans="1:8" ht="12.3">
      <c r="A182" s="120"/>
      <c r="B182" s="120"/>
      <c r="C182" s="120"/>
      <c r="D182" s="120"/>
      <c r="E182" s="120"/>
      <c r="F182" s="121"/>
      <c r="G182" s="122"/>
      <c r="H182" s="120"/>
    </row>
    <row r="183" spans="1:8" ht="12.3">
      <c r="A183" s="120"/>
      <c r="B183" s="120"/>
      <c r="C183" s="120"/>
      <c r="D183" s="120"/>
      <c r="E183" s="120"/>
      <c r="F183" s="121"/>
      <c r="G183" s="122"/>
      <c r="H183" s="120"/>
    </row>
    <row r="184" spans="1:8" ht="12.3">
      <c r="A184" s="120"/>
      <c r="B184" s="120"/>
      <c r="C184" s="120"/>
      <c r="D184" s="120"/>
      <c r="E184" s="120"/>
      <c r="F184" s="121"/>
      <c r="G184" s="122"/>
      <c r="H184" s="120"/>
    </row>
    <row r="185" spans="1:8" ht="12.3">
      <c r="A185" s="120"/>
      <c r="B185" s="120"/>
      <c r="C185" s="120"/>
      <c r="D185" s="120"/>
      <c r="E185" s="120"/>
      <c r="F185" s="121"/>
      <c r="G185" s="122"/>
      <c r="H185" s="120"/>
    </row>
    <row r="186" spans="1:8" ht="12.3">
      <c r="A186" s="120"/>
      <c r="B186" s="120"/>
      <c r="C186" s="120"/>
      <c r="D186" s="120"/>
      <c r="E186" s="120"/>
      <c r="F186" s="121"/>
      <c r="G186" s="122"/>
      <c r="H186" s="120"/>
    </row>
    <row r="187" spans="1:8" ht="12.3">
      <c r="A187" s="120"/>
      <c r="B187" s="120"/>
      <c r="C187" s="120"/>
      <c r="D187" s="120"/>
      <c r="E187" s="120"/>
      <c r="F187" s="121"/>
      <c r="G187" s="122"/>
      <c r="H187" s="120"/>
    </row>
    <row r="188" spans="1:8" ht="12.3">
      <c r="A188" s="120"/>
      <c r="B188" s="120"/>
      <c r="C188" s="120"/>
      <c r="D188" s="120"/>
      <c r="E188" s="120"/>
      <c r="F188" s="121"/>
      <c r="G188" s="122"/>
      <c r="H188" s="120"/>
    </row>
    <row r="189" spans="1:8" ht="12.3">
      <c r="A189" s="120"/>
      <c r="B189" s="120"/>
      <c r="C189" s="120"/>
      <c r="D189" s="120"/>
      <c r="E189" s="120"/>
      <c r="F189" s="121"/>
      <c r="G189" s="122"/>
      <c r="H189" s="120"/>
    </row>
    <row r="190" spans="1:8" ht="12.3">
      <c r="A190" s="120"/>
      <c r="B190" s="120"/>
      <c r="C190" s="120"/>
      <c r="D190" s="120"/>
      <c r="E190" s="120"/>
      <c r="F190" s="121"/>
      <c r="G190" s="122"/>
      <c r="H190" s="120"/>
    </row>
    <row r="191" spans="1:8" ht="12.3">
      <c r="A191" s="120"/>
      <c r="B191" s="120"/>
      <c r="C191" s="120"/>
      <c r="D191" s="120"/>
      <c r="E191" s="120"/>
      <c r="F191" s="121"/>
      <c r="G191" s="122"/>
      <c r="H191" s="120"/>
    </row>
    <row r="192" spans="1:8" ht="12.3">
      <c r="A192" s="120"/>
      <c r="B192" s="120"/>
      <c r="C192" s="120"/>
      <c r="D192" s="120"/>
      <c r="E192" s="120"/>
      <c r="F192" s="121"/>
      <c r="G192" s="122"/>
      <c r="H192" s="120"/>
    </row>
    <row r="193" spans="1:8" ht="12.3">
      <c r="A193" s="120"/>
      <c r="B193" s="120"/>
      <c r="C193" s="120"/>
      <c r="D193" s="120"/>
      <c r="E193" s="120"/>
      <c r="F193" s="121"/>
      <c r="G193" s="122"/>
      <c r="H193" s="120"/>
    </row>
    <row r="194" spans="1:8" ht="12.3">
      <c r="A194" s="120"/>
      <c r="B194" s="120"/>
      <c r="C194" s="120"/>
      <c r="D194" s="120"/>
      <c r="E194" s="120"/>
      <c r="F194" s="121"/>
      <c r="G194" s="122"/>
      <c r="H194" s="120"/>
    </row>
    <row r="195" spans="1:8" ht="12.3">
      <c r="A195" s="120"/>
      <c r="B195" s="120"/>
      <c r="C195" s="120"/>
      <c r="D195" s="120"/>
      <c r="E195" s="120"/>
      <c r="F195" s="121"/>
      <c r="G195" s="122"/>
      <c r="H195" s="120"/>
    </row>
    <row r="196" spans="1:8" ht="12.3">
      <c r="A196" s="120"/>
      <c r="B196" s="120"/>
      <c r="C196" s="120"/>
      <c r="D196" s="120"/>
      <c r="E196" s="120"/>
      <c r="F196" s="121"/>
      <c r="G196" s="122"/>
      <c r="H196" s="120"/>
    </row>
    <row r="197" spans="1:8" ht="12.3">
      <c r="A197" s="120"/>
      <c r="B197" s="120"/>
      <c r="C197" s="120"/>
      <c r="D197" s="120"/>
      <c r="E197" s="120"/>
      <c r="F197" s="121"/>
      <c r="G197" s="122"/>
      <c r="H197" s="120"/>
    </row>
    <row r="198" spans="1:8" ht="12.3">
      <c r="A198" s="120"/>
      <c r="B198" s="120"/>
      <c r="C198" s="120"/>
      <c r="D198" s="120"/>
      <c r="E198" s="120"/>
      <c r="F198" s="121"/>
      <c r="G198" s="122"/>
      <c r="H198" s="120"/>
    </row>
    <row r="199" spans="1:8" ht="12.3">
      <c r="A199" s="120"/>
      <c r="B199" s="120"/>
      <c r="C199" s="120"/>
      <c r="D199" s="120"/>
      <c r="E199" s="120"/>
      <c r="F199" s="121"/>
      <c r="G199" s="122"/>
      <c r="H199" s="120"/>
    </row>
    <row r="200" spans="1:8" ht="12.3">
      <c r="A200" s="120"/>
      <c r="B200" s="120"/>
      <c r="C200" s="120"/>
      <c r="D200" s="120"/>
      <c r="E200" s="120"/>
      <c r="F200" s="121"/>
      <c r="G200" s="122"/>
      <c r="H200" s="120"/>
    </row>
    <row r="201" spans="1:8" ht="12.3">
      <c r="A201" s="120"/>
      <c r="B201" s="120"/>
      <c r="C201" s="120"/>
      <c r="D201" s="120"/>
      <c r="E201" s="120"/>
      <c r="F201" s="121"/>
      <c r="G201" s="122"/>
      <c r="H201" s="120"/>
    </row>
    <row r="202" spans="1:8" ht="12.3">
      <c r="A202" s="120"/>
      <c r="B202" s="120"/>
      <c r="C202" s="120"/>
      <c r="D202" s="120"/>
      <c r="E202" s="120"/>
      <c r="F202" s="121"/>
      <c r="G202" s="122"/>
      <c r="H202" s="120"/>
    </row>
    <row r="203" spans="1:8" ht="12.3">
      <c r="A203" s="120"/>
      <c r="B203" s="120"/>
      <c r="C203" s="120"/>
      <c r="D203" s="120"/>
      <c r="E203" s="120"/>
      <c r="F203" s="121"/>
      <c r="G203" s="122"/>
      <c r="H203" s="120"/>
    </row>
    <row r="204" spans="1:8" ht="12.3">
      <c r="A204" s="120"/>
      <c r="B204" s="120"/>
      <c r="C204" s="120"/>
      <c r="D204" s="120"/>
      <c r="E204" s="120"/>
      <c r="F204" s="121"/>
      <c r="G204" s="122"/>
      <c r="H204" s="120"/>
    </row>
    <row r="205" spans="1:8" ht="12.3">
      <c r="A205" s="120"/>
      <c r="B205" s="120"/>
      <c r="C205" s="120"/>
      <c r="D205" s="120"/>
      <c r="E205" s="120"/>
      <c r="F205" s="121"/>
      <c r="G205" s="122"/>
      <c r="H205" s="120"/>
    </row>
    <row r="206" spans="1:8" ht="12.3">
      <c r="A206" s="120"/>
      <c r="B206" s="120"/>
      <c r="C206" s="120"/>
      <c r="D206" s="120"/>
      <c r="E206" s="120"/>
      <c r="F206" s="121"/>
      <c r="G206" s="122"/>
      <c r="H206" s="120"/>
    </row>
    <row r="207" spans="1:8" ht="12.3">
      <c r="A207" s="120"/>
      <c r="B207" s="120"/>
      <c r="C207" s="120"/>
      <c r="D207" s="120"/>
      <c r="E207" s="120"/>
      <c r="F207" s="121"/>
      <c r="G207" s="122"/>
      <c r="H207" s="120"/>
    </row>
    <row r="208" spans="1:8" ht="12.3">
      <c r="A208" s="120"/>
      <c r="B208" s="120"/>
      <c r="C208" s="120"/>
      <c r="D208" s="120"/>
      <c r="E208" s="120"/>
      <c r="F208" s="121"/>
      <c r="G208" s="122"/>
      <c r="H208" s="120"/>
    </row>
    <row r="209" spans="1:8" ht="12.3">
      <c r="A209" s="120"/>
      <c r="B209" s="120"/>
      <c r="C209" s="120"/>
      <c r="D209" s="120"/>
      <c r="E209" s="120"/>
      <c r="F209" s="121"/>
      <c r="G209" s="122"/>
      <c r="H209" s="120"/>
    </row>
    <row r="210" spans="1:8" ht="12.3">
      <c r="A210" s="120"/>
      <c r="B210" s="120"/>
      <c r="C210" s="120"/>
      <c r="D210" s="120"/>
      <c r="E210" s="120"/>
      <c r="F210" s="121"/>
      <c r="G210" s="122"/>
      <c r="H210" s="120"/>
    </row>
    <row r="211" spans="1:8" ht="12.3">
      <c r="A211" s="120"/>
      <c r="B211" s="120"/>
      <c r="C211" s="120"/>
      <c r="D211" s="120"/>
      <c r="E211" s="120"/>
      <c r="F211" s="121"/>
      <c r="G211" s="122"/>
      <c r="H211" s="120"/>
    </row>
    <row r="212" spans="1:8" ht="12.3">
      <c r="A212" s="120"/>
      <c r="B212" s="120"/>
      <c r="C212" s="120"/>
      <c r="D212" s="120"/>
      <c r="E212" s="120"/>
      <c r="F212" s="121"/>
      <c r="G212" s="122"/>
      <c r="H212" s="120"/>
    </row>
    <row r="213" spans="1:8" ht="12.3">
      <c r="A213" s="120"/>
      <c r="B213" s="120"/>
      <c r="C213" s="120"/>
      <c r="D213" s="120"/>
      <c r="E213" s="120"/>
      <c r="F213" s="121"/>
      <c r="G213" s="122"/>
      <c r="H213" s="120"/>
    </row>
    <row r="214" spans="1:8" ht="12.3">
      <c r="A214" s="120"/>
      <c r="B214" s="120"/>
      <c r="C214" s="120"/>
      <c r="D214" s="120"/>
      <c r="E214" s="120"/>
      <c r="F214" s="121"/>
      <c r="G214" s="122"/>
      <c r="H214" s="120"/>
    </row>
    <row r="215" spans="1:8" ht="12.3">
      <c r="A215" s="120"/>
      <c r="B215" s="120"/>
      <c r="C215" s="120"/>
      <c r="D215" s="120"/>
      <c r="E215" s="120"/>
      <c r="F215" s="121"/>
      <c r="G215" s="122"/>
      <c r="H215" s="120"/>
    </row>
    <row r="216" spans="1:8" ht="12.3">
      <c r="A216" s="120"/>
      <c r="B216" s="120"/>
      <c r="C216" s="120"/>
      <c r="D216" s="120"/>
      <c r="E216" s="120"/>
      <c r="F216" s="121"/>
      <c r="G216" s="122"/>
      <c r="H216" s="120"/>
    </row>
    <row r="217" spans="1:8" ht="12.3">
      <c r="A217" s="120"/>
      <c r="B217" s="120"/>
      <c r="C217" s="120"/>
      <c r="D217" s="120"/>
      <c r="E217" s="120"/>
      <c r="F217" s="121"/>
      <c r="G217" s="122"/>
      <c r="H217" s="120"/>
    </row>
    <row r="218" spans="1:8" ht="12.3">
      <c r="A218" s="120"/>
      <c r="B218" s="120"/>
      <c r="C218" s="120"/>
      <c r="D218" s="120"/>
      <c r="E218" s="120"/>
      <c r="F218" s="121"/>
      <c r="G218" s="122"/>
      <c r="H218" s="120"/>
    </row>
    <row r="219" spans="1:8" ht="12.3">
      <c r="A219" s="120"/>
      <c r="B219" s="120"/>
      <c r="C219" s="120"/>
      <c r="D219" s="120"/>
      <c r="E219" s="120"/>
      <c r="F219" s="121"/>
      <c r="G219" s="122"/>
      <c r="H219" s="120"/>
    </row>
    <row r="220" spans="1:8" ht="12.3">
      <c r="A220" s="120"/>
      <c r="B220" s="120"/>
      <c r="C220" s="120"/>
      <c r="D220" s="120"/>
      <c r="E220" s="120"/>
      <c r="F220" s="121"/>
      <c r="G220" s="122"/>
      <c r="H220" s="120"/>
    </row>
    <row r="221" spans="1:8" ht="12.3">
      <c r="A221" s="120"/>
      <c r="B221" s="120"/>
      <c r="C221" s="120"/>
      <c r="D221" s="120"/>
      <c r="E221" s="120"/>
      <c r="F221" s="121"/>
      <c r="G221" s="122"/>
      <c r="H221" s="120"/>
    </row>
    <row r="222" spans="1:8" ht="12.3">
      <c r="A222" s="120"/>
      <c r="B222" s="120"/>
      <c r="C222" s="120"/>
      <c r="D222" s="120"/>
      <c r="E222" s="120"/>
      <c r="F222" s="121"/>
      <c r="G222" s="122"/>
      <c r="H222" s="120"/>
    </row>
    <row r="223" spans="1:8" ht="12.3">
      <c r="A223" s="120"/>
      <c r="B223" s="120"/>
      <c r="C223" s="120"/>
      <c r="D223" s="120"/>
      <c r="E223" s="120"/>
      <c r="F223" s="121"/>
      <c r="G223" s="122"/>
      <c r="H223" s="120"/>
    </row>
    <row r="224" spans="1:8" ht="12.3">
      <c r="A224" s="120"/>
      <c r="B224" s="120"/>
      <c r="C224" s="120"/>
      <c r="D224" s="120"/>
      <c r="E224" s="120"/>
      <c r="F224" s="121"/>
      <c r="G224" s="122"/>
      <c r="H224" s="120"/>
    </row>
    <row r="225" spans="1:8" ht="12.3">
      <c r="A225" s="120"/>
      <c r="B225" s="120"/>
      <c r="C225" s="120"/>
      <c r="D225" s="120"/>
      <c r="E225" s="120"/>
      <c r="F225" s="121"/>
      <c r="G225" s="122"/>
      <c r="H225" s="120"/>
    </row>
    <row r="226" spans="1:8" ht="12.3">
      <c r="A226" s="120"/>
      <c r="B226" s="120"/>
      <c r="C226" s="120"/>
      <c r="D226" s="120"/>
      <c r="E226" s="120"/>
      <c r="F226" s="121"/>
      <c r="G226" s="122"/>
      <c r="H226" s="120"/>
    </row>
    <row r="227" spans="1:8" ht="12.3">
      <c r="A227" s="120"/>
      <c r="B227" s="120"/>
      <c r="C227" s="120"/>
      <c r="D227" s="120"/>
      <c r="E227" s="120"/>
      <c r="F227" s="121"/>
      <c r="G227" s="122"/>
      <c r="H227" s="120"/>
    </row>
    <row r="228" spans="1:8" ht="12.3">
      <c r="A228" s="120"/>
      <c r="B228" s="120"/>
      <c r="C228" s="120"/>
      <c r="D228" s="120"/>
      <c r="E228" s="120"/>
      <c r="F228" s="121"/>
      <c r="G228" s="122"/>
      <c r="H228" s="120"/>
    </row>
    <row r="229" spans="1:8" ht="12.3">
      <c r="A229" s="120"/>
      <c r="B229" s="120"/>
      <c r="C229" s="120"/>
      <c r="D229" s="120"/>
      <c r="E229" s="120"/>
      <c r="F229" s="121"/>
      <c r="G229" s="122"/>
      <c r="H229" s="120"/>
    </row>
    <row r="230" spans="1:8" ht="12.3">
      <c r="A230" s="120"/>
      <c r="B230" s="120"/>
      <c r="C230" s="120"/>
      <c r="D230" s="120"/>
      <c r="E230" s="120"/>
      <c r="F230" s="121"/>
      <c r="G230" s="122"/>
      <c r="H230" s="120"/>
    </row>
    <row r="231" spans="1:8" ht="12.3">
      <c r="A231" s="120"/>
      <c r="B231" s="120"/>
      <c r="C231" s="120"/>
      <c r="D231" s="120"/>
      <c r="E231" s="120"/>
      <c r="F231" s="121"/>
      <c r="G231" s="122"/>
      <c r="H231" s="120"/>
    </row>
    <row r="232" spans="1:8" ht="12.3">
      <c r="A232" s="120"/>
      <c r="B232" s="120"/>
      <c r="C232" s="120"/>
      <c r="D232" s="120"/>
      <c r="E232" s="120"/>
      <c r="F232" s="121"/>
      <c r="G232" s="122"/>
      <c r="H232" s="120"/>
    </row>
    <row r="233" spans="1:8" ht="12.3">
      <c r="A233" s="120"/>
      <c r="B233" s="120"/>
      <c r="C233" s="120"/>
      <c r="D233" s="120"/>
      <c r="E233" s="120"/>
      <c r="F233" s="121"/>
      <c r="G233" s="122"/>
      <c r="H233" s="120"/>
    </row>
    <row r="234" spans="1:8" ht="12.3">
      <c r="A234" s="120"/>
      <c r="B234" s="120"/>
      <c r="C234" s="120"/>
      <c r="D234" s="120"/>
      <c r="E234" s="120"/>
      <c r="F234" s="121"/>
      <c r="G234" s="122"/>
      <c r="H234" s="120"/>
    </row>
    <row r="235" spans="1:8" ht="12.3">
      <c r="A235" s="120"/>
      <c r="B235" s="120"/>
      <c r="C235" s="120"/>
      <c r="D235" s="120"/>
      <c r="E235" s="120"/>
      <c r="F235" s="121"/>
      <c r="G235" s="122"/>
      <c r="H235" s="120"/>
    </row>
    <row r="236" spans="1:8" ht="12.3">
      <c r="A236" s="120"/>
      <c r="B236" s="120"/>
      <c r="C236" s="120"/>
      <c r="D236" s="120"/>
      <c r="E236" s="120"/>
      <c r="F236" s="121"/>
      <c r="G236" s="122"/>
      <c r="H236" s="120"/>
    </row>
    <row r="237" spans="1:8" ht="12.3">
      <c r="A237" s="120"/>
      <c r="B237" s="120"/>
      <c r="C237" s="120"/>
      <c r="D237" s="120"/>
      <c r="E237" s="120"/>
      <c r="F237" s="121"/>
      <c r="G237" s="122"/>
      <c r="H237" s="120"/>
    </row>
    <row r="238" spans="1:8" ht="12.3">
      <c r="A238" s="120"/>
      <c r="B238" s="120"/>
      <c r="C238" s="120"/>
      <c r="D238" s="120"/>
      <c r="E238" s="120"/>
      <c r="F238" s="121"/>
      <c r="G238" s="122"/>
      <c r="H238" s="120"/>
    </row>
    <row r="239" spans="1:8" ht="12.3">
      <c r="A239" s="120"/>
      <c r="B239" s="120"/>
      <c r="C239" s="120"/>
      <c r="D239" s="120"/>
      <c r="E239" s="120"/>
      <c r="F239" s="121"/>
      <c r="G239" s="122"/>
      <c r="H239" s="120"/>
    </row>
    <row r="240" spans="1:8" ht="12.3">
      <c r="A240" s="120"/>
      <c r="B240" s="120"/>
      <c r="C240" s="120"/>
      <c r="D240" s="120"/>
      <c r="E240" s="120"/>
      <c r="F240" s="121"/>
      <c r="G240" s="122"/>
      <c r="H240" s="120"/>
    </row>
    <row r="241" spans="1:8" ht="12.3">
      <c r="A241" s="120"/>
      <c r="B241" s="120"/>
      <c r="C241" s="120"/>
      <c r="D241" s="120"/>
      <c r="E241" s="120"/>
      <c r="F241" s="121"/>
      <c r="G241" s="122"/>
      <c r="H241" s="120"/>
    </row>
    <row r="242" spans="1:8" ht="12.3">
      <c r="A242" s="120"/>
      <c r="B242" s="120"/>
      <c r="C242" s="120"/>
      <c r="D242" s="120"/>
      <c r="E242" s="120"/>
      <c r="F242" s="121"/>
      <c r="G242" s="122"/>
      <c r="H242" s="120"/>
    </row>
    <row r="243" spans="1:8" ht="12.3">
      <c r="A243" s="120"/>
      <c r="B243" s="120"/>
      <c r="C243" s="120"/>
      <c r="D243" s="120"/>
      <c r="E243" s="120"/>
      <c r="F243" s="121"/>
      <c r="G243" s="122"/>
      <c r="H243" s="120"/>
    </row>
    <row r="244" spans="1:8" ht="12.3">
      <c r="A244" s="120"/>
      <c r="B244" s="120"/>
      <c r="C244" s="120"/>
      <c r="D244" s="120"/>
      <c r="E244" s="120"/>
      <c r="F244" s="121"/>
      <c r="G244" s="122"/>
      <c r="H244" s="120"/>
    </row>
    <row r="245" spans="1:8" ht="12.3">
      <c r="A245" s="120"/>
      <c r="B245" s="120"/>
      <c r="C245" s="120"/>
      <c r="D245" s="120"/>
      <c r="E245" s="120"/>
      <c r="F245" s="121"/>
      <c r="G245" s="122"/>
      <c r="H245" s="120"/>
    </row>
    <row r="246" spans="1:8" ht="12.3">
      <c r="A246" s="120"/>
      <c r="B246" s="120"/>
      <c r="C246" s="120"/>
      <c r="D246" s="120"/>
      <c r="E246" s="120"/>
      <c r="F246" s="121"/>
      <c r="G246" s="122"/>
      <c r="H246" s="120"/>
    </row>
    <row r="247" spans="1:8" ht="12.3">
      <c r="A247" s="120"/>
      <c r="B247" s="120"/>
      <c r="C247" s="120"/>
      <c r="D247" s="120"/>
      <c r="E247" s="120"/>
      <c r="F247" s="121"/>
      <c r="G247" s="122"/>
      <c r="H247" s="120"/>
    </row>
    <row r="248" spans="1:8" ht="12.3">
      <c r="A248" s="120"/>
      <c r="B248" s="120"/>
      <c r="C248" s="120"/>
      <c r="D248" s="120"/>
      <c r="E248" s="120"/>
      <c r="F248" s="121"/>
      <c r="G248" s="122"/>
      <c r="H248" s="120"/>
    </row>
    <row r="249" spans="1:8" ht="12.3">
      <c r="A249" s="120"/>
      <c r="B249" s="120"/>
      <c r="C249" s="120"/>
      <c r="D249" s="120"/>
      <c r="E249" s="120"/>
      <c r="F249" s="121"/>
      <c r="G249" s="122"/>
      <c r="H249" s="120"/>
    </row>
    <row r="250" spans="1:8" ht="12.3">
      <c r="A250" s="120"/>
      <c r="B250" s="120"/>
      <c r="C250" s="120"/>
      <c r="D250" s="120"/>
      <c r="E250" s="120"/>
      <c r="F250" s="121"/>
      <c r="G250" s="122"/>
      <c r="H250" s="120"/>
    </row>
    <row r="251" spans="1:8" ht="12.3">
      <c r="A251" s="120"/>
      <c r="B251" s="120"/>
      <c r="C251" s="120"/>
      <c r="D251" s="120"/>
      <c r="E251" s="120"/>
      <c r="F251" s="121"/>
      <c r="G251" s="122"/>
      <c r="H251" s="120"/>
    </row>
    <row r="252" spans="1:8" ht="12.3">
      <c r="A252" s="120"/>
      <c r="B252" s="120"/>
      <c r="C252" s="120"/>
      <c r="D252" s="120"/>
      <c r="E252" s="120"/>
      <c r="F252" s="121"/>
      <c r="G252" s="122"/>
      <c r="H252" s="120"/>
    </row>
    <row r="253" spans="1:8" ht="12.3">
      <c r="A253" s="120"/>
      <c r="B253" s="120"/>
      <c r="C253" s="120"/>
      <c r="D253" s="120"/>
      <c r="E253" s="120"/>
      <c r="F253" s="121"/>
      <c r="G253" s="122"/>
      <c r="H253" s="120"/>
    </row>
    <row r="254" spans="1:8" ht="12.3">
      <c r="A254" s="120"/>
      <c r="B254" s="120"/>
      <c r="C254" s="120"/>
      <c r="D254" s="120"/>
      <c r="E254" s="120"/>
      <c r="F254" s="121"/>
      <c r="G254" s="122"/>
      <c r="H254" s="120"/>
    </row>
    <row r="255" spans="1:8" ht="12.3">
      <c r="A255" s="120"/>
      <c r="B255" s="120"/>
      <c r="C255" s="120"/>
      <c r="D255" s="120"/>
      <c r="E255" s="120"/>
      <c r="F255" s="121"/>
      <c r="G255" s="122"/>
      <c r="H255" s="120"/>
    </row>
    <row r="256" spans="1:8" ht="12.3">
      <c r="A256" s="120"/>
      <c r="B256" s="120"/>
      <c r="C256" s="120"/>
      <c r="D256" s="120"/>
      <c r="E256" s="120"/>
      <c r="F256" s="121"/>
      <c r="G256" s="122"/>
      <c r="H256" s="120"/>
    </row>
    <row r="257" spans="1:8" ht="12.3">
      <c r="A257" s="120"/>
      <c r="B257" s="120"/>
      <c r="C257" s="120"/>
      <c r="D257" s="120"/>
      <c r="E257" s="120"/>
      <c r="F257" s="121"/>
      <c r="G257" s="122"/>
      <c r="H257" s="120"/>
    </row>
    <row r="258" spans="1:8" ht="12.3">
      <c r="A258" s="120"/>
      <c r="B258" s="120"/>
      <c r="C258" s="120"/>
      <c r="D258" s="120"/>
      <c r="E258" s="120"/>
      <c r="F258" s="121"/>
      <c r="G258" s="122"/>
      <c r="H258" s="120"/>
    </row>
    <row r="259" spans="1:8" ht="12.3">
      <c r="A259" s="120"/>
      <c r="B259" s="120"/>
      <c r="C259" s="120"/>
      <c r="D259" s="120"/>
      <c r="E259" s="120"/>
      <c r="F259" s="121"/>
      <c r="G259" s="122"/>
      <c r="H259" s="120"/>
    </row>
    <row r="260" spans="1:8" ht="12.3">
      <c r="A260" s="120"/>
      <c r="B260" s="120"/>
      <c r="C260" s="120"/>
      <c r="D260" s="120"/>
      <c r="E260" s="120"/>
      <c r="F260" s="121"/>
      <c r="G260" s="122"/>
      <c r="H260" s="120"/>
    </row>
    <row r="261" spans="1:8" ht="12.3">
      <c r="A261" s="120"/>
      <c r="B261" s="120"/>
      <c r="C261" s="120"/>
      <c r="D261" s="120"/>
      <c r="E261" s="120"/>
      <c r="F261" s="121"/>
      <c r="G261" s="122"/>
      <c r="H261" s="120"/>
    </row>
    <row r="262" spans="1:8" ht="12.3">
      <c r="A262" s="120"/>
      <c r="B262" s="120"/>
      <c r="C262" s="120"/>
      <c r="D262" s="120"/>
      <c r="E262" s="120"/>
      <c r="F262" s="121"/>
      <c r="G262" s="122"/>
      <c r="H262" s="120"/>
    </row>
    <row r="263" spans="1:8" ht="12.3">
      <c r="A263" s="120"/>
      <c r="B263" s="120"/>
      <c r="C263" s="120"/>
      <c r="D263" s="120"/>
      <c r="E263" s="120"/>
      <c r="F263" s="121"/>
      <c r="G263" s="122"/>
      <c r="H263" s="120"/>
    </row>
    <row r="264" spans="1:8" ht="12.3">
      <c r="A264" s="120"/>
      <c r="B264" s="120"/>
      <c r="C264" s="120"/>
      <c r="D264" s="120"/>
      <c r="E264" s="120"/>
      <c r="F264" s="121"/>
      <c r="G264" s="122"/>
      <c r="H264" s="120"/>
    </row>
    <row r="265" spans="1:8" ht="12.3">
      <c r="A265" s="120"/>
      <c r="B265" s="120"/>
      <c r="C265" s="120"/>
      <c r="D265" s="120"/>
      <c r="E265" s="120"/>
      <c r="F265" s="121"/>
      <c r="G265" s="122"/>
      <c r="H265" s="120"/>
    </row>
    <row r="266" spans="1:8" ht="12.3">
      <c r="A266" s="120"/>
      <c r="B266" s="120"/>
      <c r="C266" s="120"/>
      <c r="D266" s="120"/>
      <c r="E266" s="120"/>
      <c r="F266" s="121"/>
      <c r="G266" s="122"/>
      <c r="H266" s="120"/>
    </row>
    <row r="267" spans="1:8" ht="12.3">
      <c r="A267" s="120"/>
      <c r="B267" s="120"/>
      <c r="C267" s="120"/>
      <c r="D267" s="120"/>
      <c r="E267" s="120"/>
      <c r="F267" s="121"/>
      <c r="G267" s="122"/>
      <c r="H267" s="120"/>
    </row>
    <row r="268" spans="1:8" ht="12.3">
      <c r="A268" s="120"/>
      <c r="B268" s="120"/>
      <c r="C268" s="120"/>
      <c r="D268" s="120"/>
      <c r="E268" s="120"/>
      <c r="F268" s="121"/>
      <c r="G268" s="122"/>
      <c r="H268" s="120"/>
    </row>
    <row r="269" spans="1:8" ht="12.3">
      <c r="A269" s="120"/>
      <c r="B269" s="120"/>
      <c r="C269" s="120"/>
      <c r="D269" s="120"/>
      <c r="E269" s="120"/>
      <c r="F269" s="121"/>
      <c r="G269" s="122"/>
      <c r="H269" s="120"/>
    </row>
    <row r="270" spans="1:8" ht="12.3">
      <c r="A270" s="120"/>
      <c r="B270" s="120"/>
      <c r="C270" s="120"/>
      <c r="D270" s="120"/>
      <c r="E270" s="120"/>
      <c r="F270" s="121"/>
      <c r="G270" s="122"/>
      <c r="H270" s="120"/>
    </row>
    <row r="271" spans="1:8" ht="12.3">
      <c r="A271" s="120"/>
      <c r="B271" s="120"/>
      <c r="C271" s="120"/>
      <c r="D271" s="120"/>
      <c r="E271" s="120"/>
      <c r="F271" s="121"/>
      <c r="G271" s="122"/>
      <c r="H271" s="120"/>
    </row>
    <row r="272" spans="1:8" ht="12.3">
      <c r="A272" s="120"/>
      <c r="B272" s="120"/>
      <c r="C272" s="120"/>
      <c r="D272" s="120"/>
      <c r="E272" s="120"/>
      <c r="F272" s="121"/>
      <c r="G272" s="122"/>
      <c r="H272" s="120"/>
    </row>
    <row r="273" spans="1:8" ht="12.3">
      <c r="A273" s="120"/>
      <c r="B273" s="120"/>
      <c r="C273" s="120"/>
      <c r="D273" s="120"/>
      <c r="E273" s="120"/>
      <c r="F273" s="121"/>
      <c r="G273" s="122"/>
      <c r="H273" s="120"/>
    </row>
    <row r="274" spans="1:8" ht="12.3">
      <c r="A274" s="120"/>
      <c r="B274" s="120"/>
      <c r="C274" s="120"/>
      <c r="D274" s="120"/>
      <c r="E274" s="120"/>
      <c r="F274" s="121"/>
      <c r="G274" s="122"/>
      <c r="H274" s="120"/>
    </row>
    <row r="275" spans="1:8" ht="12.3">
      <c r="A275" s="120"/>
      <c r="B275" s="120"/>
      <c r="C275" s="120"/>
      <c r="D275" s="120"/>
      <c r="E275" s="120"/>
      <c r="F275" s="121"/>
      <c r="G275" s="122"/>
      <c r="H275" s="120"/>
    </row>
    <row r="276" spans="1:8" ht="12.3">
      <c r="A276" s="120"/>
      <c r="B276" s="120"/>
      <c r="C276" s="120"/>
      <c r="D276" s="120"/>
      <c r="E276" s="120"/>
      <c r="F276" s="121"/>
      <c r="G276" s="122"/>
      <c r="H276" s="120"/>
    </row>
    <row r="277" spans="1:8" ht="12.3">
      <c r="A277" s="120"/>
      <c r="B277" s="120"/>
      <c r="C277" s="120"/>
      <c r="D277" s="120"/>
      <c r="E277" s="120"/>
      <c r="F277" s="121"/>
      <c r="G277" s="122"/>
      <c r="H277" s="120"/>
    </row>
    <row r="278" spans="1:8" ht="12.3">
      <c r="A278" s="120"/>
      <c r="B278" s="120"/>
      <c r="C278" s="120"/>
      <c r="D278" s="120"/>
      <c r="E278" s="120"/>
      <c r="F278" s="121"/>
      <c r="G278" s="122"/>
      <c r="H278" s="120"/>
    </row>
    <row r="279" spans="1:8" ht="12.3">
      <c r="A279" s="120"/>
      <c r="B279" s="120"/>
      <c r="C279" s="120"/>
      <c r="D279" s="120"/>
      <c r="E279" s="120"/>
      <c r="F279" s="121"/>
      <c r="G279" s="122"/>
      <c r="H279" s="120"/>
    </row>
    <row r="280" spans="1:8" ht="12.3">
      <c r="A280" s="120"/>
      <c r="B280" s="120"/>
      <c r="C280" s="120"/>
      <c r="D280" s="120"/>
      <c r="E280" s="120"/>
      <c r="F280" s="121"/>
      <c r="G280" s="122"/>
      <c r="H280" s="120"/>
    </row>
    <row r="281" spans="1:8" ht="12.3">
      <c r="A281" s="120"/>
      <c r="B281" s="120"/>
      <c r="C281" s="120"/>
      <c r="D281" s="120"/>
      <c r="E281" s="120"/>
      <c r="F281" s="121"/>
      <c r="G281" s="122"/>
      <c r="H281" s="120"/>
    </row>
    <row r="282" spans="1:8" ht="12.3">
      <c r="A282" s="120"/>
      <c r="B282" s="120"/>
      <c r="C282" s="120"/>
      <c r="D282" s="120"/>
      <c r="E282" s="120"/>
      <c r="F282" s="121"/>
      <c r="G282" s="122"/>
      <c r="H282" s="120"/>
    </row>
    <row r="283" spans="1:8" ht="12.3">
      <c r="A283" s="120"/>
      <c r="B283" s="120"/>
      <c r="C283" s="120"/>
      <c r="D283" s="120"/>
      <c r="E283" s="120"/>
      <c r="F283" s="121"/>
      <c r="G283" s="122"/>
      <c r="H283" s="120"/>
    </row>
    <row r="284" spans="1:8" ht="12.3">
      <c r="A284" s="120"/>
      <c r="B284" s="120"/>
      <c r="C284" s="120"/>
      <c r="D284" s="120"/>
      <c r="E284" s="120"/>
      <c r="F284" s="121"/>
      <c r="G284" s="122"/>
      <c r="H284" s="120"/>
    </row>
    <row r="285" spans="1:8" ht="12.3">
      <c r="A285" s="120"/>
      <c r="B285" s="120"/>
      <c r="C285" s="120"/>
      <c r="D285" s="120"/>
      <c r="E285" s="120"/>
      <c r="F285" s="121"/>
      <c r="G285" s="122"/>
      <c r="H285" s="120"/>
    </row>
    <row r="286" spans="1:8" ht="12.3">
      <c r="A286" s="120"/>
      <c r="B286" s="120"/>
      <c r="C286" s="120"/>
      <c r="D286" s="120"/>
      <c r="E286" s="120"/>
      <c r="F286" s="121"/>
      <c r="G286" s="122"/>
      <c r="H286" s="120"/>
    </row>
    <row r="287" spans="1:8" ht="12.3">
      <c r="A287" s="120"/>
      <c r="B287" s="120"/>
      <c r="C287" s="120"/>
      <c r="D287" s="120"/>
      <c r="E287" s="120"/>
      <c r="F287" s="121"/>
      <c r="G287" s="122"/>
      <c r="H287" s="120"/>
    </row>
    <row r="288" spans="1:8" ht="12.3">
      <c r="A288" s="120"/>
      <c r="B288" s="120"/>
      <c r="C288" s="120"/>
      <c r="D288" s="120"/>
      <c r="E288" s="120"/>
      <c r="F288" s="121"/>
      <c r="G288" s="122"/>
      <c r="H288" s="120"/>
    </row>
    <row r="289" spans="1:8" ht="12.3">
      <c r="A289" s="120"/>
      <c r="B289" s="120"/>
      <c r="C289" s="120"/>
      <c r="D289" s="120"/>
      <c r="E289" s="120"/>
      <c r="F289" s="121"/>
      <c r="G289" s="122"/>
      <c r="H289" s="120"/>
    </row>
    <row r="290" spans="1:8" ht="12.3">
      <c r="A290" s="120"/>
      <c r="B290" s="120"/>
      <c r="C290" s="120"/>
      <c r="D290" s="120"/>
      <c r="E290" s="120"/>
      <c r="F290" s="121"/>
      <c r="G290" s="122"/>
      <c r="H290" s="120"/>
    </row>
    <row r="291" spans="1:8" ht="12.3">
      <c r="A291" s="120"/>
      <c r="B291" s="120"/>
      <c r="C291" s="120"/>
      <c r="D291" s="120"/>
      <c r="E291" s="120"/>
      <c r="F291" s="121"/>
      <c r="G291" s="122"/>
      <c r="H291" s="120"/>
    </row>
    <row r="292" spans="1:8" ht="12.3">
      <c r="A292" s="120"/>
      <c r="B292" s="120"/>
      <c r="C292" s="120"/>
      <c r="D292" s="120"/>
      <c r="E292" s="120"/>
      <c r="F292" s="121"/>
      <c r="G292" s="122"/>
      <c r="H292" s="120"/>
    </row>
    <row r="293" spans="1:8" ht="12.3">
      <c r="A293" s="120"/>
      <c r="B293" s="120"/>
      <c r="C293" s="120"/>
      <c r="D293" s="120"/>
      <c r="E293" s="120"/>
      <c r="F293" s="121"/>
      <c r="G293" s="122"/>
      <c r="H293" s="120"/>
    </row>
    <row r="294" spans="1:8" ht="12.3">
      <c r="A294" s="120"/>
      <c r="B294" s="120"/>
      <c r="C294" s="120"/>
      <c r="D294" s="120"/>
      <c r="E294" s="120"/>
      <c r="F294" s="121"/>
      <c r="G294" s="122"/>
      <c r="H294" s="120"/>
    </row>
    <row r="295" spans="1:8" ht="12.3">
      <c r="A295" s="120"/>
      <c r="B295" s="120"/>
      <c r="C295" s="120"/>
      <c r="D295" s="120"/>
      <c r="E295" s="120"/>
      <c r="F295" s="121"/>
      <c r="G295" s="122"/>
      <c r="H295" s="120"/>
    </row>
    <row r="296" spans="1:8" ht="12.3">
      <c r="A296" s="120"/>
      <c r="B296" s="120"/>
      <c r="C296" s="120"/>
      <c r="D296" s="120"/>
      <c r="E296" s="120"/>
      <c r="F296" s="121"/>
      <c r="G296" s="122"/>
      <c r="H296" s="120"/>
    </row>
    <row r="297" spans="1:8" ht="12.3">
      <c r="A297" s="120"/>
      <c r="B297" s="120"/>
      <c r="C297" s="120"/>
      <c r="D297" s="120"/>
      <c r="E297" s="120"/>
      <c r="F297" s="121"/>
      <c r="G297" s="122"/>
      <c r="H297" s="120"/>
    </row>
    <row r="298" spans="1:8" ht="12.3">
      <c r="A298" s="120"/>
      <c r="B298" s="120"/>
      <c r="C298" s="120"/>
      <c r="D298" s="120"/>
      <c r="E298" s="120"/>
      <c r="F298" s="121"/>
      <c r="G298" s="122"/>
      <c r="H298" s="120"/>
    </row>
    <row r="299" spans="1:8" ht="12.3">
      <c r="A299" s="120"/>
      <c r="B299" s="120"/>
      <c r="C299" s="120"/>
      <c r="D299" s="120"/>
      <c r="E299" s="120"/>
      <c r="F299" s="121"/>
      <c r="G299" s="122"/>
      <c r="H299" s="120"/>
    </row>
    <row r="300" spans="1:8" ht="12.3">
      <c r="A300" s="120"/>
      <c r="B300" s="120"/>
      <c r="C300" s="120"/>
      <c r="D300" s="120"/>
      <c r="E300" s="120"/>
      <c r="F300" s="121"/>
      <c r="G300" s="122"/>
      <c r="H300" s="120"/>
    </row>
    <row r="301" spans="1:8" ht="12.3">
      <c r="A301" s="120"/>
      <c r="B301" s="120"/>
      <c r="C301" s="120"/>
      <c r="D301" s="120"/>
      <c r="E301" s="120"/>
      <c r="F301" s="121"/>
      <c r="G301" s="122"/>
      <c r="H301" s="120"/>
    </row>
    <row r="302" spans="1:8" ht="12.3">
      <c r="A302" s="120"/>
      <c r="B302" s="120"/>
      <c r="C302" s="120"/>
      <c r="D302" s="120"/>
      <c r="E302" s="120"/>
      <c r="F302" s="121"/>
      <c r="G302" s="122"/>
      <c r="H302" s="120"/>
    </row>
    <row r="303" spans="1:8" ht="12.3">
      <c r="A303" s="120"/>
      <c r="B303" s="120"/>
      <c r="C303" s="120"/>
      <c r="D303" s="120"/>
      <c r="E303" s="120"/>
      <c r="F303" s="121"/>
      <c r="G303" s="122"/>
      <c r="H303" s="120"/>
    </row>
    <row r="304" spans="1:8" ht="12.3">
      <c r="A304" s="120"/>
      <c r="B304" s="120"/>
      <c r="C304" s="120"/>
      <c r="D304" s="120"/>
      <c r="E304" s="120"/>
      <c r="F304" s="121"/>
      <c r="G304" s="122"/>
      <c r="H304" s="120"/>
    </row>
    <row r="305" spans="1:8" ht="12.3">
      <c r="A305" s="120"/>
      <c r="B305" s="120"/>
      <c r="C305" s="120"/>
      <c r="D305" s="120"/>
      <c r="E305" s="120"/>
      <c r="F305" s="121"/>
      <c r="G305" s="122"/>
      <c r="H305" s="120"/>
    </row>
    <row r="306" spans="1:8" ht="12.3">
      <c r="A306" s="120"/>
      <c r="B306" s="120"/>
      <c r="C306" s="120"/>
      <c r="D306" s="120"/>
      <c r="E306" s="120"/>
      <c r="F306" s="121"/>
      <c r="G306" s="122"/>
      <c r="H306" s="120"/>
    </row>
    <row r="307" spans="1:8" ht="12.3">
      <c r="A307" s="120"/>
      <c r="B307" s="120"/>
      <c r="C307" s="120"/>
      <c r="D307" s="120"/>
      <c r="E307" s="120"/>
      <c r="F307" s="121"/>
      <c r="G307" s="122"/>
      <c r="H307" s="120"/>
    </row>
    <row r="308" spans="1:8" ht="12.3">
      <c r="A308" s="120"/>
      <c r="B308" s="120"/>
      <c r="C308" s="120"/>
      <c r="D308" s="120"/>
      <c r="E308" s="120"/>
      <c r="F308" s="121"/>
      <c r="G308" s="122"/>
      <c r="H308" s="120"/>
    </row>
    <row r="309" spans="1:8" ht="12.3">
      <c r="A309" s="120"/>
      <c r="B309" s="120"/>
      <c r="C309" s="120"/>
      <c r="D309" s="120"/>
      <c r="E309" s="120"/>
      <c r="F309" s="121"/>
      <c r="G309" s="122"/>
      <c r="H309" s="120"/>
    </row>
    <row r="310" spans="1:8" ht="12.3">
      <c r="A310" s="120"/>
      <c r="B310" s="120"/>
      <c r="C310" s="120"/>
      <c r="D310" s="120"/>
      <c r="E310" s="120"/>
      <c r="F310" s="121"/>
      <c r="G310" s="122"/>
      <c r="H310" s="120"/>
    </row>
    <row r="311" spans="1:8" ht="12.3">
      <c r="A311" s="120"/>
      <c r="B311" s="120"/>
      <c r="C311" s="120"/>
      <c r="D311" s="120"/>
      <c r="E311" s="120"/>
      <c r="F311" s="121"/>
      <c r="G311" s="122"/>
      <c r="H311" s="120"/>
    </row>
    <row r="312" spans="1:8" ht="12.3">
      <c r="A312" s="120"/>
      <c r="B312" s="120"/>
      <c r="C312" s="120"/>
      <c r="D312" s="120"/>
      <c r="E312" s="120"/>
      <c r="F312" s="121"/>
      <c r="G312" s="122"/>
      <c r="H312" s="120"/>
    </row>
    <row r="313" spans="1:8" ht="12.3">
      <c r="A313" s="120"/>
      <c r="B313" s="120"/>
      <c r="C313" s="120"/>
      <c r="D313" s="120"/>
      <c r="E313" s="120"/>
      <c r="F313" s="121"/>
      <c r="G313" s="122"/>
      <c r="H313" s="120"/>
    </row>
    <row r="314" spans="1:8" ht="12.3">
      <c r="A314" s="120"/>
      <c r="B314" s="120"/>
      <c r="C314" s="120"/>
      <c r="D314" s="120"/>
      <c r="E314" s="120"/>
      <c r="F314" s="121"/>
      <c r="G314" s="122"/>
      <c r="H314" s="120"/>
    </row>
    <row r="315" spans="1:8" ht="12.3">
      <c r="A315" s="120"/>
      <c r="B315" s="120"/>
      <c r="C315" s="120"/>
      <c r="D315" s="120"/>
      <c r="E315" s="120"/>
      <c r="F315" s="121"/>
      <c r="G315" s="122"/>
      <c r="H315" s="120"/>
    </row>
    <row r="316" spans="1:8" ht="12.3">
      <c r="A316" s="120"/>
      <c r="B316" s="120"/>
      <c r="C316" s="120"/>
      <c r="D316" s="120"/>
      <c r="E316" s="120"/>
      <c r="F316" s="121"/>
      <c r="G316" s="122"/>
      <c r="H316" s="120"/>
    </row>
    <row r="317" spans="1:8" ht="12.3">
      <c r="A317" s="120"/>
      <c r="B317" s="120"/>
      <c r="C317" s="120"/>
      <c r="D317" s="120"/>
      <c r="E317" s="120"/>
      <c r="F317" s="121"/>
      <c r="G317" s="122"/>
      <c r="H317" s="120"/>
    </row>
    <row r="318" spans="1:8" ht="12.3">
      <c r="A318" s="120"/>
      <c r="B318" s="120"/>
      <c r="C318" s="120"/>
      <c r="D318" s="120"/>
      <c r="E318" s="120"/>
      <c r="F318" s="121"/>
      <c r="G318" s="122"/>
      <c r="H318" s="120"/>
    </row>
    <row r="319" spans="1:8" ht="12.3">
      <c r="A319" s="120"/>
      <c r="B319" s="120"/>
      <c r="C319" s="120"/>
      <c r="D319" s="120"/>
      <c r="E319" s="120"/>
      <c r="F319" s="121"/>
      <c r="G319" s="122"/>
      <c r="H319" s="120"/>
    </row>
    <row r="320" spans="1:8" ht="12.3">
      <c r="A320" s="120"/>
      <c r="B320" s="120"/>
      <c r="C320" s="120"/>
      <c r="D320" s="120"/>
      <c r="E320" s="120"/>
      <c r="F320" s="121"/>
      <c r="G320" s="122"/>
      <c r="H320" s="120"/>
    </row>
    <row r="321" spans="1:8" ht="12.3">
      <c r="A321" s="120"/>
      <c r="B321" s="120"/>
      <c r="C321" s="120"/>
      <c r="D321" s="120"/>
      <c r="E321" s="120"/>
      <c r="F321" s="121"/>
      <c r="G321" s="122"/>
      <c r="H321" s="120"/>
    </row>
    <row r="322" spans="1:8" ht="12.3">
      <c r="A322" s="120"/>
      <c r="B322" s="120"/>
      <c r="C322" s="120"/>
      <c r="D322" s="120"/>
      <c r="E322" s="120"/>
      <c r="F322" s="121"/>
      <c r="G322" s="122"/>
      <c r="H322" s="120"/>
    </row>
    <row r="323" spans="1:8" ht="12.3">
      <c r="A323" s="120"/>
      <c r="B323" s="120"/>
      <c r="C323" s="120"/>
      <c r="D323" s="120"/>
      <c r="E323" s="120"/>
      <c r="F323" s="121"/>
      <c r="G323" s="122"/>
      <c r="H323" s="120"/>
    </row>
    <row r="324" spans="1:8" ht="12.3">
      <c r="A324" s="120"/>
      <c r="B324" s="120"/>
      <c r="C324" s="120"/>
      <c r="D324" s="120"/>
      <c r="E324" s="120"/>
      <c r="F324" s="121"/>
      <c r="G324" s="122"/>
      <c r="H324" s="120"/>
    </row>
    <row r="325" spans="1:8" ht="12.3">
      <c r="A325" s="120"/>
      <c r="B325" s="120"/>
      <c r="C325" s="120"/>
      <c r="D325" s="120"/>
      <c r="E325" s="120"/>
      <c r="F325" s="121"/>
      <c r="G325" s="122"/>
      <c r="H325" s="120"/>
    </row>
    <row r="326" spans="1:8" ht="12.3">
      <c r="A326" s="120"/>
      <c r="B326" s="120"/>
      <c r="C326" s="120"/>
      <c r="D326" s="120"/>
      <c r="E326" s="120"/>
      <c r="F326" s="121"/>
      <c r="G326" s="122"/>
      <c r="H326" s="120"/>
    </row>
    <row r="327" spans="1:8" ht="12.3">
      <c r="A327" s="120"/>
      <c r="B327" s="120"/>
      <c r="C327" s="120"/>
      <c r="D327" s="120"/>
      <c r="E327" s="120"/>
      <c r="F327" s="121"/>
      <c r="G327" s="122"/>
      <c r="H327" s="120"/>
    </row>
    <row r="328" spans="1:8" ht="12.3">
      <c r="A328" s="120"/>
      <c r="B328" s="120"/>
      <c r="C328" s="120"/>
      <c r="D328" s="120"/>
      <c r="E328" s="120"/>
      <c r="F328" s="121"/>
      <c r="G328" s="122"/>
      <c r="H328" s="120"/>
    </row>
    <row r="329" spans="1:8" ht="12.3">
      <c r="A329" s="120"/>
      <c r="B329" s="120"/>
      <c r="C329" s="120"/>
      <c r="D329" s="120"/>
      <c r="E329" s="120"/>
      <c r="F329" s="121"/>
      <c r="G329" s="122"/>
      <c r="H329" s="120"/>
    </row>
    <row r="330" spans="1:8" ht="12.3">
      <c r="A330" s="120"/>
      <c r="B330" s="120"/>
      <c r="C330" s="120"/>
      <c r="D330" s="120"/>
      <c r="E330" s="120"/>
      <c r="F330" s="121"/>
      <c r="G330" s="122"/>
      <c r="H330" s="120"/>
    </row>
    <row r="331" spans="1:8" ht="12.3">
      <c r="A331" s="120"/>
      <c r="B331" s="120"/>
      <c r="C331" s="120"/>
      <c r="D331" s="120"/>
      <c r="E331" s="120"/>
      <c r="F331" s="121"/>
      <c r="G331" s="122"/>
      <c r="H331" s="120"/>
    </row>
    <row r="332" spans="1:8" ht="12.3">
      <c r="A332" s="120"/>
      <c r="B332" s="120"/>
      <c r="C332" s="120"/>
      <c r="D332" s="120"/>
      <c r="E332" s="120"/>
      <c r="F332" s="121"/>
      <c r="G332" s="122"/>
      <c r="H332" s="120"/>
    </row>
    <row r="333" spans="1:8" ht="12.3">
      <c r="A333" s="120"/>
      <c r="B333" s="120"/>
      <c r="C333" s="120"/>
      <c r="D333" s="120"/>
      <c r="E333" s="120"/>
      <c r="F333" s="121"/>
      <c r="G333" s="122"/>
      <c r="H333" s="120"/>
    </row>
    <row r="334" spans="1:8" ht="12.3">
      <c r="A334" s="120"/>
      <c r="B334" s="120"/>
      <c r="C334" s="120"/>
      <c r="D334" s="120"/>
      <c r="E334" s="120"/>
      <c r="F334" s="121"/>
      <c r="G334" s="122"/>
      <c r="H334" s="120"/>
    </row>
    <row r="335" spans="1:8" ht="12.3">
      <c r="A335" s="120"/>
      <c r="B335" s="120"/>
      <c r="C335" s="120"/>
      <c r="D335" s="120"/>
      <c r="E335" s="120"/>
      <c r="F335" s="121"/>
      <c r="G335" s="122"/>
      <c r="H335" s="120"/>
    </row>
    <row r="336" spans="1:8" ht="12.3">
      <c r="A336" s="120"/>
      <c r="B336" s="120"/>
      <c r="C336" s="120"/>
      <c r="D336" s="120"/>
      <c r="E336" s="120"/>
      <c r="F336" s="121"/>
      <c r="G336" s="122"/>
      <c r="H336" s="120"/>
    </row>
    <row r="337" spans="1:8" ht="12.3">
      <c r="A337" s="120"/>
      <c r="B337" s="120"/>
      <c r="C337" s="120"/>
      <c r="D337" s="120"/>
      <c r="E337" s="120"/>
      <c r="F337" s="121"/>
      <c r="G337" s="122"/>
      <c r="H337" s="120"/>
    </row>
    <row r="338" spans="1:8" ht="12.3">
      <c r="A338" s="120"/>
      <c r="B338" s="120"/>
      <c r="C338" s="120"/>
      <c r="D338" s="120"/>
      <c r="E338" s="120"/>
      <c r="F338" s="121"/>
      <c r="G338" s="122"/>
      <c r="H338" s="120"/>
    </row>
    <row r="339" spans="1:8" ht="12.3">
      <c r="A339" s="120"/>
      <c r="B339" s="120"/>
      <c r="C339" s="120"/>
      <c r="D339" s="120"/>
      <c r="E339" s="120"/>
      <c r="F339" s="121"/>
      <c r="G339" s="122"/>
      <c r="H339" s="120"/>
    </row>
    <row r="340" spans="1:8" ht="12.3">
      <c r="A340" s="120"/>
      <c r="B340" s="120"/>
      <c r="C340" s="120"/>
      <c r="D340" s="120"/>
      <c r="E340" s="120"/>
      <c r="F340" s="121"/>
      <c r="G340" s="122"/>
      <c r="H340" s="120"/>
    </row>
    <row r="341" spans="1:8" ht="12.3">
      <c r="A341" s="120"/>
      <c r="B341" s="120"/>
      <c r="C341" s="120"/>
      <c r="D341" s="120"/>
      <c r="E341" s="120"/>
      <c r="F341" s="121"/>
      <c r="G341" s="122"/>
      <c r="H341" s="120"/>
    </row>
    <row r="342" spans="1:8" ht="12.3">
      <c r="A342" s="120"/>
      <c r="B342" s="120"/>
      <c r="C342" s="120"/>
      <c r="D342" s="120"/>
      <c r="E342" s="120"/>
      <c r="F342" s="121"/>
      <c r="G342" s="122"/>
      <c r="H342" s="120"/>
    </row>
    <row r="343" spans="1:8" ht="12.3">
      <c r="A343" s="120"/>
      <c r="B343" s="120"/>
      <c r="C343" s="120"/>
      <c r="D343" s="120"/>
      <c r="E343" s="120"/>
      <c r="F343" s="121"/>
      <c r="G343" s="122"/>
      <c r="H343" s="120"/>
    </row>
    <row r="344" spans="1:8" ht="12.3">
      <c r="A344" s="120"/>
      <c r="B344" s="120"/>
      <c r="C344" s="120"/>
      <c r="D344" s="120"/>
      <c r="E344" s="120"/>
      <c r="F344" s="121"/>
      <c r="G344" s="122"/>
      <c r="H344" s="120"/>
    </row>
    <row r="345" spans="1:8" ht="12.3">
      <c r="A345" s="120"/>
      <c r="B345" s="120"/>
      <c r="C345" s="120"/>
      <c r="D345" s="120"/>
      <c r="E345" s="120"/>
      <c r="F345" s="121"/>
      <c r="G345" s="122"/>
      <c r="H345" s="120"/>
    </row>
    <row r="346" spans="1:8" ht="12.3">
      <c r="A346" s="120"/>
      <c r="B346" s="120"/>
      <c r="C346" s="120"/>
      <c r="D346" s="120"/>
      <c r="E346" s="120"/>
      <c r="F346" s="121"/>
      <c r="G346" s="122"/>
      <c r="H346" s="120"/>
    </row>
    <row r="347" spans="1:8" ht="12.3">
      <c r="A347" s="120"/>
      <c r="B347" s="120"/>
      <c r="C347" s="120"/>
      <c r="D347" s="120"/>
      <c r="E347" s="120"/>
      <c r="F347" s="121"/>
      <c r="G347" s="122"/>
      <c r="H347" s="120"/>
    </row>
    <row r="348" spans="1:8" ht="12.3">
      <c r="A348" s="120"/>
      <c r="B348" s="120"/>
      <c r="C348" s="120"/>
      <c r="D348" s="120"/>
      <c r="E348" s="120"/>
      <c r="F348" s="121"/>
      <c r="G348" s="122"/>
      <c r="H348" s="120"/>
    </row>
    <row r="349" spans="1:8" ht="12.3">
      <c r="A349" s="120"/>
      <c r="B349" s="120"/>
      <c r="C349" s="120"/>
      <c r="D349" s="120"/>
      <c r="E349" s="120"/>
      <c r="F349" s="121"/>
      <c r="G349" s="122"/>
      <c r="H349" s="120"/>
    </row>
    <row r="350" spans="1:8" ht="12.3">
      <c r="A350" s="120"/>
      <c r="B350" s="120"/>
      <c r="C350" s="120"/>
      <c r="D350" s="120"/>
      <c r="E350" s="120"/>
      <c r="F350" s="121"/>
      <c r="G350" s="122"/>
      <c r="H350" s="120"/>
    </row>
    <row r="351" spans="1:8" ht="12.3">
      <c r="A351" s="120"/>
      <c r="B351" s="120"/>
      <c r="C351" s="120"/>
      <c r="D351" s="120"/>
      <c r="E351" s="120"/>
      <c r="F351" s="121"/>
      <c r="G351" s="122"/>
      <c r="H351" s="120"/>
    </row>
    <row r="352" spans="1:8" ht="12.3">
      <c r="A352" s="120"/>
      <c r="B352" s="120"/>
      <c r="C352" s="120"/>
      <c r="D352" s="120"/>
      <c r="E352" s="120"/>
      <c r="F352" s="121"/>
      <c r="G352" s="122"/>
      <c r="H352" s="120"/>
    </row>
    <row r="353" spans="1:8" ht="12.3">
      <c r="A353" s="120"/>
      <c r="B353" s="120"/>
      <c r="C353" s="120"/>
      <c r="D353" s="120"/>
      <c r="E353" s="120"/>
      <c r="F353" s="121"/>
      <c r="G353" s="122"/>
      <c r="H353" s="120"/>
    </row>
    <row r="354" spans="1:8" ht="12.3">
      <c r="A354" s="120"/>
      <c r="B354" s="120"/>
      <c r="C354" s="120"/>
      <c r="D354" s="120"/>
      <c r="E354" s="120"/>
      <c r="F354" s="121"/>
      <c r="G354" s="122"/>
      <c r="H354" s="120"/>
    </row>
    <row r="355" spans="1:8" ht="12.3">
      <c r="A355" s="120"/>
      <c r="B355" s="120"/>
      <c r="C355" s="120"/>
      <c r="D355" s="120"/>
      <c r="E355" s="120"/>
      <c r="F355" s="121"/>
      <c r="G355" s="122"/>
      <c r="H355" s="120"/>
    </row>
    <row r="356" spans="1:8" ht="12.3">
      <c r="A356" s="120"/>
      <c r="B356" s="120"/>
      <c r="C356" s="120"/>
      <c r="D356" s="120"/>
      <c r="E356" s="120"/>
      <c r="F356" s="121"/>
      <c r="G356" s="122"/>
      <c r="H356" s="120"/>
    </row>
    <row r="357" spans="1:8" ht="12.3">
      <c r="A357" s="120"/>
      <c r="B357" s="120"/>
      <c r="C357" s="120"/>
      <c r="D357" s="120"/>
      <c r="E357" s="120"/>
      <c r="F357" s="121"/>
      <c r="G357" s="122"/>
      <c r="H357" s="120"/>
    </row>
    <row r="358" spans="1:8" ht="12.3">
      <c r="A358" s="120"/>
      <c r="B358" s="120"/>
      <c r="C358" s="120"/>
      <c r="D358" s="120"/>
      <c r="E358" s="120"/>
      <c r="F358" s="121"/>
      <c r="G358" s="122"/>
      <c r="H358" s="120"/>
    </row>
    <row r="359" spans="1:8" ht="12.3">
      <c r="A359" s="120"/>
      <c r="B359" s="120"/>
      <c r="C359" s="120"/>
      <c r="D359" s="120"/>
      <c r="E359" s="120"/>
      <c r="F359" s="121"/>
      <c r="G359" s="122"/>
      <c r="H359" s="120"/>
    </row>
    <row r="360" spans="1:8" ht="12.3">
      <c r="A360" s="120"/>
      <c r="B360" s="120"/>
      <c r="C360" s="120"/>
      <c r="D360" s="120"/>
      <c r="E360" s="120"/>
      <c r="F360" s="121"/>
      <c r="G360" s="122"/>
      <c r="H360" s="120"/>
    </row>
    <row r="361" spans="1:8" ht="12.3">
      <c r="A361" s="120"/>
      <c r="B361" s="120"/>
      <c r="C361" s="120"/>
      <c r="D361" s="120"/>
      <c r="E361" s="120"/>
      <c r="F361" s="121"/>
      <c r="G361" s="122"/>
      <c r="H361" s="120"/>
    </row>
    <row r="362" spans="1:8" ht="12.3">
      <c r="A362" s="120"/>
      <c r="B362" s="120"/>
      <c r="C362" s="120"/>
      <c r="D362" s="120"/>
      <c r="E362" s="120"/>
      <c r="F362" s="121"/>
      <c r="G362" s="122"/>
      <c r="H362" s="120"/>
    </row>
    <row r="363" spans="1:8" ht="12.3">
      <c r="A363" s="120"/>
      <c r="B363" s="120"/>
      <c r="C363" s="120"/>
      <c r="D363" s="120"/>
      <c r="E363" s="120"/>
      <c r="F363" s="121"/>
      <c r="G363" s="122"/>
      <c r="H363" s="120"/>
    </row>
    <row r="364" spans="1:8" ht="12.3">
      <c r="A364" s="120"/>
      <c r="B364" s="120"/>
      <c r="C364" s="120"/>
      <c r="D364" s="120"/>
      <c r="E364" s="120"/>
      <c r="F364" s="121"/>
      <c r="G364" s="122"/>
      <c r="H364" s="120"/>
    </row>
    <row r="365" spans="1:8" ht="12.3">
      <c r="A365" s="120"/>
      <c r="B365" s="120"/>
      <c r="C365" s="120"/>
      <c r="D365" s="120"/>
      <c r="E365" s="120"/>
      <c r="F365" s="121"/>
      <c r="G365" s="122"/>
      <c r="H365" s="120"/>
    </row>
    <row r="366" spans="1:8" ht="12.3">
      <c r="A366" s="120"/>
      <c r="B366" s="120"/>
      <c r="C366" s="120"/>
      <c r="D366" s="120"/>
      <c r="E366" s="120"/>
      <c r="F366" s="121"/>
      <c r="G366" s="122"/>
      <c r="H366" s="120"/>
    </row>
    <row r="367" spans="1:8" ht="12.3">
      <c r="A367" s="120"/>
      <c r="B367" s="120"/>
      <c r="C367" s="120"/>
      <c r="D367" s="120"/>
      <c r="E367" s="120"/>
      <c r="F367" s="121"/>
      <c r="G367" s="122"/>
      <c r="H367" s="120"/>
    </row>
    <row r="368" spans="1:8" ht="12.3">
      <c r="A368" s="120"/>
      <c r="B368" s="120"/>
      <c r="C368" s="120"/>
      <c r="D368" s="120"/>
      <c r="E368" s="120"/>
      <c r="F368" s="121"/>
      <c r="G368" s="122"/>
      <c r="H368" s="120"/>
    </row>
    <row r="369" spans="1:8" ht="12.3">
      <c r="A369" s="120"/>
      <c r="B369" s="120"/>
      <c r="C369" s="120"/>
      <c r="D369" s="120"/>
      <c r="E369" s="120"/>
      <c r="F369" s="121"/>
      <c r="G369" s="122"/>
      <c r="H369" s="120"/>
    </row>
    <row r="370" spans="1:8" ht="12.3">
      <c r="A370" s="120"/>
      <c r="B370" s="120"/>
      <c r="C370" s="120"/>
      <c r="D370" s="120"/>
      <c r="E370" s="120"/>
      <c r="F370" s="121"/>
      <c r="G370" s="122"/>
      <c r="H370" s="120"/>
    </row>
    <row r="371" spans="1:8" ht="12.3">
      <c r="A371" s="120"/>
      <c r="B371" s="120"/>
      <c r="C371" s="120"/>
      <c r="D371" s="120"/>
      <c r="E371" s="120"/>
      <c r="F371" s="121"/>
      <c r="G371" s="122"/>
      <c r="H371" s="120"/>
    </row>
    <row r="372" spans="1:8" ht="12.3">
      <c r="A372" s="120"/>
      <c r="B372" s="120"/>
      <c r="C372" s="120"/>
      <c r="D372" s="120"/>
      <c r="E372" s="120"/>
      <c r="F372" s="121"/>
      <c r="G372" s="122"/>
      <c r="H372" s="120"/>
    </row>
    <row r="373" spans="1:8" ht="12.3">
      <c r="A373" s="120"/>
      <c r="B373" s="120"/>
      <c r="C373" s="120"/>
      <c r="D373" s="120"/>
      <c r="E373" s="120"/>
      <c r="F373" s="121"/>
      <c r="G373" s="122"/>
      <c r="H373" s="120"/>
    </row>
    <row r="374" spans="1:8" ht="12.3">
      <c r="A374" s="120"/>
      <c r="B374" s="120"/>
      <c r="C374" s="120"/>
      <c r="D374" s="120"/>
      <c r="E374" s="120"/>
      <c r="F374" s="121"/>
      <c r="G374" s="122"/>
      <c r="H374" s="120"/>
    </row>
    <row r="375" spans="1:8" ht="12.3">
      <c r="A375" s="120"/>
      <c r="B375" s="120"/>
      <c r="C375" s="120"/>
      <c r="D375" s="120"/>
      <c r="E375" s="120"/>
      <c r="F375" s="121"/>
      <c r="G375" s="122"/>
      <c r="H375" s="120"/>
    </row>
    <row r="376" spans="1:8" ht="12.3">
      <c r="A376" s="120"/>
      <c r="B376" s="120"/>
      <c r="C376" s="120"/>
      <c r="D376" s="120"/>
      <c r="E376" s="120"/>
      <c r="F376" s="121"/>
      <c r="G376" s="122"/>
      <c r="H376" s="120"/>
    </row>
    <row r="377" spans="1:8" ht="12.3">
      <c r="A377" s="120"/>
      <c r="B377" s="120"/>
      <c r="C377" s="120"/>
      <c r="D377" s="120"/>
      <c r="E377" s="120"/>
      <c r="F377" s="121"/>
      <c r="G377" s="122"/>
      <c r="H377" s="120"/>
    </row>
    <row r="378" spans="1:8" ht="12.3">
      <c r="A378" s="120"/>
      <c r="B378" s="120"/>
      <c r="C378" s="120"/>
      <c r="D378" s="120"/>
      <c r="E378" s="120"/>
      <c r="F378" s="121"/>
      <c r="G378" s="122"/>
      <c r="H378" s="120"/>
    </row>
    <row r="379" spans="1:8" ht="12.3">
      <c r="A379" s="120"/>
      <c r="B379" s="120"/>
      <c r="C379" s="120"/>
      <c r="D379" s="120"/>
      <c r="E379" s="120"/>
      <c r="F379" s="121"/>
      <c r="G379" s="122"/>
      <c r="H379" s="120"/>
    </row>
    <row r="380" spans="1:8" ht="12.3">
      <c r="A380" s="120"/>
      <c r="B380" s="120"/>
      <c r="C380" s="120"/>
      <c r="D380" s="120"/>
      <c r="E380" s="120"/>
      <c r="F380" s="121"/>
      <c r="G380" s="122"/>
      <c r="H380" s="120"/>
    </row>
    <row r="381" spans="1:8" ht="12.3">
      <c r="A381" s="120"/>
      <c r="B381" s="120"/>
      <c r="C381" s="120"/>
      <c r="D381" s="120"/>
      <c r="E381" s="120"/>
      <c r="F381" s="121"/>
      <c r="G381" s="122"/>
      <c r="H381" s="120"/>
    </row>
    <row r="382" spans="1:8" ht="12.3">
      <c r="A382" s="120"/>
      <c r="B382" s="120"/>
      <c r="C382" s="120"/>
      <c r="D382" s="120"/>
      <c r="E382" s="120"/>
      <c r="F382" s="121"/>
      <c r="G382" s="122"/>
      <c r="H382" s="120"/>
    </row>
    <row r="383" spans="1:8" ht="12.3">
      <c r="A383" s="120"/>
      <c r="B383" s="120"/>
      <c r="C383" s="120"/>
      <c r="D383" s="120"/>
      <c r="E383" s="120"/>
      <c r="F383" s="121"/>
      <c r="G383" s="122"/>
      <c r="H383" s="120"/>
    </row>
    <row r="384" spans="1:8" ht="12.3">
      <c r="A384" s="120"/>
      <c r="B384" s="120"/>
      <c r="C384" s="120"/>
      <c r="D384" s="120"/>
      <c r="E384" s="120"/>
      <c r="F384" s="121"/>
      <c r="G384" s="122"/>
      <c r="H384" s="120"/>
    </row>
    <row r="385" spans="1:8" ht="12.3">
      <c r="A385" s="120"/>
      <c r="B385" s="120"/>
      <c r="C385" s="120"/>
      <c r="D385" s="120"/>
      <c r="E385" s="120"/>
      <c r="F385" s="121"/>
      <c r="G385" s="122"/>
      <c r="H385" s="120"/>
    </row>
    <row r="386" spans="1:8" ht="12.3">
      <c r="A386" s="120"/>
      <c r="B386" s="120"/>
      <c r="C386" s="120"/>
      <c r="D386" s="120"/>
      <c r="E386" s="120"/>
      <c r="F386" s="121"/>
      <c r="G386" s="122"/>
      <c r="H386" s="120"/>
    </row>
    <row r="387" spans="1:8" ht="12.3">
      <c r="A387" s="120"/>
      <c r="B387" s="120"/>
      <c r="C387" s="120"/>
      <c r="D387" s="120"/>
      <c r="E387" s="120"/>
      <c r="F387" s="121"/>
      <c r="G387" s="122"/>
      <c r="H387" s="120"/>
    </row>
    <row r="388" spans="1:8" ht="12.3">
      <c r="A388" s="120"/>
      <c r="B388" s="120"/>
      <c r="C388" s="120"/>
      <c r="D388" s="120"/>
      <c r="E388" s="120"/>
      <c r="F388" s="121"/>
      <c r="G388" s="122"/>
      <c r="H388" s="120"/>
    </row>
    <row r="389" spans="1:8" ht="12.3">
      <c r="A389" s="120"/>
      <c r="B389" s="120"/>
      <c r="C389" s="120"/>
      <c r="D389" s="120"/>
      <c r="E389" s="120"/>
      <c r="F389" s="121"/>
      <c r="G389" s="122"/>
      <c r="H389" s="120"/>
    </row>
    <row r="390" spans="1:8" ht="12.3">
      <c r="A390" s="120"/>
      <c r="B390" s="120"/>
      <c r="C390" s="120"/>
      <c r="D390" s="120"/>
      <c r="E390" s="120"/>
      <c r="F390" s="121"/>
      <c r="G390" s="122"/>
      <c r="H390" s="120"/>
    </row>
    <row r="391" spans="1:8" ht="12.3">
      <c r="A391" s="120"/>
      <c r="B391" s="120"/>
      <c r="C391" s="120"/>
      <c r="D391" s="120"/>
      <c r="E391" s="120"/>
      <c r="F391" s="121"/>
      <c r="G391" s="122"/>
      <c r="H391" s="120"/>
    </row>
    <row r="392" spans="1:8" ht="12.3">
      <c r="A392" s="120"/>
      <c r="B392" s="120"/>
      <c r="C392" s="120"/>
      <c r="D392" s="120"/>
      <c r="E392" s="120"/>
      <c r="F392" s="121"/>
      <c r="G392" s="122"/>
      <c r="H392" s="120"/>
    </row>
    <row r="393" spans="1:8" ht="12.3">
      <c r="A393" s="120"/>
      <c r="B393" s="120"/>
      <c r="C393" s="120"/>
      <c r="D393" s="120"/>
      <c r="E393" s="120"/>
      <c r="F393" s="121"/>
      <c r="G393" s="122"/>
      <c r="H393" s="120"/>
    </row>
    <row r="394" spans="1:8" ht="12.3">
      <c r="A394" s="120"/>
      <c r="B394" s="120"/>
      <c r="C394" s="120"/>
      <c r="D394" s="120"/>
      <c r="E394" s="120"/>
      <c r="F394" s="121"/>
      <c r="G394" s="122"/>
      <c r="H394" s="120"/>
    </row>
    <row r="395" spans="1:8" ht="12.3">
      <c r="A395" s="120"/>
      <c r="B395" s="120"/>
      <c r="C395" s="120"/>
      <c r="D395" s="120"/>
      <c r="E395" s="120"/>
      <c r="F395" s="121"/>
      <c r="G395" s="122"/>
      <c r="H395" s="120"/>
    </row>
    <row r="396" spans="1:8" ht="12.3">
      <c r="A396" s="120"/>
      <c r="B396" s="120"/>
      <c r="C396" s="120"/>
      <c r="D396" s="120"/>
      <c r="E396" s="120"/>
      <c r="F396" s="121"/>
      <c r="G396" s="122"/>
      <c r="H396" s="120"/>
    </row>
    <row r="397" spans="1:8" ht="12.3">
      <c r="A397" s="120"/>
      <c r="B397" s="120"/>
      <c r="C397" s="120"/>
      <c r="D397" s="120"/>
      <c r="E397" s="120"/>
      <c r="F397" s="121"/>
      <c r="G397" s="122"/>
      <c r="H397" s="120"/>
    </row>
    <row r="398" spans="1:8" ht="12.3">
      <c r="A398" s="120"/>
      <c r="B398" s="120"/>
      <c r="C398" s="120"/>
      <c r="D398" s="120"/>
      <c r="E398" s="120"/>
      <c r="F398" s="121"/>
      <c r="G398" s="122"/>
      <c r="H398" s="120"/>
    </row>
    <row r="399" spans="1:8" ht="12.3">
      <c r="A399" s="120"/>
      <c r="B399" s="120"/>
      <c r="C399" s="120"/>
      <c r="D399" s="120"/>
      <c r="E399" s="120"/>
      <c r="F399" s="121"/>
      <c r="G399" s="122"/>
      <c r="H399" s="120"/>
    </row>
    <row r="400" spans="1:8" ht="12.3">
      <c r="A400" s="120"/>
      <c r="B400" s="120"/>
      <c r="C400" s="120"/>
      <c r="D400" s="120"/>
      <c r="E400" s="120"/>
      <c r="F400" s="121"/>
      <c r="G400" s="122"/>
      <c r="H400" s="120"/>
    </row>
    <row r="401" spans="1:8" ht="12.3">
      <c r="A401" s="120"/>
      <c r="B401" s="120"/>
      <c r="C401" s="120"/>
      <c r="D401" s="120"/>
      <c r="E401" s="120"/>
      <c r="F401" s="121"/>
      <c r="G401" s="122"/>
      <c r="H401" s="120"/>
    </row>
    <row r="402" spans="1:8" ht="12.3">
      <c r="A402" s="120"/>
      <c r="B402" s="120"/>
      <c r="C402" s="120"/>
      <c r="D402" s="120"/>
      <c r="E402" s="120"/>
      <c r="F402" s="121"/>
      <c r="G402" s="122"/>
      <c r="H402" s="120"/>
    </row>
    <row r="403" spans="1:8" ht="12.3">
      <c r="A403" s="120"/>
      <c r="B403" s="120"/>
      <c r="C403" s="120"/>
      <c r="D403" s="120"/>
      <c r="E403" s="120"/>
      <c r="F403" s="121"/>
      <c r="G403" s="122"/>
      <c r="H403" s="120"/>
    </row>
    <row r="404" spans="1:8" ht="12.3">
      <c r="A404" s="120"/>
      <c r="B404" s="120"/>
      <c r="C404" s="120"/>
      <c r="D404" s="120"/>
      <c r="E404" s="120"/>
      <c r="F404" s="121"/>
      <c r="G404" s="122"/>
      <c r="H404" s="120"/>
    </row>
    <row r="405" spans="1:8" ht="12.3">
      <c r="A405" s="120"/>
      <c r="B405" s="120"/>
      <c r="C405" s="120"/>
      <c r="D405" s="120"/>
      <c r="E405" s="120"/>
      <c r="F405" s="121"/>
      <c r="G405" s="122"/>
      <c r="H405" s="120"/>
    </row>
    <row r="406" spans="1:8" ht="12.3">
      <c r="A406" s="120"/>
      <c r="B406" s="120"/>
      <c r="C406" s="120"/>
      <c r="D406" s="120"/>
      <c r="E406" s="120"/>
      <c r="F406" s="121"/>
      <c r="G406" s="122"/>
      <c r="H406" s="120"/>
    </row>
    <row r="407" spans="1:8" ht="12.3">
      <c r="A407" s="120"/>
      <c r="B407" s="120"/>
      <c r="C407" s="120"/>
      <c r="D407" s="120"/>
      <c r="E407" s="120"/>
      <c r="F407" s="121"/>
      <c r="G407" s="122"/>
      <c r="H407" s="120"/>
    </row>
    <row r="408" spans="1:8" ht="12.3">
      <c r="A408" s="120"/>
      <c r="B408" s="120"/>
      <c r="C408" s="120"/>
      <c r="D408" s="120"/>
      <c r="E408" s="120"/>
      <c r="F408" s="121"/>
      <c r="G408" s="122"/>
      <c r="H408" s="120"/>
    </row>
    <row r="409" spans="1:8" ht="12.3">
      <c r="A409" s="120"/>
      <c r="B409" s="120"/>
      <c r="C409" s="120"/>
      <c r="D409" s="120"/>
      <c r="E409" s="120"/>
      <c r="F409" s="121"/>
      <c r="G409" s="122"/>
      <c r="H409" s="120"/>
    </row>
    <row r="410" spans="1:8" ht="12.3">
      <c r="A410" s="120"/>
      <c r="B410" s="120"/>
      <c r="C410" s="120"/>
      <c r="D410" s="120"/>
      <c r="E410" s="120"/>
      <c r="F410" s="121"/>
      <c r="G410" s="122"/>
      <c r="H410" s="120"/>
    </row>
    <row r="411" spans="1:8" ht="12.3">
      <c r="A411" s="120"/>
      <c r="B411" s="120"/>
      <c r="C411" s="120"/>
      <c r="D411" s="120"/>
      <c r="E411" s="120"/>
      <c r="F411" s="121"/>
      <c r="G411" s="122"/>
      <c r="H411" s="120"/>
    </row>
    <row r="412" spans="1:8" ht="12.3">
      <c r="A412" s="120"/>
      <c r="B412" s="120"/>
      <c r="C412" s="120"/>
      <c r="D412" s="120"/>
      <c r="E412" s="120"/>
      <c r="F412" s="121"/>
      <c r="G412" s="122"/>
      <c r="H412" s="120"/>
    </row>
    <row r="413" spans="1:8" ht="12.3">
      <c r="A413" s="120"/>
      <c r="B413" s="120"/>
      <c r="C413" s="120"/>
      <c r="D413" s="120"/>
      <c r="E413" s="120"/>
      <c r="F413" s="121"/>
      <c r="G413" s="122"/>
      <c r="H413" s="120"/>
    </row>
    <row r="414" spans="1:8" ht="12.3">
      <c r="A414" s="120"/>
      <c r="B414" s="120"/>
      <c r="C414" s="120"/>
      <c r="D414" s="120"/>
      <c r="E414" s="120"/>
      <c r="F414" s="121"/>
      <c r="G414" s="122"/>
      <c r="H414" s="120"/>
    </row>
    <row r="415" spans="1:8" ht="12.3">
      <c r="A415" s="120"/>
      <c r="B415" s="120"/>
      <c r="C415" s="120"/>
      <c r="D415" s="120"/>
      <c r="E415" s="120"/>
      <c r="F415" s="121"/>
      <c r="G415" s="122"/>
      <c r="H415" s="120"/>
    </row>
    <row r="416" spans="1:8" ht="12.3">
      <c r="A416" s="120"/>
      <c r="B416" s="120"/>
      <c r="C416" s="120"/>
      <c r="D416" s="120"/>
      <c r="E416" s="120"/>
      <c r="F416" s="121"/>
      <c r="G416" s="122"/>
      <c r="H416" s="120"/>
    </row>
    <row r="417" spans="1:8" ht="12.3">
      <c r="A417" s="120"/>
      <c r="B417" s="120"/>
      <c r="C417" s="120"/>
      <c r="D417" s="120"/>
      <c r="E417" s="120"/>
      <c r="F417" s="121"/>
      <c r="G417" s="122"/>
      <c r="H417" s="120"/>
    </row>
    <row r="418" spans="1:8" ht="12.3">
      <c r="A418" s="120"/>
      <c r="B418" s="120"/>
      <c r="C418" s="120"/>
      <c r="D418" s="120"/>
      <c r="E418" s="120"/>
      <c r="F418" s="121"/>
      <c r="G418" s="122"/>
      <c r="H418" s="120"/>
    </row>
    <row r="419" spans="1:8" ht="12.3">
      <c r="A419" s="120"/>
      <c r="B419" s="120"/>
      <c r="C419" s="120"/>
      <c r="D419" s="120"/>
      <c r="E419" s="120"/>
      <c r="F419" s="121"/>
      <c r="G419" s="122"/>
      <c r="H419" s="120"/>
    </row>
    <row r="420" spans="1:8" ht="12.3">
      <c r="A420" s="120"/>
      <c r="B420" s="120"/>
      <c r="C420" s="120"/>
      <c r="D420" s="120"/>
      <c r="E420" s="120"/>
      <c r="F420" s="121"/>
      <c r="G420" s="122"/>
      <c r="H420" s="120"/>
    </row>
    <row r="421" spans="1:8" ht="12.3">
      <c r="A421" s="120"/>
      <c r="B421" s="120"/>
      <c r="C421" s="120"/>
      <c r="D421" s="120"/>
      <c r="E421" s="120"/>
      <c r="F421" s="121"/>
      <c r="G421" s="122"/>
      <c r="H421" s="120"/>
    </row>
    <row r="422" spans="1:8" ht="12.3">
      <c r="A422" s="120"/>
      <c r="B422" s="120"/>
      <c r="C422" s="120"/>
      <c r="D422" s="120"/>
      <c r="E422" s="120"/>
      <c r="F422" s="121"/>
      <c r="G422" s="122"/>
      <c r="H422" s="120"/>
    </row>
    <row r="423" spans="1:8" ht="12.3">
      <c r="A423" s="120"/>
      <c r="B423" s="120"/>
      <c r="C423" s="120"/>
      <c r="D423" s="120"/>
      <c r="E423" s="120"/>
      <c r="F423" s="121"/>
      <c r="G423" s="122"/>
      <c r="H423" s="120"/>
    </row>
    <row r="424" spans="1:8" ht="12.3">
      <c r="A424" s="120"/>
      <c r="B424" s="120"/>
      <c r="C424" s="120"/>
      <c r="D424" s="120"/>
      <c r="E424" s="120"/>
      <c r="F424" s="121"/>
      <c r="G424" s="122"/>
      <c r="H424" s="120"/>
    </row>
    <row r="425" spans="1:8" ht="12.3">
      <c r="A425" s="120"/>
      <c r="B425" s="120"/>
      <c r="C425" s="120"/>
      <c r="D425" s="120"/>
      <c r="E425" s="120"/>
      <c r="F425" s="121"/>
      <c r="G425" s="122"/>
      <c r="H425" s="120"/>
    </row>
    <row r="426" spans="1:8" ht="12.3">
      <c r="A426" s="120"/>
      <c r="B426" s="120"/>
      <c r="C426" s="120"/>
      <c r="D426" s="120"/>
      <c r="E426" s="120"/>
      <c r="F426" s="121"/>
      <c r="G426" s="122"/>
      <c r="H426" s="120"/>
    </row>
    <row r="427" spans="1:8" ht="12.3">
      <c r="A427" s="120"/>
      <c r="B427" s="120"/>
      <c r="C427" s="120"/>
      <c r="D427" s="120"/>
      <c r="E427" s="120"/>
      <c r="F427" s="121"/>
      <c r="G427" s="122"/>
      <c r="H427" s="120"/>
    </row>
    <row r="428" spans="1:8" ht="12.3">
      <c r="A428" s="120"/>
      <c r="B428" s="120"/>
      <c r="C428" s="120"/>
      <c r="D428" s="120"/>
      <c r="E428" s="120"/>
      <c r="F428" s="121"/>
      <c r="G428" s="122"/>
      <c r="H428" s="120"/>
    </row>
    <row r="429" spans="1:8" ht="12.3">
      <c r="A429" s="120"/>
      <c r="B429" s="120"/>
      <c r="C429" s="120"/>
      <c r="D429" s="120"/>
      <c r="E429" s="120"/>
      <c r="F429" s="121"/>
      <c r="G429" s="122"/>
      <c r="H429" s="120"/>
    </row>
    <row r="430" spans="1:8" ht="12.3">
      <c r="A430" s="120"/>
      <c r="B430" s="120"/>
      <c r="C430" s="120"/>
      <c r="D430" s="120"/>
      <c r="E430" s="120"/>
      <c r="F430" s="121"/>
      <c r="G430" s="122"/>
      <c r="H430" s="120"/>
    </row>
    <row r="431" spans="1:8" ht="12.3">
      <c r="A431" s="120"/>
      <c r="B431" s="120"/>
      <c r="C431" s="120"/>
      <c r="D431" s="120"/>
      <c r="E431" s="120"/>
      <c r="F431" s="121"/>
      <c r="G431" s="122"/>
      <c r="H431" s="120"/>
    </row>
    <row r="432" spans="1:8" ht="12.3">
      <c r="A432" s="120"/>
      <c r="B432" s="120"/>
      <c r="C432" s="120"/>
      <c r="D432" s="120"/>
      <c r="E432" s="120"/>
      <c r="F432" s="121"/>
      <c r="G432" s="122"/>
      <c r="H432" s="120"/>
    </row>
    <row r="433" spans="1:8" ht="12.3">
      <c r="A433" s="120"/>
      <c r="B433" s="120"/>
      <c r="C433" s="120"/>
      <c r="D433" s="120"/>
      <c r="E433" s="120"/>
      <c r="F433" s="121"/>
      <c r="G433" s="122"/>
      <c r="H433" s="120"/>
    </row>
    <row r="434" spans="1:8" ht="12.3">
      <c r="A434" s="120"/>
      <c r="B434" s="120"/>
      <c r="C434" s="120"/>
      <c r="D434" s="120"/>
      <c r="E434" s="120"/>
      <c r="F434" s="121"/>
      <c r="G434" s="122"/>
      <c r="H434" s="120"/>
    </row>
    <row r="435" spans="1:8" ht="12.3">
      <c r="A435" s="120"/>
      <c r="B435" s="120"/>
      <c r="C435" s="120"/>
      <c r="D435" s="120"/>
      <c r="E435" s="120"/>
      <c r="F435" s="121"/>
      <c r="G435" s="122"/>
      <c r="H435" s="120"/>
    </row>
    <row r="436" spans="1:8" ht="12.3">
      <c r="A436" s="120"/>
      <c r="B436" s="120"/>
      <c r="C436" s="120"/>
      <c r="D436" s="120"/>
      <c r="E436" s="120"/>
      <c r="F436" s="121"/>
      <c r="G436" s="122"/>
      <c r="H436" s="120"/>
    </row>
    <row r="437" spans="1:8" ht="12.3">
      <c r="A437" s="120"/>
      <c r="B437" s="120"/>
      <c r="C437" s="120"/>
      <c r="D437" s="120"/>
      <c r="E437" s="120"/>
      <c r="F437" s="121"/>
      <c r="G437" s="122"/>
      <c r="H437" s="120"/>
    </row>
    <row r="438" spans="1:8" ht="12.3">
      <c r="A438" s="120"/>
      <c r="B438" s="120"/>
      <c r="C438" s="120"/>
      <c r="D438" s="120"/>
      <c r="E438" s="120"/>
      <c r="F438" s="121"/>
      <c r="G438" s="122"/>
      <c r="H438" s="120"/>
    </row>
    <row r="439" spans="1:8" ht="12.3">
      <c r="A439" s="120"/>
      <c r="B439" s="120"/>
      <c r="C439" s="120"/>
      <c r="D439" s="120"/>
      <c r="E439" s="120"/>
      <c r="F439" s="121"/>
      <c r="G439" s="122"/>
      <c r="H439" s="120"/>
    </row>
    <row r="440" spans="1:8" ht="12.3">
      <c r="A440" s="120"/>
      <c r="B440" s="120"/>
      <c r="C440" s="120"/>
      <c r="D440" s="120"/>
      <c r="E440" s="120"/>
      <c r="F440" s="121"/>
      <c r="G440" s="122"/>
      <c r="H440" s="120"/>
    </row>
    <row r="441" spans="1:8" ht="12.3">
      <c r="A441" s="120"/>
      <c r="B441" s="120"/>
      <c r="C441" s="120"/>
      <c r="D441" s="120"/>
      <c r="E441" s="120"/>
      <c r="F441" s="121"/>
      <c r="G441" s="122"/>
      <c r="H441" s="120"/>
    </row>
    <row r="442" spans="1:8" ht="12.3">
      <c r="A442" s="120"/>
      <c r="B442" s="120"/>
      <c r="C442" s="120"/>
      <c r="D442" s="120"/>
      <c r="E442" s="120"/>
      <c r="F442" s="121"/>
      <c r="G442" s="122"/>
      <c r="H442" s="120"/>
    </row>
    <row r="443" spans="1:8" ht="12.3">
      <c r="A443" s="120"/>
      <c r="B443" s="120"/>
      <c r="C443" s="120"/>
      <c r="D443" s="120"/>
      <c r="E443" s="120"/>
      <c r="F443" s="121"/>
      <c r="G443" s="122"/>
      <c r="H443" s="120"/>
    </row>
    <row r="444" spans="1:8" ht="12.3">
      <c r="A444" s="120"/>
      <c r="B444" s="120"/>
      <c r="C444" s="120"/>
      <c r="D444" s="120"/>
      <c r="E444" s="120"/>
      <c r="F444" s="121"/>
      <c r="G444" s="122"/>
      <c r="H444" s="120"/>
    </row>
    <row r="445" spans="1:8" ht="12.3">
      <c r="A445" s="120"/>
      <c r="B445" s="120"/>
      <c r="C445" s="120"/>
      <c r="D445" s="120"/>
      <c r="E445" s="120"/>
      <c r="F445" s="121"/>
      <c r="G445" s="122"/>
      <c r="H445" s="120"/>
    </row>
    <row r="446" spans="1:8" ht="12.3">
      <c r="A446" s="120"/>
      <c r="B446" s="120"/>
      <c r="C446" s="120"/>
      <c r="D446" s="120"/>
      <c r="E446" s="120"/>
      <c r="F446" s="121"/>
      <c r="G446" s="122"/>
      <c r="H446" s="120"/>
    </row>
    <row r="447" spans="1:8" ht="12.3">
      <c r="A447" s="120"/>
      <c r="B447" s="120"/>
      <c r="C447" s="120"/>
      <c r="D447" s="120"/>
      <c r="E447" s="120"/>
      <c r="F447" s="121"/>
      <c r="G447" s="122"/>
      <c r="H447" s="120"/>
    </row>
    <row r="448" spans="1:8" ht="12.3">
      <c r="A448" s="120"/>
      <c r="B448" s="120"/>
      <c r="C448" s="120"/>
      <c r="D448" s="120"/>
      <c r="E448" s="120"/>
      <c r="F448" s="121"/>
      <c r="G448" s="122"/>
      <c r="H448" s="120"/>
    </row>
    <row r="449" spans="1:8" ht="12.3">
      <c r="A449" s="120"/>
      <c r="B449" s="120"/>
      <c r="C449" s="120"/>
      <c r="D449" s="120"/>
      <c r="E449" s="120"/>
      <c r="F449" s="121"/>
      <c r="G449" s="122"/>
      <c r="H449" s="120"/>
    </row>
    <row r="450" spans="1:8" ht="12.3">
      <c r="A450" s="120"/>
      <c r="B450" s="120"/>
      <c r="C450" s="120"/>
      <c r="D450" s="120"/>
      <c r="E450" s="120"/>
      <c r="F450" s="121"/>
      <c r="G450" s="122"/>
      <c r="H450" s="120"/>
    </row>
    <row r="451" spans="1:8" ht="12.3">
      <c r="A451" s="120"/>
      <c r="B451" s="120"/>
      <c r="C451" s="120"/>
      <c r="D451" s="120"/>
      <c r="E451" s="120"/>
      <c r="F451" s="121"/>
      <c r="G451" s="122"/>
      <c r="H451" s="120"/>
    </row>
    <row r="452" spans="1:8" ht="12.3">
      <c r="A452" s="120"/>
      <c r="B452" s="120"/>
      <c r="C452" s="120"/>
      <c r="D452" s="120"/>
      <c r="E452" s="120"/>
      <c r="F452" s="121"/>
      <c r="G452" s="122"/>
      <c r="H452" s="120"/>
    </row>
    <row r="453" spans="1:8" ht="12.3">
      <c r="A453" s="120"/>
      <c r="B453" s="120"/>
      <c r="C453" s="120"/>
      <c r="D453" s="120"/>
      <c r="E453" s="120"/>
      <c r="F453" s="121"/>
      <c r="G453" s="122"/>
      <c r="H453" s="120"/>
    </row>
    <row r="454" spans="1:8" ht="12.3">
      <c r="A454" s="120"/>
      <c r="B454" s="120"/>
      <c r="C454" s="120"/>
      <c r="D454" s="120"/>
      <c r="E454" s="120"/>
      <c r="F454" s="121"/>
      <c r="G454" s="122"/>
      <c r="H454" s="120"/>
    </row>
    <row r="455" spans="1:8" ht="12.3">
      <c r="A455" s="120"/>
      <c r="B455" s="120"/>
      <c r="C455" s="120"/>
      <c r="D455" s="120"/>
      <c r="E455" s="120"/>
      <c r="F455" s="121"/>
      <c r="G455" s="122"/>
      <c r="H455" s="120"/>
    </row>
    <row r="456" spans="1:8" ht="12.3">
      <c r="A456" s="120"/>
      <c r="B456" s="120"/>
      <c r="C456" s="120"/>
      <c r="D456" s="120"/>
      <c r="E456" s="120"/>
      <c r="F456" s="121"/>
      <c r="G456" s="122"/>
      <c r="H456" s="120"/>
    </row>
    <row r="457" spans="1:8" ht="12.3">
      <c r="A457" s="120"/>
      <c r="B457" s="120"/>
      <c r="C457" s="120"/>
      <c r="D457" s="120"/>
      <c r="E457" s="120"/>
      <c r="F457" s="121"/>
      <c r="G457" s="122"/>
      <c r="H457" s="120"/>
    </row>
    <row r="458" spans="1:8" ht="12.3">
      <c r="A458" s="120"/>
      <c r="B458" s="120"/>
      <c r="C458" s="120"/>
      <c r="D458" s="120"/>
      <c r="E458" s="120"/>
      <c r="F458" s="121"/>
      <c r="G458" s="122"/>
      <c r="H458" s="120"/>
    </row>
    <row r="459" spans="1:8" ht="12.3">
      <c r="A459" s="120"/>
      <c r="B459" s="120"/>
      <c r="C459" s="120"/>
      <c r="D459" s="120"/>
      <c r="E459" s="120"/>
      <c r="F459" s="121"/>
      <c r="G459" s="122"/>
      <c r="H459" s="120"/>
    </row>
    <row r="460" spans="1:8" ht="12.3">
      <c r="A460" s="120"/>
      <c r="B460" s="120"/>
      <c r="C460" s="120"/>
      <c r="D460" s="120"/>
      <c r="E460" s="120"/>
      <c r="F460" s="121"/>
      <c r="G460" s="122"/>
      <c r="H460" s="120"/>
    </row>
    <row r="461" spans="1:8" ht="12.3">
      <c r="A461" s="120"/>
      <c r="B461" s="120"/>
      <c r="C461" s="120"/>
      <c r="D461" s="120"/>
      <c r="E461" s="120"/>
      <c r="F461" s="121"/>
      <c r="G461" s="122"/>
      <c r="H461" s="120"/>
    </row>
    <row r="462" spans="1:8" ht="12.3">
      <c r="A462" s="120"/>
      <c r="B462" s="120"/>
      <c r="C462" s="120"/>
      <c r="D462" s="120"/>
      <c r="E462" s="120"/>
      <c r="F462" s="121"/>
      <c r="G462" s="122"/>
      <c r="H462" s="120"/>
    </row>
    <row r="463" spans="1:8" ht="12.3">
      <c r="A463" s="120"/>
      <c r="B463" s="120"/>
      <c r="C463" s="120"/>
      <c r="D463" s="120"/>
      <c r="E463" s="120"/>
      <c r="F463" s="121"/>
      <c r="G463" s="122"/>
      <c r="H463" s="120"/>
    </row>
    <row r="464" spans="1:8" ht="12.3">
      <c r="A464" s="120"/>
      <c r="B464" s="120"/>
      <c r="C464" s="120"/>
      <c r="D464" s="120"/>
      <c r="E464" s="120"/>
      <c r="F464" s="121"/>
      <c r="G464" s="122"/>
      <c r="H464" s="120"/>
    </row>
    <row r="465" spans="1:8" ht="12.3">
      <c r="A465" s="120"/>
      <c r="B465" s="120"/>
      <c r="C465" s="120"/>
      <c r="D465" s="120"/>
      <c r="E465" s="120"/>
      <c r="F465" s="121"/>
      <c r="G465" s="122"/>
      <c r="H465" s="120"/>
    </row>
    <row r="466" spans="1:8" ht="12.3">
      <c r="A466" s="120"/>
      <c r="B466" s="120"/>
      <c r="C466" s="120"/>
      <c r="D466" s="120"/>
      <c r="E466" s="120"/>
      <c r="F466" s="121"/>
      <c r="G466" s="122"/>
      <c r="H466" s="120"/>
    </row>
    <row r="467" spans="1:8" ht="12.3">
      <c r="A467" s="120"/>
      <c r="B467" s="120"/>
      <c r="C467" s="120"/>
      <c r="D467" s="120"/>
      <c r="E467" s="120"/>
      <c r="F467" s="121"/>
      <c r="G467" s="122"/>
      <c r="H467" s="120"/>
    </row>
    <row r="468" spans="1:8" ht="12.3">
      <c r="A468" s="120"/>
      <c r="B468" s="120"/>
      <c r="C468" s="120"/>
      <c r="D468" s="120"/>
      <c r="E468" s="120"/>
      <c r="F468" s="121"/>
      <c r="G468" s="122"/>
      <c r="H468" s="120"/>
    </row>
    <row r="469" spans="1:8" ht="12.3">
      <c r="A469" s="120"/>
      <c r="B469" s="120"/>
      <c r="C469" s="120"/>
      <c r="D469" s="120"/>
      <c r="E469" s="120"/>
      <c r="F469" s="121"/>
      <c r="G469" s="122"/>
      <c r="H469" s="120"/>
    </row>
    <row r="470" spans="1:8" ht="12.3">
      <c r="A470" s="120"/>
      <c r="B470" s="120"/>
      <c r="C470" s="120"/>
      <c r="D470" s="120"/>
      <c r="E470" s="120"/>
      <c r="F470" s="121"/>
      <c r="G470" s="122"/>
      <c r="H470" s="120"/>
    </row>
    <row r="471" spans="1:8" ht="12.3">
      <c r="A471" s="120"/>
      <c r="B471" s="120"/>
      <c r="C471" s="120"/>
      <c r="D471" s="120"/>
      <c r="E471" s="120"/>
      <c r="F471" s="121"/>
      <c r="G471" s="122"/>
      <c r="H471" s="120"/>
    </row>
    <row r="472" spans="1:8" ht="12.3">
      <c r="A472" s="120"/>
      <c r="B472" s="120"/>
      <c r="C472" s="120"/>
      <c r="D472" s="120"/>
      <c r="E472" s="120"/>
      <c r="F472" s="121"/>
      <c r="G472" s="122"/>
      <c r="H472" s="120"/>
    </row>
    <row r="473" spans="1:8" ht="12.3">
      <c r="A473" s="120"/>
      <c r="B473" s="120"/>
      <c r="C473" s="120"/>
      <c r="D473" s="120"/>
      <c r="E473" s="120"/>
      <c r="F473" s="121"/>
      <c r="G473" s="122"/>
      <c r="H473" s="120"/>
    </row>
    <row r="474" spans="1:8" ht="12.3">
      <c r="A474" s="120"/>
      <c r="B474" s="120"/>
      <c r="C474" s="120"/>
      <c r="D474" s="120"/>
      <c r="E474" s="120"/>
      <c r="F474" s="121"/>
      <c r="G474" s="122"/>
      <c r="H474" s="120"/>
    </row>
    <row r="475" spans="1:8" ht="12.3">
      <c r="A475" s="120"/>
      <c r="B475" s="120"/>
      <c r="C475" s="120"/>
      <c r="D475" s="120"/>
      <c r="E475" s="120"/>
      <c r="F475" s="121"/>
      <c r="G475" s="122"/>
      <c r="H475" s="120"/>
    </row>
    <row r="476" spans="1:8" ht="12.3">
      <c r="A476" s="120"/>
      <c r="B476" s="120"/>
      <c r="C476" s="120"/>
      <c r="D476" s="120"/>
      <c r="E476" s="120"/>
      <c r="F476" s="121"/>
      <c r="G476" s="122"/>
      <c r="H476" s="120"/>
    </row>
    <row r="477" spans="1:8" ht="12.3">
      <c r="A477" s="120"/>
      <c r="B477" s="120"/>
      <c r="C477" s="120"/>
      <c r="D477" s="120"/>
      <c r="E477" s="120"/>
      <c r="F477" s="121"/>
      <c r="G477" s="122"/>
      <c r="H477" s="120"/>
    </row>
    <row r="478" spans="1:8" ht="12.3">
      <c r="A478" s="120"/>
      <c r="B478" s="120"/>
      <c r="C478" s="120"/>
      <c r="D478" s="120"/>
      <c r="E478" s="120"/>
      <c r="F478" s="121"/>
      <c r="G478" s="122"/>
      <c r="H478" s="120"/>
    </row>
    <row r="479" spans="1:8" ht="12.3">
      <c r="A479" s="120"/>
      <c r="B479" s="120"/>
      <c r="C479" s="120"/>
      <c r="D479" s="120"/>
      <c r="E479" s="120"/>
      <c r="F479" s="121"/>
      <c r="G479" s="122"/>
      <c r="H479" s="120"/>
    </row>
    <row r="480" spans="1:8" ht="12.3">
      <c r="A480" s="120"/>
      <c r="B480" s="120"/>
      <c r="C480" s="120"/>
      <c r="D480" s="120"/>
      <c r="E480" s="120"/>
      <c r="F480" s="121"/>
      <c r="G480" s="122"/>
      <c r="H480" s="120"/>
    </row>
    <row r="481" spans="1:8" ht="12.3">
      <c r="A481" s="120"/>
      <c r="B481" s="120"/>
      <c r="C481" s="120"/>
      <c r="D481" s="120"/>
      <c r="E481" s="120"/>
      <c r="F481" s="121"/>
      <c r="G481" s="122"/>
      <c r="H481" s="120"/>
    </row>
    <row r="482" spans="1:8" ht="12.3">
      <c r="A482" s="120"/>
      <c r="B482" s="120"/>
      <c r="C482" s="120"/>
      <c r="D482" s="120"/>
      <c r="E482" s="120"/>
      <c r="F482" s="121"/>
      <c r="G482" s="122"/>
      <c r="H482" s="120"/>
    </row>
    <row r="483" spans="1:8" ht="12.3">
      <c r="A483" s="120"/>
      <c r="B483" s="120"/>
      <c r="C483" s="120"/>
      <c r="D483" s="120"/>
      <c r="E483" s="120"/>
      <c r="F483" s="121"/>
      <c r="G483" s="122"/>
      <c r="H483" s="120"/>
    </row>
    <row r="484" spans="1:8" ht="12.3">
      <c r="A484" s="120"/>
      <c r="B484" s="120"/>
      <c r="C484" s="120"/>
      <c r="D484" s="120"/>
      <c r="E484" s="120"/>
      <c r="F484" s="121"/>
      <c r="G484" s="122"/>
      <c r="H484" s="120"/>
    </row>
    <row r="485" spans="1:8" ht="12.3">
      <c r="A485" s="120"/>
      <c r="B485" s="120"/>
      <c r="C485" s="120"/>
      <c r="D485" s="120"/>
      <c r="E485" s="120"/>
      <c r="F485" s="121"/>
      <c r="G485" s="122"/>
      <c r="H485" s="120"/>
    </row>
    <row r="486" spans="1:8" ht="12.3">
      <c r="A486" s="120"/>
      <c r="B486" s="120"/>
      <c r="C486" s="120"/>
      <c r="D486" s="120"/>
      <c r="E486" s="120"/>
      <c r="F486" s="121"/>
      <c r="G486" s="122"/>
      <c r="H486" s="120"/>
    </row>
    <row r="487" spans="1:8" ht="12.3">
      <c r="A487" s="120"/>
      <c r="B487" s="120"/>
      <c r="C487" s="120"/>
      <c r="D487" s="120"/>
      <c r="E487" s="120"/>
      <c r="F487" s="121"/>
      <c r="G487" s="122"/>
      <c r="H487" s="120"/>
    </row>
    <row r="488" spans="1:8" ht="12.3">
      <c r="A488" s="120"/>
      <c r="B488" s="120"/>
      <c r="C488" s="120"/>
      <c r="D488" s="120"/>
      <c r="E488" s="120"/>
      <c r="F488" s="121"/>
      <c r="G488" s="122"/>
      <c r="H488" s="120"/>
    </row>
    <row r="489" spans="1:8" ht="12.3">
      <c r="A489" s="120"/>
      <c r="B489" s="120"/>
      <c r="C489" s="120"/>
      <c r="D489" s="120"/>
      <c r="E489" s="120"/>
      <c r="F489" s="121"/>
      <c r="G489" s="122"/>
      <c r="H489" s="120"/>
    </row>
    <row r="490" spans="1:8" ht="12.3">
      <c r="A490" s="120"/>
      <c r="B490" s="120"/>
      <c r="C490" s="120"/>
      <c r="D490" s="120"/>
      <c r="E490" s="120"/>
      <c r="F490" s="121"/>
      <c r="G490" s="122"/>
      <c r="H490" s="120"/>
    </row>
    <row r="491" spans="1:8" ht="12.3">
      <c r="A491" s="120"/>
      <c r="B491" s="120"/>
      <c r="C491" s="120"/>
      <c r="D491" s="120"/>
      <c r="E491" s="120"/>
      <c r="F491" s="121"/>
      <c r="G491" s="122"/>
      <c r="H491" s="120"/>
    </row>
    <row r="492" spans="1:8" ht="12.3">
      <c r="A492" s="120"/>
      <c r="B492" s="120"/>
      <c r="C492" s="120"/>
      <c r="D492" s="120"/>
      <c r="E492" s="120"/>
      <c r="F492" s="121"/>
      <c r="G492" s="122"/>
      <c r="H492" s="120"/>
    </row>
    <row r="493" spans="1:8" ht="12.3">
      <c r="A493" s="120"/>
      <c r="B493" s="120"/>
      <c r="C493" s="120"/>
      <c r="D493" s="120"/>
      <c r="E493" s="120"/>
      <c r="F493" s="121"/>
      <c r="G493" s="122"/>
      <c r="H493" s="120"/>
    </row>
    <row r="494" spans="1:8" ht="12.3">
      <c r="A494" s="120"/>
      <c r="B494" s="120"/>
      <c r="C494" s="120"/>
      <c r="D494" s="120"/>
      <c r="E494" s="120"/>
      <c r="F494" s="121"/>
      <c r="G494" s="122"/>
      <c r="H494" s="120"/>
    </row>
    <row r="495" spans="1:8" ht="12.3">
      <c r="A495" s="120"/>
      <c r="B495" s="120"/>
      <c r="C495" s="120"/>
      <c r="D495" s="120"/>
      <c r="E495" s="120"/>
      <c r="F495" s="121"/>
      <c r="G495" s="122"/>
      <c r="H495" s="120"/>
    </row>
    <row r="496" spans="1:8" ht="12.3">
      <c r="A496" s="120"/>
      <c r="B496" s="120"/>
      <c r="C496" s="120"/>
      <c r="D496" s="120"/>
      <c r="E496" s="120"/>
      <c r="F496" s="121"/>
      <c r="G496" s="122"/>
      <c r="H496" s="120"/>
    </row>
    <row r="497" spans="1:8" ht="12.3">
      <c r="A497" s="120"/>
      <c r="B497" s="120"/>
      <c r="C497" s="120"/>
      <c r="D497" s="120"/>
      <c r="E497" s="120"/>
      <c r="F497" s="121"/>
      <c r="G497" s="122"/>
      <c r="H497" s="120"/>
    </row>
    <row r="498" spans="1:8" ht="12.3">
      <c r="A498" s="120"/>
      <c r="B498" s="120"/>
      <c r="C498" s="120"/>
      <c r="D498" s="120"/>
      <c r="E498" s="120"/>
      <c r="F498" s="121"/>
      <c r="G498" s="122"/>
      <c r="H498" s="120"/>
    </row>
    <row r="499" spans="1:8" ht="12.3">
      <c r="A499" s="120"/>
      <c r="B499" s="120"/>
      <c r="C499" s="120"/>
      <c r="D499" s="120"/>
      <c r="E499" s="120"/>
      <c r="F499" s="121"/>
      <c r="G499" s="122"/>
      <c r="H499" s="120"/>
    </row>
    <row r="500" spans="1:8" ht="12.3">
      <c r="A500" s="120"/>
      <c r="B500" s="120"/>
      <c r="C500" s="120"/>
      <c r="D500" s="120"/>
      <c r="E500" s="120"/>
      <c r="F500" s="121"/>
      <c r="G500" s="122"/>
      <c r="H500" s="120"/>
    </row>
    <row r="501" spans="1:8" ht="12.3">
      <c r="A501" s="120"/>
      <c r="B501" s="120"/>
      <c r="C501" s="120"/>
      <c r="D501" s="120"/>
      <c r="E501" s="120"/>
      <c r="F501" s="121"/>
      <c r="G501" s="122"/>
      <c r="H501" s="120"/>
    </row>
    <row r="502" spans="1:8" ht="12.3">
      <c r="A502" s="120"/>
      <c r="B502" s="120"/>
      <c r="C502" s="120"/>
      <c r="D502" s="120"/>
      <c r="E502" s="120"/>
      <c r="F502" s="121"/>
      <c r="G502" s="122"/>
      <c r="H502" s="120"/>
    </row>
    <row r="503" spans="1:8" ht="12.3">
      <c r="A503" s="120"/>
      <c r="B503" s="120"/>
      <c r="C503" s="120"/>
      <c r="D503" s="120"/>
      <c r="E503" s="120"/>
      <c r="F503" s="121"/>
      <c r="G503" s="122"/>
      <c r="H503" s="120"/>
    </row>
    <row r="504" spans="1:8" ht="12.3">
      <c r="A504" s="120"/>
      <c r="B504" s="120"/>
      <c r="C504" s="120"/>
      <c r="D504" s="120"/>
      <c r="E504" s="120"/>
      <c r="F504" s="121"/>
      <c r="G504" s="122"/>
      <c r="H504" s="120"/>
    </row>
    <row r="505" spans="1:8" ht="12.3">
      <c r="A505" s="120"/>
      <c r="B505" s="120"/>
      <c r="C505" s="120"/>
      <c r="D505" s="120"/>
      <c r="E505" s="120"/>
      <c r="F505" s="121"/>
      <c r="G505" s="122"/>
      <c r="H505" s="120"/>
    </row>
    <row r="506" spans="1:8" ht="12.3">
      <c r="A506" s="120"/>
      <c r="B506" s="120"/>
      <c r="C506" s="120"/>
      <c r="D506" s="120"/>
      <c r="E506" s="120"/>
      <c r="F506" s="121"/>
      <c r="G506" s="122"/>
      <c r="H506" s="120"/>
    </row>
    <row r="507" spans="1:8" ht="12.3">
      <c r="A507" s="120"/>
      <c r="B507" s="120"/>
      <c r="C507" s="120"/>
      <c r="D507" s="120"/>
      <c r="E507" s="120"/>
      <c r="F507" s="121"/>
      <c r="G507" s="122"/>
      <c r="H507" s="120"/>
    </row>
    <row r="508" spans="1:8" ht="12.3">
      <c r="A508" s="120"/>
      <c r="B508" s="120"/>
      <c r="C508" s="120"/>
      <c r="D508" s="120"/>
      <c r="E508" s="120"/>
      <c r="F508" s="121"/>
      <c r="G508" s="122"/>
      <c r="H508" s="120"/>
    </row>
    <row r="509" spans="1:8" ht="12.3">
      <c r="A509" s="120"/>
      <c r="B509" s="120"/>
      <c r="C509" s="120"/>
      <c r="D509" s="120"/>
      <c r="E509" s="120"/>
      <c r="F509" s="121"/>
      <c r="G509" s="122"/>
      <c r="H509" s="120"/>
    </row>
    <row r="510" spans="1:8" ht="12.3">
      <c r="A510" s="120"/>
      <c r="B510" s="120"/>
      <c r="C510" s="120"/>
      <c r="D510" s="120"/>
      <c r="E510" s="120"/>
      <c r="F510" s="121"/>
      <c r="G510" s="122"/>
      <c r="H510" s="120"/>
    </row>
    <row r="511" spans="1:8" ht="12.3">
      <c r="A511" s="120"/>
      <c r="B511" s="120"/>
      <c r="C511" s="120"/>
      <c r="D511" s="120"/>
      <c r="E511" s="120"/>
      <c r="F511" s="121"/>
      <c r="G511" s="122"/>
      <c r="H511" s="120"/>
    </row>
    <row r="512" spans="1:8" ht="12.3">
      <c r="A512" s="120"/>
      <c r="B512" s="120"/>
      <c r="C512" s="120"/>
      <c r="D512" s="120"/>
      <c r="E512" s="120"/>
      <c r="F512" s="121"/>
      <c r="G512" s="122"/>
      <c r="H512" s="120"/>
    </row>
    <row r="513" spans="1:8" ht="12.3">
      <c r="A513" s="120"/>
      <c r="B513" s="120"/>
      <c r="C513" s="120"/>
      <c r="D513" s="120"/>
      <c r="E513" s="120"/>
      <c r="F513" s="121"/>
      <c r="G513" s="122"/>
      <c r="H513" s="120"/>
    </row>
    <row r="514" spans="1:8" ht="12.3">
      <c r="A514" s="120"/>
      <c r="B514" s="120"/>
      <c r="C514" s="120"/>
      <c r="D514" s="120"/>
      <c r="E514" s="120"/>
      <c r="F514" s="121"/>
      <c r="G514" s="122"/>
      <c r="H514" s="120"/>
    </row>
    <row r="515" spans="1:8" ht="12.3">
      <c r="A515" s="120"/>
      <c r="B515" s="120"/>
      <c r="C515" s="120"/>
      <c r="D515" s="120"/>
      <c r="E515" s="120"/>
      <c r="F515" s="121"/>
      <c r="G515" s="122"/>
      <c r="H515" s="120"/>
    </row>
    <row r="516" spans="1:8" ht="12.3">
      <c r="A516" s="120"/>
      <c r="B516" s="120"/>
      <c r="C516" s="120"/>
      <c r="D516" s="120"/>
      <c r="E516" s="120"/>
      <c r="F516" s="121"/>
      <c r="G516" s="122"/>
      <c r="H516" s="120"/>
    </row>
    <row r="517" spans="1:8" ht="12.3">
      <c r="A517" s="120"/>
      <c r="B517" s="120"/>
      <c r="C517" s="120"/>
      <c r="D517" s="120"/>
      <c r="E517" s="120"/>
      <c r="F517" s="121"/>
      <c r="G517" s="122"/>
      <c r="H517" s="120"/>
    </row>
    <row r="518" spans="1:8" ht="12.3">
      <c r="A518" s="120"/>
      <c r="B518" s="120"/>
      <c r="C518" s="120"/>
      <c r="D518" s="120"/>
      <c r="E518" s="120"/>
      <c r="F518" s="121"/>
      <c r="G518" s="122"/>
      <c r="H518" s="120"/>
    </row>
    <row r="519" spans="1:8" ht="12.3">
      <c r="A519" s="120"/>
      <c r="B519" s="120"/>
      <c r="C519" s="120"/>
      <c r="D519" s="120"/>
      <c r="E519" s="120"/>
      <c r="F519" s="121"/>
      <c r="G519" s="122"/>
      <c r="H519" s="120"/>
    </row>
    <row r="520" spans="1:8" ht="12.3">
      <c r="A520" s="120"/>
      <c r="B520" s="120"/>
      <c r="C520" s="120"/>
      <c r="D520" s="120"/>
      <c r="E520" s="120"/>
      <c r="F520" s="121"/>
      <c r="G520" s="122"/>
      <c r="H520" s="120"/>
    </row>
    <row r="521" spans="1:8" ht="12.3">
      <c r="A521" s="120"/>
      <c r="B521" s="120"/>
      <c r="C521" s="120"/>
      <c r="D521" s="120"/>
      <c r="E521" s="120"/>
      <c r="F521" s="121"/>
      <c r="G521" s="122"/>
      <c r="H521" s="120"/>
    </row>
    <row r="522" spans="1:8" ht="12.3">
      <c r="A522" s="120"/>
      <c r="B522" s="120"/>
      <c r="C522" s="120"/>
      <c r="D522" s="120"/>
      <c r="E522" s="120"/>
      <c r="F522" s="121"/>
      <c r="G522" s="122"/>
      <c r="H522" s="120"/>
    </row>
    <row r="523" spans="1:8" ht="12.3">
      <c r="A523" s="120"/>
      <c r="B523" s="120"/>
      <c r="C523" s="120"/>
      <c r="D523" s="120"/>
      <c r="E523" s="120"/>
      <c r="F523" s="121"/>
      <c r="G523" s="122"/>
      <c r="H523" s="120"/>
    </row>
    <row r="524" spans="1:8" ht="12.3">
      <c r="A524" s="120"/>
      <c r="B524" s="120"/>
      <c r="C524" s="120"/>
      <c r="D524" s="120"/>
      <c r="E524" s="120"/>
      <c r="F524" s="121"/>
      <c r="G524" s="122"/>
      <c r="H524" s="120"/>
    </row>
    <row r="525" spans="1:8" ht="12.3">
      <c r="A525" s="120"/>
      <c r="B525" s="120"/>
      <c r="C525" s="120"/>
      <c r="D525" s="120"/>
      <c r="E525" s="120"/>
      <c r="F525" s="121"/>
      <c r="G525" s="122"/>
      <c r="H525" s="120"/>
    </row>
    <row r="526" spans="1:8" ht="12.3">
      <c r="A526" s="120"/>
      <c r="B526" s="120"/>
      <c r="C526" s="120"/>
      <c r="D526" s="120"/>
      <c r="E526" s="120"/>
      <c r="F526" s="121"/>
      <c r="G526" s="122"/>
      <c r="H526" s="120"/>
    </row>
    <row r="527" spans="1:8" ht="12.3">
      <c r="A527" s="120"/>
      <c r="B527" s="120"/>
      <c r="C527" s="120"/>
      <c r="D527" s="120"/>
      <c r="E527" s="120"/>
      <c r="F527" s="121"/>
      <c r="G527" s="122"/>
      <c r="H527" s="120"/>
    </row>
    <row r="528" spans="1:8" ht="12.3">
      <c r="A528" s="120"/>
      <c r="B528" s="120"/>
      <c r="C528" s="120"/>
      <c r="D528" s="120"/>
      <c r="E528" s="120"/>
      <c r="F528" s="121"/>
      <c r="G528" s="122"/>
      <c r="H528" s="120"/>
    </row>
    <row r="529" spans="1:8" ht="12.3">
      <c r="A529" s="120"/>
      <c r="B529" s="120"/>
      <c r="C529" s="120"/>
      <c r="D529" s="120"/>
      <c r="E529" s="120"/>
      <c r="F529" s="121"/>
      <c r="G529" s="122"/>
      <c r="H529" s="120"/>
    </row>
    <row r="530" spans="1:8" ht="12.3">
      <c r="A530" s="120"/>
      <c r="B530" s="120"/>
      <c r="C530" s="120"/>
      <c r="D530" s="120"/>
      <c r="E530" s="120"/>
      <c r="F530" s="121"/>
      <c r="G530" s="122"/>
      <c r="H530" s="120"/>
    </row>
    <row r="531" spans="1:8" ht="12.3">
      <c r="A531" s="120"/>
      <c r="B531" s="120"/>
      <c r="C531" s="120"/>
      <c r="D531" s="120"/>
      <c r="E531" s="120"/>
      <c r="F531" s="121"/>
      <c r="G531" s="122"/>
      <c r="H531" s="120"/>
    </row>
    <row r="532" spans="1:8" ht="12.3">
      <c r="A532" s="120"/>
      <c r="B532" s="120"/>
      <c r="C532" s="120"/>
      <c r="D532" s="120"/>
      <c r="E532" s="120"/>
      <c r="F532" s="121"/>
      <c r="G532" s="122"/>
      <c r="H532" s="120"/>
    </row>
    <row r="533" spans="1:8" ht="12.3">
      <c r="A533" s="120"/>
      <c r="B533" s="120"/>
      <c r="C533" s="120"/>
      <c r="D533" s="120"/>
      <c r="E533" s="120"/>
      <c r="F533" s="121"/>
      <c r="G533" s="122"/>
      <c r="H533" s="120"/>
    </row>
    <row r="534" spans="1:8" ht="12.3">
      <c r="A534" s="120"/>
      <c r="B534" s="120"/>
      <c r="C534" s="120"/>
      <c r="D534" s="120"/>
      <c r="E534" s="120"/>
      <c r="F534" s="121"/>
      <c r="G534" s="122"/>
      <c r="H534" s="120"/>
    </row>
    <row r="535" spans="1:8" ht="12.3">
      <c r="A535" s="120"/>
      <c r="B535" s="120"/>
      <c r="C535" s="120"/>
      <c r="D535" s="120"/>
      <c r="E535" s="120"/>
      <c r="F535" s="121"/>
      <c r="G535" s="122"/>
      <c r="H535" s="120"/>
    </row>
    <row r="536" spans="1:8" ht="12.3">
      <c r="A536" s="120"/>
      <c r="B536" s="120"/>
      <c r="C536" s="120"/>
      <c r="D536" s="120"/>
      <c r="E536" s="120"/>
      <c r="F536" s="121"/>
      <c r="G536" s="122"/>
      <c r="H536" s="120"/>
    </row>
    <row r="537" spans="1:8" ht="12.3">
      <c r="A537" s="120"/>
      <c r="B537" s="120"/>
      <c r="C537" s="120"/>
      <c r="D537" s="120"/>
      <c r="E537" s="120"/>
      <c r="F537" s="121"/>
      <c r="G537" s="122"/>
      <c r="H537" s="120"/>
    </row>
    <row r="538" spans="1:8" ht="12.3">
      <c r="A538" s="120"/>
      <c r="B538" s="120"/>
      <c r="C538" s="120"/>
      <c r="D538" s="120"/>
      <c r="E538" s="120"/>
      <c r="F538" s="121"/>
      <c r="G538" s="122"/>
      <c r="H538" s="120"/>
    </row>
    <row r="539" spans="1:8" ht="12.3">
      <c r="A539" s="120"/>
      <c r="B539" s="120"/>
      <c r="C539" s="120"/>
      <c r="D539" s="120"/>
      <c r="E539" s="120"/>
      <c r="F539" s="121"/>
      <c r="G539" s="122"/>
      <c r="H539" s="120"/>
    </row>
    <row r="540" spans="1:8" ht="12.3">
      <c r="A540" s="120"/>
      <c r="B540" s="120"/>
      <c r="C540" s="120"/>
      <c r="D540" s="120"/>
      <c r="E540" s="120"/>
      <c r="F540" s="121"/>
      <c r="G540" s="122"/>
      <c r="H540" s="120"/>
    </row>
    <row r="541" spans="1:8" ht="12.3">
      <c r="A541" s="120"/>
      <c r="B541" s="120"/>
      <c r="C541" s="120"/>
      <c r="D541" s="120"/>
      <c r="E541" s="120"/>
      <c r="F541" s="121"/>
      <c r="G541" s="122"/>
      <c r="H541" s="120"/>
    </row>
    <row r="542" spans="1:8" ht="12.3">
      <c r="A542" s="120"/>
      <c r="B542" s="120"/>
      <c r="C542" s="120"/>
      <c r="D542" s="120"/>
      <c r="E542" s="120"/>
      <c r="F542" s="121"/>
      <c r="G542" s="122"/>
      <c r="H542" s="120"/>
    </row>
    <row r="543" spans="1:8" ht="12.3">
      <c r="A543" s="120"/>
      <c r="B543" s="120"/>
      <c r="C543" s="120"/>
      <c r="D543" s="120"/>
      <c r="E543" s="120"/>
      <c r="F543" s="121"/>
      <c r="G543" s="122"/>
      <c r="H543" s="120"/>
    </row>
    <row r="544" spans="1:8" ht="12.3">
      <c r="A544" s="120"/>
      <c r="B544" s="120"/>
      <c r="C544" s="120"/>
      <c r="D544" s="120"/>
      <c r="E544" s="120"/>
      <c r="F544" s="121"/>
      <c r="G544" s="122"/>
      <c r="H544" s="120"/>
    </row>
    <row r="545" spans="1:8" ht="12.3">
      <c r="A545" s="120"/>
      <c r="B545" s="120"/>
      <c r="C545" s="120"/>
      <c r="D545" s="120"/>
      <c r="E545" s="120"/>
      <c r="F545" s="121"/>
      <c r="G545" s="122"/>
      <c r="H545" s="120"/>
    </row>
    <row r="546" spans="1:8" ht="12.3">
      <c r="A546" s="120"/>
      <c r="B546" s="120"/>
      <c r="C546" s="120"/>
      <c r="D546" s="120"/>
      <c r="E546" s="120"/>
      <c r="F546" s="121"/>
      <c r="G546" s="122"/>
      <c r="H546" s="120"/>
    </row>
    <row r="547" spans="1:8" ht="12.3">
      <c r="A547" s="120"/>
      <c r="B547" s="120"/>
      <c r="C547" s="120"/>
      <c r="D547" s="120"/>
      <c r="E547" s="120"/>
      <c r="F547" s="121"/>
      <c r="G547" s="122"/>
      <c r="H547" s="120"/>
    </row>
    <row r="548" spans="1:8" ht="12.3">
      <c r="A548" s="120"/>
      <c r="B548" s="120"/>
      <c r="C548" s="120"/>
      <c r="D548" s="120"/>
      <c r="E548" s="120"/>
      <c r="F548" s="121"/>
      <c r="G548" s="122"/>
      <c r="H548" s="120"/>
    </row>
    <row r="549" spans="1:8" ht="12.3">
      <c r="A549" s="120"/>
      <c r="B549" s="120"/>
      <c r="C549" s="120"/>
      <c r="D549" s="120"/>
      <c r="E549" s="120"/>
      <c r="F549" s="121"/>
      <c r="G549" s="122"/>
      <c r="H549" s="120"/>
    </row>
    <row r="550" spans="1:8" ht="12.3">
      <c r="A550" s="120"/>
      <c r="B550" s="120"/>
      <c r="C550" s="120"/>
      <c r="D550" s="120"/>
      <c r="E550" s="120"/>
      <c r="F550" s="121"/>
      <c r="G550" s="122"/>
      <c r="H550" s="120"/>
    </row>
    <row r="551" spans="1:8" ht="12.3">
      <c r="A551" s="120"/>
      <c r="B551" s="120"/>
      <c r="C551" s="120"/>
      <c r="D551" s="120"/>
      <c r="E551" s="120"/>
      <c r="F551" s="121"/>
      <c r="G551" s="122"/>
      <c r="H551" s="120"/>
    </row>
    <row r="552" spans="1:8" ht="12.3">
      <c r="A552" s="120"/>
      <c r="B552" s="120"/>
      <c r="C552" s="120"/>
      <c r="D552" s="120"/>
      <c r="E552" s="120"/>
      <c r="F552" s="121"/>
      <c r="G552" s="122"/>
      <c r="H552" s="120"/>
    </row>
    <row r="553" spans="1:8" ht="12.3">
      <c r="A553" s="120"/>
      <c r="B553" s="120"/>
      <c r="C553" s="120"/>
      <c r="D553" s="120"/>
      <c r="E553" s="120"/>
      <c r="F553" s="121"/>
      <c r="G553" s="122"/>
      <c r="H553" s="120"/>
    </row>
    <row r="554" spans="1:8" ht="12.3">
      <c r="A554" s="120"/>
      <c r="B554" s="120"/>
      <c r="C554" s="120"/>
      <c r="D554" s="120"/>
      <c r="E554" s="120"/>
      <c r="F554" s="121"/>
      <c r="G554" s="122"/>
      <c r="H554" s="120"/>
    </row>
    <row r="555" spans="1:8" ht="12.3">
      <c r="A555" s="120"/>
      <c r="B555" s="120"/>
      <c r="C555" s="120"/>
      <c r="D555" s="120"/>
      <c r="E555" s="120"/>
      <c r="F555" s="121"/>
      <c r="G555" s="122"/>
      <c r="H555" s="120"/>
    </row>
    <row r="556" spans="1:8" ht="12.3">
      <c r="A556" s="120"/>
      <c r="B556" s="120"/>
      <c r="C556" s="120"/>
      <c r="D556" s="120"/>
      <c r="E556" s="120"/>
      <c r="F556" s="121"/>
      <c r="G556" s="122"/>
      <c r="H556" s="120"/>
    </row>
    <row r="557" spans="1:8" ht="12.3">
      <c r="A557" s="120"/>
      <c r="B557" s="120"/>
      <c r="C557" s="120"/>
      <c r="D557" s="120"/>
      <c r="E557" s="120"/>
      <c r="F557" s="121"/>
      <c r="G557" s="122"/>
      <c r="H557" s="120"/>
    </row>
    <row r="558" spans="1:8" ht="12.3">
      <c r="A558" s="120"/>
      <c r="B558" s="120"/>
      <c r="C558" s="120"/>
      <c r="D558" s="120"/>
      <c r="E558" s="120"/>
      <c r="F558" s="121"/>
      <c r="G558" s="122"/>
      <c r="H558" s="120"/>
    </row>
    <row r="559" spans="1:8" ht="12.3">
      <c r="A559" s="120"/>
      <c r="B559" s="120"/>
      <c r="C559" s="120"/>
      <c r="D559" s="120"/>
      <c r="E559" s="120"/>
      <c r="F559" s="121"/>
      <c r="G559" s="122"/>
      <c r="H559" s="120"/>
    </row>
    <row r="560" spans="1:8" ht="12.3">
      <c r="A560" s="120"/>
      <c r="B560" s="120"/>
      <c r="C560" s="120"/>
      <c r="D560" s="120"/>
      <c r="E560" s="120"/>
      <c r="F560" s="121"/>
      <c r="G560" s="122"/>
      <c r="H560" s="120"/>
    </row>
    <row r="561" spans="1:8" ht="12.3">
      <c r="A561" s="120"/>
      <c r="B561" s="120"/>
      <c r="C561" s="120"/>
      <c r="D561" s="120"/>
      <c r="E561" s="120"/>
      <c r="F561" s="121"/>
      <c r="G561" s="122"/>
      <c r="H561" s="120"/>
    </row>
    <row r="562" spans="1:8" ht="12.3">
      <c r="A562" s="120"/>
      <c r="B562" s="120"/>
      <c r="C562" s="120"/>
      <c r="D562" s="120"/>
      <c r="E562" s="120"/>
      <c r="F562" s="121"/>
      <c r="G562" s="122"/>
      <c r="H562" s="120"/>
    </row>
    <row r="563" spans="1:8" ht="12.3">
      <c r="A563" s="120"/>
      <c r="B563" s="120"/>
      <c r="C563" s="120"/>
      <c r="D563" s="120"/>
      <c r="E563" s="120"/>
      <c r="F563" s="121"/>
      <c r="G563" s="122"/>
      <c r="H563" s="120"/>
    </row>
    <row r="564" spans="1:8" ht="12.3">
      <c r="A564" s="120"/>
      <c r="B564" s="120"/>
      <c r="C564" s="120"/>
      <c r="D564" s="120"/>
      <c r="E564" s="120"/>
      <c r="F564" s="121"/>
      <c r="G564" s="122"/>
      <c r="H564" s="120"/>
    </row>
    <row r="565" spans="1:8" ht="12.3">
      <c r="A565" s="120"/>
      <c r="B565" s="120"/>
      <c r="C565" s="120"/>
      <c r="D565" s="120"/>
      <c r="E565" s="120"/>
      <c r="F565" s="121"/>
      <c r="G565" s="122"/>
      <c r="H565" s="120"/>
    </row>
    <row r="566" spans="1:8" ht="12.3">
      <c r="A566" s="120"/>
      <c r="B566" s="120"/>
      <c r="C566" s="120"/>
      <c r="D566" s="120"/>
      <c r="E566" s="120"/>
      <c r="F566" s="121"/>
      <c r="G566" s="122"/>
      <c r="H566" s="120"/>
    </row>
    <row r="567" spans="1:8" ht="12.3">
      <c r="A567" s="120"/>
      <c r="B567" s="120"/>
      <c r="C567" s="120"/>
      <c r="D567" s="120"/>
      <c r="E567" s="120"/>
      <c r="F567" s="121"/>
      <c r="G567" s="122"/>
      <c r="H567" s="120"/>
    </row>
    <row r="568" spans="1:8" ht="12.3">
      <c r="A568" s="120"/>
      <c r="B568" s="120"/>
      <c r="C568" s="120"/>
      <c r="D568" s="120"/>
      <c r="E568" s="120"/>
      <c r="F568" s="121"/>
      <c r="G568" s="122"/>
      <c r="H568" s="120"/>
    </row>
    <row r="569" spans="1:8" ht="12.3">
      <c r="A569" s="120"/>
      <c r="B569" s="120"/>
      <c r="C569" s="120"/>
      <c r="D569" s="120"/>
      <c r="E569" s="120"/>
      <c r="F569" s="121"/>
      <c r="G569" s="122"/>
      <c r="H569" s="120"/>
    </row>
    <row r="570" spans="1:8" ht="12.3">
      <c r="A570" s="120"/>
      <c r="B570" s="120"/>
      <c r="C570" s="120"/>
      <c r="D570" s="120"/>
      <c r="E570" s="120"/>
      <c r="F570" s="121"/>
      <c r="G570" s="122"/>
      <c r="H570" s="120"/>
    </row>
    <row r="571" spans="1:8" ht="12.3">
      <c r="A571" s="120"/>
      <c r="B571" s="120"/>
      <c r="C571" s="120"/>
      <c r="D571" s="120"/>
      <c r="E571" s="120"/>
      <c r="F571" s="121"/>
      <c r="G571" s="122"/>
      <c r="H571" s="120"/>
    </row>
    <row r="572" spans="1:8" ht="12.3">
      <c r="A572" s="120"/>
      <c r="B572" s="120"/>
      <c r="C572" s="120"/>
      <c r="D572" s="120"/>
      <c r="E572" s="120"/>
      <c r="F572" s="121"/>
      <c r="G572" s="122"/>
      <c r="H572" s="120"/>
    </row>
    <row r="573" spans="1:8" ht="12.3">
      <c r="A573" s="120"/>
      <c r="B573" s="120"/>
      <c r="C573" s="120"/>
      <c r="D573" s="120"/>
      <c r="E573" s="120"/>
      <c r="F573" s="121"/>
      <c r="G573" s="122"/>
      <c r="H573" s="120"/>
    </row>
    <row r="574" spans="1:8" ht="12.3">
      <c r="A574" s="120"/>
      <c r="B574" s="120"/>
      <c r="C574" s="120"/>
      <c r="D574" s="120"/>
      <c r="E574" s="120"/>
      <c r="F574" s="121"/>
      <c r="G574" s="122"/>
      <c r="H574" s="120"/>
    </row>
    <row r="575" spans="1:8" ht="12.3">
      <c r="A575" s="120"/>
      <c r="B575" s="120"/>
      <c r="C575" s="120"/>
      <c r="D575" s="120"/>
      <c r="E575" s="120"/>
      <c r="F575" s="121"/>
      <c r="G575" s="122"/>
      <c r="H575" s="120"/>
    </row>
    <row r="576" spans="1:8" ht="12.3">
      <c r="A576" s="120"/>
      <c r="B576" s="120"/>
      <c r="C576" s="120"/>
      <c r="D576" s="120"/>
      <c r="E576" s="120"/>
      <c r="F576" s="121"/>
      <c r="G576" s="122"/>
      <c r="H576" s="120"/>
    </row>
    <row r="577" spans="1:8" ht="12.3">
      <c r="A577" s="120"/>
      <c r="B577" s="120"/>
      <c r="C577" s="120"/>
      <c r="D577" s="120"/>
      <c r="E577" s="120"/>
      <c r="F577" s="121"/>
      <c r="G577" s="122"/>
      <c r="H577" s="120"/>
    </row>
    <row r="578" spans="1:8" ht="12.3">
      <c r="A578" s="120"/>
      <c r="B578" s="120"/>
      <c r="C578" s="120"/>
      <c r="D578" s="120"/>
      <c r="E578" s="120"/>
      <c r="F578" s="121"/>
      <c r="G578" s="122"/>
      <c r="H578" s="120"/>
    </row>
    <row r="579" spans="1:8" ht="12.3">
      <c r="A579" s="120"/>
      <c r="B579" s="120"/>
      <c r="C579" s="120"/>
      <c r="D579" s="120"/>
      <c r="E579" s="120"/>
      <c r="F579" s="121"/>
      <c r="G579" s="122"/>
      <c r="H579" s="120"/>
    </row>
    <row r="580" spans="1:8" ht="12.3">
      <c r="A580" s="120"/>
      <c r="B580" s="120"/>
      <c r="C580" s="120"/>
      <c r="D580" s="120"/>
      <c r="E580" s="120"/>
      <c r="F580" s="121"/>
      <c r="G580" s="122"/>
      <c r="H580" s="120"/>
    </row>
    <row r="581" spans="1:8" ht="12.3">
      <c r="A581" s="120"/>
      <c r="B581" s="120"/>
      <c r="C581" s="120"/>
      <c r="D581" s="120"/>
      <c r="E581" s="120"/>
      <c r="F581" s="121"/>
      <c r="G581" s="122"/>
      <c r="H581" s="120"/>
    </row>
    <row r="582" spans="1:8" ht="12.3">
      <c r="A582" s="120"/>
      <c r="B582" s="120"/>
      <c r="C582" s="120"/>
      <c r="D582" s="120"/>
      <c r="E582" s="120"/>
      <c r="F582" s="121"/>
      <c r="G582" s="122"/>
      <c r="H582" s="120"/>
    </row>
    <row r="583" spans="1:8" ht="12.3">
      <c r="A583" s="120"/>
      <c r="B583" s="120"/>
      <c r="C583" s="120"/>
      <c r="D583" s="120"/>
      <c r="E583" s="120"/>
      <c r="F583" s="121"/>
      <c r="G583" s="122"/>
      <c r="H583" s="120"/>
    </row>
    <row r="584" spans="1:8" ht="12.3">
      <c r="A584" s="120"/>
      <c r="B584" s="120"/>
      <c r="C584" s="120"/>
      <c r="D584" s="120"/>
      <c r="E584" s="120"/>
      <c r="F584" s="121"/>
      <c r="G584" s="122"/>
      <c r="H584" s="120"/>
    </row>
    <row r="585" spans="1:8" ht="12.3">
      <c r="A585" s="120"/>
      <c r="B585" s="120"/>
      <c r="C585" s="120"/>
      <c r="D585" s="120"/>
      <c r="E585" s="120"/>
      <c r="F585" s="121"/>
      <c r="G585" s="122"/>
      <c r="H585" s="120"/>
    </row>
    <row r="586" spans="1:8" ht="12.3">
      <c r="A586" s="120"/>
      <c r="B586" s="120"/>
      <c r="C586" s="120"/>
      <c r="D586" s="120"/>
      <c r="E586" s="120"/>
      <c r="F586" s="121"/>
      <c r="G586" s="122"/>
      <c r="H586" s="120"/>
    </row>
    <row r="587" spans="1:8" ht="12.3">
      <c r="A587" s="120"/>
      <c r="B587" s="120"/>
      <c r="C587" s="120"/>
      <c r="D587" s="120"/>
      <c r="E587" s="120"/>
      <c r="F587" s="121"/>
      <c r="G587" s="122"/>
      <c r="H587" s="120"/>
    </row>
    <row r="588" spans="1:8" ht="12.3">
      <c r="A588" s="120"/>
      <c r="B588" s="120"/>
      <c r="C588" s="120"/>
      <c r="D588" s="120"/>
      <c r="E588" s="120"/>
      <c r="F588" s="121"/>
      <c r="G588" s="122"/>
      <c r="H588" s="120"/>
    </row>
    <row r="589" spans="1:8" ht="12.3">
      <c r="A589" s="120"/>
      <c r="B589" s="120"/>
      <c r="C589" s="120"/>
      <c r="D589" s="120"/>
      <c r="E589" s="120"/>
      <c r="F589" s="121"/>
      <c r="G589" s="122"/>
      <c r="H589" s="120"/>
    </row>
    <row r="590" spans="1:8" ht="12.3">
      <c r="A590" s="120"/>
      <c r="B590" s="120"/>
      <c r="C590" s="120"/>
      <c r="D590" s="120"/>
      <c r="E590" s="120"/>
      <c r="F590" s="121"/>
      <c r="G590" s="122"/>
      <c r="H590" s="120"/>
    </row>
    <row r="591" spans="1:8" ht="12.3">
      <c r="A591" s="120"/>
      <c r="B591" s="120"/>
      <c r="C591" s="120"/>
      <c r="D591" s="120"/>
      <c r="E591" s="120"/>
      <c r="F591" s="121"/>
      <c r="G591" s="122"/>
      <c r="H591" s="120"/>
    </row>
    <row r="592" spans="1:8" ht="12.3">
      <c r="A592" s="120"/>
      <c r="B592" s="120"/>
      <c r="C592" s="120"/>
      <c r="D592" s="120"/>
      <c r="E592" s="120"/>
      <c r="F592" s="121"/>
      <c r="G592" s="122"/>
      <c r="H592" s="120"/>
    </row>
    <row r="593" spans="1:8" ht="12.3">
      <c r="A593" s="120"/>
      <c r="B593" s="120"/>
      <c r="C593" s="120"/>
      <c r="D593" s="120"/>
      <c r="E593" s="120"/>
      <c r="F593" s="121"/>
      <c r="G593" s="122"/>
      <c r="H593" s="120"/>
    </row>
    <row r="594" spans="1:8" ht="12.3">
      <c r="A594" s="120"/>
      <c r="B594" s="120"/>
      <c r="C594" s="120"/>
      <c r="D594" s="120"/>
      <c r="E594" s="120"/>
      <c r="F594" s="121"/>
      <c r="G594" s="122"/>
      <c r="H594" s="120"/>
    </row>
    <row r="595" spans="1:8" ht="12.3">
      <c r="A595" s="120"/>
      <c r="B595" s="120"/>
      <c r="C595" s="120"/>
      <c r="D595" s="120"/>
      <c r="E595" s="120"/>
      <c r="F595" s="121"/>
      <c r="G595" s="122"/>
      <c r="H595" s="120"/>
    </row>
    <row r="596" spans="1:8" ht="12.3">
      <c r="A596" s="120"/>
      <c r="B596" s="120"/>
      <c r="C596" s="120"/>
      <c r="D596" s="120"/>
      <c r="E596" s="120"/>
      <c r="F596" s="121"/>
      <c r="G596" s="122"/>
      <c r="H596" s="120"/>
    </row>
    <row r="597" spans="1:8" ht="12.3">
      <c r="A597" s="120"/>
      <c r="B597" s="120"/>
      <c r="C597" s="120"/>
      <c r="D597" s="120"/>
      <c r="E597" s="120"/>
      <c r="F597" s="121"/>
      <c r="G597" s="122"/>
      <c r="H597" s="120"/>
    </row>
    <row r="598" spans="1:8" ht="12.3">
      <c r="A598" s="120"/>
      <c r="B598" s="120"/>
      <c r="C598" s="120"/>
      <c r="D598" s="120"/>
      <c r="E598" s="120"/>
      <c r="F598" s="121"/>
      <c r="G598" s="122"/>
      <c r="H598" s="120"/>
    </row>
    <row r="599" spans="1:8" ht="12.3">
      <c r="A599" s="120"/>
      <c r="B599" s="120"/>
      <c r="C599" s="120"/>
      <c r="D599" s="120"/>
      <c r="E599" s="120"/>
      <c r="F599" s="121"/>
      <c r="G599" s="122"/>
      <c r="H599" s="120"/>
    </row>
    <row r="600" spans="1:8" ht="12.3">
      <c r="A600" s="120"/>
      <c r="B600" s="120"/>
      <c r="C600" s="120"/>
      <c r="D600" s="120"/>
      <c r="E600" s="120"/>
      <c r="F600" s="121"/>
      <c r="G600" s="122"/>
      <c r="H600" s="120"/>
    </row>
    <row r="601" spans="1:8" ht="12.3">
      <c r="A601" s="120"/>
      <c r="B601" s="120"/>
      <c r="C601" s="120"/>
      <c r="D601" s="120"/>
      <c r="E601" s="120"/>
      <c r="F601" s="121"/>
      <c r="G601" s="122"/>
      <c r="H601" s="120"/>
    </row>
    <row r="602" spans="1:8" ht="12.3">
      <c r="A602" s="120"/>
      <c r="B602" s="120"/>
      <c r="C602" s="120"/>
      <c r="D602" s="120"/>
      <c r="E602" s="120"/>
      <c r="F602" s="121"/>
      <c r="G602" s="122"/>
      <c r="H602" s="120"/>
    </row>
    <row r="603" spans="1:8" ht="12.3">
      <c r="A603" s="120"/>
      <c r="B603" s="120"/>
      <c r="C603" s="120"/>
      <c r="D603" s="120"/>
      <c r="E603" s="120"/>
      <c r="F603" s="121"/>
      <c r="G603" s="122"/>
      <c r="H603" s="120"/>
    </row>
    <row r="604" spans="1:8" ht="12.3">
      <c r="A604" s="120"/>
      <c r="B604" s="120"/>
      <c r="C604" s="120"/>
      <c r="D604" s="120"/>
      <c r="E604" s="120"/>
      <c r="F604" s="121"/>
      <c r="G604" s="122"/>
      <c r="H604" s="120"/>
    </row>
    <row r="605" spans="1:8" ht="12.3">
      <c r="A605" s="120"/>
      <c r="B605" s="120"/>
      <c r="C605" s="120"/>
      <c r="D605" s="120"/>
      <c r="E605" s="120"/>
      <c r="F605" s="121"/>
      <c r="G605" s="122"/>
      <c r="H605" s="120"/>
    </row>
    <row r="606" spans="1:8" ht="12.3">
      <c r="A606" s="120"/>
      <c r="B606" s="120"/>
      <c r="C606" s="120"/>
      <c r="D606" s="120"/>
      <c r="E606" s="120"/>
      <c r="F606" s="121"/>
      <c r="G606" s="122"/>
      <c r="H606" s="120"/>
    </row>
    <row r="607" spans="1:8" ht="12.3">
      <c r="A607" s="120"/>
      <c r="B607" s="120"/>
      <c r="C607" s="120"/>
      <c r="D607" s="120"/>
      <c r="E607" s="120"/>
      <c r="F607" s="121"/>
      <c r="G607" s="122"/>
      <c r="H607" s="120"/>
    </row>
    <row r="608" spans="1:8" ht="12.3">
      <c r="A608" s="120"/>
      <c r="B608" s="120"/>
      <c r="C608" s="120"/>
      <c r="D608" s="120"/>
      <c r="E608" s="120"/>
      <c r="F608" s="121"/>
      <c r="G608" s="122"/>
      <c r="H608" s="120"/>
    </row>
    <row r="609" spans="1:8" ht="12.3">
      <c r="A609" s="120"/>
      <c r="B609" s="120"/>
      <c r="C609" s="120"/>
      <c r="D609" s="120"/>
      <c r="E609" s="120"/>
      <c r="F609" s="121"/>
      <c r="G609" s="122"/>
      <c r="H609" s="120"/>
    </row>
    <row r="610" spans="1:8" ht="12.3">
      <c r="A610" s="120"/>
      <c r="B610" s="120"/>
      <c r="C610" s="120"/>
      <c r="D610" s="120"/>
      <c r="E610" s="120"/>
      <c r="F610" s="121"/>
      <c r="G610" s="122"/>
      <c r="H610" s="120"/>
    </row>
    <row r="611" spans="1:8" ht="12.3">
      <c r="A611" s="120"/>
      <c r="B611" s="120"/>
      <c r="C611" s="120"/>
      <c r="D611" s="120"/>
      <c r="E611" s="120"/>
      <c r="F611" s="121"/>
      <c r="G611" s="122"/>
      <c r="H611" s="120"/>
    </row>
    <row r="612" spans="1:8" ht="12.3">
      <c r="A612" s="120"/>
      <c r="B612" s="120"/>
      <c r="C612" s="120"/>
      <c r="D612" s="120"/>
      <c r="E612" s="120"/>
      <c r="F612" s="121"/>
      <c r="G612" s="122"/>
      <c r="H612" s="120"/>
    </row>
    <row r="613" spans="1:8" ht="12.3">
      <c r="A613" s="120"/>
      <c r="B613" s="120"/>
      <c r="C613" s="120"/>
      <c r="D613" s="120"/>
      <c r="E613" s="120"/>
      <c r="F613" s="121"/>
      <c r="G613" s="122"/>
      <c r="H613" s="120"/>
    </row>
    <row r="614" spans="1:8" ht="12.3">
      <c r="A614" s="120"/>
      <c r="B614" s="120"/>
      <c r="C614" s="120"/>
      <c r="D614" s="120"/>
      <c r="E614" s="120"/>
      <c r="F614" s="121"/>
      <c r="G614" s="122"/>
      <c r="H614" s="120"/>
    </row>
    <row r="615" spans="1:8" ht="12.3">
      <c r="A615" s="120"/>
      <c r="B615" s="120"/>
      <c r="C615" s="120"/>
      <c r="D615" s="120"/>
      <c r="E615" s="120"/>
      <c r="F615" s="121"/>
      <c r="G615" s="122"/>
      <c r="H615" s="120"/>
    </row>
    <row r="616" spans="1:8" ht="12.3">
      <c r="A616" s="120"/>
      <c r="B616" s="120"/>
      <c r="C616" s="120"/>
      <c r="D616" s="120"/>
      <c r="E616" s="120"/>
      <c r="F616" s="121"/>
      <c r="G616" s="122"/>
      <c r="H616" s="120"/>
    </row>
    <row r="617" spans="1:8" ht="12.3">
      <c r="A617" s="120"/>
      <c r="B617" s="120"/>
      <c r="C617" s="120"/>
      <c r="D617" s="120"/>
      <c r="E617" s="120"/>
      <c r="F617" s="121"/>
      <c r="G617" s="122"/>
      <c r="H617" s="120"/>
    </row>
    <row r="618" spans="1:8" ht="12.3">
      <c r="A618" s="120"/>
      <c r="B618" s="120"/>
      <c r="C618" s="120"/>
      <c r="D618" s="120"/>
      <c r="E618" s="120"/>
      <c r="F618" s="121"/>
      <c r="G618" s="122"/>
      <c r="H618" s="120"/>
    </row>
    <row r="619" spans="1:8" ht="12.3">
      <c r="A619" s="120"/>
      <c r="B619" s="120"/>
      <c r="C619" s="120"/>
      <c r="D619" s="120"/>
      <c r="E619" s="120"/>
      <c r="F619" s="121"/>
      <c r="G619" s="122"/>
      <c r="H619" s="120"/>
    </row>
    <row r="620" spans="1:8" ht="12.3">
      <c r="A620" s="120"/>
      <c r="B620" s="120"/>
      <c r="C620" s="120"/>
      <c r="D620" s="120"/>
      <c r="E620" s="120"/>
      <c r="F620" s="121"/>
      <c r="G620" s="122"/>
      <c r="H620" s="120"/>
    </row>
    <row r="621" spans="1:8" ht="12.3">
      <c r="A621" s="120"/>
      <c r="B621" s="120"/>
      <c r="C621" s="120"/>
      <c r="D621" s="120"/>
      <c r="E621" s="120"/>
      <c r="F621" s="121"/>
      <c r="G621" s="122"/>
      <c r="H621" s="120"/>
    </row>
    <row r="622" spans="1:8" ht="12.3">
      <c r="A622" s="120"/>
      <c r="B622" s="120"/>
      <c r="C622" s="120"/>
      <c r="D622" s="120"/>
      <c r="E622" s="120"/>
      <c r="F622" s="121"/>
      <c r="G622" s="122"/>
      <c r="H622" s="120"/>
    </row>
    <row r="623" spans="1:8" ht="12.3">
      <c r="A623" s="120"/>
      <c r="B623" s="120"/>
      <c r="C623" s="120"/>
      <c r="D623" s="120"/>
      <c r="E623" s="120"/>
      <c r="F623" s="121"/>
      <c r="G623" s="122"/>
      <c r="H623" s="120"/>
    </row>
    <row r="624" spans="1:8" ht="12.3">
      <c r="A624" s="120"/>
      <c r="B624" s="120"/>
      <c r="C624" s="120"/>
      <c r="D624" s="120"/>
      <c r="E624" s="120"/>
      <c r="F624" s="121"/>
      <c r="G624" s="122"/>
      <c r="H624" s="120"/>
    </row>
    <row r="625" spans="1:8" ht="12.3">
      <c r="A625" s="120"/>
      <c r="B625" s="120"/>
      <c r="C625" s="120"/>
      <c r="D625" s="120"/>
      <c r="E625" s="120"/>
      <c r="F625" s="121"/>
      <c r="G625" s="122"/>
      <c r="H625" s="120"/>
    </row>
    <row r="626" spans="1:8" ht="12.3">
      <c r="A626" s="120"/>
      <c r="B626" s="120"/>
      <c r="C626" s="120"/>
      <c r="D626" s="120"/>
      <c r="E626" s="120"/>
      <c r="F626" s="121"/>
      <c r="G626" s="122"/>
      <c r="H626" s="120"/>
    </row>
    <row r="627" spans="1:8" ht="12.3">
      <c r="A627" s="120"/>
      <c r="B627" s="120"/>
      <c r="C627" s="120"/>
      <c r="D627" s="120"/>
      <c r="E627" s="120"/>
      <c r="F627" s="121"/>
      <c r="G627" s="122"/>
      <c r="H627" s="120"/>
    </row>
    <row r="628" spans="1:8" ht="12.3">
      <c r="A628" s="120"/>
      <c r="B628" s="120"/>
      <c r="C628" s="120"/>
      <c r="D628" s="120"/>
      <c r="E628" s="120"/>
      <c r="F628" s="121"/>
      <c r="G628" s="122"/>
      <c r="H628" s="120"/>
    </row>
    <row r="629" spans="1:8" ht="12.3">
      <c r="A629" s="120"/>
      <c r="B629" s="120"/>
      <c r="C629" s="120"/>
      <c r="D629" s="120"/>
      <c r="E629" s="120"/>
      <c r="F629" s="121"/>
      <c r="G629" s="122"/>
      <c r="H629" s="120"/>
    </row>
    <row r="630" spans="1:8" ht="12.3">
      <c r="A630" s="120"/>
      <c r="B630" s="120"/>
      <c r="C630" s="120"/>
      <c r="D630" s="120"/>
      <c r="E630" s="120"/>
      <c r="F630" s="121"/>
      <c r="G630" s="122"/>
      <c r="H630" s="120"/>
    </row>
    <row r="631" spans="1:8" ht="12.3">
      <c r="A631" s="120"/>
      <c r="B631" s="120"/>
      <c r="C631" s="120"/>
      <c r="D631" s="120"/>
      <c r="E631" s="120"/>
      <c r="F631" s="121"/>
      <c r="G631" s="122"/>
      <c r="H631" s="120"/>
    </row>
    <row r="632" spans="1:8" ht="12.3">
      <c r="A632" s="120"/>
      <c r="B632" s="120"/>
      <c r="C632" s="120"/>
      <c r="D632" s="120"/>
      <c r="E632" s="120"/>
      <c r="F632" s="121"/>
      <c r="G632" s="122"/>
      <c r="H632" s="120"/>
    </row>
    <row r="633" spans="1:8" ht="12.3">
      <c r="A633" s="120"/>
      <c r="B633" s="120"/>
      <c r="C633" s="120"/>
      <c r="D633" s="120"/>
      <c r="E633" s="120"/>
      <c r="F633" s="121"/>
      <c r="G633" s="122"/>
      <c r="H633" s="120"/>
    </row>
    <row r="634" spans="1:8" ht="12.3">
      <c r="A634" s="120"/>
      <c r="B634" s="120"/>
      <c r="C634" s="120"/>
      <c r="D634" s="120"/>
      <c r="E634" s="120"/>
      <c r="F634" s="121"/>
      <c r="G634" s="122"/>
      <c r="H634" s="120"/>
    </row>
    <row r="635" spans="1:8" ht="12.3">
      <c r="A635" s="120"/>
      <c r="B635" s="120"/>
      <c r="C635" s="120"/>
      <c r="D635" s="120"/>
      <c r="E635" s="120"/>
      <c r="F635" s="121"/>
      <c r="G635" s="122"/>
      <c r="H635" s="120"/>
    </row>
    <row r="636" spans="1:8" ht="12.3">
      <c r="A636" s="120"/>
      <c r="B636" s="120"/>
      <c r="C636" s="120"/>
      <c r="D636" s="120"/>
      <c r="E636" s="120"/>
      <c r="F636" s="121"/>
      <c r="G636" s="122"/>
      <c r="H636" s="120"/>
    </row>
    <row r="637" spans="1:8" ht="12.3">
      <c r="A637" s="120"/>
      <c r="B637" s="120"/>
      <c r="C637" s="120"/>
      <c r="D637" s="120"/>
      <c r="E637" s="120"/>
      <c r="F637" s="121"/>
      <c r="G637" s="122"/>
      <c r="H637" s="120"/>
    </row>
    <row r="638" spans="1:8" ht="12.3">
      <c r="A638" s="120"/>
      <c r="B638" s="120"/>
      <c r="C638" s="120"/>
      <c r="D638" s="120"/>
      <c r="E638" s="120"/>
      <c r="F638" s="121"/>
      <c r="G638" s="122"/>
      <c r="H638" s="120"/>
    </row>
    <row r="639" spans="1:8" ht="12.3">
      <c r="A639" s="120"/>
      <c r="B639" s="120"/>
      <c r="C639" s="120"/>
      <c r="D639" s="120"/>
      <c r="E639" s="120"/>
      <c r="F639" s="121"/>
      <c r="G639" s="122"/>
      <c r="H639" s="120"/>
    </row>
    <row r="640" spans="1:8" ht="12.3">
      <c r="A640" s="120"/>
      <c r="B640" s="120"/>
      <c r="C640" s="120"/>
      <c r="D640" s="120"/>
      <c r="E640" s="120"/>
      <c r="F640" s="121"/>
      <c r="G640" s="122"/>
      <c r="H640" s="120"/>
    </row>
    <row r="641" spans="1:8" ht="12.3">
      <c r="A641" s="120"/>
      <c r="B641" s="120"/>
      <c r="C641" s="120"/>
      <c r="D641" s="120"/>
      <c r="E641" s="120"/>
      <c r="F641" s="121"/>
      <c r="G641" s="122"/>
      <c r="H641" s="120"/>
    </row>
    <row r="642" spans="1:8" ht="12.3">
      <c r="A642" s="120"/>
      <c r="B642" s="120"/>
      <c r="C642" s="120"/>
      <c r="D642" s="120"/>
      <c r="E642" s="120"/>
      <c r="F642" s="121"/>
      <c r="G642" s="122"/>
      <c r="H642" s="120"/>
    </row>
    <row r="643" spans="1:8" ht="12.3">
      <c r="A643" s="120"/>
      <c r="B643" s="120"/>
      <c r="C643" s="120"/>
      <c r="D643" s="120"/>
      <c r="E643" s="120"/>
      <c r="F643" s="121"/>
      <c r="G643" s="122"/>
      <c r="H643" s="120"/>
    </row>
    <row r="644" spans="1:8" ht="12.3">
      <c r="A644" s="120"/>
      <c r="B644" s="120"/>
      <c r="C644" s="120"/>
      <c r="D644" s="120"/>
      <c r="E644" s="120"/>
      <c r="F644" s="121"/>
      <c r="G644" s="122"/>
      <c r="H644" s="120"/>
    </row>
    <row r="645" spans="1:8" ht="12.3">
      <c r="A645" s="120"/>
      <c r="B645" s="120"/>
      <c r="C645" s="120"/>
      <c r="D645" s="120"/>
      <c r="E645" s="120"/>
      <c r="F645" s="121"/>
      <c r="G645" s="122"/>
      <c r="H645" s="120"/>
    </row>
    <row r="646" spans="1:8" ht="12.3">
      <c r="A646" s="120"/>
      <c r="B646" s="120"/>
      <c r="C646" s="120"/>
      <c r="D646" s="120"/>
      <c r="E646" s="120"/>
      <c r="F646" s="121"/>
      <c r="G646" s="122"/>
      <c r="H646" s="120"/>
    </row>
    <row r="647" spans="1:8" ht="12.3">
      <c r="A647" s="120"/>
      <c r="B647" s="120"/>
      <c r="C647" s="120"/>
      <c r="D647" s="120"/>
      <c r="E647" s="120"/>
      <c r="F647" s="121"/>
      <c r="G647" s="122"/>
      <c r="H647" s="120"/>
    </row>
    <row r="648" spans="1:8" ht="12.3">
      <c r="A648" s="120"/>
      <c r="B648" s="120"/>
      <c r="C648" s="120"/>
      <c r="D648" s="120"/>
      <c r="E648" s="120"/>
      <c r="F648" s="121"/>
      <c r="G648" s="122"/>
      <c r="H648" s="120"/>
    </row>
    <row r="649" spans="1:8" ht="12.3">
      <c r="A649" s="120"/>
      <c r="B649" s="120"/>
      <c r="C649" s="120"/>
      <c r="D649" s="120"/>
      <c r="E649" s="120"/>
      <c r="F649" s="121"/>
      <c r="G649" s="122"/>
      <c r="H649" s="120"/>
    </row>
    <row r="650" spans="1:8" ht="12.3">
      <c r="A650" s="120"/>
      <c r="B650" s="120"/>
      <c r="C650" s="120"/>
      <c r="D650" s="120"/>
      <c r="E650" s="120"/>
      <c r="F650" s="121"/>
      <c r="G650" s="122"/>
      <c r="H650" s="120"/>
    </row>
    <row r="651" spans="1:8" ht="12.3">
      <c r="A651" s="120"/>
      <c r="B651" s="120"/>
      <c r="C651" s="120"/>
      <c r="D651" s="120"/>
      <c r="E651" s="120"/>
      <c r="F651" s="121"/>
      <c r="G651" s="122"/>
      <c r="H651" s="120"/>
    </row>
    <row r="652" spans="1:8" ht="12.3">
      <c r="A652" s="120"/>
      <c r="B652" s="120"/>
      <c r="C652" s="120"/>
      <c r="D652" s="120"/>
      <c r="E652" s="120"/>
      <c r="F652" s="121"/>
      <c r="G652" s="122"/>
      <c r="H652" s="120"/>
    </row>
    <row r="653" spans="1:8" ht="12.3">
      <c r="A653" s="120"/>
      <c r="B653" s="120"/>
      <c r="C653" s="120"/>
      <c r="D653" s="120"/>
      <c r="E653" s="120"/>
      <c r="F653" s="121"/>
      <c r="G653" s="122"/>
      <c r="H653" s="120"/>
    </row>
    <row r="654" spans="1:8" ht="12.3">
      <c r="A654" s="120"/>
      <c r="B654" s="120"/>
      <c r="C654" s="120"/>
      <c r="D654" s="120"/>
      <c r="E654" s="120"/>
      <c r="F654" s="121"/>
      <c r="G654" s="122"/>
      <c r="H654" s="120"/>
    </row>
    <row r="655" spans="1:8" ht="12.3">
      <c r="A655" s="120"/>
      <c r="B655" s="120"/>
      <c r="C655" s="120"/>
      <c r="D655" s="120"/>
      <c r="E655" s="120"/>
      <c r="F655" s="121"/>
      <c r="G655" s="122"/>
      <c r="H655" s="120"/>
    </row>
    <row r="656" spans="1:8" ht="12.3">
      <c r="A656" s="120"/>
      <c r="B656" s="120"/>
      <c r="C656" s="120"/>
      <c r="D656" s="120"/>
      <c r="E656" s="120"/>
      <c r="F656" s="121"/>
      <c r="G656" s="122"/>
      <c r="H656" s="120"/>
    </row>
    <row r="657" spans="1:8" ht="12.3">
      <c r="A657" s="120"/>
      <c r="B657" s="120"/>
      <c r="C657" s="120"/>
      <c r="D657" s="120"/>
      <c r="E657" s="120"/>
      <c r="F657" s="121"/>
      <c r="G657" s="122"/>
      <c r="H657" s="120"/>
    </row>
    <row r="658" spans="1:8" ht="12.3">
      <c r="A658" s="120"/>
      <c r="B658" s="120"/>
      <c r="C658" s="120"/>
      <c r="D658" s="120"/>
      <c r="E658" s="120"/>
      <c r="F658" s="121"/>
      <c r="G658" s="122"/>
      <c r="H658" s="120"/>
    </row>
    <row r="659" spans="1:8" ht="12.3">
      <c r="A659" s="120"/>
      <c r="B659" s="120"/>
      <c r="C659" s="120"/>
      <c r="D659" s="120"/>
      <c r="E659" s="120"/>
      <c r="F659" s="121"/>
      <c r="G659" s="122"/>
      <c r="H659" s="120"/>
    </row>
    <row r="660" spans="1:8" ht="12.3">
      <c r="A660" s="120"/>
      <c r="B660" s="120"/>
      <c r="C660" s="120"/>
      <c r="D660" s="120"/>
      <c r="E660" s="120"/>
      <c r="F660" s="121"/>
      <c r="G660" s="122"/>
      <c r="H660" s="120"/>
    </row>
    <row r="661" spans="1:8" ht="12.3">
      <c r="A661" s="120"/>
      <c r="B661" s="120"/>
      <c r="C661" s="120"/>
      <c r="D661" s="120"/>
      <c r="E661" s="120"/>
      <c r="F661" s="121"/>
      <c r="G661" s="122"/>
      <c r="H661" s="120"/>
    </row>
    <row r="662" spans="1:8" ht="12.3">
      <c r="A662" s="120"/>
      <c r="B662" s="120"/>
      <c r="C662" s="120"/>
      <c r="D662" s="120"/>
      <c r="E662" s="120"/>
      <c r="F662" s="121"/>
      <c r="G662" s="122"/>
      <c r="H662" s="120"/>
    </row>
    <row r="663" spans="1:8" ht="12.3">
      <c r="A663" s="120"/>
      <c r="B663" s="120"/>
      <c r="C663" s="120"/>
      <c r="D663" s="120"/>
      <c r="E663" s="120"/>
      <c r="F663" s="121"/>
      <c r="G663" s="122"/>
      <c r="H663" s="120"/>
    </row>
    <row r="664" spans="1:8" ht="12.3">
      <c r="A664" s="120"/>
      <c r="B664" s="120"/>
      <c r="C664" s="120"/>
      <c r="D664" s="120"/>
      <c r="E664" s="120"/>
      <c r="F664" s="121"/>
      <c r="G664" s="122"/>
      <c r="H664" s="120"/>
    </row>
    <row r="665" spans="1:8" ht="12.3">
      <c r="A665" s="120"/>
      <c r="B665" s="120"/>
      <c r="C665" s="120"/>
      <c r="D665" s="120"/>
      <c r="E665" s="120"/>
      <c r="F665" s="121"/>
      <c r="G665" s="122"/>
      <c r="H665" s="120"/>
    </row>
    <row r="666" spans="1:8" ht="12.3">
      <c r="A666" s="120"/>
      <c r="B666" s="120"/>
      <c r="C666" s="120"/>
      <c r="D666" s="120"/>
      <c r="E666" s="120"/>
      <c r="F666" s="121"/>
      <c r="G666" s="122"/>
      <c r="H666" s="120"/>
    </row>
    <row r="667" spans="1:8" ht="12.3">
      <c r="A667" s="120"/>
      <c r="B667" s="120"/>
      <c r="C667" s="120"/>
      <c r="D667" s="120"/>
      <c r="E667" s="120"/>
      <c r="F667" s="121"/>
      <c r="G667" s="122"/>
      <c r="H667" s="120"/>
    </row>
    <row r="668" spans="1:8" ht="12.3">
      <c r="A668" s="120"/>
      <c r="B668" s="120"/>
      <c r="C668" s="120"/>
      <c r="D668" s="120"/>
      <c r="E668" s="120"/>
      <c r="F668" s="121"/>
      <c r="G668" s="122"/>
      <c r="H668" s="120"/>
    </row>
    <row r="669" spans="1:8" ht="12.3">
      <c r="A669" s="120"/>
      <c r="B669" s="120"/>
      <c r="C669" s="120"/>
      <c r="D669" s="120"/>
      <c r="E669" s="120"/>
      <c r="F669" s="121"/>
      <c r="G669" s="122"/>
      <c r="H669" s="120"/>
    </row>
    <row r="670" spans="1:8" ht="12.3">
      <c r="A670" s="120"/>
      <c r="B670" s="120"/>
      <c r="C670" s="120"/>
      <c r="D670" s="120"/>
      <c r="E670" s="120"/>
      <c r="F670" s="121"/>
      <c r="G670" s="122"/>
      <c r="H670" s="120"/>
    </row>
    <row r="671" spans="1:8" ht="12.3">
      <c r="A671" s="120"/>
      <c r="B671" s="120"/>
      <c r="C671" s="120"/>
      <c r="D671" s="120"/>
      <c r="E671" s="120"/>
      <c r="F671" s="121"/>
      <c r="G671" s="122"/>
      <c r="H671" s="120"/>
    </row>
    <row r="672" spans="1:8" ht="12.3">
      <c r="A672" s="120"/>
      <c r="B672" s="120"/>
      <c r="C672" s="120"/>
      <c r="D672" s="120"/>
      <c r="E672" s="120"/>
      <c r="F672" s="121"/>
      <c r="G672" s="122"/>
      <c r="H672" s="120"/>
    </row>
    <row r="673" spans="1:8" ht="12.3">
      <c r="A673" s="120"/>
      <c r="B673" s="120"/>
      <c r="C673" s="120"/>
      <c r="D673" s="120"/>
      <c r="E673" s="120"/>
      <c r="F673" s="121"/>
      <c r="G673" s="122"/>
      <c r="H673" s="120"/>
    </row>
    <row r="674" spans="1:8" ht="12.3">
      <c r="A674" s="120"/>
      <c r="B674" s="120"/>
      <c r="C674" s="120"/>
      <c r="D674" s="120"/>
      <c r="E674" s="120"/>
      <c r="F674" s="121"/>
      <c r="G674" s="122"/>
      <c r="H674" s="120"/>
    </row>
    <row r="675" spans="1:8" ht="12.3">
      <c r="A675" s="120"/>
      <c r="B675" s="120"/>
      <c r="C675" s="120"/>
      <c r="D675" s="120"/>
      <c r="E675" s="120"/>
      <c r="F675" s="121"/>
      <c r="G675" s="122"/>
      <c r="H675" s="120"/>
    </row>
    <row r="676" spans="1:8" ht="12.3">
      <c r="A676" s="120"/>
      <c r="B676" s="120"/>
      <c r="C676" s="120"/>
      <c r="D676" s="120"/>
      <c r="E676" s="120"/>
      <c r="F676" s="121"/>
      <c r="G676" s="122"/>
      <c r="H676" s="120"/>
    </row>
    <row r="677" spans="1:8" ht="12.3">
      <c r="A677" s="120"/>
      <c r="B677" s="120"/>
      <c r="C677" s="120"/>
      <c r="D677" s="120"/>
      <c r="E677" s="120"/>
      <c r="F677" s="121"/>
      <c r="G677" s="122"/>
      <c r="H677" s="120"/>
    </row>
    <row r="678" spans="1:8" ht="12.3">
      <c r="A678" s="120"/>
      <c r="B678" s="120"/>
      <c r="C678" s="120"/>
      <c r="D678" s="120"/>
      <c r="E678" s="120"/>
      <c r="F678" s="121"/>
      <c r="G678" s="122"/>
      <c r="H678" s="120"/>
    </row>
    <row r="679" spans="1:8" ht="12.3">
      <c r="A679" s="120"/>
      <c r="B679" s="120"/>
      <c r="C679" s="120"/>
      <c r="D679" s="120"/>
      <c r="E679" s="120"/>
      <c r="F679" s="121"/>
      <c r="G679" s="122"/>
      <c r="H679" s="120"/>
    </row>
    <row r="680" spans="1:8" ht="12.3">
      <c r="A680" s="120"/>
      <c r="B680" s="120"/>
      <c r="C680" s="120"/>
      <c r="D680" s="120"/>
      <c r="E680" s="120"/>
      <c r="F680" s="121"/>
      <c r="G680" s="122"/>
      <c r="H680" s="120"/>
    </row>
    <row r="681" spans="1:8" ht="12.3">
      <c r="A681" s="120"/>
      <c r="B681" s="120"/>
      <c r="C681" s="120"/>
      <c r="D681" s="120"/>
      <c r="E681" s="120"/>
      <c r="F681" s="121"/>
      <c r="G681" s="122"/>
      <c r="H681" s="120"/>
    </row>
    <row r="682" spans="1:8" ht="12.3">
      <c r="A682" s="120"/>
      <c r="B682" s="120"/>
      <c r="C682" s="120"/>
      <c r="D682" s="120"/>
      <c r="E682" s="120"/>
      <c r="F682" s="121"/>
      <c r="G682" s="122"/>
      <c r="H682" s="120"/>
    </row>
    <row r="683" spans="1:8" ht="12.3">
      <c r="A683" s="120"/>
      <c r="B683" s="120"/>
      <c r="C683" s="120"/>
      <c r="D683" s="120"/>
      <c r="E683" s="120"/>
      <c r="F683" s="121"/>
      <c r="G683" s="122"/>
      <c r="H683" s="120"/>
    </row>
    <row r="684" spans="1:8" ht="12.3">
      <c r="A684" s="120"/>
      <c r="B684" s="120"/>
      <c r="C684" s="120"/>
      <c r="D684" s="120"/>
      <c r="E684" s="120"/>
      <c r="F684" s="121"/>
      <c r="G684" s="122"/>
      <c r="H684" s="120"/>
    </row>
    <row r="685" spans="1:8" ht="12.3">
      <c r="A685" s="120"/>
      <c r="B685" s="120"/>
      <c r="C685" s="120"/>
      <c r="D685" s="120"/>
      <c r="E685" s="120"/>
      <c r="F685" s="121"/>
      <c r="G685" s="122"/>
      <c r="H685" s="120"/>
    </row>
    <row r="686" spans="1:8" ht="12.3">
      <c r="A686" s="120"/>
      <c r="B686" s="120"/>
      <c r="C686" s="120"/>
      <c r="D686" s="120"/>
      <c r="E686" s="120"/>
      <c r="F686" s="121"/>
      <c r="G686" s="122"/>
      <c r="H686" s="120"/>
    </row>
    <row r="687" spans="1:8" ht="12.3">
      <c r="A687" s="120"/>
      <c r="B687" s="120"/>
      <c r="C687" s="120"/>
      <c r="D687" s="120"/>
      <c r="E687" s="120"/>
      <c r="F687" s="121"/>
      <c r="G687" s="122"/>
      <c r="H687" s="120"/>
    </row>
    <row r="688" spans="1:8" ht="12.3">
      <c r="A688" s="120"/>
      <c r="B688" s="120"/>
      <c r="C688" s="120"/>
      <c r="D688" s="120"/>
      <c r="E688" s="120"/>
      <c r="F688" s="121"/>
      <c r="G688" s="122"/>
      <c r="H688" s="120"/>
    </row>
    <row r="689" spans="1:8" ht="12.3">
      <c r="A689" s="120"/>
      <c r="B689" s="120"/>
      <c r="C689" s="120"/>
      <c r="D689" s="120"/>
      <c r="E689" s="120"/>
      <c r="F689" s="121"/>
      <c r="G689" s="122"/>
      <c r="H689" s="120"/>
    </row>
    <row r="690" spans="1:8" ht="12.3">
      <c r="A690" s="120"/>
      <c r="B690" s="120"/>
      <c r="C690" s="120"/>
      <c r="D690" s="120"/>
      <c r="E690" s="120"/>
      <c r="F690" s="121"/>
      <c r="G690" s="122"/>
      <c r="H690" s="120"/>
    </row>
    <row r="691" spans="1:8" ht="12.3">
      <c r="A691" s="120"/>
      <c r="B691" s="120"/>
      <c r="C691" s="120"/>
      <c r="D691" s="120"/>
      <c r="E691" s="120"/>
      <c r="F691" s="121"/>
      <c r="G691" s="122"/>
      <c r="H691" s="120"/>
    </row>
    <row r="692" spans="1:8" ht="12.3">
      <c r="A692" s="120"/>
      <c r="B692" s="120"/>
      <c r="C692" s="120"/>
      <c r="D692" s="120"/>
      <c r="E692" s="120"/>
      <c r="F692" s="121"/>
      <c r="G692" s="122"/>
      <c r="H692" s="120"/>
    </row>
    <row r="693" spans="1:8" ht="12.3">
      <c r="A693" s="120"/>
      <c r="B693" s="120"/>
      <c r="C693" s="120"/>
      <c r="D693" s="120"/>
      <c r="E693" s="120"/>
      <c r="F693" s="121"/>
      <c r="G693" s="122"/>
      <c r="H693" s="120"/>
    </row>
    <row r="694" spans="1:8" ht="12.3">
      <c r="A694" s="120"/>
      <c r="B694" s="120"/>
      <c r="C694" s="120"/>
      <c r="D694" s="120"/>
      <c r="E694" s="120"/>
      <c r="F694" s="121"/>
      <c r="G694" s="122"/>
      <c r="H694" s="120"/>
    </row>
    <row r="695" spans="1:8" ht="12.3">
      <c r="A695" s="120"/>
      <c r="B695" s="120"/>
      <c r="C695" s="120"/>
      <c r="D695" s="120"/>
      <c r="E695" s="120"/>
      <c r="F695" s="121"/>
      <c r="G695" s="122"/>
      <c r="H695" s="120"/>
    </row>
    <row r="696" spans="1:8" ht="12.3">
      <c r="A696" s="120"/>
      <c r="B696" s="120"/>
      <c r="C696" s="120"/>
      <c r="D696" s="120"/>
      <c r="E696" s="120"/>
      <c r="F696" s="121"/>
      <c r="G696" s="122"/>
      <c r="H696" s="120"/>
    </row>
    <row r="697" spans="1:8" ht="12.3">
      <c r="A697" s="120"/>
      <c r="B697" s="120"/>
      <c r="C697" s="120"/>
      <c r="D697" s="120"/>
      <c r="E697" s="120"/>
      <c r="F697" s="121"/>
      <c r="G697" s="122"/>
      <c r="H697" s="120"/>
    </row>
    <row r="698" spans="1:8" ht="12.3">
      <c r="A698" s="120"/>
      <c r="B698" s="120"/>
      <c r="C698" s="120"/>
      <c r="D698" s="120"/>
      <c r="E698" s="120"/>
      <c r="F698" s="121"/>
      <c r="G698" s="122"/>
      <c r="H698" s="120"/>
    </row>
    <row r="699" spans="1:8" ht="12.3">
      <c r="A699" s="120"/>
      <c r="B699" s="120"/>
      <c r="C699" s="120"/>
      <c r="D699" s="120"/>
      <c r="E699" s="120"/>
      <c r="F699" s="121"/>
      <c r="G699" s="122"/>
      <c r="H699" s="120"/>
    </row>
    <row r="700" spans="1:8" ht="12.3">
      <c r="A700" s="120"/>
      <c r="B700" s="120"/>
      <c r="C700" s="120"/>
      <c r="D700" s="120"/>
      <c r="E700" s="120"/>
      <c r="F700" s="121"/>
      <c r="G700" s="122"/>
      <c r="H700" s="120"/>
    </row>
    <row r="701" spans="1:8" ht="12.3">
      <c r="A701" s="120"/>
      <c r="B701" s="120"/>
      <c r="C701" s="120"/>
      <c r="D701" s="120"/>
      <c r="E701" s="120"/>
      <c r="F701" s="121"/>
      <c r="G701" s="122"/>
      <c r="H701" s="120"/>
    </row>
    <row r="702" spans="1:8" ht="12.3">
      <c r="A702" s="120"/>
      <c r="B702" s="120"/>
      <c r="C702" s="120"/>
      <c r="D702" s="120"/>
      <c r="E702" s="120"/>
      <c r="F702" s="121"/>
      <c r="G702" s="122"/>
      <c r="H702" s="120"/>
    </row>
    <row r="703" spans="1:8" ht="12.3">
      <c r="A703" s="120"/>
      <c r="B703" s="120"/>
      <c r="C703" s="120"/>
      <c r="D703" s="120"/>
      <c r="E703" s="120"/>
      <c r="F703" s="121"/>
      <c r="G703" s="122"/>
      <c r="H703" s="120"/>
    </row>
    <row r="704" spans="1:8" ht="12.3">
      <c r="A704" s="120"/>
      <c r="B704" s="120"/>
      <c r="C704" s="120"/>
      <c r="D704" s="120"/>
      <c r="E704" s="120"/>
      <c r="F704" s="121"/>
      <c r="G704" s="122"/>
      <c r="H704" s="120"/>
    </row>
    <row r="705" spans="1:8" ht="12.3">
      <c r="A705" s="120"/>
      <c r="B705" s="120"/>
      <c r="C705" s="120"/>
      <c r="D705" s="120"/>
      <c r="E705" s="120"/>
      <c r="F705" s="121"/>
      <c r="G705" s="122"/>
      <c r="H705" s="120"/>
    </row>
    <row r="706" spans="1:8" ht="12.3">
      <c r="A706" s="120"/>
      <c r="B706" s="120"/>
      <c r="C706" s="120"/>
      <c r="D706" s="120"/>
      <c r="E706" s="120"/>
      <c r="F706" s="121"/>
      <c r="G706" s="122"/>
      <c r="H706" s="120"/>
    </row>
    <row r="707" spans="1:8" ht="12.3">
      <c r="A707" s="120"/>
      <c r="B707" s="120"/>
      <c r="C707" s="120"/>
      <c r="D707" s="120"/>
      <c r="E707" s="120"/>
      <c r="F707" s="121"/>
      <c r="G707" s="122"/>
      <c r="H707" s="120"/>
    </row>
    <row r="708" spans="1:8" ht="12.3">
      <c r="A708" s="120"/>
      <c r="B708" s="120"/>
      <c r="C708" s="120"/>
      <c r="D708" s="120"/>
      <c r="E708" s="120"/>
      <c r="F708" s="121"/>
      <c r="G708" s="122"/>
      <c r="H708" s="120"/>
    </row>
    <row r="709" spans="1:8" ht="12.3">
      <c r="A709" s="120"/>
      <c r="B709" s="120"/>
      <c r="C709" s="120"/>
      <c r="D709" s="120"/>
      <c r="E709" s="120"/>
      <c r="F709" s="121"/>
      <c r="G709" s="122"/>
      <c r="H709" s="120"/>
    </row>
    <row r="710" spans="1:8" ht="12.3">
      <c r="A710" s="120"/>
      <c r="B710" s="120"/>
      <c r="C710" s="120"/>
      <c r="D710" s="120"/>
      <c r="E710" s="120"/>
      <c r="F710" s="121"/>
      <c r="G710" s="122"/>
      <c r="H710" s="120"/>
    </row>
    <row r="711" spans="1:8" ht="12.3">
      <c r="A711" s="120"/>
      <c r="B711" s="120"/>
      <c r="C711" s="120"/>
      <c r="D711" s="120"/>
      <c r="E711" s="120"/>
      <c r="F711" s="121"/>
      <c r="G711" s="122"/>
      <c r="H711" s="120"/>
    </row>
    <row r="712" spans="1:8" ht="12.3">
      <c r="A712" s="120"/>
      <c r="B712" s="120"/>
      <c r="C712" s="120"/>
      <c r="D712" s="120"/>
      <c r="E712" s="120"/>
      <c r="F712" s="121"/>
      <c r="G712" s="122"/>
      <c r="H712" s="120"/>
    </row>
    <row r="713" spans="1:8" ht="12.3">
      <c r="A713" s="120"/>
      <c r="B713" s="120"/>
      <c r="C713" s="120"/>
      <c r="D713" s="120"/>
      <c r="E713" s="120"/>
      <c r="F713" s="121"/>
      <c r="G713" s="122"/>
      <c r="H713" s="120"/>
    </row>
    <row r="714" spans="1:8" ht="12.3">
      <c r="A714" s="120"/>
      <c r="B714" s="120"/>
      <c r="C714" s="120"/>
      <c r="D714" s="120"/>
      <c r="E714" s="120"/>
      <c r="F714" s="121"/>
      <c r="G714" s="122"/>
      <c r="H714" s="120"/>
    </row>
    <row r="715" spans="1:8" ht="12.3">
      <c r="A715" s="120"/>
      <c r="B715" s="120"/>
      <c r="C715" s="120"/>
      <c r="D715" s="120"/>
      <c r="E715" s="120"/>
      <c r="F715" s="121"/>
      <c r="G715" s="122"/>
      <c r="H715" s="120"/>
    </row>
    <row r="716" spans="1:8" ht="12.3">
      <c r="A716" s="120"/>
      <c r="B716" s="120"/>
      <c r="C716" s="120"/>
      <c r="D716" s="120"/>
      <c r="E716" s="120"/>
      <c r="F716" s="121"/>
      <c r="G716" s="122"/>
      <c r="H716" s="120"/>
    </row>
    <row r="717" spans="1:8" ht="12.3">
      <c r="A717" s="120"/>
      <c r="B717" s="120"/>
      <c r="C717" s="120"/>
      <c r="D717" s="120"/>
      <c r="E717" s="120"/>
      <c r="F717" s="121"/>
      <c r="G717" s="122"/>
      <c r="H717" s="120"/>
    </row>
    <row r="718" spans="1:8" ht="12.3">
      <c r="A718" s="120"/>
      <c r="B718" s="120"/>
      <c r="C718" s="120"/>
      <c r="D718" s="120"/>
      <c r="E718" s="120"/>
      <c r="F718" s="121"/>
      <c r="G718" s="122"/>
      <c r="H718" s="120"/>
    </row>
    <row r="719" spans="1:8" ht="12.3">
      <c r="A719" s="120"/>
      <c r="B719" s="120"/>
      <c r="C719" s="120"/>
      <c r="D719" s="120"/>
      <c r="E719" s="120"/>
      <c r="F719" s="121"/>
      <c r="G719" s="122"/>
      <c r="H719" s="120"/>
    </row>
    <row r="720" spans="1:8" ht="12.3">
      <c r="A720" s="120"/>
      <c r="B720" s="120"/>
      <c r="C720" s="120"/>
      <c r="D720" s="120"/>
      <c r="E720" s="120"/>
      <c r="F720" s="121"/>
      <c r="G720" s="122"/>
      <c r="H720" s="120"/>
    </row>
    <row r="721" spans="1:8" ht="12.3">
      <c r="A721" s="120"/>
      <c r="B721" s="120"/>
      <c r="C721" s="120"/>
      <c r="D721" s="120"/>
      <c r="E721" s="120"/>
      <c r="F721" s="121"/>
      <c r="G721" s="122"/>
      <c r="H721" s="120"/>
    </row>
    <row r="722" spans="1:8" ht="12.3">
      <c r="A722" s="120"/>
      <c r="B722" s="120"/>
      <c r="C722" s="120"/>
      <c r="D722" s="120"/>
      <c r="E722" s="120"/>
      <c r="F722" s="121"/>
      <c r="G722" s="122"/>
      <c r="H722" s="120"/>
    </row>
    <row r="723" spans="1:8" ht="12.3">
      <c r="A723" s="120"/>
      <c r="B723" s="120"/>
      <c r="C723" s="120"/>
      <c r="D723" s="120"/>
      <c r="E723" s="120"/>
      <c r="F723" s="121"/>
      <c r="G723" s="122"/>
      <c r="H723" s="120"/>
    </row>
    <row r="724" spans="1:8" ht="12.3">
      <c r="A724" s="120"/>
      <c r="B724" s="120"/>
      <c r="C724" s="120"/>
      <c r="D724" s="120"/>
      <c r="E724" s="120"/>
      <c r="F724" s="121"/>
      <c r="G724" s="122"/>
      <c r="H724" s="120"/>
    </row>
    <row r="725" spans="1:8" ht="12.3">
      <c r="A725" s="120"/>
      <c r="B725" s="120"/>
      <c r="C725" s="120"/>
      <c r="D725" s="120"/>
      <c r="E725" s="120"/>
      <c r="F725" s="121"/>
      <c r="G725" s="122"/>
      <c r="H725" s="120"/>
    </row>
    <row r="726" spans="1:8" ht="12.3">
      <c r="A726" s="120"/>
      <c r="B726" s="120"/>
      <c r="C726" s="120"/>
      <c r="D726" s="120"/>
      <c r="E726" s="120"/>
      <c r="F726" s="121"/>
      <c r="G726" s="122"/>
      <c r="H726" s="120"/>
    </row>
    <row r="727" spans="1:8" ht="12.3">
      <c r="A727" s="120"/>
      <c r="B727" s="120"/>
      <c r="C727" s="120"/>
      <c r="D727" s="120"/>
      <c r="E727" s="120"/>
      <c r="F727" s="121"/>
      <c r="G727" s="122"/>
      <c r="H727" s="120"/>
    </row>
    <row r="728" spans="1:8" ht="12.3">
      <c r="A728" s="120"/>
      <c r="B728" s="120"/>
      <c r="C728" s="120"/>
      <c r="D728" s="120"/>
      <c r="E728" s="120"/>
      <c r="F728" s="121"/>
      <c r="G728" s="122"/>
      <c r="H728" s="120"/>
    </row>
    <row r="729" spans="1:8" ht="12.3">
      <c r="A729" s="120"/>
      <c r="B729" s="120"/>
      <c r="C729" s="120"/>
      <c r="D729" s="120"/>
      <c r="E729" s="120"/>
      <c r="F729" s="121"/>
      <c r="G729" s="122"/>
      <c r="H729" s="120"/>
    </row>
    <row r="730" spans="1:8" ht="12.3">
      <c r="A730" s="120"/>
      <c r="B730" s="120"/>
      <c r="C730" s="120"/>
      <c r="D730" s="120"/>
      <c r="E730" s="120"/>
      <c r="F730" s="121"/>
      <c r="G730" s="122"/>
      <c r="H730" s="120"/>
    </row>
    <row r="731" spans="1:8" ht="12.3">
      <c r="A731" s="120"/>
      <c r="B731" s="120"/>
      <c r="C731" s="120"/>
      <c r="D731" s="120"/>
      <c r="E731" s="120"/>
      <c r="F731" s="121"/>
      <c r="G731" s="122"/>
      <c r="H731" s="120"/>
    </row>
    <row r="732" spans="1:8" ht="12.3">
      <c r="A732" s="120"/>
      <c r="B732" s="120"/>
      <c r="C732" s="120"/>
      <c r="D732" s="120"/>
      <c r="E732" s="120"/>
      <c r="F732" s="121"/>
      <c r="G732" s="122"/>
      <c r="H732" s="120"/>
    </row>
    <row r="733" spans="1:8" ht="12.3">
      <c r="A733" s="120"/>
      <c r="B733" s="120"/>
      <c r="C733" s="120"/>
      <c r="D733" s="120"/>
      <c r="E733" s="120"/>
      <c r="F733" s="121"/>
      <c r="G733" s="122"/>
      <c r="H733" s="120"/>
    </row>
    <row r="734" spans="1:8" ht="12.3">
      <c r="A734" s="120"/>
      <c r="B734" s="120"/>
      <c r="C734" s="120"/>
      <c r="D734" s="120"/>
      <c r="E734" s="120"/>
      <c r="F734" s="121"/>
      <c r="G734" s="122"/>
      <c r="H734" s="120"/>
    </row>
    <row r="735" spans="1:8" ht="12.3">
      <c r="A735" s="120"/>
      <c r="B735" s="120"/>
      <c r="C735" s="120"/>
      <c r="D735" s="120"/>
      <c r="E735" s="120"/>
      <c r="F735" s="121"/>
      <c r="G735" s="122"/>
      <c r="H735" s="120"/>
    </row>
    <row r="736" spans="1:8" ht="12.3">
      <c r="A736" s="120"/>
      <c r="B736" s="120"/>
      <c r="C736" s="120"/>
      <c r="D736" s="120"/>
      <c r="E736" s="120"/>
      <c r="F736" s="121"/>
      <c r="G736" s="122"/>
      <c r="H736" s="120"/>
    </row>
    <row r="737" spans="1:8" ht="12.3">
      <c r="A737" s="120"/>
      <c r="B737" s="120"/>
      <c r="C737" s="120"/>
      <c r="D737" s="120"/>
      <c r="E737" s="120"/>
      <c r="F737" s="121"/>
      <c r="G737" s="122"/>
      <c r="H737" s="120"/>
    </row>
    <row r="738" spans="1:8" ht="12.3">
      <c r="A738" s="120"/>
      <c r="B738" s="120"/>
      <c r="C738" s="120"/>
      <c r="D738" s="120"/>
      <c r="E738" s="120"/>
      <c r="F738" s="121"/>
      <c r="G738" s="122"/>
      <c r="H738" s="120"/>
    </row>
    <row r="739" spans="1:8" ht="12.3">
      <c r="A739" s="120"/>
      <c r="B739" s="120"/>
      <c r="C739" s="120"/>
      <c r="D739" s="120"/>
      <c r="E739" s="120"/>
      <c r="F739" s="121"/>
      <c r="G739" s="122"/>
      <c r="H739" s="120"/>
    </row>
    <row r="740" spans="1:8" ht="12.3">
      <c r="A740" s="120"/>
      <c r="B740" s="120"/>
      <c r="C740" s="120"/>
      <c r="D740" s="120"/>
      <c r="E740" s="120"/>
      <c r="F740" s="121"/>
      <c r="G740" s="122"/>
      <c r="H740" s="120"/>
    </row>
    <row r="741" spans="1:8" ht="12.3">
      <c r="A741" s="120"/>
      <c r="B741" s="120"/>
      <c r="C741" s="120"/>
      <c r="D741" s="120"/>
      <c r="E741" s="120"/>
      <c r="F741" s="121"/>
      <c r="G741" s="122"/>
      <c r="H741" s="120"/>
    </row>
    <row r="742" spans="1:8" ht="12.3">
      <c r="A742" s="120"/>
      <c r="B742" s="120"/>
      <c r="C742" s="120"/>
      <c r="D742" s="120"/>
      <c r="E742" s="120"/>
      <c r="F742" s="121"/>
      <c r="G742" s="122"/>
      <c r="H742" s="120"/>
    </row>
    <row r="743" spans="1:8" ht="12.3">
      <c r="A743" s="120"/>
      <c r="B743" s="120"/>
      <c r="C743" s="120"/>
      <c r="D743" s="120"/>
      <c r="E743" s="120"/>
      <c r="F743" s="121"/>
      <c r="G743" s="122"/>
      <c r="H743" s="120"/>
    </row>
    <row r="744" spans="1:8" ht="12.3">
      <c r="A744" s="120"/>
      <c r="B744" s="120"/>
      <c r="C744" s="120"/>
      <c r="D744" s="120"/>
      <c r="E744" s="120"/>
      <c r="F744" s="121"/>
      <c r="G744" s="122"/>
      <c r="H744" s="120"/>
    </row>
    <row r="745" spans="1:8" ht="12.3">
      <c r="A745" s="120"/>
      <c r="B745" s="120"/>
      <c r="C745" s="120"/>
      <c r="D745" s="120"/>
      <c r="E745" s="120"/>
      <c r="F745" s="121"/>
      <c r="G745" s="122"/>
      <c r="H745" s="120"/>
    </row>
    <row r="746" spans="1:8" ht="12.3">
      <c r="A746" s="120"/>
      <c r="B746" s="120"/>
      <c r="C746" s="120"/>
      <c r="D746" s="120"/>
      <c r="E746" s="120"/>
      <c r="F746" s="121"/>
      <c r="G746" s="122"/>
      <c r="H746" s="120"/>
    </row>
    <row r="747" spans="1:8" ht="12.3">
      <c r="A747" s="120"/>
      <c r="B747" s="120"/>
      <c r="C747" s="120"/>
      <c r="D747" s="120"/>
      <c r="E747" s="120"/>
      <c r="F747" s="121"/>
      <c r="G747" s="122"/>
      <c r="H747" s="120"/>
    </row>
    <row r="748" spans="1:8" ht="12.3">
      <c r="A748" s="120"/>
      <c r="B748" s="120"/>
      <c r="C748" s="120"/>
      <c r="D748" s="120"/>
      <c r="E748" s="120"/>
      <c r="F748" s="121"/>
      <c r="G748" s="122"/>
      <c r="H748" s="120"/>
    </row>
    <row r="749" spans="1:8" ht="12.3">
      <c r="A749" s="120"/>
      <c r="B749" s="120"/>
      <c r="C749" s="120"/>
      <c r="D749" s="120"/>
      <c r="E749" s="120"/>
      <c r="F749" s="121"/>
      <c r="G749" s="122"/>
      <c r="H749" s="120"/>
    </row>
    <row r="750" spans="1:8" ht="12.3">
      <c r="A750" s="120"/>
      <c r="B750" s="120"/>
      <c r="C750" s="120"/>
      <c r="D750" s="120"/>
      <c r="E750" s="120"/>
      <c r="F750" s="121"/>
      <c r="G750" s="122"/>
      <c r="H750" s="120"/>
    </row>
    <row r="751" spans="1:8" ht="12.3">
      <c r="A751" s="120"/>
      <c r="B751" s="120"/>
      <c r="C751" s="120"/>
      <c r="D751" s="120"/>
      <c r="E751" s="120"/>
      <c r="F751" s="121"/>
      <c r="G751" s="122"/>
      <c r="H751" s="120"/>
    </row>
    <row r="752" spans="1:8" ht="12.3">
      <c r="A752" s="120"/>
      <c r="B752" s="120"/>
      <c r="C752" s="120"/>
      <c r="D752" s="120"/>
      <c r="E752" s="120"/>
      <c r="F752" s="121"/>
      <c r="G752" s="122"/>
      <c r="H752" s="120"/>
    </row>
    <row r="753" spans="1:8" ht="12.3">
      <c r="A753" s="120"/>
      <c r="B753" s="120"/>
      <c r="C753" s="120"/>
      <c r="D753" s="120"/>
      <c r="E753" s="120"/>
      <c r="F753" s="121"/>
      <c r="G753" s="122"/>
      <c r="H753" s="120"/>
    </row>
    <row r="754" spans="1:8" ht="12.3">
      <c r="A754" s="120"/>
      <c r="B754" s="120"/>
      <c r="C754" s="120"/>
      <c r="D754" s="120"/>
      <c r="E754" s="120"/>
      <c r="F754" s="121"/>
      <c r="G754" s="122"/>
      <c r="H754" s="120"/>
    </row>
    <row r="755" spans="1:8" ht="12.3">
      <c r="A755" s="120"/>
      <c r="B755" s="120"/>
      <c r="C755" s="120"/>
      <c r="D755" s="120"/>
      <c r="E755" s="120"/>
      <c r="F755" s="121"/>
      <c r="G755" s="122"/>
      <c r="H755" s="120"/>
    </row>
    <row r="756" spans="1:8" ht="12.3">
      <c r="A756" s="120"/>
      <c r="B756" s="120"/>
      <c r="C756" s="120"/>
      <c r="D756" s="120"/>
      <c r="E756" s="120"/>
      <c r="F756" s="121"/>
      <c r="G756" s="122"/>
      <c r="H756" s="120"/>
    </row>
    <row r="757" spans="1:8" ht="12.3">
      <c r="A757" s="120"/>
      <c r="B757" s="120"/>
      <c r="C757" s="120"/>
      <c r="D757" s="120"/>
      <c r="E757" s="120"/>
      <c r="F757" s="121"/>
      <c r="G757" s="122"/>
      <c r="H757" s="120"/>
    </row>
    <row r="758" spans="1:8" ht="12.3">
      <c r="A758" s="120"/>
      <c r="B758" s="120"/>
      <c r="C758" s="120"/>
      <c r="D758" s="120"/>
      <c r="E758" s="120"/>
      <c r="F758" s="121"/>
      <c r="G758" s="122"/>
      <c r="H758" s="120"/>
    </row>
    <row r="759" spans="1:8" ht="12.3">
      <c r="A759" s="120"/>
      <c r="B759" s="120"/>
      <c r="C759" s="120"/>
      <c r="D759" s="120"/>
      <c r="E759" s="120"/>
      <c r="F759" s="121"/>
      <c r="G759" s="122"/>
      <c r="H759" s="120"/>
    </row>
    <row r="760" spans="1:8" ht="12.3">
      <c r="A760" s="120"/>
      <c r="B760" s="120"/>
      <c r="C760" s="120"/>
      <c r="D760" s="120"/>
      <c r="E760" s="120"/>
      <c r="F760" s="121"/>
      <c r="G760" s="122"/>
      <c r="H760" s="120"/>
    </row>
    <row r="761" spans="1:8" ht="12.3">
      <c r="A761" s="120"/>
      <c r="B761" s="120"/>
      <c r="C761" s="120"/>
      <c r="D761" s="120"/>
      <c r="E761" s="120"/>
      <c r="F761" s="121"/>
      <c r="G761" s="122"/>
      <c r="H761" s="120"/>
    </row>
    <row r="762" spans="1:8" ht="12.3">
      <c r="A762" s="120"/>
      <c r="B762" s="120"/>
      <c r="C762" s="120"/>
      <c r="D762" s="120"/>
      <c r="E762" s="120"/>
      <c r="F762" s="121"/>
      <c r="G762" s="122"/>
      <c r="H762" s="120"/>
    </row>
    <row r="763" spans="1:8" ht="12.3">
      <c r="A763" s="120"/>
      <c r="B763" s="120"/>
      <c r="C763" s="120"/>
      <c r="D763" s="120"/>
      <c r="E763" s="120"/>
      <c r="F763" s="121"/>
      <c r="G763" s="122"/>
      <c r="H763" s="120"/>
    </row>
    <row r="764" spans="1:8" ht="12.3">
      <c r="A764" s="120"/>
      <c r="B764" s="120"/>
      <c r="C764" s="120"/>
      <c r="D764" s="120"/>
      <c r="E764" s="120"/>
      <c r="F764" s="121"/>
      <c r="G764" s="122"/>
      <c r="H764" s="120"/>
    </row>
    <row r="765" spans="1:8" ht="12.3">
      <c r="A765" s="120"/>
      <c r="B765" s="120"/>
      <c r="C765" s="120"/>
      <c r="D765" s="120"/>
      <c r="E765" s="120"/>
      <c r="F765" s="121"/>
      <c r="G765" s="122"/>
      <c r="H765" s="120"/>
    </row>
    <row r="766" spans="1:8" ht="12.3">
      <c r="A766" s="120"/>
      <c r="B766" s="120"/>
      <c r="C766" s="120"/>
      <c r="D766" s="120"/>
      <c r="E766" s="120"/>
      <c r="F766" s="121"/>
      <c r="G766" s="122"/>
      <c r="H766" s="120"/>
    </row>
    <row r="767" spans="1:8" ht="12.3">
      <c r="A767" s="120"/>
      <c r="B767" s="120"/>
      <c r="C767" s="120"/>
      <c r="D767" s="120"/>
      <c r="E767" s="120"/>
      <c r="F767" s="121"/>
      <c r="G767" s="122"/>
      <c r="H767" s="120"/>
    </row>
    <row r="768" spans="1:8" ht="12.3">
      <c r="A768" s="120"/>
      <c r="B768" s="120"/>
      <c r="C768" s="120"/>
      <c r="D768" s="120"/>
      <c r="E768" s="120"/>
      <c r="F768" s="121"/>
      <c r="G768" s="122"/>
      <c r="H768" s="120"/>
    </row>
    <row r="769" spans="1:8" ht="12.3">
      <c r="A769" s="120"/>
      <c r="B769" s="120"/>
      <c r="C769" s="120"/>
      <c r="D769" s="120"/>
      <c r="E769" s="120"/>
      <c r="F769" s="121"/>
      <c r="G769" s="122"/>
      <c r="H769" s="120"/>
    </row>
    <row r="770" spans="1:8" ht="12.3">
      <c r="A770" s="120"/>
      <c r="B770" s="120"/>
      <c r="C770" s="120"/>
      <c r="D770" s="120"/>
      <c r="E770" s="120"/>
      <c r="F770" s="121"/>
      <c r="G770" s="122"/>
      <c r="H770" s="120"/>
    </row>
    <row r="771" spans="1:8" ht="12.3">
      <c r="A771" s="120"/>
      <c r="B771" s="120"/>
      <c r="C771" s="120"/>
      <c r="D771" s="120"/>
      <c r="E771" s="120"/>
      <c r="F771" s="121"/>
      <c r="G771" s="122"/>
      <c r="H771" s="120"/>
    </row>
    <row r="772" spans="1:8" ht="12.3">
      <c r="A772" s="120"/>
      <c r="B772" s="120"/>
      <c r="C772" s="120"/>
      <c r="D772" s="120"/>
      <c r="E772" s="120"/>
      <c r="F772" s="121"/>
      <c r="G772" s="122"/>
      <c r="H772" s="120"/>
    </row>
    <row r="773" spans="1:8" ht="12.3">
      <c r="A773" s="120"/>
      <c r="B773" s="120"/>
      <c r="C773" s="120"/>
      <c r="D773" s="120"/>
      <c r="E773" s="120"/>
      <c r="F773" s="121"/>
      <c r="G773" s="122"/>
      <c r="H773" s="120"/>
    </row>
    <row r="774" spans="1:8" ht="12.3">
      <c r="A774" s="120"/>
      <c r="B774" s="120"/>
      <c r="C774" s="120"/>
      <c r="D774" s="120"/>
      <c r="E774" s="120"/>
      <c r="F774" s="121"/>
      <c r="G774" s="122"/>
      <c r="H774" s="120"/>
    </row>
    <row r="775" spans="1:8" ht="12.3">
      <c r="A775" s="120"/>
      <c r="B775" s="120"/>
      <c r="C775" s="120"/>
      <c r="D775" s="120"/>
      <c r="E775" s="120"/>
      <c r="F775" s="121"/>
      <c r="G775" s="122"/>
      <c r="H775" s="120"/>
    </row>
    <row r="776" spans="1:8" ht="12.3">
      <c r="A776" s="120"/>
      <c r="B776" s="120"/>
      <c r="C776" s="120"/>
      <c r="D776" s="120"/>
      <c r="E776" s="120"/>
      <c r="F776" s="121"/>
      <c r="G776" s="122"/>
      <c r="H776" s="120"/>
    </row>
    <row r="777" spans="1:8" ht="12.3">
      <c r="A777" s="120"/>
      <c r="B777" s="120"/>
      <c r="C777" s="120"/>
      <c r="D777" s="120"/>
      <c r="E777" s="120"/>
      <c r="F777" s="121"/>
      <c r="G777" s="122"/>
      <c r="H777" s="120"/>
    </row>
    <row r="778" spans="1:8" ht="12.3">
      <c r="A778" s="120"/>
      <c r="B778" s="120"/>
      <c r="C778" s="120"/>
      <c r="D778" s="120"/>
      <c r="E778" s="120"/>
      <c r="F778" s="121"/>
      <c r="G778" s="122"/>
      <c r="H778" s="120"/>
    </row>
    <row r="779" spans="1:8" ht="12.3">
      <c r="A779" s="120"/>
      <c r="B779" s="120"/>
      <c r="C779" s="120"/>
      <c r="D779" s="120"/>
      <c r="E779" s="120"/>
      <c r="F779" s="121"/>
      <c r="G779" s="122"/>
      <c r="H779" s="120"/>
    </row>
    <row r="780" spans="1:8" ht="12.3">
      <c r="A780" s="120"/>
      <c r="B780" s="120"/>
      <c r="C780" s="120"/>
      <c r="D780" s="120"/>
      <c r="E780" s="120"/>
      <c r="F780" s="121"/>
      <c r="G780" s="122"/>
      <c r="H780" s="120"/>
    </row>
    <row r="781" spans="1:8" ht="12.3">
      <c r="A781" s="120"/>
      <c r="B781" s="120"/>
      <c r="C781" s="120"/>
      <c r="D781" s="120"/>
      <c r="E781" s="120"/>
      <c r="F781" s="121"/>
      <c r="G781" s="122"/>
      <c r="H781" s="120"/>
    </row>
    <row r="782" spans="1:8" ht="12.3">
      <c r="A782" s="120"/>
      <c r="B782" s="120"/>
      <c r="C782" s="120"/>
      <c r="D782" s="120"/>
      <c r="E782" s="120"/>
      <c r="F782" s="121"/>
      <c r="G782" s="122"/>
      <c r="H782" s="120"/>
    </row>
    <row r="783" spans="1:8" ht="12.3">
      <c r="A783" s="120"/>
      <c r="B783" s="120"/>
      <c r="C783" s="120"/>
      <c r="D783" s="120"/>
      <c r="E783" s="120"/>
      <c r="F783" s="121"/>
      <c r="G783" s="122"/>
      <c r="H783" s="120"/>
    </row>
    <row r="784" spans="1:8" ht="12.3">
      <c r="A784" s="120"/>
      <c r="B784" s="120"/>
      <c r="C784" s="120"/>
      <c r="D784" s="120"/>
      <c r="E784" s="120"/>
      <c r="F784" s="121"/>
      <c r="G784" s="122"/>
      <c r="H784" s="120"/>
    </row>
    <row r="785" spans="1:8" ht="12.3">
      <c r="A785" s="120"/>
      <c r="B785" s="120"/>
      <c r="C785" s="120"/>
      <c r="D785" s="120"/>
      <c r="E785" s="120"/>
      <c r="F785" s="121"/>
      <c r="G785" s="122"/>
      <c r="H785" s="120"/>
    </row>
    <row r="786" spans="1:8" ht="12.3">
      <c r="A786" s="120"/>
      <c r="B786" s="120"/>
      <c r="C786" s="120"/>
      <c r="D786" s="120"/>
      <c r="E786" s="120"/>
      <c r="F786" s="121"/>
      <c r="G786" s="122"/>
      <c r="H786" s="120"/>
    </row>
    <row r="787" spans="1:8" ht="12.3">
      <c r="A787" s="120"/>
      <c r="B787" s="120"/>
      <c r="C787" s="120"/>
      <c r="D787" s="120"/>
      <c r="E787" s="120"/>
      <c r="F787" s="121"/>
      <c r="G787" s="122"/>
      <c r="H787" s="120"/>
    </row>
    <row r="788" spans="1:8" ht="12.3">
      <c r="A788" s="120"/>
      <c r="B788" s="120"/>
      <c r="C788" s="120"/>
      <c r="D788" s="120"/>
      <c r="E788" s="120"/>
      <c r="F788" s="121"/>
      <c r="G788" s="122"/>
      <c r="H788" s="120"/>
    </row>
    <row r="789" spans="1:8" ht="12.3">
      <c r="A789" s="120"/>
      <c r="B789" s="120"/>
      <c r="C789" s="120"/>
      <c r="D789" s="120"/>
      <c r="E789" s="120"/>
      <c r="F789" s="121"/>
      <c r="G789" s="122"/>
      <c r="H789" s="120"/>
    </row>
    <row r="790" spans="1:8" ht="12.3">
      <c r="A790" s="120"/>
      <c r="B790" s="120"/>
      <c r="C790" s="120"/>
      <c r="D790" s="120"/>
      <c r="E790" s="120"/>
      <c r="F790" s="121"/>
      <c r="G790" s="122"/>
      <c r="H790" s="120"/>
    </row>
    <row r="791" spans="1:8" ht="12.3">
      <c r="A791" s="120"/>
      <c r="B791" s="120"/>
      <c r="C791" s="120"/>
      <c r="D791" s="120"/>
      <c r="E791" s="120"/>
      <c r="F791" s="121"/>
      <c r="G791" s="122"/>
      <c r="H791" s="120"/>
    </row>
    <row r="792" spans="1:8" ht="12.3">
      <c r="A792" s="120"/>
      <c r="B792" s="120"/>
      <c r="C792" s="120"/>
      <c r="D792" s="120"/>
      <c r="E792" s="120"/>
      <c r="F792" s="121"/>
      <c r="G792" s="122"/>
      <c r="H792" s="120"/>
    </row>
    <row r="793" spans="1:8" ht="12.3">
      <c r="A793" s="120"/>
      <c r="B793" s="120"/>
      <c r="C793" s="120"/>
      <c r="D793" s="120"/>
      <c r="E793" s="120"/>
      <c r="F793" s="121"/>
      <c r="G793" s="122"/>
      <c r="H793" s="120"/>
    </row>
    <row r="794" spans="1:8" ht="12.3">
      <c r="A794" s="120"/>
      <c r="B794" s="120"/>
      <c r="C794" s="120"/>
      <c r="D794" s="120"/>
      <c r="E794" s="120"/>
      <c r="F794" s="121"/>
      <c r="G794" s="122"/>
      <c r="H794" s="120"/>
    </row>
    <row r="795" spans="1:8" ht="12.3">
      <c r="A795" s="120"/>
      <c r="B795" s="120"/>
      <c r="C795" s="120"/>
      <c r="D795" s="120"/>
      <c r="E795" s="120"/>
      <c r="F795" s="121"/>
      <c r="G795" s="122"/>
      <c r="H795" s="120"/>
    </row>
    <row r="796" spans="1:8" ht="12.3">
      <c r="A796" s="120"/>
      <c r="B796" s="120"/>
      <c r="C796" s="120"/>
      <c r="D796" s="120"/>
      <c r="E796" s="120"/>
      <c r="F796" s="121"/>
      <c r="G796" s="122"/>
      <c r="H796" s="120"/>
    </row>
    <row r="797" spans="1:8" ht="12.3">
      <c r="A797" s="120"/>
      <c r="B797" s="120"/>
      <c r="C797" s="120"/>
      <c r="D797" s="120"/>
      <c r="E797" s="120"/>
      <c r="F797" s="121"/>
      <c r="G797" s="122"/>
      <c r="H797" s="120"/>
    </row>
    <row r="798" spans="1:8" ht="12.3">
      <c r="A798" s="120"/>
      <c r="B798" s="120"/>
      <c r="C798" s="120"/>
      <c r="D798" s="120"/>
      <c r="E798" s="120"/>
      <c r="F798" s="121"/>
      <c r="G798" s="122"/>
      <c r="H798" s="120"/>
    </row>
    <row r="799" spans="1:8" ht="12.3">
      <c r="A799" s="120"/>
      <c r="B799" s="120"/>
      <c r="C799" s="120"/>
      <c r="D799" s="120"/>
      <c r="E799" s="120"/>
      <c r="F799" s="121"/>
      <c r="G799" s="122"/>
      <c r="H799" s="120"/>
    </row>
    <row r="800" spans="1:8" ht="12.3">
      <c r="A800" s="120"/>
      <c r="B800" s="120"/>
      <c r="C800" s="120"/>
      <c r="D800" s="120"/>
      <c r="E800" s="120"/>
      <c r="F800" s="121"/>
      <c r="G800" s="122"/>
      <c r="H800" s="120"/>
    </row>
    <row r="801" spans="1:8" ht="12.3">
      <c r="A801" s="120"/>
      <c r="B801" s="120"/>
      <c r="C801" s="120"/>
      <c r="D801" s="120"/>
      <c r="E801" s="120"/>
      <c r="F801" s="121"/>
      <c r="G801" s="122"/>
      <c r="H801" s="120"/>
    </row>
    <row r="802" spans="1:8" ht="12.3">
      <c r="A802" s="120"/>
      <c r="B802" s="120"/>
      <c r="C802" s="120"/>
      <c r="D802" s="120"/>
      <c r="E802" s="120"/>
      <c r="F802" s="121"/>
      <c r="G802" s="122"/>
      <c r="H802" s="120"/>
    </row>
    <row r="803" spans="1:8" ht="12.3">
      <c r="A803" s="120"/>
      <c r="B803" s="120"/>
      <c r="C803" s="120"/>
      <c r="D803" s="120"/>
      <c r="E803" s="120"/>
      <c r="F803" s="121"/>
      <c r="G803" s="122"/>
      <c r="H803" s="120"/>
    </row>
    <row r="804" spans="1:8" ht="12.3">
      <c r="A804" s="120"/>
      <c r="B804" s="120"/>
      <c r="C804" s="120"/>
      <c r="D804" s="120"/>
      <c r="E804" s="120"/>
      <c r="F804" s="121"/>
      <c r="G804" s="122"/>
      <c r="H804" s="120"/>
    </row>
    <row r="805" spans="1:8" ht="12.3">
      <c r="A805" s="120"/>
      <c r="B805" s="120"/>
      <c r="C805" s="120"/>
      <c r="D805" s="120"/>
      <c r="E805" s="120"/>
      <c r="F805" s="121"/>
      <c r="G805" s="122"/>
      <c r="H805" s="120"/>
    </row>
    <row r="806" spans="1:8" ht="12.3">
      <c r="A806" s="120"/>
      <c r="B806" s="120"/>
      <c r="C806" s="120"/>
      <c r="D806" s="120"/>
      <c r="E806" s="120"/>
      <c r="F806" s="121"/>
      <c r="G806" s="122"/>
      <c r="H806" s="120"/>
    </row>
    <row r="807" spans="1:8" ht="12.3">
      <c r="A807" s="120"/>
      <c r="B807" s="120"/>
      <c r="C807" s="120"/>
      <c r="D807" s="120"/>
      <c r="E807" s="120"/>
      <c r="F807" s="121"/>
      <c r="G807" s="122"/>
      <c r="H807" s="120"/>
    </row>
    <row r="808" spans="1:8" ht="12.3">
      <c r="A808" s="120"/>
      <c r="B808" s="120"/>
      <c r="C808" s="120"/>
      <c r="D808" s="120"/>
      <c r="E808" s="120"/>
      <c r="F808" s="121"/>
      <c r="G808" s="122"/>
      <c r="H808" s="120"/>
    </row>
    <row r="809" spans="1:8" ht="12.3">
      <c r="A809" s="120"/>
      <c r="B809" s="120"/>
      <c r="C809" s="120"/>
      <c r="D809" s="120"/>
      <c r="E809" s="120"/>
      <c r="F809" s="121"/>
      <c r="G809" s="122"/>
      <c r="H809" s="120"/>
    </row>
    <row r="810" spans="1:8" ht="12.3">
      <c r="A810" s="120"/>
      <c r="B810" s="120"/>
      <c r="C810" s="120"/>
      <c r="D810" s="120"/>
      <c r="E810" s="120"/>
      <c r="F810" s="121"/>
      <c r="G810" s="122"/>
      <c r="H810" s="120"/>
    </row>
    <row r="811" spans="1:8" ht="12.3">
      <c r="A811" s="120"/>
      <c r="B811" s="120"/>
      <c r="C811" s="120"/>
      <c r="D811" s="120"/>
      <c r="E811" s="120"/>
      <c r="F811" s="121"/>
      <c r="G811" s="122"/>
      <c r="H811" s="120"/>
    </row>
    <row r="812" spans="1:8" ht="12.3">
      <c r="A812" s="120"/>
      <c r="B812" s="120"/>
      <c r="C812" s="120"/>
      <c r="D812" s="120"/>
      <c r="E812" s="120"/>
      <c r="F812" s="121"/>
      <c r="G812" s="122"/>
      <c r="H812" s="120"/>
    </row>
    <row r="813" spans="1:8" ht="12.3">
      <c r="A813" s="120"/>
      <c r="B813" s="120"/>
      <c r="C813" s="120"/>
      <c r="D813" s="120"/>
      <c r="E813" s="120"/>
      <c r="F813" s="121"/>
      <c r="G813" s="122"/>
      <c r="H813" s="120"/>
    </row>
    <row r="814" spans="1:8" ht="12.3">
      <c r="A814" s="120"/>
      <c r="B814" s="120"/>
      <c r="C814" s="120"/>
      <c r="D814" s="120"/>
      <c r="E814" s="120"/>
      <c r="F814" s="121"/>
      <c r="G814" s="122"/>
      <c r="H814" s="120"/>
    </row>
    <row r="815" spans="1:8" ht="12.3">
      <c r="A815" s="120"/>
      <c r="B815" s="120"/>
      <c r="C815" s="120"/>
      <c r="D815" s="120"/>
      <c r="E815" s="120"/>
      <c r="F815" s="121"/>
      <c r="G815" s="122"/>
      <c r="H815" s="120"/>
    </row>
    <row r="816" spans="1:8" ht="12.3">
      <c r="A816" s="120"/>
      <c r="B816" s="120"/>
      <c r="C816" s="120"/>
      <c r="D816" s="120"/>
      <c r="E816" s="120"/>
      <c r="F816" s="121"/>
      <c r="G816" s="122"/>
      <c r="H816" s="120"/>
    </row>
    <row r="817" spans="1:8" ht="12.3">
      <c r="A817" s="120"/>
      <c r="B817" s="120"/>
      <c r="C817" s="120"/>
      <c r="D817" s="120"/>
      <c r="E817" s="120"/>
      <c r="F817" s="121"/>
      <c r="G817" s="122"/>
      <c r="H817" s="120"/>
    </row>
    <row r="818" spans="1:8" ht="12.3">
      <c r="A818" s="120"/>
      <c r="B818" s="120"/>
      <c r="C818" s="120"/>
      <c r="D818" s="120"/>
      <c r="E818" s="120"/>
      <c r="F818" s="121"/>
      <c r="G818" s="122"/>
      <c r="H818" s="120"/>
    </row>
    <row r="819" spans="1:8" ht="12.3">
      <c r="A819" s="120"/>
      <c r="B819" s="120"/>
      <c r="C819" s="120"/>
      <c r="D819" s="120"/>
      <c r="E819" s="120"/>
      <c r="F819" s="121"/>
      <c r="G819" s="122"/>
      <c r="H819" s="120"/>
    </row>
    <row r="820" spans="1:8" ht="12.3">
      <c r="A820" s="120"/>
      <c r="B820" s="120"/>
      <c r="C820" s="120"/>
      <c r="D820" s="120"/>
      <c r="E820" s="120"/>
      <c r="F820" s="121"/>
      <c r="G820" s="122"/>
      <c r="H820" s="120"/>
    </row>
    <row r="821" spans="1:8" ht="12.3">
      <c r="A821" s="120"/>
      <c r="B821" s="120"/>
      <c r="C821" s="120"/>
      <c r="D821" s="120"/>
      <c r="E821" s="120"/>
      <c r="F821" s="121"/>
      <c r="G821" s="122"/>
      <c r="H821" s="120"/>
    </row>
    <row r="822" spans="1:8" ht="12.3">
      <c r="A822" s="120"/>
      <c r="B822" s="120"/>
      <c r="C822" s="120"/>
      <c r="D822" s="120"/>
      <c r="E822" s="120"/>
      <c r="F822" s="121"/>
      <c r="G822" s="122"/>
      <c r="H822" s="120"/>
    </row>
    <row r="823" spans="1:8" ht="12.3">
      <c r="A823" s="120"/>
      <c r="B823" s="120"/>
      <c r="C823" s="120"/>
      <c r="D823" s="120"/>
      <c r="E823" s="120"/>
      <c r="F823" s="121"/>
      <c r="G823" s="122"/>
      <c r="H823" s="120"/>
    </row>
    <row r="824" spans="1:8" ht="12.3">
      <c r="A824" s="120"/>
      <c r="B824" s="120"/>
      <c r="C824" s="120"/>
      <c r="D824" s="120"/>
      <c r="E824" s="120"/>
      <c r="F824" s="121"/>
      <c r="G824" s="122"/>
      <c r="H824" s="120"/>
    </row>
    <row r="825" spans="1:8" ht="12.3">
      <c r="A825" s="120"/>
      <c r="B825" s="120"/>
      <c r="C825" s="120"/>
      <c r="D825" s="120"/>
      <c r="E825" s="120"/>
      <c r="F825" s="121"/>
      <c r="G825" s="122"/>
      <c r="H825" s="120"/>
    </row>
    <row r="826" spans="1:8" ht="12.3">
      <c r="A826" s="120"/>
      <c r="B826" s="120"/>
      <c r="C826" s="120"/>
      <c r="D826" s="120"/>
      <c r="E826" s="120"/>
      <c r="F826" s="121"/>
      <c r="G826" s="122"/>
      <c r="H826" s="120"/>
    </row>
    <row r="827" spans="1:8" ht="12.3">
      <c r="A827" s="120"/>
      <c r="B827" s="120"/>
      <c r="C827" s="120"/>
      <c r="D827" s="120"/>
      <c r="E827" s="120"/>
      <c r="F827" s="121"/>
      <c r="G827" s="122"/>
      <c r="H827" s="120"/>
    </row>
    <row r="828" spans="1:8" ht="12.3">
      <c r="A828" s="120"/>
      <c r="B828" s="120"/>
      <c r="C828" s="120"/>
      <c r="D828" s="120"/>
      <c r="E828" s="120"/>
      <c r="F828" s="121"/>
      <c r="G828" s="122"/>
      <c r="H828" s="120"/>
    </row>
    <row r="829" spans="1:8" ht="12.3">
      <c r="A829" s="120"/>
      <c r="B829" s="120"/>
      <c r="C829" s="120"/>
      <c r="D829" s="120"/>
      <c r="E829" s="120"/>
      <c r="F829" s="121"/>
      <c r="G829" s="122"/>
      <c r="H829" s="120"/>
    </row>
    <row r="830" spans="1:8" ht="12.3">
      <c r="A830" s="120"/>
      <c r="B830" s="120"/>
      <c r="C830" s="120"/>
      <c r="D830" s="120"/>
      <c r="E830" s="120"/>
      <c r="F830" s="121"/>
      <c r="G830" s="122"/>
      <c r="H830" s="120"/>
    </row>
    <row r="831" spans="1:8" ht="12.3">
      <c r="A831" s="120"/>
      <c r="B831" s="120"/>
      <c r="C831" s="120"/>
      <c r="D831" s="120"/>
      <c r="E831" s="120"/>
      <c r="F831" s="121"/>
      <c r="G831" s="122"/>
      <c r="H831" s="120"/>
    </row>
    <row r="832" spans="1:8" ht="12.3">
      <c r="A832" s="120"/>
      <c r="B832" s="120"/>
      <c r="C832" s="120"/>
      <c r="D832" s="120"/>
      <c r="E832" s="120"/>
      <c r="F832" s="121"/>
      <c r="G832" s="122"/>
      <c r="H832" s="120"/>
    </row>
    <row r="833" spans="1:8" ht="12.3">
      <c r="A833" s="120"/>
      <c r="B833" s="120"/>
      <c r="C833" s="120"/>
      <c r="D833" s="120"/>
      <c r="E833" s="120"/>
      <c r="F833" s="121"/>
      <c r="G833" s="122"/>
      <c r="H833" s="120"/>
    </row>
    <row r="834" spans="1:8" ht="12.3">
      <c r="A834" s="120"/>
      <c r="B834" s="120"/>
      <c r="C834" s="120"/>
      <c r="D834" s="120"/>
      <c r="E834" s="120"/>
      <c r="F834" s="121"/>
      <c r="G834" s="122"/>
      <c r="H834" s="120"/>
    </row>
    <row r="835" spans="1:8" ht="12.3">
      <c r="A835" s="120"/>
      <c r="B835" s="120"/>
      <c r="C835" s="120"/>
      <c r="D835" s="120"/>
      <c r="E835" s="120"/>
      <c r="F835" s="121"/>
      <c r="G835" s="122"/>
      <c r="H835" s="120"/>
    </row>
    <row r="836" spans="1:8" ht="12.3">
      <c r="A836" s="120"/>
      <c r="B836" s="120"/>
      <c r="C836" s="120"/>
      <c r="D836" s="120"/>
      <c r="E836" s="120"/>
      <c r="F836" s="121"/>
      <c r="G836" s="122"/>
      <c r="H836" s="120"/>
    </row>
    <row r="837" spans="1:8" ht="12.3">
      <c r="A837" s="120"/>
      <c r="B837" s="120"/>
      <c r="C837" s="120"/>
      <c r="D837" s="120"/>
      <c r="E837" s="120"/>
      <c r="F837" s="121"/>
      <c r="G837" s="122"/>
      <c r="H837" s="120"/>
    </row>
    <row r="838" spans="1:8" ht="12.3">
      <c r="A838" s="120"/>
      <c r="B838" s="120"/>
      <c r="C838" s="120"/>
      <c r="D838" s="120"/>
      <c r="E838" s="120"/>
      <c r="F838" s="121"/>
      <c r="G838" s="122"/>
      <c r="H838" s="120"/>
    </row>
    <row r="839" spans="1:8" ht="12.3">
      <c r="A839" s="120"/>
      <c r="B839" s="120"/>
      <c r="C839" s="120"/>
      <c r="D839" s="120"/>
      <c r="E839" s="120"/>
      <c r="F839" s="121"/>
      <c r="G839" s="122"/>
      <c r="H839" s="120"/>
    </row>
    <row r="840" spans="1:8" ht="12.3">
      <c r="A840" s="120"/>
      <c r="B840" s="120"/>
      <c r="C840" s="120"/>
      <c r="D840" s="120"/>
      <c r="E840" s="120"/>
      <c r="F840" s="121"/>
      <c r="G840" s="122"/>
      <c r="H840" s="120"/>
    </row>
    <row r="841" spans="1:8" ht="12.3">
      <c r="A841" s="120"/>
      <c r="B841" s="120"/>
      <c r="C841" s="120"/>
      <c r="D841" s="120"/>
      <c r="E841" s="120"/>
      <c r="F841" s="121"/>
      <c r="G841" s="122"/>
      <c r="H841" s="120"/>
    </row>
    <row r="842" spans="1:8" ht="12.3">
      <c r="A842" s="120"/>
      <c r="B842" s="120"/>
      <c r="C842" s="120"/>
      <c r="D842" s="120"/>
      <c r="E842" s="120"/>
      <c r="F842" s="121"/>
      <c r="G842" s="122"/>
      <c r="H842" s="120"/>
    </row>
    <row r="843" spans="1:8" ht="12.3">
      <c r="A843" s="120"/>
      <c r="B843" s="120"/>
      <c r="C843" s="120"/>
      <c r="D843" s="120"/>
      <c r="E843" s="120"/>
      <c r="F843" s="121"/>
      <c r="G843" s="122"/>
      <c r="H843" s="120"/>
    </row>
    <row r="844" spans="1:8" ht="12.3">
      <c r="A844" s="120"/>
      <c r="B844" s="120"/>
      <c r="C844" s="120"/>
      <c r="D844" s="120"/>
      <c r="E844" s="120"/>
      <c r="F844" s="121"/>
      <c r="G844" s="122"/>
      <c r="H844" s="120"/>
    </row>
    <row r="845" spans="1:8" ht="12.3">
      <c r="A845" s="120"/>
      <c r="B845" s="120"/>
      <c r="C845" s="120"/>
      <c r="D845" s="120"/>
      <c r="E845" s="120"/>
      <c r="F845" s="121"/>
      <c r="G845" s="122"/>
      <c r="H845" s="120"/>
    </row>
    <row r="846" spans="1:8" ht="12.3">
      <c r="A846" s="120"/>
      <c r="B846" s="120"/>
      <c r="C846" s="120"/>
      <c r="D846" s="120"/>
      <c r="E846" s="120"/>
      <c r="F846" s="121"/>
      <c r="G846" s="122"/>
      <c r="H846" s="120"/>
    </row>
    <row r="847" spans="1:8" ht="12.3">
      <c r="A847" s="120"/>
      <c r="B847" s="120"/>
      <c r="C847" s="120"/>
      <c r="D847" s="120"/>
      <c r="E847" s="120"/>
      <c r="F847" s="121"/>
      <c r="G847" s="122"/>
      <c r="H847" s="120"/>
    </row>
    <row r="848" spans="1:8" ht="12.3">
      <c r="A848" s="120"/>
      <c r="B848" s="120"/>
      <c r="C848" s="120"/>
      <c r="D848" s="120"/>
      <c r="E848" s="120"/>
      <c r="F848" s="121"/>
      <c r="G848" s="122"/>
      <c r="H848" s="120"/>
    </row>
    <row r="849" spans="1:8" ht="12.3">
      <c r="A849" s="120"/>
      <c r="B849" s="120"/>
      <c r="C849" s="120"/>
      <c r="D849" s="120"/>
      <c r="E849" s="120"/>
      <c r="F849" s="121"/>
      <c r="G849" s="122"/>
      <c r="H849" s="120"/>
    </row>
    <row r="850" spans="1:8" ht="12.3">
      <c r="A850" s="120"/>
      <c r="B850" s="120"/>
      <c r="C850" s="120"/>
      <c r="D850" s="120"/>
      <c r="E850" s="120"/>
      <c r="F850" s="121"/>
      <c r="G850" s="122"/>
      <c r="H850" s="120"/>
    </row>
    <row r="851" spans="1:8" ht="12.3">
      <c r="A851" s="120"/>
      <c r="B851" s="120"/>
      <c r="C851" s="120"/>
      <c r="D851" s="120"/>
      <c r="E851" s="120"/>
      <c r="F851" s="121"/>
      <c r="G851" s="122"/>
      <c r="H851" s="120"/>
    </row>
    <row r="852" spans="1:8" ht="12.3">
      <c r="A852" s="120"/>
      <c r="B852" s="120"/>
      <c r="C852" s="120"/>
      <c r="D852" s="120"/>
      <c r="E852" s="120"/>
      <c r="F852" s="121"/>
      <c r="G852" s="122"/>
      <c r="H852" s="120"/>
    </row>
    <row r="853" spans="1:8" ht="12.3">
      <c r="A853" s="120"/>
      <c r="B853" s="120"/>
      <c r="C853" s="120"/>
      <c r="D853" s="120"/>
      <c r="E853" s="120"/>
      <c r="F853" s="121"/>
      <c r="G853" s="122"/>
      <c r="H853" s="120"/>
    </row>
    <row r="854" spans="1:8" ht="12.3">
      <c r="A854" s="120"/>
      <c r="B854" s="120"/>
      <c r="C854" s="120"/>
      <c r="D854" s="120"/>
      <c r="E854" s="120"/>
      <c r="F854" s="121"/>
      <c r="G854" s="122"/>
      <c r="H854" s="120"/>
    </row>
    <row r="855" spans="1:8" ht="12.3">
      <c r="A855" s="120"/>
      <c r="B855" s="120"/>
      <c r="C855" s="120"/>
      <c r="D855" s="120"/>
      <c r="E855" s="120"/>
      <c r="F855" s="121"/>
      <c r="G855" s="122"/>
      <c r="H855" s="120"/>
    </row>
    <row r="856" spans="1:8" ht="12.3">
      <c r="A856" s="120"/>
      <c r="B856" s="120"/>
      <c r="C856" s="120"/>
      <c r="D856" s="120"/>
      <c r="E856" s="120"/>
      <c r="F856" s="121"/>
      <c r="G856" s="122"/>
      <c r="H856" s="120"/>
    </row>
    <row r="857" spans="1:8" ht="12.3">
      <c r="A857" s="120"/>
      <c r="B857" s="120"/>
      <c r="C857" s="120"/>
      <c r="D857" s="120"/>
      <c r="E857" s="120"/>
      <c r="F857" s="121"/>
      <c r="G857" s="122"/>
      <c r="H857" s="120"/>
    </row>
    <row r="858" spans="1:8" ht="12.3">
      <c r="A858" s="120"/>
      <c r="B858" s="120"/>
      <c r="C858" s="120"/>
      <c r="D858" s="120"/>
      <c r="E858" s="120"/>
      <c r="F858" s="121"/>
      <c r="G858" s="122"/>
      <c r="H858" s="120"/>
    </row>
    <row r="859" spans="1:8" ht="12.3">
      <c r="A859" s="120"/>
      <c r="B859" s="120"/>
      <c r="C859" s="120"/>
      <c r="D859" s="120"/>
      <c r="E859" s="120"/>
      <c r="F859" s="121"/>
      <c r="G859" s="122"/>
      <c r="H859" s="120"/>
    </row>
    <row r="860" spans="1:8" ht="12.3">
      <c r="A860" s="120"/>
      <c r="B860" s="120"/>
      <c r="C860" s="120"/>
      <c r="D860" s="120"/>
      <c r="E860" s="120"/>
      <c r="F860" s="121"/>
      <c r="G860" s="122"/>
      <c r="H860" s="120"/>
    </row>
    <row r="861" spans="1:8" ht="12.3">
      <c r="A861" s="120"/>
      <c r="B861" s="120"/>
      <c r="C861" s="120"/>
      <c r="D861" s="120"/>
      <c r="E861" s="120"/>
      <c r="F861" s="121"/>
      <c r="G861" s="122"/>
      <c r="H861" s="120"/>
    </row>
    <row r="862" spans="1:8" ht="12.3">
      <c r="A862" s="120"/>
      <c r="B862" s="120"/>
      <c r="C862" s="120"/>
      <c r="D862" s="120"/>
      <c r="E862" s="120"/>
      <c r="F862" s="121"/>
      <c r="G862" s="122"/>
      <c r="H862" s="120"/>
    </row>
    <row r="863" spans="1:8" ht="12.3">
      <c r="A863" s="120"/>
      <c r="B863" s="120"/>
      <c r="C863" s="120"/>
      <c r="D863" s="120"/>
      <c r="E863" s="120"/>
      <c r="F863" s="121"/>
      <c r="G863" s="122"/>
      <c r="H863" s="120"/>
    </row>
    <row r="864" spans="1:8" ht="12.3">
      <c r="A864" s="120"/>
      <c r="B864" s="120"/>
      <c r="C864" s="120"/>
      <c r="D864" s="120"/>
      <c r="E864" s="120"/>
      <c r="F864" s="121"/>
      <c r="G864" s="122"/>
      <c r="H864" s="120"/>
    </row>
    <row r="865" spans="1:8" ht="12.3">
      <c r="A865" s="120"/>
      <c r="B865" s="120"/>
      <c r="C865" s="120"/>
      <c r="D865" s="120"/>
      <c r="E865" s="120"/>
      <c r="F865" s="121"/>
      <c r="G865" s="122"/>
      <c r="H865" s="120"/>
    </row>
    <row r="866" spans="1:8" ht="12.3">
      <c r="A866" s="120"/>
      <c r="B866" s="120"/>
      <c r="C866" s="120"/>
      <c r="D866" s="120"/>
      <c r="E866" s="120"/>
      <c r="F866" s="121"/>
      <c r="G866" s="122"/>
      <c r="H866" s="120"/>
    </row>
    <row r="867" spans="1:8" ht="12.3">
      <c r="A867" s="120"/>
      <c r="B867" s="120"/>
      <c r="C867" s="120"/>
      <c r="D867" s="120"/>
      <c r="E867" s="120"/>
      <c r="F867" s="121"/>
      <c r="G867" s="122"/>
      <c r="H867" s="120"/>
    </row>
    <row r="868" spans="1:8" ht="12.3">
      <c r="A868" s="120"/>
      <c r="B868" s="120"/>
      <c r="C868" s="120"/>
      <c r="D868" s="120"/>
      <c r="E868" s="120"/>
      <c r="F868" s="121"/>
      <c r="G868" s="122"/>
      <c r="H868" s="120"/>
    </row>
    <row r="869" spans="1:8" ht="12.3">
      <c r="A869" s="120"/>
      <c r="B869" s="120"/>
      <c r="C869" s="120"/>
      <c r="D869" s="120"/>
      <c r="E869" s="120"/>
      <c r="F869" s="121"/>
      <c r="G869" s="122"/>
      <c r="H869" s="120"/>
    </row>
    <row r="870" spans="1:8" ht="12.3">
      <c r="A870" s="120"/>
      <c r="B870" s="120"/>
      <c r="C870" s="120"/>
      <c r="D870" s="120"/>
      <c r="E870" s="120"/>
      <c r="F870" s="121"/>
      <c r="G870" s="122"/>
      <c r="H870" s="120"/>
    </row>
    <row r="871" spans="1:8" ht="12.3">
      <c r="A871" s="120"/>
      <c r="B871" s="120"/>
      <c r="C871" s="120"/>
      <c r="D871" s="120"/>
      <c r="E871" s="120"/>
      <c r="F871" s="121"/>
      <c r="G871" s="122"/>
      <c r="H871" s="120"/>
    </row>
    <row r="872" spans="1:8" ht="12.3">
      <c r="A872" s="120"/>
      <c r="B872" s="120"/>
      <c r="C872" s="120"/>
      <c r="D872" s="120"/>
      <c r="E872" s="120"/>
      <c r="F872" s="121"/>
      <c r="G872" s="122"/>
      <c r="H872" s="120"/>
    </row>
    <row r="873" spans="1:8" ht="12.3">
      <c r="A873" s="120"/>
      <c r="B873" s="120"/>
      <c r="C873" s="120"/>
      <c r="D873" s="120"/>
      <c r="E873" s="120"/>
      <c r="F873" s="121"/>
      <c r="G873" s="122"/>
      <c r="H873" s="120"/>
    </row>
    <row r="874" spans="1:8" ht="12.3">
      <c r="A874" s="120"/>
      <c r="B874" s="120"/>
      <c r="C874" s="120"/>
      <c r="D874" s="120"/>
      <c r="E874" s="120"/>
      <c r="F874" s="121"/>
      <c r="G874" s="122"/>
      <c r="H874" s="120"/>
    </row>
    <row r="875" spans="1:8" ht="12.3">
      <c r="A875" s="120"/>
      <c r="B875" s="120"/>
      <c r="C875" s="120"/>
      <c r="D875" s="120"/>
      <c r="E875" s="120"/>
      <c r="F875" s="121"/>
      <c r="G875" s="122"/>
      <c r="H875" s="120"/>
    </row>
    <row r="876" spans="1:8" ht="12.3">
      <c r="A876" s="120"/>
      <c r="B876" s="120"/>
      <c r="C876" s="120"/>
      <c r="D876" s="120"/>
      <c r="E876" s="120"/>
      <c r="F876" s="121"/>
      <c r="G876" s="122"/>
      <c r="H876" s="120"/>
    </row>
    <row r="877" spans="1:8" ht="12.3">
      <c r="A877" s="120"/>
      <c r="B877" s="120"/>
      <c r="C877" s="120"/>
      <c r="D877" s="120"/>
      <c r="E877" s="120"/>
      <c r="F877" s="121"/>
      <c r="G877" s="122"/>
      <c r="H877" s="120"/>
    </row>
    <row r="878" spans="1:8" ht="12.3">
      <c r="A878" s="120"/>
      <c r="B878" s="120"/>
      <c r="C878" s="120"/>
      <c r="D878" s="120"/>
      <c r="E878" s="120"/>
      <c r="F878" s="121"/>
      <c r="G878" s="122"/>
      <c r="H878" s="120"/>
    </row>
    <row r="879" spans="1:8" ht="12.3">
      <c r="A879" s="120"/>
      <c r="B879" s="120"/>
      <c r="C879" s="120"/>
      <c r="D879" s="120"/>
      <c r="E879" s="120"/>
      <c r="F879" s="121"/>
      <c r="G879" s="122"/>
      <c r="H879" s="120"/>
    </row>
    <row r="880" spans="1:8" ht="12.3">
      <c r="A880" s="120"/>
      <c r="B880" s="120"/>
      <c r="C880" s="120"/>
      <c r="D880" s="120"/>
      <c r="E880" s="120"/>
      <c r="F880" s="121"/>
      <c r="G880" s="122"/>
      <c r="H880" s="120"/>
    </row>
    <row r="881" spans="1:8" ht="12.3">
      <c r="A881" s="120"/>
      <c r="B881" s="120"/>
      <c r="C881" s="120"/>
      <c r="D881" s="120"/>
      <c r="E881" s="120"/>
      <c r="F881" s="121"/>
      <c r="G881" s="122"/>
      <c r="H881" s="120"/>
    </row>
    <row r="882" spans="1:8" ht="12.3">
      <c r="A882" s="120"/>
      <c r="B882" s="120"/>
      <c r="C882" s="120"/>
      <c r="D882" s="120"/>
      <c r="E882" s="120"/>
      <c r="F882" s="121"/>
      <c r="G882" s="122"/>
      <c r="H882" s="120"/>
    </row>
    <row r="883" spans="1:8" ht="12.3">
      <c r="A883" s="120"/>
      <c r="B883" s="120"/>
      <c r="C883" s="120"/>
      <c r="D883" s="120"/>
      <c r="E883" s="120"/>
      <c r="F883" s="121"/>
      <c r="G883" s="122"/>
      <c r="H883" s="120"/>
    </row>
    <row r="884" spans="1:8" ht="12.3">
      <c r="A884" s="120"/>
      <c r="B884" s="120"/>
      <c r="C884" s="120"/>
      <c r="D884" s="120"/>
      <c r="E884" s="120"/>
      <c r="F884" s="121"/>
      <c r="G884" s="122"/>
      <c r="H884" s="120"/>
    </row>
    <row r="885" spans="1:8" ht="12.3">
      <c r="A885" s="120"/>
      <c r="B885" s="120"/>
      <c r="C885" s="120"/>
      <c r="D885" s="120"/>
      <c r="E885" s="120"/>
      <c r="F885" s="121"/>
      <c r="G885" s="122"/>
      <c r="H885" s="120"/>
    </row>
    <row r="886" spans="1:8" ht="12.3">
      <c r="A886" s="120"/>
      <c r="B886" s="120"/>
      <c r="C886" s="120"/>
      <c r="D886" s="120"/>
      <c r="E886" s="120"/>
      <c r="F886" s="121"/>
      <c r="G886" s="122"/>
      <c r="H886" s="120"/>
    </row>
    <row r="887" spans="1:8" ht="12.3">
      <c r="A887" s="120"/>
      <c r="B887" s="120"/>
      <c r="C887" s="120"/>
      <c r="D887" s="120"/>
      <c r="E887" s="120"/>
      <c r="F887" s="121"/>
      <c r="G887" s="122"/>
      <c r="H887" s="120"/>
    </row>
    <row r="888" spans="1:8" ht="12.3">
      <c r="A888" s="120"/>
      <c r="B888" s="120"/>
      <c r="C888" s="120"/>
      <c r="D888" s="120"/>
      <c r="E888" s="120"/>
      <c r="F888" s="121"/>
      <c r="G888" s="122"/>
      <c r="H888" s="120"/>
    </row>
    <row r="889" spans="1:8" ht="12.3">
      <c r="A889" s="120"/>
      <c r="B889" s="120"/>
      <c r="C889" s="120"/>
      <c r="D889" s="120"/>
      <c r="E889" s="120"/>
      <c r="F889" s="121"/>
      <c r="G889" s="122"/>
      <c r="H889" s="120"/>
    </row>
    <row r="890" spans="1:8" ht="12.3">
      <c r="A890" s="120"/>
      <c r="B890" s="120"/>
      <c r="C890" s="120"/>
      <c r="D890" s="120"/>
      <c r="E890" s="120"/>
      <c r="F890" s="121"/>
      <c r="G890" s="122"/>
      <c r="H890" s="120"/>
    </row>
    <row r="891" spans="1:8" ht="12.3">
      <c r="A891" s="120"/>
      <c r="B891" s="120"/>
      <c r="C891" s="120"/>
      <c r="D891" s="120"/>
      <c r="E891" s="120"/>
      <c r="F891" s="121"/>
      <c r="G891" s="122"/>
      <c r="H891" s="120"/>
    </row>
    <row r="892" spans="1:8" ht="12.3">
      <c r="A892" s="120"/>
      <c r="B892" s="120"/>
      <c r="C892" s="120"/>
      <c r="D892" s="120"/>
      <c r="E892" s="120"/>
      <c r="F892" s="121"/>
      <c r="G892" s="122"/>
      <c r="H892" s="120"/>
    </row>
    <row r="893" spans="1:8" ht="12.3">
      <c r="A893" s="120"/>
      <c r="B893" s="120"/>
      <c r="C893" s="120"/>
      <c r="D893" s="120"/>
      <c r="E893" s="120"/>
      <c r="F893" s="121"/>
      <c r="G893" s="122"/>
      <c r="H893" s="120"/>
    </row>
    <row r="894" spans="1:8" ht="12.3">
      <c r="A894" s="120"/>
      <c r="B894" s="120"/>
      <c r="C894" s="120"/>
      <c r="D894" s="120"/>
      <c r="E894" s="120"/>
      <c r="F894" s="121"/>
      <c r="G894" s="122"/>
      <c r="H894" s="120"/>
    </row>
    <row r="895" spans="1:8" ht="12.3">
      <c r="A895" s="120"/>
      <c r="B895" s="120"/>
      <c r="C895" s="120"/>
      <c r="D895" s="120"/>
      <c r="E895" s="120"/>
      <c r="F895" s="121"/>
      <c r="G895" s="122"/>
      <c r="H895" s="120"/>
    </row>
    <row r="896" spans="1:8" ht="12.3">
      <c r="A896" s="120"/>
      <c r="B896" s="120"/>
      <c r="C896" s="120"/>
      <c r="D896" s="120"/>
      <c r="E896" s="120"/>
      <c r="F896" s="121"/>
      <c r="G896" s="122"/>
      <c r="H896" s="120"/>
    </row>
    <row r="897" spans="1:8" ht="12.3">
      <c r="A897" s="120"/>
      <c r="B897" s="120"/>
      <c r="C897" s="120"/>
      <c r="D897" s="120"/>
      <c r="E897" s="120"/>
      <c r="F897" s="121"/>
      <c r="G897" s="122"/>
      <c r="H897" s="120"/>
    </row>
    <row r="898" spans="1:8" ht="12.3">
      <c r="A898" s="120"/>
      <c r="B898" s="120"/>
      <c r="C898" s="120"/>
      <c r="D898" s="120"/>
      <c r="E898" s="120"/>
      <c r="F898" s="121"/>
      <c r="G898" s="122"/>
      <c r="H898" s="120"/>
    </row>
    <row r="899" spans="1:8" ht="12.3">
      <c r="A899" s="120"/>
      <c r="B899" s="120"/>
      <c r="C899" s="120"/>
      <c r="D899" s="120"/>
      <c r="E899" s="120"/>
      <c r="F899" s="121"/>
      <c r="G899" s="122"/>
      <c r="H899" s="120"/>
    </row>
    <row r="900" spans="1:8" ht="12.3">
      <c r="A900" s="120"/>
      <c r="B900" s="120"/>
      <c r="C900" s="120"/>
      <c r="D900" s="120"/>
      <c r="E900" s="120"/>
      <c r="F900" s="121"/>
      <c r="G900" s="122"/>
      <c r="H900" s="120"/>
    </row>
    <row r="901" spans="1:8" ht="12.3">
      <c r="A901" s="120"/>
      <c r="B901" s="120"/>
      <c r="C901" s="120"/>
      <c r="D901" s="120"/>
      <c r="E901" s="120"/>
      <c r="F901" s="121"/>
      <c r="G901" s="122"/>
      <c r="H901" s="120"/>
    </row>
    <row r="902" spans="1:8" ht="12.3">
      <c r="A902" s="120"/>
      <c r="B902" s="120"/>
      <c r="C902" s="120"/>
      <c r="D902" s="120"/>
      <c r="E902" s="120"/>
      <c r="F902" s="121"/>
      <c r="G902" s="122"/>
      <c r="H902" s="120"/>
    </row>
    <row r="903" spans="1:8" ht="12.3">
      <c r="A903" s="120"/>
      <c r="B903" s="120"/>
      <c r="C903" s="120"/>
      <c r="D903" s="120"/>
      <c r="E903" s="120"/>
      <c r="F903" s="121"/>
      <c r="G903" s="122"/>
      <c r="H903" s="120"/>
    </row>
    <row r="904" spans="1:8" ht="12.3">
      <c r="A904" s="120"/>
      <c r="B904" s="120"/>
      <c r="C904" s="120"/>
      <c r="D904" s="120"/>
      <c r="E904" s="120"/>
      <c r="F904" s="121"/>
      <c r="G904" s="122"/>
      <c r="H904" s="120"/>
    </row>
    <row r="905" spans="1:8" ht="12.3">
      <c r="A905" s="120"/>
      <c r="B905" s="120"/>
      <c r="C905" s="120"/>
      <c r="D905" s="120"/>
      <c r="E905" s="120"/>
      <c r="F905" s="121"/>
      <c r="G905" s="122"/>
      <c r="H905" s="120"/>
    </row>
    <row r="906" spans="1:8" ht="12.3">
      <c r="A906" s="120"/>
      <c r="B906" s="120"/>
      <c r="C906" s="120"/>
      <c r="D906" s="120"/>
      <c r="E906" s="120"/>
      <c r="F906" s="121"/>
      <c r="G906" s="122"/>
      <c r="H906" s="120"/>
    </row>
    <row r="907" spans="1:8" ht="12.3">
      <c r="A907" s="120"/>
      <c r="B907" s="120"/>
      <c r="C907" s="120"/>
      <c r="D907" s="120"/>
      <c r="E907" s="120"/>
      <c r="F907" s="121"/>
      <c r="G907" s="122"/>
      <c r="H907" s="120"/>
    </row>
    <row r="908" spans="1:8" ht="12.3">
      <c r="A908" s="120"/>
      <c r="B908" s="120"/>
      <c r="C908" s="120"/>
      <c r="D908" s="120"/>
      <c r="E908" s="120"/>
      <c r="F908" s="121"/>
      <c r="G908" s="122"/>
      <c r="H908" s="120"/>
    </row>
    <row r="909" spans="1:8" ht="12.3">
      <c r="A909" s="120"/>
      <c r="B909" s="120"/>
      <c r="C909" s="120"/>
      <c r="D909" s="120"/>
      <c r="E909" s="120"/>
      <c r="F909" s="121"/>
      <c r="G909" s="122"/>
      <c r="H909" s="120"/>
    </row>
    <row r="910" spans="1:8" ht="12.3">
      <c r="A910" s="120"/>
      <c r="B910" s="120"/>
      <c r="C910" s="120"/>
      <c r="D910" s="120"/>
      <c r="E910" s="120"/>
      <c r="F910" s="121"/>
      <c r="G910" s="122"/>
      <c r="H910" s="120"/>
    </row>
    <row r="911" spans="1:8" ht="12.3">
      <c r="A911" s="120"/>
      <c r="B911" s="120"/>
      <c r="C911" s="120"/>
      <c r="D911" s="120"/>
      <c r="E911" s="120"/>
      <c r="F911" s="121"/>
      <c r="G911" s="122"/>
      <c r="H911" s="120"/>
    </row>
    <row r="912" spans="1:8" ht="12.3">
      <c r="A912" s="120"/>
      <c r="B912" s="120"/>
      <c r="C912" s="120"/>
      <c r="D912" s="120"/>
      <c r="E912" s="120"/>
      <c r="F912" s="121"/>
      <c r="G912" s="122"/>
      <c r="H912" s="120"/>
    </row>
    <row r="913" spans="1:8" ht="12.3">
      <c r="A913" s="120"/>
      <c r="B913" s="120"/>
      <c r="C913" s="120"/>
      <c r="D913" s="120"/>
      <c r="E913" s="120"/>
      <c r="F913" s="121"/>
      <c r="G913" s="122"/>
      <c r="H913" s="120"/>
    </row>
    <row r="914" spans="1:8" ht="12.3">
      <c r="A914" s="120"/>
      <c r="B914" s="120"/>
      <c r="C914" s="120"/>
      <c r="D914" s="120"/>
      <c r="E914" s="120"/>
      <c r="F914" s="121"/>
      <c r="G914" s="122"/>
      <c r="H914" s="120"/>
    </row>
    <row r="915" spans="1:8" ht="12.3">
      <c r="A915" s="120"/>
      <c r="B915" s="120"/>
      <c r="C915" s="120"/>
      <c r="D915" s="120"/>
      <c r="E915" s="120"/>
      <c r="F915" s="121"/>
      <c r="G915" s="122"/>
      <c r="H915" s="120"/>
    </row>
    <row r="916" spans="1:8" ht="12.3">
      <c r="A916" s="120"/>
      <c r="B916" s="120"/>
      <c r="C916" s="120"/>
      <c r="D916" s="120"/>
      <c r="E916" s="120"/>
      <c r="F916" s="121"/>
      <c r="G916" s="122"/>
      <c r="H916" s="120"/>
    </row>
    <row r="917" spans="1:8" ht="12.3">
      <c r="A917" s="120"/>
      <c r="B917" s="120"/>
      <c r="C917" s="120"/>
      <c r="D917" s="120"/>
      <c r="E917" s="120"/>
      <c r="F917" s="121"/>
      <c r="G917" s="122"/>
      <c r="H917" s="120"/>
    </row>
    <row r="918" spans="1:8" ht="12.3">
      <c r="A918" s="120"/>
      <c r="B918" s="120"/>
      <c r="C918" s="120"/>
      <c r="D918" s="120"/>
      <c r="E918" s="120"/>
      <c r="F918" s="121"/>
      <c r="G918" s="122"/>
      <c r="H918" s="120"/>
    </row>
    <row r="919" spans="1:8" ht="12.3">
      <c r="A919" s="120"/>
      <c r="B919" s="120"/>
      <c r="C919" s="120"/>
      <c r="D919" s="120"/>
      <c r="E919" s="120"/>
      <c r="F919" s="121"/>
      <c r="G919" s="122"/>
      <c r="H919" s="120"/>
    </row>
    <row r="920" spans="1:8" ht="12.3">
      <c r="A920" s="120"/>
      <c r="B920" s="120"/>
      <c r="C920" s="120"/>
      <c r="D920" s="120"/>
      <c r="E920" s="120"/>
      <c r="F920" s="121"/>
      <c r="G920" s="122"/>
      <c r="H920" s="120"/>
    </row>
    <row r="921" spans="1:8" ht="12.3">
      <c r="A921" s="120"/>
      <c r="B921" s="120"/>
      <c r="C921" s="120"/>
      <c r="D921" s="120"/>
      <c r="E921" s="120"/>
      <c r="F921" s="121"/>
      <c r="G921" s="122"/>
      <c r="H921" s="120"/>
    </row>
    <row r="922" spans="1:8" ht="12.3">
      <c r="A922" s="120"/>
      <c r="B922" s="120"/>
      <c r="C922" s="120"/>
      <c r="D922" s="120"/>
      <c r="E922" s="120"/>
      <c r="F922" s="121"/>
      <c r="G922" s="122"/>
      <c r="H922" s="120"/>
    </row>
    <row r="923" spans="1:8" ht="12.3">
      <c r="A923" s="120"/>
      <c r="B923" s="120"/>
      <c r="C923" s="120"/>
      <c r="D923" s="120"/>
      <c r="E923" s="120"/>
      <c r="F923" s="121"/>
      <c r="G923" s="122"/>
      <c r="H923" s="120"/>
    </row>
    <row r="924" spans="1:8" ht="12.3">
      <c r="A924" s="120"/>
      <c r="B924" s="120"/>
      <c r="C924" s="120"/>
      <c r="D924" s="120"/>
      <c r="E924" s="120"/>
      <c r="F924" s="121"/>
      <c r="G924" s="122"/>
      <c r="H924" s="120"/>
    </row>
    <row r="925" spans="1:8" ht="12.3">
      <c r="A925" s="120"/>
      <c r="B925" s="120"/>
      <c r="C925" s="120"/>
      <c r="D925" s="120"/>
      <c r="E925" s="120"/>
      <c r="F925" s="121"/>
      <c r="G925" s="122"/>
      <c r="H925" s="120"/>
    </row>
    <row r="926" spans="1:8" ht="12.3">
      <c r="A926" s="120"/>
      <c r="B926" s="120"/>
      <c r="C926" s="120"/>
      <c r="D926" s="120"/>
      <c r="E926" s="120"/>
      <c r="F926" s="121"/>
      <c r="G926" s="122"/>
      <c r="H926" s="120"/>
    </row>
    <row r="927" spans="1:8" ht="12.3">
      <c r="A927" s="120"/>
      <c r="B927" s="120"/>
      <c r="C927" s="120"/>
      <c r="D927" s="120"/>
      <c r="E927" s="120"/>
      <c r="F927" s="121"/>
      <c r="G927" s="122"/>
      <c r="H927" s="120"/>
    </row>
    <row r="928" spans="1:8" ht="12.3">
      <c r="A928" s="120"/>
      <c r="B928" s="120"/>
      <c r="C928" s="120"/>
      <c r="D928" s="120"/>
      <c r="E928" s="120"/>
      <c r="F928" s="121"/>
      <c r="G928" s="122"/>
      <c r="H928" s="120"/>
    </row>
    <row r="929" spans="1:8" ht="12.3">
      <c r="A929" s="120"/>
      <c r="B929" s="120"/>
      <c r="C929" s="120"/>
      <c r="D929" s="120"/>
      <c r="E929" s="120"/>
      <c r="F929" s="121"/>
      <c r="G929" s="122"/>
      <c r="H929" s="120"/>
    </row>
    <row r="930" spans="1:8" ht="12.3">
      <c r="A930" s="120"/>
      <c r="B930" s="120"/>
      <c r="C930" s="120"/>
      <c r="D930" s="120"/>
      <c r="E930" s="120"/>
      <c r="F930" s="121"/>
      <c r="G930" s="122"/>
      <c r="H930" s="120"/>
    </row>
    <row r="931" spans="1:8" ht="12.3">
      <c r="A931" s="120"/>
      <c r="B931" s="120"/>
      <c r="C931" s="120"/>
      <c r="D931" s="120"/>
      <c r="E931" s="120"/>
      <c r="F931" s="121"/>
      <c r="G931" s="122"/>
      <c r="H931" s="120"/>
    </row>
    <row r="932" spans="1:8" ht="12.3">
      <c r="A932" s="120"/>
      <c r="B932" s="120"/>
      <c r="C932" s="120"/>
      <c r="D932" s="120"/>
      <c r="E932" s="120"/>
      <c r="F932" s="121"/>
      <c r="G932" s="122"/>
      <c r="H932" s="120"/>
    </row>
    <row r="933" spans="1:8" ht="12.3">
      <c r="A933" s="120"/>
      <c r="B933" s="120"/>
      <c r="C933" s="120"/>
      <c r="D933" s="120"/>
      <c r="E933" s="120"/>
      <c r="F933" s="121"/>
      <c r="G933" s="122"/>
      <c r="H933" s="120"/>
    </row>
    <row r="934" spans="1:8" ht="12.3">
      <c r="A934" s="120"/>
      <c r="B934" s="120"/>
      <c r="C934" s="120"/>
      <c r="D934" s="120"/>
      <c r="E934" s="120"/>
      <c r="F934" s="121"/>
      <c r="G934" s="122"/>
      <c r="H934" s="120"/>
    </row>
    <row r="935" spans="1:8" ht="12.3">
      <c r="A935" s="120"/>
      <c r="B935" s="120"/>
      <c r="C935" s="120"/>
      <c r="D935" s="120"/>
      <c r="E935" s="120"/>
      <c r="F935" s="121"/>
      <c r="G935" s="122"/>
      <c r="H935" s="120"/>
    </row>
    <row r="936" spans="1:8" ht="12.3">
      <c r="A936" s="120"/>
      <c r="B936" s="120"/>
      <c r="C936" s="120"/>
      <c r="D936" s="120"/>
      <c r="E936" s="120"/>
      <c r="F936" s="121"/>
      <c r="G936" s="122"/>
      <c r="H936" s="120"/>
    </row>
    <row r="937" spans="1:8" ht="12.3">
      <c r="A937" s="120"/>
      <c r="B937" s="120"/>
      <c r="C937" s="120"/>
      <c r="D937" s="120"/>
      <c r="E937" s="120"/>
      <c r="F937" s="121"/>
      <c r="G937" s="122"/>
      <c r="H937" s="120"/>
    </row>
    <row r="938" spans="1:8" ht="12.3">
      <c r="A938" s="120"/>
      <c r="B938" s="120"/>
      <c r="C938" s="120"/>
      <c r="D938" s="120"/>
      <c r="E938" s="120"/>
      <c r="F938" s="121"/>
      <c r="G938" s="122"/>
      <c r="H938" s="120"/>
    </row>
    <row r="939" spans="1:8" ht="12.3">
      <c r="A939" s="120"/>
      <c r="B939" s="120"/>
      <c r="C939" s="120"/>
      <c r="D939" s="120"/>
      <c r="E939" s="120"/>
      <c r="F939" s="121"/>
      <c r="G939" s="122"/>
      <c r="H939" s="120"/>
    </row>
    <row r="940" spans="1:8" ht="12.3">
      <c r="A940" s="120"/>
      <c r="B940" s="120"/>
      <c r="C940" s="120"/>
      <c r="D940" s="120"/>
      <c r="E940" s="120"/>
      <c r="F940" s="121"/>
      <c r="G940" s="122"/>
      <c r="H940" s="120"/>
    </row>
    <row r="941" spans="1:8" ht="12.3">
      <c r="A941" s="120"/>
      <c r="B941" s="120"/>
      <c r="C941" s="120"/>
      <c r="D941" s="120"/>
      <c r="E941" s="120"/>
      <c r="F941" s="121"/>
      <c r="G941" s="122"/>
      <c r="H941" s="120"/>
    </row>
    <row r="942" spans="1:8" ht="12.3">
      <c r="A942" s="120"/>
      <c r="B942" s="120"/>
      <c r="C942" s="120"/>
      <c r="D942" s="120"/>
      <c r="E942" s="120"/>
      <c r="F942" s="121"/>
      <c r="G942" s="122"/>
      <c r="H942" s="120"/>
    </row>
    <row r="943" spans="1:8" ht="12.3">
      <c r="A943" s="120"/>
      <c r="B943" s="120"/>
      <c r="C943" s="120"/>
      <c r="D943" s="120"/>
      <c r="E943" s="120"/>
      <c r="F943" s="121"/>
      <c r="G943" s="122"/>
      <c r="H943" s="120"/>
    </row>
    <row r="944" spans="1:8" ht="12.3">
      <c r="A944" s="120"/>
      <c r="B944" s="120"/>
      <c r="C944" s="120"/>
      <c r="D944" s="120"/>
      <c r="E944" s="120"/>
      <c r="F944" s="121"/>
      <c r="G944" s="122"/>
      <c r="H944" s="120"/>
    </row>
    <row r="945" spans="1:8" ht="12.3">
      <c r="A945" s="120"/>
      <c r="B945" s="120"/>
      <c r="C945" s="120"/>
      <c r="D945" s="120"/>
      <c r="E945" s="120"/>
      <c r="F945" s="121"/>
      <c r="G945" s="122"/>
      <c r="H945" s="120"/>
    </row>
    <row r="946" spans="1:8" ht="12.3">
      <c r="A946" s="120"/>
      <c r="B946" s="120"/>
      <c r="C946" s="120"/>
      <c r="D946" s="120"/>
      <c r="E946" s="120"/>
      <c r="F946" s="121"/>
      <c r="G946" s="122"/>
      <c r="H946" s="120"/>
    </row>
    <row r="947" spans="1:8" ht="12.3">
      <c r="A947" s="120"/>
      <c r="B947" s="120"/>
      <c r="C947" s="120"/>
      <c r="D947" s="120"/>
      <c r="E947" s="120"/>
      <c r="F947" s="121"/>
      <c r="G947" s="122"/>
      <c r="H947" s="120"/>
    </row>
    <row r="948" spans="1:8" ht="12.3">
      <c r="A948" s="120"/>
      <c r="B948" s="120"/>
      <c r="C948" s="120"/>
      <c r="D948" s="120"/>
      <c r="E948" s="120"/>
      <c r="F948" s="121"/>
      <c r="G948" s="122"/>
      <c r="H948" s="120"/>
    </row>
    <row r="949" spans="1:8" ht="12.3">
      <c r="A949" s="120"/>
      <c r="B949" s="120"/>
      <c r="C949" s="120"/>
      <c r="D949" s="120"/>
      <c r="E949" s="120"/>
      <c r="F949" s="121"/>
      <c r="G949" s="122"/>
      <c r="H949" s="120"/>
    </row>
    <row r="950" spans="1:8" ht="12.3">
      <c r="A950" s="120"/>
      <c r="B950" s="120"/>
      <c r="C950" s="120"/>
      <c r="D950" s="120"/>
      <c r="E950" s="120"/>
      <c r="F950" s="121"/>
      <c r="G950" s="122"/>
      <c r="H950" s="120"/>
    </row>
    <row r="951" spans="1:8" ht="12.3">
      <c r="A951" s="120"/>
      <c r="B951" s="120"/>
      <c r="C951" s="120"/>
      <c r="D951" s="120"/>
      <c r="E951" s="120"/>
      <c r="F951" s="121"/>
      <c r="G951" s="122"/>
      <c r="H951" s="120"/>
    </row>
    <row r="952" spans="1:8" ht="12.3">
      <c r="A952" s="120"/>
      <c r="B952" s="120"/>
      <c r="C952" s="120"/>
      <c r="D952" s="120"/>
      <c r="E952" s="120"/>
      <c r="F952" s="121"/>
      <c r="G952" s="122"/>
      <c r="H952" s="120"/>
    </row>
    <row r="953" spans="1:8" ht="12.3">
      <c r="A953" s="120"/>
      <c r="B953" s="120"/>
      <c r="C953" s="120"/>
      <c r="D953" s="120"/>
      <c r="E953" s="120"/>
      <c r="F953" s="121"/>
      <c r="G953" s="122"/>
      <c r="H953" s="120"/>
    </row>
    <row r="954" spans="1:8" ht="12.3">
      <c r="A954" s="120"/>
      <c r="B954" s="120"/>
      <c r="C954" s="120"/>
      <c r="D954" s="120"/>
      <c r="E954" s="120"/>
      <c r="F954" s="121"/>
      <c r="G954" s="122"/>
      <c r="H954" s="120"/>
    </row>
    <row r="955" spans="1:8" ht="12.3">
      <c r="A955" s="120"/>
      <c r="B955" s="120"/>
      <c r="C955" s="120"/>
      <c r="D955" s="120"/>
      <c r="E955" s="120"/>
      <c r="F955" s="121"/>
      <c r="G955" s="122"/>
      <c r="H955" s="120"/>
    </row>
    <row r="956" spans="1:8" ht="12.3">
      <c r="A956" s="120"/>
      <c r="B956" s="120"/>
      <c r="C956" s="120"/>
      <c r="D956" s="120"/>
      <c r="E956" s="120"/>
      <c r="F956" s="121"/>
      <c r="G956" s="122"/>
      <c r="H956" s="120"/>
    </row>
    <row r="957" spans="1:8" ht="12.3">
      <c r="A957" s="120"/>
      <c r="B957" s="120"/>
      <c r="C957" s="120"/>
      <c r="D957" s="120"/>
      <c r="E957" s="120"/>
      <c r="F957" s="121"/>
      <c r="G957" s="122"/>
      <c r="H957" s="120"/>
    </row>
    <row r="958" spans="1:8" ht="12.3">
      <c r="A958" s="120"/>
      <c r="B958" s="120"/>
      <c r="C958" s="120"/>
      <c r="D958" s="120"/>
      <c r="E958" s="120"/>
      <c r="F958" s="121"/>
      <c r="G958" s="122"/>
      <c r="H958" s="120"/>
    </row>
    <row r="959" spans="1:8" ht="12.3">
      <c r="A959" s="120"/>
      <c r="B959" s="120"/>
      <c r="C959" s="120"/>
      <c r="D959" s="120"/>
      <c r="E959" s="120"/>
      <c r="F959" s="121"/>
      <c r="G959" s="122"/>
      <c r="H959" s="120"/>
    </row>
    <row r="960" spans="1:8" ht="12.3">
      <c r="A960" s="120"/>
      <c r="B960" s="120"/>
      <c r="C960" s="120"/>
      <c r="D960" s="120"/>
      <c r="E960" s="120"/>
      <c r="F960" s="121"/>
      <c r="G960" s="122"/>
      <c r="H960" s="120"/>
    </row>
    <row r="961" spans="1:8" ht="12.3">
      <c r="A961" s="120"/>
      <c r="B961" s="120"/>
      <c r="C961" s="120"/>
      <c r="D961" s="120"/>
      <c r="E961" s="120"/>
      <c r="F961" s="121"/>
      <c r="G961" s="122"/>
      <c r="H961" s="120"/>
    </row>
    <row r="962" spans="1:8" ht="12.3">
      <c r="A962" s="120"/>
      <c r="B962" s="120"/>
      <c r="C962" s="120"/>
      <c r="D962" s="120"/>
      <c r="E962" s="120"/>
      <c r="F962" s="121"/>
      <c r="G962" s="122"/>
      <c r="H962" s="120"/>
    </row>
    <row r="963" spans="1:8" ht="12.3">
      <c r="A963" s="120"/>
      <c r="B963" s="120"/>
      <c r="C963" s="120"/>
      <c r="D963" s="120"/>
      <c r="E963" s="120"/>
      <c r="F963" s="121"/>
      <c r="G963" s="122"/>
      <c r="H963" s="120"/>
    </row>
    <row r="964" spans="1:8" ht="12.3">
      <c r="A964" s="120"/>
      <c r="B964" s="120"/>
      <c r="C964" s="120"/>
      <c r="D964" s="120"/>
      <c r="E964" s="120"/>
      <c r="F964" s="121"/>
      <c r="G964" s="122"/>
      <c r="H964" s="120"/>
    </row>
    <row r="965" spans="1:8" ht="12.3">
      <c r="A965" s="120"/>
      <c r="B965" s="120"/>
      <c r="C965" s="120"/>
      <c r="D965" s="120"/>
      <c r="E965" s="120"/>
      <c r="F965" s="121"/>
      <c r="G965" s="122"/>
      <c r="H965" s="120"/>
    </row>
    <row r="966" spans="1:8" ht="12.3">
      <c r="A966" s="120"/>
      <c r="B966" s="120"/>
      <c r="C966" s="120"/>
      <c r="D966" s="120"/>
      <c r="E966" s="120"/>
      <c r="F966" s="121"/>
      <c r="G966" s="122"/>
      <c r="H966" s="120"/>
    </row>
    <row r="967" spans="1:8" ht="12.3">
      <c r="A967" s="120"/>
      <c r="B967" s="120"/>
      <c r="C967" s="120"/>
      <c r="D967" s="120"/>
      <c r="E967" s="120"/>
      <c r="F967" s="121"/>
      <c r="G967" s="122"/>
      <c r="H967" s="120"/>
    </row>
    <row r="968" spans="1:8" ht="12.3">
      <c r="A968" s="120"/>
      <c r="B968" s="120"/>
      <c r="C968" s="120"/>
      <c r="D968" s="120"/>
      <c r="E968" s="120"/>
      <c r="F968" s="121"/>
      <c r="G968" s="122"/>
      <c r="H968" s="120"/>
    </row>
    <row r="969" spans="1:8" ht="12.3">
      <c r="A969" s="120"/>
      <c r="B969" s="120"/>
      <c r="C969" s="120"/>
      <c r="D969" s="120"/>
      <c r="E969" s="120"/>
      <c r="F969" s="121"/>
      <c r="G969" s="122"/>
      <c r="H969" s="120"/>
    </row>
    <row r="970" spans="1:8" ht="12.3">
      <c r="A970" s="120"/>
      <c r="B970" s="120"/>
      <c r="C970" s="120"/>
      <c r="D970" s="120"/>
      <c r="E970" s="120"/>
      <c r="F970" s="121"/>
      <c r="G970" s="122"/>
      <c r="H970" s="120"/>
    </row>
    <row r="971" spans="1:8" ht="12.3">
      <c r="A971" s="120"/>
      <c r="B971" s="120"/>
      <c r="C971" s="120"/>
      <c r="D971" s="120"/>
      <c r="E971" s="120"/>
      <c r="F971" s="121"/>
      <c r="G971" s="122"/>
      <c r="H971" s="120"/>
    </row>
    <row r="972" spans="1:8" ht="12.3">
      <c r="A972" s="120"/>
      <c r="B972" s="120"/>
      <c r="C972" s="120"/>
      <c r="D972" s="120"/>
      <c r="E972" s="120"/>
      <c r="F972" s="121"/>
      <c r="G972" s="122"/>
      <c r="H972" s="120"/>
    </row>
    <row r="973" spans="1:8" ht="12.3">
      <c r="A973" s="120"/>
      <c r="B973" s="120"/>
      <c r="C973" s="120"/>
      <c r="D973" s="120"/>
      <c r="E973" s="120"/>
      <c r="F973" s="121"/>
      <c r="G973" s="122"/>
      <c r="H973" s="120"/>
    </row>
    <row r="974" spans="1:8" ht="12.3">
      <c r="A974" s="120"/>
      <c r="B974" s="120"/>
      <c r="C974" s="120"/>
      <c r="D974" s="120"/>
      <c r="E974" s="120"/>
      <c r="F974" s="121"/>
      <c r="G974" s="122"/>
      <c r="H974" s="120"/>
    </row>
    <row r="975" spans="1:8" ht="12.3">
      <c r="A975" s="120"/>
      <c r="B975" s="120"/>
      <c r="C975" s="120"/>
      <c r="D975" s="120"/>
      <c r="E975" s="120"/>
      <c r="F975" s="121"/>
      <c r="G975" s="122"/>
      <c r="H975" s="120"/>
    </row>
    <row r="976" spans="1:8" ht="12.3">
      <c r="A976" s="120"/>
      <c r="B976" s="120"/>
      <c r="C976" s="120"/>
      <c r="D976" s="120"/>
      <c r="E976" s="120"/>
      <c r="F976" s="121"/>
      <c r="G976" s="122"/>
      <c r="H976" s="120"/>
    </row>
    <row r="977" spans="1:8" ht="12.3">
      <c r="A977" s="120"/>
      <c r="B977" s="120"/>
      <c r="C977" s="120"/>
      <c r="D977" s="120"/>
      <c r="E977" s="120"/>
      <c r="F977" s="121"/>
      <c r="G977" s="122"/>
      <c r="H977" s="120"/>
    </row>
    <row r="978" spans="1:8" ht="12.3">
      <c r="A978" s="120"/>
      <c r="B978" s="120"/>
      <c r="C978" s="120"/>
      <c r="D978" s="120"/>
      <c r="E978" s="120"/>
      <c r="F978" s="121"/>
      <c r="G978" s="122"/>
      <c r="H978" s="120"/>
    </row>
    <row r="979" spans="1:8" ht="12.3">
      <c r="A979" s="120"/>
      <c r="B979" s="120"/>
      <c r="C979" s="120"/>
      <c r="D979" s="120"/>
      <c r="E979" s="120"/>
      <c r="F979" s="121"/>
      <c r="G979" s="122"/>
      <c r="H979" s="120"/>
    </row>
    <row r="980" spans="1:8" ht="12.3">
      <c r="A980" s="120"/>
      <c r="B980" s="120"/>
      <c r="C980" s="120"/>
      <c r="D980" s="120"/>
      <c r="E980" s="120"/>
      <c r="F980" s="121"/>
      <c r="G980" s="122"/>
      <c r="H980" s="120"/>
    </row>
    <row r="981" spans="1:8" ht="12.3">
      <c r="A981" s="120"/>
      <c r="B981" s="120"/>
      <c r="C981" s="120"/>
      <c r="D981" s="120"/>
      <c r="E981" s="120"/>
      <c r="F981" s="121"/>
      <c r="G981" s="122"/>
      <c r="H981" s="120"/>
    </row>
    <row r="982" spans="1:8" ht="12.3">
      <c r="A982" s="120"/>
      <c r="B982" s="120"/>
      <c r="C982" s="120"/>
      <c r="D982" s="120"/>
      <c r="E982" s="120"/>
      <c r="F982" s="121"/>
      <c r="G982" s="122"/>
      <c r="H982" s="120"/>
    </row>
    <row r="983" spans="1:8" ht="12.3">
      <c r="A983" s="120"/>
      <c r="B983" s="120"/>
      <c r="C983" s="120"/>
      <c r="D983" s="120"/>
      <c r="E983" s="120"/>
      <c r="F983" s="121"/>
      <c r="G983" s="122"/>
      <c r="H983" s="120"/>
    </row>
    <row r="984" spans="1:8" ht="12.3">
      <c r="A984" s="120"/>
      <c r="B984" s="120"/>
      <c r="C984" s="120"/>
      <c r="D984" s="120"/>
      <c r="E984" s="120"/>
      <c r="F984" s="121"/>
      <c r="G984" s="122"/>
      <c r="H984" s="120"/>
    </row>
    <row r="985" spans="1:8" ht="12.3">
      <c r="A985" s="120"/>
      <c r="B985" s="120"/>
      <c r="C985" s="120"/>
      <c r="D985" s="120"/>
      <c r="E985" s="120"/>
      <c r="F985" s="121"/>
      <c r="G985" s="122"/>
      <c r="H985" s="120"/>
    </row>
    <row r="986" spans="1:8" ht="12.3">
      <c r="A986" s="120"/>
      <c r="B986" s="120"/>
      <c r="C986" s="120"/>
      <c r="D986" s="120"/>
      <c r="E986" s="120"/>
      <c r="F986" s="121"/>
      <c r="G986" s="122"/>
      <c r="H986" s="120"/>
    </row>
    <row r="987" spans="1:8" ht="12.3">
      <c r="A987" s="120"/>
      <c r="B987" s="120"/>
      <c r="C987" s="120"/>
      <c r="D987" s="120"/>
      <c r="E987" s="120"/>
      <c r="F987" s="121"/>
      <c r="G987" s="122"/>
      <c r="H987" s="120"/>
    </row>
    <row r="988" spans="1:8" ht="12.3">
      <c r="A988" s="120"/>
      <c r="B988" s="120"/>
      <c r="C988" s="120"/>
      <c r="D988" s="120"/>
      <c r="E988" s="120"/>
      <c r="F988" s="121"/>
      <c r="G988" s="122"/>
      <c r="H988" s="120"/>
    </row>
    <row r="989" spans="1:8" ht="12.3">
      <c r="A989" s="120"/>
      <c r="B989" s="120"/>
      <c r="C989" s="120"/>
      <c r="D989" s="120"/>
      <c r="E989" s="120"/>
      <c r="F989" s="121"/>
      <c r="G989" s="122"/>
      <c r="H989" s="120"/>
    </row>
    <row r="990" spans="1:8" ht="12.3">
      <c r="A990" s="120"/>
      <c r="B990" s="120"/>
      <c r="C990" s="120"/>
      <c r="D990" s="120"/>
      <c r="E990" s="120"/>
      <c r="F990" s="121"/>
      <c r="G990" s="122"/>
      <c r="H990" s="120"/>
    </row>
    <row r="991" spans="1:8" ht="12.3">
      <c r="A991" s="120"/>
      <c r="B991" s="120"/>
      <c r="C991" s="120"/>
      <c r="D991" s="120"/>
      <c r="E991" s="120"/>
      <c r="F991" s="121"/>
      <c r="G991" s="122"/>
      <c r="H991" s="120"/>
    </row>
    <row r="992" spans="1:8" ht="12.3">
      <c r="A992" s="120"/>
      <c r="B992" s="120"/>
      <c r="C992" s="120"/>
      <c r="D992" s="120"/>
      <c r="E992" s="120"/>
      <c r="F992" s="121"/>
      <c r="G992" s="122"/>
      <c r="H992" s="120"/>
    </row>
    <row r="993" spans="1:8" ht="12.3">
      <c r="A993" s="120"/>
      <c r="B993" s="120"/>
      <c r="C993" s="120"/>
      <c r="D993" s="120"/>
      <c r="E993" s="120"/>
      <c r="F993" s="121"/>
      <c r="G993" s="122"/>
      <c r="H993" s="120"/>
    </row>
    <row r="994" spans="1:8" ht="12.3">
      <c r="A994" s="120"/>
      <c r="B994" s="120"/>
      <c r="C994" s="120"/>
      <c r="D994" s="120"/>
      <c r="E994" s="120"/>
      <c r="F994" s="121"/>
      <c r="G994" s="122"/>
      <c r="H994" s="120"/>
    </row>
    <row r="995" spans="1:8" ht="12.3">
      <c r="A995" s="120"/>
      <c r="B995" s="120"/>
      <c r="C995" s="120"/>
      <c r="D995" s="120"/>
      <c r="E995" s="120"/>
      <c r="F995" s="121"/>
      <c r="G995" s="122"/>
      <c r="H995" s="120"/>
    </row>
    <row r="996" spans="1:8" ht="12.3">
      <c r="A996" s="120"/>
      <c r="B996" s="120"/>
      <c r="C996" s="120"/>
      <c r="D996" s="120"/>
      <c r="E996" s="120"/>
      <c r="F996" s="121"/>
      <c r="G996" s="122"/>
      <c r="H996" s="120"/>
    </row>
    <row r="997" spans="1:8" ht="12.3">
      <c r="A997" s="120"/>
      <c r="B997" s="120"/>
      <c r="C997" s="120"/>
      <c r="D997" s="120"/>
      <c r="E997" s="120"/>
      <c r="F997" s="121"/>
      <c r="G997" s="122"/>
      <c r="H997" s="120"/>
    </row>
    <row r="998" spans="1:8" ht="12.3">
      <c r="A998" s="120"/>
      <c r="B998" s="120"/>
      <c r="C998" s="120"/>
      <c r="D998" s="120"/>
      <c r="E998" s="120"/>
      <c r="F998" s="121"/>
      <c r="G998" s="122"/>
      <c r="H998" s="120"/>
    </row>
    <row r="999" spans="1:8" ht="12.3">
      <c r="A999" s="120"/>
      <c r="B999" s="120"/>
      <c r="C999" s="120"/>
      <c r="D999" s="120"/>
      <c r="E999" s="120"/>
      <c r="F999" s="121"/>
      <c r="G999" s="122"/>
      <c r="H999" s="120"/>
    </row>
    <row r="1000" spans="1:8" ht="12.3">
      <c r="A1000" s="120"/>
      <c r="B1000" s="120"/>
      <c r="C1000" s="120"/>
      <c r="D1000" s="120"/>
      <c r="E1000" s="120"/>
      <c r="F1000" s="121"/>
      <c r="G1000" s="122"/>
      <c r="H1000" s="120"/>
    </row>
    <row r="1001" spans="1:8" ht="12.3">
      <c r="A1001" s="120"/>
      <c r="B1001" s="120"/>
      <c r="C1001" s="120"/>
      <c r="D1001" s="120"/>
      <c r="E1001" s="120"/>
      <c r="F1001" s="121"/>
      <c r="G1001" s="122"/>
      <c r="H1001" s="120"/>
    </row>
    <row r="1002" spans="1:8" ht="12.3">
      <c r="A1002" s="120"/>
      <c r="B1002" s="120"/>
      <c r="C1002" s="120"/>
      <c r="D1002" s="120"/>
      <c r="E1002" s="120"/>
      <c r="F1002" s="121"/>
      <c r="G1002" s="122"/>
      <c r="H1002" s="120"/>
    </row>
    <row r="1003" spans="1:8" ht="12.3">
      <c r="A1003" s="120"/>
      <c r="B1003" s="120"/>
      <c r="C1003" s="120"/>
      <c r="D1003" s="120"/>
      <c r="E1003" s="120"/>
      <c r="F1003" s="121"/>
      <c r="G1003" s="122"/>
      <c r="H1003" s="120"/>
    </row>
    <row r="1004" spans="1:8" ht="12.3">
      <c r="A1004" s="120"/>
      <c r="B1004" s="120"/>
      <c r="C1004" s="120"/>
      <c r="D1004" s="120"/>
      <c r="E1004" s="120"/>
      <c r="F1004" s="121"/>
      <c r="G1004" s="122"/>
      <c r="H1004" s="120"/>
    </row>
    <row r="1005" spans="1:8" ht="12.3">
      <c r="A1005" s="120"/>
      <c r="B1005" s="120"/>
      <c r="C1005" s="120"/>
      <c r="D1005" s="120"/>
      <c r="E1005" s="120"/>
      <c r="F1005" s="121"/>
      <c r="G1005" s="122"/>
      <c r="H1005" s="120"/>
    </row>
    <row r="1006" spans="1:8" ht="12.3">
      <c r="A1006" s="120"/>
      <c r="B1006" s="120"/>
      <c r="C1006" s="120"/>
      <c r="D1006" s="120"/>
      <c r="E1006" s="120"/>
      <c r="F1006" s="121"/>
      <c r="G1006" s="122"/>
      <c r="H1006" s="120"/>
    </row>
    <row r="1007" spans="1:8" ht="12.3">
      <c r="A1007" s="120"/>
      <c r="B1007" s="120"/>
      <c r="C1007" s="120"/>
      <c r="D1007" s="120"/>
      <c r="E1007" s="120"/>
      <c r="F1007" s="121"/>
      <c r="G1007" s="122"/>
      <c r="H1007" s="120"/>
    </row>
    <row r="1008" spans="1:8" ht="12.3">
      <c r="A1008" s="120"/>
      <c r="B1008" s="120"/>
      <c r="C1008" s="120"/>
      <c r="D1008" s="120"/>
      <c r="E1008" s="120"/>
      <c r="F1008" s="121"/>
      <c r="G1008" s="122"/>
      <c r="H1008" s="120"/>
    </row>
    <row r="1009" spans="1:8" ht="12.3">
      <c r="A1009" s="120"/>
      <c r="B1009" s="120"/>
      <c r="C1009" s="120"/>
      <c r="D1009" s="120"/>
      <c r="E1009" s="120"/>
      <c r="F1009" s="121"/>
      <c r="G1009" s="122"/>
      <c r="H1009" s="120"/>
    </row>
    <row r="1010" spans="1:8" ht="12.3">
      <c r="A1010" s="120"/>
      <c r="B1010" s="120"/>
      <c r="C1010" s="120"/>
      <c r="D1010" s="120"/>
      <c r="E1010" s="120"/>
      <c r="F1010" s="121"/>
      <c r="G1010" s="122"/>
      <c r="H1010" s="120"/>
    </row>
    <row r="1011" spans="1:8" ht="12.3">
      <c r="A1011" s="120"/>
      <c r="B1011" s="120"/>
      <c r="C1011" s="120"/>
      <c r="D1011" s="120"/>
      <c r="E1011" s="120"/>
      <c r="F1011" s="121"/>
      <c r="G1011" s="122"/>
      <c r="H1011" s="120"/>
    </row>
    <row r="1012" spans="1:8" ht="12.3">
      <c r="A1012" s="120"/>
      <c r="B1012" s="120"/>
      <c r="C1012" s="120"/>
      <c r="D1012" s="120"/>
      <c r="E1012" s="120"/>
      <c r="F1012" s="121"/>
      <c r="G1012" s="122"/>
      <c r="H1012" s="120"/>
    </row>
    <row r="1013" spans="1:8" ht="12.3">
      <c r="A1013" s="120"/>
      <c r="B1013" s="120"/>
      <c r="C1013" s="120"/>
      <c r="D1013" s="120"/>
      <c r="E1013" s="120"/>
      <c r="F1013" s="121"/>
      <c r="G1013" s="122"/>
      <c r="H1013" s="120"/>
    </row>
    <row r="1014" spans="1:8" ht="12.3">
      <c r="A1014" s="120"/>
      <c r="B1014" s="120"/>
      <c r="C1014" s="120"/>
      <c r="D1014" s="120"/>
      <c r="E1014" s="120"/>
      <c r="F1014" s="121"/>
      <c r="G1014" s="122"/>
      <c r="H1014" s="120"/>
    </row>
    <row r="1015" spans="1:8" ht="12.3">
      <c r="A1015" s="120"/>
      <c r="B1015" s="120"/>
      <c r="C1015" s="120"/>
      <c r="D1015" s="120"/>
      <c r="E1015" s="120"/>
      <c r="F1015" s="121"/>
      <c r="G1015" s="122"/>
      <c r="H1015" s="120"/>
    </row>
    <row r="1016" spans="1:8" ht="12.3">
      <c r="A1016" s="120"/>
      <c r="B1016" s="120"/>
      <c r="C1016" s="120"/>
      <c r="D1016" s="120"/>
      <c r="E1016" s="120"/>
      <c r="F1016" s="121"/>
      <c r="G1016" s="122"/>
      <c r="H1016" s="120"/>
    </row>
    <row r="1017" spans="1:8" ht="12.3">
      <c r="A1017" s="120"/>
      <c r="B1017" s="120"/>
      <c r="C1017" s="120"/>
      <c r="D1017" s="120"/>
      <c r="E1017" s="120"/>
      <c r="F1017" s="121"/>
      <c r="G1017" s="122"/>
      <c r="H1017" s="120"/>
    </row>
    <row r="1018" spans="1:8" ht="12.3">
      <c r="A1018" s="120"/>
      <c r="B1018" s="120"/>
      <c r="C1018" s="120"/>
      <c r="D1018" s="120"/>
      <c r="E1018" s="120"/>
      <c r="F1018" s="121"/>
      <c r="G1018" s="122"/>
      <c r="H1018" s="120"/>
    </row>
    <row r="1019" spans="1:8" ht="12.3">
      <c r="A1019" s="120"/>
      <c r="B1019" s="120"/>
      <c r="C1019" s="120"/>
      <c r="D1019" s="120"/>
      <c r="E1019" s="120"/>
      <c r="F1019" s="121"/>
      <c r="G1019" s="122"/>
      <c r="H1019" s="120"/>
    </row>
    <row r="1020" spans="1:8" ht="12.3">
      <c r="A1020" s="120"/>
      <c r="B1020" s="120"/>
      <c r="C1020" s="120"/>
      <c r="D1020" s="120"/>
      <c r="E1020" s="120"/>
      <c r="F1020" s="121"/>
      <c r="G1020" s="122"/>
      <c r="H1020" s="120"/>
    </row>
    <row r="1021" spans="1:8" ht="12.3">
      <c r="A1021" s="120"/>
      <c r="B1021" s="120"/>
      <c r="C1021" s="120"/>
      <c r="D1021" s="120"/>
      <c r="E1021" s="120"/>
      <c r="F1021" s="121"/>
      <c r="G1021" s="122"/>
      <c r="H1021" s="120"/>
    </row>
    <row r="1022" spans="1:8" ht="12.3">
      <c r="A1022" s="120"/>
      <c r="B1022" s="120"/>
      <c r="C1022" s="120"/>
      <c r="D1022" s="120"/>
      <c r="E1022" s="120"/>
      <c r="F1022" s="121"/>
      <c r="G1022" s="122"/>
      <c r="H1022" s="120"/>
    </row>
    <row r="1023" spans="1:8" ht="12.3">
      <c r="A1023" s="120"/>
      <c r="B1023" s="120"/>
      <c r="C1023" s="120"/>
      <c r="D1023" s="120"/>
      <c r="E1023" s="120"/>
      <c r="F1023" s="121"/>
      <c r="G1023" s="122"/>
      <c r="H1023" s="120"/>
    </row>
    <row r="1024" spans="1:8" ht="12.3">
      <c r="A1024" s="120"/>
      <c r="B1024" s="120"/>
      <c r="C1024" s="120"/>
      <c r="D1024" s="120"/>
      <c r="E1024" s="120"/>
      <c r="F1024" s="121"/>
      <c r="G1024" s="122"/>
      <c r="H1024" s="120"/>
    </row>
    <row r="1025" spans="1:8" ht="12.3">
      <c r="A1025" s="120"/>
      <c r="B1025" s="120"/>
      <c r="C1025" s="120"/>
      <c r="D1025" s="120"/>
      <c r="E1025" s="120"/>
      <c r="F1025" s="121"/>
      <c r="G1025" s="122"/>
      <c r="H1025" s="120"/>
    </row>
    <row r="1026" spans="1:8" ht="12.3">
      <c r="A1026" s="120"/>
      <c r="B1026" s="120"/>
      <c r="C1026" s="120"/>
      <c r="D1026" s="120"/>
      <c r="E1026" s="120"/>
      <c r="F1026" s="121"/>
      <c r="G1026" s="122"/>
      <c r="H1026" s="120"/>
    </row>
    <row r="1027" spans="1:8" ht="12.3">
      <c r="A1027" s="120"/>
      <c r="B1027" s="120"/>
      <c r="C1027" s="120"/>
      <c r="D1027" s="120"/>
      <c r="E1027" s="120"/>
      <c r="F1027" s="121"/>
      <c r="G1027" s="122"/>
      <c r="H1027" s="120"/>
    </row>
    <row r="1028" spans="1:8" ht="12.3">
      <c r="A1028" s="120"/>
      <c r="B1028" s="120"/>
      <c r="C1028" s="120"/>
      <c r="D1028" s="120"/>
      <c r="E1028" s="120"/>
      <c r="F1028" s="121"/>
      <c r="G1028" s="122"/>
      <c r="H1028" s="120"/>
    </row>
    <row r="1029" spans="1:8" ht="12.3">
      <c r="A1029" s="120"/>
      <c r="B1029" s="120"/>
      <c r="C1029" s="120"/>
      <c r="D1029" s="120"/>
      <c r="E1029" s="120"/>
      <c r="F1029" s="121"/>
      <c r="G1029" s="122"/>
      <c r="H1029" s="120"/>
    </row>
    <row r="1030" spans="1:8" ht="12.3">
      <c r="A1030" s="120"/>
      <c r="B1030" s="120"/>
      <c r="C1030" s="120"/>
      <c r="D1030" s="120"/>
      <c r="E1030" s="120"/>
      <c r="F1030" s="121"/>
      <c r="G1030" s="122"/>
      <c r="H1030" s="120"/>
    </row>
    <row r="1031" spans="1:8" ht="12.3">
      <c r="A1031" s="120"/>
      <c r="B1031" s="120"/>
      <c r="C1031" s="120"/>
      <c r="D1031" s="120"/>
      <c r="E1031" s="120"/>
      <c r="F1031" s="121"/>
      <c r="G1031" s="122"/>
      <c r="H1031" s="120"/>
    </row>
    <row r="1032" spans="1:8" ht="12.3">
      <c r="A1032" s="120"/>
      <c r="B1032" s="120"/>
      <c r="C1032" s="120"/>
      <c r="D1032" s="120"/>
      <c r="E1032" s="120"/>
      <c r="F1032" s="121"/>
      <c r="G1032" s="122"/>
      <c r="H1032" s="120"/>
    </row>
    <row r="1033" spans="1:8" ht="12.3">
      <c r="A1033" s="120"/>
      <c r="B1033" s="120"/>
      <c r="C1033" s="120"/>
      <c r="D1033" s="120"/>
      <c r="E1033" s="120"/>
      <c r="F1033" s="121"/>
      <c r="G1033" s="122"/>
      <c r="H1033" s="120"/>
    </row>
    <row r="1034" spans="1:8" ht="12.3">
      <c r="A1034" s="120"/>
      <c r="B1034" s="120"/>
      <c r="C1034" s="120"/>
      <c r="D1034" s="120"/>
      <c r="E1034" s="120"/>
      <c r="F1034" s="121"/>
      <c r="G1034" s="122"/>
      <c r="H1034" s="120"/>
    </row>
    <row r="1035" spans="1:8" ht="12.3">
      <c r="A1035" s="120"/>
      <c r="B1035" s="120"/>
      <c r="C1035" s="120"/>
      <c r="D1035" s="120"/>
      <c r="E1035" s="120"/>
      <c r="F1035" s="121"/>
      <c r="G1035" s="122"/>
      <c r="H1035" s="120"/>
    </row>
    <row r="1036" spans="1:8" ht="12.3">
      <c r="A1036" s="120"/>
      <c r="B1036" s="120"/>
      <c r="C1036" s="120"/>
      <c r="D1036" s="120"/>
      <c r="E1036" s="120"/>
      <c r="F1036" s="121"/>
      <c r="G1036" s="122"/>
      <c r="H1036" s="120"/>
    </row>
    <row r="1037" spans="1:8" ht="12.3">
      <c r="A1037" s="120"/>
      <c r="B1037" s="120"/>
      <c r="C1037" s="120"/>
      <c r="D1037" s="120"/>
      <c r="E1037" s="120"/>
      <c r="F1037" s="121"/>
      <c r="G1037" s="122"/>
      <c r="H1037" s="120"/>
    </row>
    <row r="1038" spans="1:8" ht="12.3">
      <c r="A1038" s="120"/>
      <c r="B1038" s="120"/>
      <c r="C1038" s="120"/>
      <c r="D1038" s="120"/>
      <c r="E1038" s="120"/>
      <c r="F1038" s="121"/>
      <c r="G1038" s="122"/>
      <c r="H1038" s="120"/>
    </row>
    <row r="1039" spans="1:8" ht="12.3">
      <c r="A1039" s="120"/>
      <c r="B1039" s="120"/>
      <c r="C1039" s="120"/>
      <c r="D1039" s="120"/>
      <c r="E1039" s="120"/>
      <c r="F1039" s="121"/>
      <c r="G1039" s="122"/>
      <c r="H1039" s="120"/>
    </row>
    <row r="1040" spans="1:8" ht="12.3">
      <c r="A1040" s="120"/>
      <c r="B1040" s="120"/>
      <c r="C1040" s="120"/>
      <c r="D1040" s="120"/>
      <c r="E1040" s="120"/>
      <c r="F1040" s="121"/>
      <c r="G1040" s="122"/>
      <c r="H1040" s="120"/>
    </row>
    <row r="1041" spans="1:8" ht="12.3">
      <c r="A1041" s="120"/>
      <c r="B1041" s="120"/>
      <c r="C1041" s="120"/>
      <c r="D1041" s="120"/>
      <c r="E1041" s="120"/>
      <c r="F1041" s="121"/>
      <c r="G1041" s="122"/>
      <c r="H1041" s="120"/>
    </row>
    <row r="1042" spans="1:8" ht="12.3">
      <c r="A1042" s="120"/>
      <c r="B1042" s="120"/>
      <c r="C1042" s="120"/>
      <c r="D1042" s="120"/>
      <c r="E1042" s="120"/>
      <c r="F1042" s="121"/>
      <c r="G1042" s="122"/>
      <c r="H1042" s="120"/>
    </row>
    <row r="1043" spans="1:8" ht="12.3">
      <c r="A1043" s="120"/>
      <c r="B1043" s="120"/>
      <c r="C1043" s="120"/>
      <c r="D1043" s="120"/>
      <c r="E1043" s="120"/>
      <c r="F1043" s="121"/>
      <c r="G1043" s="122"/>
      <c r="H1043" s="120"/>
    </row>
    <row r="1044" spans="1:8" ht="12.3">
      <c r="A1044" s="120"/>
      <c r="B1044" s="120"/>
      <c r="C1044" s="120"/>
      <c r="D1044" s="120"/>
      <c r="E1044" s="120"/>
      <c r="F1044" s="121"/>
      <c r="G1044" s="122"/>
      <c r="H1044" s="120"/>
    </row>
    <row r="1045" spans="1:8" ht="12.3">
      <c r="A1045" s="120"/>
      <c r="B1045" s="120"/>
      <c r="C1045" s="120"/>
      <c r="D1045" s="120"/>
      <c r="E1045" s="120"/>
      <c r="F1045" s="121"/>
      <c r="G1045" s="122"/>
      <c r="H1045" s="120"/>
    </row>
    <row r="1046" spans="1:8" ht="12.3">
      <c r="A1046" s="120"/>
      <c r="B1046" s="120"/>
      <c r="C1046" s="120"/>
      <c r="D1046" s="120"/>
      <c r="E1046" s="120"/>
      <c r="F1046" s="121"/>
      <c r="G1046" s="122"/>
      <c r="H1046" s="120"/>
    </row>
    <row r="1047" spans="1:8" ht="12.3">
      <c r="A1047" s="120"/>
      <c r="B1047" s="120"/>
      <c r="C1047" s="120"/>
      <c r="D1047" s="120"/>
      <c r="E1047" s="120"/>
      <c r="F1047" s="121"/>
      <c r="G1047" s="122"/>
      <c r="H1047" s="120"/>
    </row>
    <row r="1048" spans="1:8" ht="12.3">
      <c r="A1048" s="120"/>
      <c r="B1048" s="120"/>
      <c r="C1048" s="120"/>
      <c r="D1048" s="120"/>
      <c r="E1048" s="120"/>
      <c r="F1048" s="121"/>
      <c r="G1048" s="122"/>
      <c r="H1048" s="120"/>
    </row>
    <row r="1049" spans="1:8" ht="12.3">
      <c r="A1049" s="120"/>
      <c r="B1049" s="120"/>
      <c r="C1049" s="120"/>
      <c r="D1049" s="120"/>
      <c r="E1049" s="120"/>
      <c r="F1049" s="121"/>
      <c r="G1049" s="122"/>
      <c r="H1049" s="120"/>
    </row>
    <row r="1050" spans="1:8" ht="12.3">
      <c r="A1050" s="120"/>
      <c r="B1050" s="120"/>
      <c r="C1050" s="120"/>
      <c r="D1050" s="120"/>
      <c r="E1050" s="120"/>
      <c r="F1050" s="121"/>
      <c r="G1050" s="122"/>
      <c r="H1050" s="120"/>
    </row>
    <row r="1051" spans="1:8" ht="12.3">
      <c r="A1051" s="120"/>
      <c r="B1051" s="120"/>
      <c r="C1051" s="120"/>
      <c r="D1051" s="120"/>
      <c r="E1051" s="120"/>
      <c r="F1051" s="121"/>
      <c r="G1051" s="122"/>
      <c r="H1051" s="120"/>
    </row>
    <row r="1052" spans="1:8" ht="12.3">
      <c r="A1052" s="120"/>
      <c r="B1052" s="120"/>
      <c r="C1052" s="120"/>
      <c r="D1052" s="120"/>
      <c r="E1052" s="120"/>
      <c r="F1052" s="121"/>
      <c r="G1052" s="122"/>
      <c r="H1052" s="120"/>
    </row>
    <row r="1053" spans="1:8" ht="12.3">
      <c r="A1053" s="120"/>
      <c r="B1053" s="120"/>
      <c r="C1053" s="120"/>
      <c r="D1053" s="120"/>
      <c r="E1053" s="120"/>
      <c r="F1053" s="121"/>
      <c r="G1053" s="122"/>
      <c r="H1053" s="120"/>
    </row>
    <row r="1054" spans="1:8" ht="12.3">
      <c r="A1054" s="120"/>
      <c r="B1054" s="120"/>
      <c r="C1054" s="120"/>
      <c r="D1054" s="120"/>
      <c r="E1054" s="120"/>
      <c r="F1054" s="121"/>
      <c r="G1054" s="122"/>
      <c r="H1054" s="120"/>
    </row>
    <row r="1055" spans="1:8" ht="12.3">
      <c r="A1055" s="120"/>
      <c r="B1055" s="120"/>
      <c r="C1055" s="120"/>
      <c r="D1055" s="120"/>
      <c r="E1055" s="120"/>
      <c r="F1055" s="121"/>
      <c r="G1055" s="122"/>
      <c r="H1055" s="120"/>
    </row>
    <row r="1056" spans="1:8" ht="12.3">
      <c r="A1056" s="120"/>
      <c r="B1056" s="120"/>
      <c r="C1056" s="120"/>
      <c r="D1056" s="120"/>
      <c r="E1056" s="120"/>
      <c r="F1056" s="121"/>
      <c r="G1056" s="122"/>
      <c r="H1056" s="120"/>
    </row>
    <row r="1057" spans="1:8" ht="12.3">
      <c r="A1057" s="120"/>
      <c r="B1057" s="120"/>
      <c r="C1057" s="120"/>
      <c r="D1057" s="120"/>
      <c r="E1057" s="120"/>
      <c r="F1057" s="121"/>
      <c r="G1057" s="122"/>
      <c r="H1057" s="120"/>
    </row>
    <row r="1058" spans="1:8" ht="12.3">
      <c r="A1058" s="120"/>
      <c r="B1058" s="120"/>
      <c r="C1058" s="120"/>
      <c r="D1058" s="120"/>
      <c r="E1058" s="120"/>
      <c r="F1058" s="121"/>
      <c r="G1058" s="122"/>
      <c r="H1058" s="120"/>
    </row>
    <row r="1059" spans="1:8" ht="12.3">
      <c r="A1059" s="120"/>
      <c r="B1059" s="120"/>
      <c r="C1059" s="120"/>
      <c r="D1059" s="120"/>
      <c r="E1059" s="120"/>
      <c r="F1059" s="121"/>
      <c r="G1059" s="122"/>
      <c r="H1059" s="120"/>
    </row>
    <row r="1060" spans="1:8" ht="12.3">
      <c r="A1060" s="120"/>
      <c r="B1060" s="120"/>
      <c r="C1060" s="120"/>
      <c r="D1060" s="120"/>
      <c r="E1060" s="120"/>
      <c r="F1060" s="121"/>
      <c r="G1060" s="122"/>
      <c r="H1060" s="120"/>
    </row>
    <row r="1061" spans="1:8" ht="12.3">
      <c r="A1061" s="120"/>
      <c r="B1061" s="120"/>
      <c r="C1061" s="120"/>
      <c r="D1061" s="120"/>
      <c r="E1061" s="120"/>
      <c r="F1061" s="121"/>
      <c r="G1061" s="122"/>
      <c r="H1061" s="120"/>
    </row>
    <row r="1062" spans="1:8" ht="12.3">
      <c r="A1062" s="120"/>
      <c r="B1062" s="120"/>
      <c r="C1062" s="120"/>
      <c r="D1062" s="120"/>
      <c r="E1062" s="120"/>
      <c r="F1062" s="121"/>
      <c r="G1062" s="122"/>
      <c r="H1062" s="120"/>
    </row>
    <row r="1063" spans="1:8" ht="12.3">
      <c r="A1063" s="120"/>
      <c r="B1063" s="120"/>
      <c r="C1063" s="120"/>
      <c r="D1063" s="120"/>
      <c r="E1063" s="120"/>
      <c r="F1063" s="121"/>
      <c r="G1063" s="122"/>
      <c r="H1063" s="120"/>
    </row>
    <row r="1064" spans="1:8" ht="12.3">
      <c r="A1064" s="120"/>
      <c r="B1064" s="120"/>
      <c r="C1064" s="120"/>
      <c r="D1064" s="120"/>
      <c r="E1064" s="120"/>
      <c r="F1064" s="121"/>
      <c r="G1064" s="122"/>
      <c r="H1064" s="120"/>
    </row>
    <row r="1065" spans="1:8" ht="12.3">
      <c r="A1065" s="120"/>
      <c r="B1065" s="120"/>
      <c r="C1065" s="120"/>
      <c r="D1065" s="120"/>
      <c r="E1065" s="120"/>
      <c r="F1065" s="121"/>
      <c r="G1065" s="122"/>
      <c r="H1065" s="120"/>
    </row>
    <row r="1066" spans="1:8" ht="12.3">
      <c r="A1066" s="120"/>
      <c r="B1066" s="120"/>
      <c r="C1066" s="120"/>
      <c r="D1066" s="120"/>
      <c r="E1066" s="120"/>
      <c r="F1066" s="121"/>
      <c r="G1066" s="122"/>
      <c r="H1066" s="120"/>
    </row>
    <row r="1067" spans="1:8" ht="12.3">
      <c r="A1067" s="120"/>
      <c r="B1067" s="120"/>
      <c r="C1067" s="120"/>
      <c r="D1067" s="120"/>
      <c r="E1067" s="120"/>
      <c r="F1067" s="121"/>
      <c r="G1067" s="122"/>
      <c r="H1067" s="120"/>
    </row>
    <row r="1068" spans="1:8" ht="12.3">
      <c r="A1068" s="120"/>
      <c r="B1068" s="120"/>
      <c r="C1068" s="120"/>
      <c r="D1068" s="120"/>
      <c r="E1068" s="120"/>
      <c r="F1068" s="121"/>
      <c r="G1068" s="122"/>
      <c r="H1068" s="120"/>
    </row>
    <row r="1069" spans="1:8" ht="12.3">
      <c r="A1069" s="120"/>
      <c r="B1069" s="120"/>
      <c r="C1069" s="120"/>
      <c r="D1069" s="120"/>
      <c r="E1069" s="120"/>
      <c r="F1069" s="121"/>
      <c r="G1069" s="122"/>
      <c r="H1069" s="120"/>
    </row>
    <row r="1070" spans="1:8" ht="12.3">
      <c r="A1070" s="120"/>
      <c r="B1070" s="120"/>
      <c r="C1070" s="120"/>
      <c r="D1070" s="120"/>
      <c r="E1070" s="120"/>
      <c r="F1070" s="121"/>
      <c r="G1070" s="122"/>
      <c r="H1070" s="120"/>
    </row>
    <row r="1071" spans="1:8" ht="12.3">
      <c r="A1071" s="120"/>
      <c r="B1071" s="120"/>
      <c r="C1071" s="120"/>
      <c r="D1071" s="120"/>
      <c r="E1071" s="120"/>
      <c r="F1071" s="121"/>
      <c r="G1071" s="122"/>
      <c r="H1071" s="120"/>
    </row>
    <row r="1072" spans="1:8" ht="12.3">
      <c r="A1072" s="120"/>
      <c r="B1072" s="120"/>
      <c r="C1072" s="120"/>
      <c r="D1072" s="120"/>
      <c r="E1072" s="120"/>
      <c r="F1072" s="121"/>
      <c r="G1072" s="122"/>
      <c r="H1072" s="120"/>
    </row>
    <row r="1073" spans="1:8" ht="12.3">
      <c r="A1073" s="120"/>
      <c r="B1073" s="120"/>
      <c r="C1073" s="120"/>
      <c r="D1073" s="120"/>
      <c r="E1073" s="120"/>
      <c r="F1073" s="121"/>
      <c r="G1073" s="122"/>
      <c r="H1073" s="120"/>
    </row>
    <row r="1074" spans="1:8" ht="12.3">
      <c r="A1074" s="120"/>
      <c r="B1074" s="120"/>
      <c r="C1074" s="120"/>
      <c r="D1074" s="120"/>
      <c r="E1074" s="120"/>
      <c r="F1074" s="121"/>
      <c r="G1074" s="122"/>
      <c r="H1074" s="120"/>
    </row>
    <row r="1075" spans="1:8" ht="12.3">
      <c r="A1075" s="120"/>
      <c r="B1075" s="120"/>
      <c r="C1075" s="120"/>
      <c r="D1075" s="120"/>
      <c r="E1075" s="120"/>
      <c r="F1075" s="121"/>
      <c r="G1075" s="122"/>
      <c r="H1075" s="120"/>
    </row>
    <row r="1076" spans="1:8" ht="12.3">
      <c r="A1076" s="120"/>
      <c r="B1076" s="120"/>
      <c r="C1076" s="120"/>
      <c r="D1076" s="120"/>
      <c r="E1076" s="120"/>
      <c r="F1076" s="121"/>
      <c r="G1076" s="122"/>
      <c r="H1076" s="120"/>
    </row>
    <row r="1077" spans="1:8" ht="12.3">
      <c r="A1077" s="120"/>
      <c r="B1077" s="120"/>
      <c r="C1077" s="120"/>
      <c r="D1077" s="120"/>
      <c r="E1077" s="120"/>
      <c r="F1077" s="121"/>
      <c r="G1077" s="122"/>
      <c r="H1077" s="120"/>
    </row>
    <row r="1078" spans="1:8" ht="12.3">
      <c r="A1078" s="120"/>
      <c r="B1078" s="120"/>
      <c r="C1078" s="120"/>
      <c r="D1078" s="120"/>
      <c r="E1078" s="120"/>
      <c r="F1078" s="121"/>
      <c r="G1078" s="122"/>
      <c r="H1078" s="120"/>
    </row>
    <row r="1079" spans="1:8" ht="12.3">
      <c r="A1079" s="120"/>
      <c r="B1079" s="120"/>
      <c r="C1079" s="120"/>
      <c r="D1079" s="120"/>
      <c r="E1079" s="120"/>
      <c r="F1079" s="121"/>
      <c r="G1079" s="122"/>
      <c r="H1079" s="120"/>
    </row>
    <row r="1080" spans="1:8" ht="12.3">
      <c r="A1080" s="120"/>
      <c r="B1080" s="120"/>
      <c r="C1080" s="120"/>
      <c r="D1080" s="120"/>
      <c r="E1080" s="120"/>
      <c r="F1080" s="121"/>
      <c r="G1080" s="122"/>
      <c r="H1080" s="120"/>
    </row>
    <row r="1081" spans="1:8" ht="12.3">
      <c r="A1081" s="120"/>
      <c r="B1081" s="120"/>
      <c r="C1081" s="120"/>
      <c r="D1081" s="120"/>
      <c r="E1081" s="120"/>
      <c r="F1081" s="121"/>
      <c r="G1081" s="122"/>
      <c r="H1081" s="120"/>
    </row>
    <row r="1082" spans="1:8" ht="12.3">
      <c r="A1082" s="120"/>
      <c r="B1082" s="120"/>
      <c r="C1082" s="120"/>
      <c r="D1082" s="120"/>
      <c r="E1082" s="120"/>
      <c r="F1082" s="121"/>
      <c r="G1082" s="122"/>
      <c r="H1082" s="120"/>
    </row>
    <row r="1083" spans="1:8" ht="12.3">
      <c r="A1083" s="120"/>
      <c r="B1083" s="120"/>
      <c r="C1083" s="120"/>
      <c r="D1083" s="120"/>
      <c r="E1083" s="120"/>
      <c r="F1083" s="121"/>
      <c r="G1083" s="122"/>
      <c r="H1083" s="120"/>
    </row>
    <row r="1084" spans="1:8" ht="12.3">
      <c r="A1084" s="120"/>
      <c r="B1084" s="120"/>
      <c r="C1084" s="120"/>
      <c r="D1084" s="120"/>
      <c r="E1084" s="120"/>
      <c r="F1084" s="121"/>
      <c r="G1084" s="122"/>
      <c r="H1084" s="120"/>
    </row>
    <row r="1085" spans="1:8" ht="12.3">
      <c r="A1085" s="120"/>
      <c r="B1085" s="120"/>
      <c r="C1085" s="120"/>
      <c r="D1085" s="120"/>
      <c r="E1085" s="120"/>
      <c r="F1085" s="121"/>
      <c r="G1085" s="122"/>
      <c r="H1085" s="120"/>
    </row>
    <row r="1086" spans="1:8" ht="12.3">
      <c r="A1086" s="120"/>
      <c r="B1086" s="120"/>
      <c r="C1086" s="120"/>
      <c r="D1086" s="120"/>
      <c r="E1086" s="120"/>
      <c r="F1086" s="121"/>
      <c r="G1086" s="122"/>
      <c r="H1086" s="120"/>
    </row>
    <row r="1087" spans="1:8" ht="12.3">
      <c r="A1087" s="120"/>
      <c r="B1087" s="120"/>
      <c r="C1087" s="120"/>
      <c r="D1087" s="120"/>
      <c r="E1087" s="120"/>
      <c r="F1087" s="121"/>
      <c r="G1087" s="122"/>
      <c r="H1087" s="120"/>
    </row>
    <row r="1088" spans="1:8" ht="12.3">
      <c r="A1088" s="120"/>
      <c r="B1088" s="120"/>
      <c r="C1088" s="120"/>
      <c r="D1088" s="120"/>
      <c r="E1088" s="120"/>
      <c r="F1088" s="121"/>
      <c r="G1088" s="122"/>
      <c r="H1088" s="120"/>
    </row>
    <row r="1089" spans="1:8" ht="12.3">
      <c r="A1089" s="120"/>
      <c r="B1089" s="120"/>
      <c r="C1089" s="120"/>
      <c r="D1089" s="120"/>
      <c r="E1089" s="120"/>
      <c r="F1089" s="121"/>
      <c r="G1089" s="122"/>
      <c r="H1089" s="120"/>
    </row>
    <row r="1090" spans="1:8" ht="12.3">
      <c r="A1090" s="120"/>
      <c r="B1090" s="120"/>
      <c r="C1090" s="120"/>
      <c r="D1090" s="120"/>
      <c r="E1090" s="120"/>
      <c r="F1090" s="121"/>
      <c r="G1090" s="122"/>
      <c r="H1090" s="120"/>
    </row>
    <row r="1091" spans="1:8" ht="12.3">
      <c r="A1091" s="120"/>
      <c r="B1091" s="120"/>
      <c r="C1091" s="120"/>
      <c r="D1091" s="120"/>
      <c r="E1091" s="120"/>
      <c r="F1091" s="121"/>
      <c r="G1091" s="122"/>
      <c r="H1091" s="120"/>
    </row>
    <row r="1092" spans="1:8" ht="12.3">
      <c r="A1092" s="120"/>
      <c r="B1092" s="120"/>
      <c r="C1092" s="120"/>
      <c r="D1092" s="120"/>
      <c r="E1092" s="120"/>
      <c r="F1092" s="121"/>
      <c r="G1092" s="122"/>
      <c r="H1092" s="120"/>
    </row>
    <row r="1093" spans="1:8" ht="12.3">
      <c r="A1093" s="120"/>
      <c r="B1093" s="120"/>
      <c r="C1093" s="120"/>
      <c r="D1093" s="120"/>
      <c r="E1093" s="120"/>
      <c r="F1093" s="121"/>
      <c r="G1093" s="122"/>
      <c r="H1093" s="120"/>
    </row>
    <row r="1094" spans="1:8" ht="12.3">
      <c r="A1094" s="120"/>
      <c r="B1094" s="120"/>
      <c r="C1094" s="120"/>
      <c r="D1094" s="120"/>
      <c r="E1094" s="120"/>
      <c r="F1094" s="121"/>
      <c r="G1094" s="122"/>
      <c r="H1094" s="120"/>
    </row>
    <row r="1095" spans="1:8" ht="12.3">
      <c r="A1095" s="120"/>
      <c r="B1095" s="120"/>
      <c r="C1095" s="120"/>
      <c r="D1095" s="120"/>
      <c r="E1095" s="120"/>
      <c r="F1095" s="121"/>
      <c r="G1095" s="122"/>
      <c r="H1095" s="120"/>
    </row>
    <row r="1096" spans="1:8" ht="12.3">
      <c r="A1096" s="120"/>
      <c r="B1096" s="120"/>
      <c r="C1096" s="120"/>
      <c r="D1096" s="120"/>
      <c r="E1096" s="120"/>
      <c r="F1096" s="121"/>
      <c r="G1096" s="122"/>
      <c r="H1096" s="120"/>
    </row>
    <row r="1097" spans="1:8" ht="12.3">
      <c r="A1097" s="120"/>
      <c r="B1097" s="120"/>
      <c r="C1097" s="120"/>
      <c r="D1097" s="120"/>
      <c r="E1097" s="120"/>
      <c r="F1097" s="121"/>
      <c r="G1097" s="122"/>
      <c r="H1097" s="120"/>
    </row>
    <row r="1098" spans="1:8" ht="12.3">
      <c r="A1098" s="120"/>
      <c r="B1098" s="120"/>
      <c r="C1098" s="120"/>
      <c r="D1098" s="120"/>
      <c r="E1098" s="120"/>
      <c r="F1098" s="121"/>
      <c r="G1098" s="122"/>
      <c r="H1098" s="120"/>
    </row>
    <row r="1099" spans="1:8" ht="12.3">
      <c r="A1099" s="120"/>
      <c r="B1099" s="120"/>
      <c r="C1099" s="120"/>
      <c r="D1099" s="120"/>
      <c r="E1099" s="120"/>
      <c r="F1099" s="121"/>
      <c r="G1099" s="122"/>
      <c r="H1099" s="120"/>
    </row>
    <row r="1100" spans="1:8" ht="12.3">
      <c r="A1100" s="120"/>
      <c r="B1100" s="120"/>
      <c r="C1100" s="120"/>
      <c r="D1100" s="120"/>
      <c r="E1100" s="120"/>
      <c r="F1100" s="121"/>
      <c r="G1100" s="122"/>
      <c r="H1100" s="120"/>
    </row>
    <row r="1101" spans="1:8" ht="12.3">
      <c r="A1101" s="120"/>
      <c r="B1101" s="120"/>
      <c r="C1101" s="120"/>
      <c r="D1101" s="120"/>
      <c r="E1101" s="120"/>
      <c r="F1101" s="121"/>
      <c r="G1101" s="122"/>
      <c r="H1101" s="120"/>
    </row>
    <row r="1102" spans="1:8" ht="12.3">
      <c r="A1102" s="120"/>
      <c r="B1102" s="120"/>
      <c r="C1102" s="120"/>
      <c r="D1102" s="120"/>
      <c r="E1102" s="120"/>
      <c r="F1102" s="121"/>
      <c r="G1102" s="122"/>
      <c r="H1102" s="120"/>
    </row>
    <row r="1103" spans="1:8" ht="12.3">
      <c r="A1103" s="120"/>
      <c r="B1103" s="120"/>
      <c r="C1103" s="120"/>
      <c r="D1103" s="120"/>
      <c r="E1103" s="120"/>
      <c r="F1103" s="121"/>
      <c r="G1103" s="122"/>
      <c r="H1103" s="120"/>
    </row>
    <row r="1104" spans="1:8" ht="12.3">
      <c r="A1104" s="120"/>
      <c r="B1104" s="120"/>
      <c r="C1104" s="120"/>
      <c r="D1104" s="120"/>
      <c r="E1104" s="120"/>
      <c r="F1104" s="121"/>
      <c r="G1104" s="122"/>
      <c r="H1104" s="120"/>
    </row>
    <row r="1105" spans="1:8" ht="12.3">
      <c r="A1105" s="120"/>
      <c r="B1105" s="120"/>
      <c r="C1105" s="120"/>
      <c r="D1105" s="120"/>
      <c r="E1105" s="120"/>
      <c r="F1105" s="121"/>
      <c r="G1105" s="122"/>
      <c r="H1105" s="120"/>
    </row>
    <row r="1106" spans="1:8" ht="12.3">
      <c r="A1106" s="120"/>
      <c r="B1106" s="120"/>
      <c r="C1106" s="120"/>
      <c r="D1106" s="120"/>
      <c r="E1106" s="120"/>
      <c r="F1106" s="121"/>
      <c r="G1106" s="122"/>
      <c r="H1106" s="120"/>
    </row>
    <row r="1107" spans="1:8" ht="12.3">
      <c r="A1107" s="120"/>
      <c r="B1107" s="120"/>
      <c r="C1107" s="120"/>
      <c r="D1107" s="120"/>
      <c r="E1107" s="120"/>
      <c r="F1107" s="121"/>
      <c r="G1107" s="122"/>
      <c r="H1107" s="120"/>
    </row>
    <row r="1108" spans="1:8" ht="12.3">
      <c r="A1108" s="120"/>
      <c r="B1108" s="120"/>
      <c r="C1108" s="120"/>
      <c r="D1108" s="120"/>
      <c r="E1108" s="120"/>
      <c r="F1108" s="121"/>
      <c r="G1108" s="122"/>
      <c r="H1108" s="120"/>
    </row>
    <row r="1109" spans="1:8" ht="12.3">
      <c r="A1109" s="120"/>
      <c r="B1109" s="120"/>
      <c r="C1109" s="120"/>
      <c r="D1109" s="120"/>
      <c r="E1109" s="120"/>
      <c r="F1109" s="121"/>
      <c r="G1109" s="122"/>
      <c r="H1109" s="120"/>
    </row>
    <row r="1110" spans="1:8" ht="12.3">
      <c r="A1110" s="120"/>
      <c r="B1110" s="120"/>
      <c r="C1110" s="120"/>
      <c r="D1110" s="120"/>
      <c r="E1110" s="120"/>
      <c r="F1110" s="121"/>
      <c r="G1110" s="122"/>
      <c r="H1110" s="120"/>
    </row>
    <row r="1111" spans="1:8" ht="12.3">
      <c r="A1111" s="120"/>
      <c r="B1111" s="120"/>
      <c r="C1111" s="120"/>
      <c r="D1111" s="120"/>
      <c r="E1111" s="120"/>
      <c r="F1111" s="121"/>
      <c r="G1111" s="122"/>
      <c r="H1111" s="120"/>
    </row>
    <row r="1112" spans="1:8" ht="12.3">
      <c r="A1112" s="120"/>
      <c r="B1112" s="120"/>
      <c r="C1112" s="120"/>
      <c r="D1112" s="120"/>
      <c r="E1112" s="120"/>
      <c r="F1112" s="121"/>
      <c r="G1112" s="122"/>
      <c r="H1112" s="120"/>
    </row>
    <row r="1113" spans="1:8" ht="12.3">
      <c r="A1113" s="120"/>
      <c r="B1113" s="120"/>
      <c r="C1113" s="120"/>
      <c r="D1113" s="120"/>
      <c r="E1113" s="120"/>
      <c r="F1113" s="121"/>
      <c r="G1113" s="122"/>
      <c r="H1113" s="120"/>
    </row>
    <row r="1114" spans="1:8" ht="12.3">
      <c r="A1114" s="120"/>
      <c r="B1114" s="120"/>
      <c r="C1114" s="120"/>
      <c r="D1114" s="120"/>
      <c r="E1114" s="120"/>
      <c r="F1114" s="121"/>
      <c r="G1114" s="122"/>
      <c r="H1114" s="120"/>
    </row>
    <row r="1115" spans="1:8" ht="12.3">
      <c r="A1115" s="120"/>
      <c r="B1115" s="120"/>
      <c r="C1115" s="120"/>
      <c r="D1115" s="120"/>
      <c r="E1115" s="120"/>
      <c r="F1115" s="121"/>
      <c r="G1115" s="122"/>
      <c r="H1115" s="120"/>
    </row>
    <row r="1116" spans="1:8" ht="12.3">
      <c r="A1116" s="120"/>
      <c r="B1116" s="120"/>
      <c r="C1116" s="120"/>
      <c r="D1116" s="120"/>
      <c r="E1116" s="120"/>
      <c r="F1116" s="121"/>
      <c r="G1116" s="122"/>
      <c r="H1116" s="120"/>
    </row>
    <row r="1117" spans="1:8" ht="12.3">
      <c r="A1117" s="120"/>
      <c r="B1117" s="120"/>
      <c r="C1117" s="120"/>
      <c r="D1117" s="120"/>
      <c r="E1117" s="120"/>
      <c r="F1117" s="121"/>
      <c r="G1117" s="122"/>
      <c r="H1117" s="120"/>
    </row>
    <row r="1118" spans="1:8" ht="12.3">
      <c r="A1118" s="120"/>
      <c r="B1118" s="120"/>
      <c r="C1118" s="120"/>
      <c r="D1118" s="120"/>
      <c r="E1118" s="120"/>
      <c r="F1118" s="121"/>
      <c r="G1118" s="122"/>
      <c r="H1118" s="120"/>
    </row>
    <row r="1119" spans="1:8" ht="12.3">
      <c r="A1119" s="120"/>
      <c r="B1119" s="120"/>
      <c r="C1119" s="120"/>
      <c r="D1119" s="120"/>
      <c r="E1119" s="120"/>
      <c r="F1119" s="121"/>
      <c r="G1119" s="122"/>
      <c r="H1119" s="120"/>
    </row>
    <row r="1120" spans="1:8" ht="12.3">
      <c r="A1120" s="120"/>
      <c r="B1120" s="120"/>
      <c r="C1120" s="120"/>
      <c r="D1120" s="120"/>
      <c r="E1120" s="120"/>
      <c r="F1120" s="121"/>
      <c r="G1120" s="122"/>
      <c r="H1120" s="120"/>
    </row>
    <row r="1121" spans="1:8" ht="12.3">
      <c r="A1121" s="120"/>
      <c r="B1121" s="120"/>
      <c r="C1121" s="120"/>
      <c r="D1121" s="120"/>
      <c r="E1121" s="120"/>
      <c r="F1121" s="121"/>
      <c r="G1121" s="122"/>
      <c r="H1121" s="120"/>
    </row>
    <row r="1122" spans="1:8" ht="12.3">
      <c r="A1122" s="120"/>
      <c r="B1122" s="120"/>
      <c r="C1122" s="120"/>
      <c r="D1122" s="120"/>
      <c r="E1122" s="120"/>
      <c r="F1122" s="121"/>
      <c r="G1122" s="122"/>
      <c r="H1122" s="120"/>
    </row>
    <row r="1123" spans="1:8" ht="12.3">
      <c r="A1123" s="120"/>
      <c r="B1123" s="120"/>
      <c r="C1123" s="120"/>
      <c r="D1123" s="120"/>
      <c r="E1123" s="120"/>
      <c r="F1123" s="121"/>
      <c r="G1123" s="122"/>
      <c r="H1123" s="120"/>
    </row>
    <row r="1124" spans="1:8" ht="12.3">
      <c r="A1124" s="120"/>
      <c r="B1124" s="120"/>
      <c r="C1124" s="120"/>
      <c r="D1124" s="120"/>
      <c r="E1124" s="120"/>
      <c r="F1124" s="121"/>
      <c r="G1124" s="122"/>
      <c r="H1124" s="120"/>
    </row>
    <row r="1125" spans="1:8" ht="12.3">
      <c r="A1125" s="120"/>
      <c r="B1125" s="120"/>
      <c r="C1125" s="120"/>
      <c r="D1125" s="120"/>
      <c r="E1125" s="120"/>
      <c r="F1125" s="121"/>
      <c r="G1125" s="122"/>
      <c r="H1125" s="120"/>
    </row>
    <row r="1126" spans="1:8" ht="12.3">
      <c r="A1126" s="120"/>
      <c r="B1126" s="120"/>
      <c r="C1126" s="120"/>
      <c r="D1126" s="120"/>
      <c r="E1126" s="120"/>
      <c r="F1126" s="121"/>
      <c r="G1126" s="122"/>
      <c r="H1126" s="120"/>
    </row>
    <row r="1127" spans="1:8" ht="12.3">
      <c r="A1127" s="120"/>
      <c r="B1127" s="120"/>
      <c r="C1127" s="120"/>
      <c r="D1127" s="120"/>
      <c r="E1127" s="120"/>
      <c r="F1127" s="121"/>
      <c r="G1127" s="122"/>
      <c r="H1127" s="120"/>
    </row>
    <row r="1128" spans="1:8" ht="12.3">
      <c r="A1128" s="120"/>
      <c r="B1128" s="120"/>
      <c r="C1128" s="120"/>
      <c r="D1128" s="120"/>
      <c r="E1128" s="120"/>
      <c r="F1128" s="121"/>
      <c r="G1128" s="122"/>
      <c r="H1128" s="120"/>
    </row>
    <row r="1129" spans="1:8" ht="12.3">
      <c r="A1129" s="120"/>
      <c r="B1129" s="120"/>
      <c r="C1129" s="120"/>
      <c r="D1129" s="120"/>
      <c r="E1129" s="120"/>
      <c r="F1129" s="121"/>
      <c r="G1129" s="122"/>
      <c r="H1129" s="120"/>
    </row>
    <row r="1130" spans="1:8" ht="12.3">
      <c r="A1130" s="120"/>
      <c r="B1130" s="120"/>
      <c r="C1130" s="120"/>
      <c r="D1130" s="120"/>
      <c r="E1130" s="120"/>
      <c r="F1130" s="121"/>
      <c r="G1130" s="122"/>
      <c r="H1130" s="120"/>
    </row>
    <row r="1131" spans="1:8" ht="12.3">
      <c r="A1131" s="120"/>
      <c r="B1131" s="120"/>
      <c r="C1131" s="120"/>
      <c r="D1131" s="120"/>
      <c r="E1131" s="120"/>
      <c r="F1131" s="121"/>
      <c r="G1131" s="122"/>
      <c r="H1131" s="120"/>
    </row>
    <row r="1132" spans="1:8" ht="12.3">
      <c r="A1132" s="120"/>
      <c r="B1132" s="120"/>
      <c r="C1132" s="120"/>
      <c r="D1132" s="120"/>
      <c r="E1132" s="120"/>
      <c r="F1132" s="121"/>
      <c r="G1132" s="122"/>
      <c r="H1132" s="120"/>
    </row>
    <row r="1133" spans="1:8" ht="12.3">
      <c r="A1133" s="120"/>
      <c r="B1133" s="120"/>
      <c r="C1133" s="120"/>
      <c r="D1133" s="120"/>
      <c r="E1133" s="120"/>
      <c r="F1133" s="121"/>
      <c r="G1133" s="122"/>
      <c r="H1133" s="120"/>
    </row>
    <row r="1134" spans="1:8" ht="12.3">
      <c r="A1134" s="120"/>
      <c r="B1134" s="120"/>
      <c r="C1134" s="120"/>
      <c r="D1134" s="120"/>
      <c r="E1134" s="120"/>
      <c r="F1134" s="121"/>
      <c r="G1134" s="122"/>
      <c r="H1134" s="120"/>
    </row>
    <row r="1135" spans="1:8" ht="12.3">
      <c r="A1135" s="120"/>
      <c r="B1135" s="120"/>
      <c r="C1135" s="120"/>
      <c r="D1135" s="120"/>
      <c r="E1135" s="120"/>
      <c r="F1135" s="121"/>
      <c r="G1135" s="122"/>
      <c r="H1135" s="120"/>
    </row>
    <row r="1136" spans="1:8" ht="12.3">
      <c r="A1136" s="120"/>
      <c r="B1136" s="120"/>
      <c r="C1136" s="120"/>
      <c r="D1136" s="120"/>
      <c r="E1136" s="120"/>
      <c r="F1136" s="121"/>
      <c r="G1136" s="122"/>
      <c r="H1136" s="120"/>
    </row>
    <row r="1137" spans="1:8" ht="12.3">
      <c r="A1137" s="120"/>
      <c r="B1137" s="120"/>
      <c r="C1137" s="120"/>
      <c r="D1137" s="120"/>
      <c r="E1137" s="120"/>
      <c r="F1137" s="121"/>
      <c r="G1137" s="122"/>
      <c r="H1137" s="120"/>
    </row>
    <row r="1138" spans="1:8" ht="12.3">
      <c r="A1138" s="120"/>
      <c r="B1138" s="120"/>
      <c r="C1138" s="120"/>
      <c r="D1138" s="120"/>
      <c r="E1138" s="120"/>
      <c r="F1138" s="121"/>
      <c r="G1138" s="122"/>
      <c r="H1138" s="120"/>
    </row>
    <row r="1139" spans="1:8" ht="12.3">
      <c r="A1139" s="120"/>
      <c r="B1139" s="120"/>
      <c r="C1139" s="120"/>
      <c r="D1139" s="120"/>
      <c r="E1139" s="120"/>
      <c r="F1139" s="121"/>
      <c r="G1139" s="122"/>
      <c r="H1139" s="120"/>
    </row>
    <row r="1140" spans="1:8" ht="12.3">
      <c r="A1140" s="120"/>
      <c r="B1140" s="120"/>
      <c r="C1140" s="120"/>
      <c r="D1140" s="120"/>
      <c r="E1140" s="120"/>
      <c r="F1140" s="121"/>
      <c r="G1140" s="122"/>
      <c r="H1140" s="120"/>
    </row>
    <row r="1141" spans="1:8" ht="12.3">
      <c r="A1141" s="120"/>
      <c r="B1141" s="120"/>
      <c r="C1141" s="120"/>
      <c r="D1141" s="120"/>
      <c r="E1141" s="120"/>
      <c r="F1141" s="121"/>
      <c r="G1141" s="122"/>
      <c r="H1141" s="120"/>
    </row>
    <row r="1142" spans="1:8" ht="12.3">
      <c r="A1142" s="120"/>
      <c r="B1142" s="120"/>
      <c r="C1142" s="120"/>
      <c r="D1142" s="120"/>
      <c r="E1142" s="120"/>
      <c r="F1142" s="121"/>
      <c r="G1142" s="122"/>
      <c r="H1142" s="120"/>
    </row>
    <row r="1143" spans="1:8" ht="12.3">
      <c r="A1143" s="120"/>
      <c r="B1143" s="120"/>
      <c r="C1143" s="120"/>
      <c r="D1143" s="120"/>
      <c r="E1143" s="120"/>
      <c r="F1143" s="121"/>
      <c r="G1143" s="122"/>
      <c r="H1143" s="120"/>
    </row>
    <row r="1144" spans="1:8" ht="12.3">
      <c r="A1144" s="120"/>
      <c r="B1144" s="120"/>
      <c r="C1144" s="120"/>
      <c r="D1144" s="120"/>
      <c r="E1144" s="120"/>
      <c r="F1144" s="121"/>
      <c r="G1144" s="122"/>
      <c r="H1144" s="120"/>
    </row>
    <row r="1145" spans="1:8" ht="12.3">
      <c r="A1145" s="120"/>
      <c r="B1145" s="120"/>
      <c r="C1145" s="120"/>
      <c r="D1145" s="120"/>
      <c r="E1145" s="120"/>
      <c r="F1145" s="121"/>
      <c r="G1145" s="122"/>
      <c r="H1145" s="120"/>
    </row>
    <row r="1146" spans="1:8" ht="12.3">
      <c r="A1146" s="120"/>
      <c r="B1146" s="120"/>
      <c r="C1146" s="120"/>
      <c r="D1146" s="120"/>
      <c r="E1146" s="120"/>
      <c r="F1146" s="121"/>
      <c r="G1146" s="122"/>
      <c r="H1146" s="120"/>
    </row>
    <row r="1147" spans="1:8" ht="12.3">
      <c r="A1147" s="120"/>
      <c r="B1147" s="120"/>
      <c r="C1147" s="120"/>
      <c r="D1147" s="120"/>
      <c r="E1147" s="120"/>
      <c r="F1147" s="121"/>
      <c r="G1147" s="122"/>
      <c r="H1147" s="120"/>
    </row>
    <row r="1148" spans="1:8" ht="12.3">
      <c r="A1148" s="120"/>
      <c r="B1148" s="120"/>
      <c r="C1148" s="120"/>
      <c r="D1148" s="120"/>
      <c r="E1148" s="120"/>
      <c r="F1148" s="121"/>
      <c r="G1148" s="122"/>
      <c r="H1148" s="120"/>
    </row>
    <row r="1149" spans="1:8" ht="12.3">
      <c r="A1149" s="120"/>
      <c r="B1149" s="120"/>
      <c r="C1149" s="120"/>
      <c r="D1149" s="120"/>
      <c r="E1149" s="120"/>
      <c r="F1149" s="121"/>
      <c r="G1149" s="122"/>
      <c r="H1149" s="120"/>
    </row>
    <row r="1150" spans="1:8" ht="12.3">
      <c r="A1150" s="120"/>
      <c r="B1150" s="120"/>
      <c r="C1150" s="120"/>
      <c r="D1150" s="120"/>
      <c r="E1150" s="120"/>
      <c r="F1150" s="121"/>
      <c r="G1150" s="122"/>
      <c r="H1150" s="120"/>
    </row>
    <row r="1151" spans="1:8" ht="12.3">
      <c r="A1151" s="120"/>
      <c r="B1151" s="120"/>
      <c r="C1151" s="120"/>
      <c r="D1151" s="120"/>
      <c r="E1151" s="120"/>
      <c r="F1151" s="121"/>
      <c r="G1151" s="122"/>
      <c r="H1151" s="120"/>
    </row>
    <row r="1152" spans="1:8" ht="12.3">
      <c r="A1152" s="120"/>
      <c r="B1152" s="120"/>
      <c r="C1152" s="120"/>
      <c r="D1152" s="120"/>
      <c r="E1152" s="120"/>
      <c r="F1152" s="121"/>
      <c r="G1152" s="122"/>
      <c r="H1152" s="120"/>
    </row>
    <row r="1153" spans="1:8" ht="12.3">
      <c r="A1153" s="120"/>
      <c r="B1153" s="120"/>
      <c r="C1153" s="120"/>
      <c r="D1153" s="120"/>
      <c r="E1153" s="120"/>
      <c r="F1153" s="121"/>
      <c r="G1153" s="122"/>
      <c r="H1153" s="120"/>
    </row>
    <row r="1154" spans="1:8" ht="12.3">
      <c r="A1154" s="120"/>
      <c r="B1154" s="120"/>
      <c r="C1154" s="120"/>
      <c r="D1154" s="120"/>
      <c r="E1154" s="120"/>
      <c r="F1154" s="121"/>
      <c r="G1154" s="122"/>
      <c r="H1154" s="120"/>
    </row>
    <row r="1155" spans="1:8" ht="12.3">
      <c r="A1155" s="120"/>
      <c r="B1155" s="120"/>
      <c r="C1155" s="120"/>
      <c r="D1155" s="120"/>
      <c r="E1155" s="120"/>
      <c r="F1155" s="121"/>
      <c r="G1155" s="122"/>
      <c r="H1155" s="120"/>
    </row>
    <row r="1156" spans="1:8" ht="12.3">
      <c r="A1156" s="120"/>
      <c r="B1156" s="120"/>
      <c r="C1156" s="120"/>
      <c r="D1156" s="120"/>
      <c r="E1156" s="120"/>
      <c r="F1156" s="121"/>
      <c r="G1156" s="122"/>
      <c r="H1156" s="120"/>
    </row>
    <row r="1157" spans="1:8" ht="12.3">
      <c r="A1157" s="120"/>
      <c r="B1157" s="120"/>
      <c r="C1157" s="120"/>
      <c r="D1157" s="120"/>
      <c r="E1157" s="120"/>
      <c r="F1157" s="121"/>
      <c r="G1157" s="122"/>
      <c r="H1157" s="120"/>
    </row>
    <row r="1158" spans="1:8" ht="12.3">
      <c r="A1158" s="120"/>
      <c r="B1158" s="120"/>
      <c r="C1158" s="120"/>
      <c r="D1158" s="120"/>
      <c r="E1158" s="120"/>
      <c r="F1158" s="121"/>
      <c r="G1158" s="122"/>
      <c r="H1158" s="120"/>
    </row>
    <row r="1159" spans="1:8" ht="12.3">
      <c r="A1159" s="120"/>
      <c r="B1159" s="120"/>
      <c r="C1159" s="120"/>
      <c r="D1159" s="120"/>
      <c r="E1159" s="120"/>
      <c r="F1159" s="121"/>
      <c r="G1159" s="122"/>
      <c r="H1159" s="120"/>
    </row>
    <row r="1160" spans="1:8" ht="12.3">
      <c r="A1160" s="120"/>
      <c r="B1160" s="120"/>
      <c r="C1160" s="120"/>
      <c r="D1160" s="120"/>
      <c r="E1160" s="120"/>
      <c r="F1160" s="121"/>
      <c r="G1160" s="122"/>
      <c r="H1160" s="120"/>
    </row>
    <row r="1161" spans="1:8" ht="12.3">
      <c r="A1161" s="120"/>
      <c r="B1161" s="120"/>
      <c r="C1161" s="120"/>
      <c r="D1161" s="120"/>
      <c r="E1161" s="120"/>
      <c r="F1161" s="121"/>
      <c r="G1161" s="122"/>
      <c r="H1161" s="120"/>
    </row>
    <row r="1162" spans="1:8" ht="12.3">
      <c r="A1162" s="120"/>
      <c r="B1162" s="120"/>
      <c r="C1162" s="120"/>
      <c r="D1162" s="120"/>
      <c r="E1162" s="120"/>
      <c r="F1162" s="121"/>
      <c r="G1162" s="122"/>
      <c r="H1162" s="120"/>
    </row>
    <row r="1163" spans="1:8" ht="12.3">
      <c r="A1163" s="120"/>
      <c r="B1163" s="120"/>
      <c r="C1163" s="120"/>
      <c r="D1163" s="120"/>
      <c r="E1163" s="120"/>
      <c r="F1163" s="121"/>
      <c r="G1163" s="122"/>
      <c r="H1163" s="120"/>
    </row>
    <row r="1164" spans="1:8" ht="12.3">
      <c r="A1164" s="120"/>
      <c r="B1164" s="120"/>
      <c r="C1164" s="120"/>
      <c r="D1164" s="120"/>
      <c r="E1164" s="120"/>
      <c r="F1164" s="121"/>
      <c r="G1164" s="122"/>
      <c r="H1164" s="120"/>
    </row>
    <row r="1165" spans="1:8" ht="12.3">
      <c r="A1165" s="120"/>
      <c r="B1165" s="120"/>
      <c r="C1165" s="120"/>
      <c r="D1165" s="120"/>
      <c r="E1165" s="120"/>
      <c r="F1165" s="121"/>
      <c r="G1165" s="122"/>
      <c r="H1165" s="120"/>
    </row>
    <row r="1166" spans="1:8" ht="12.3">
      <c r="A1166" s="120"/>
      <c r="B1166" s="120"/>
      <c r="C1166" s="120"/>
      <c r="D1166" s="120"/>
      <c r="E1166" s="120"/>
      <c r="F1166" s="121"/>
      <c r="G1166" s="122"/>
      <c r="H1166" s="120"/>
    </row>
    <row r="1167" spans="1:8" ht="12.3">
      <c r="A1167" s="120"/>
      <c r="B1167" s="120"/>
      <c r="C1167" s="120"/>
      <c r="D1167" s="120"/>
      <c r="E1167" s="120"/>
      <c r="F1167" s="121"/>
      <c r="G1167" s="122"/>
      <c r="H1167" s="120"/>
    </row>
    <row r="1168" spans="1:8" ht="12.3">
      <c r="A1168" s="120"/>
      <c r="B1168" s="120"/>
      <c r="C1168" s="120"/>
      <c r="D1168" s="120"/>
      <c r="E1168" s="120"/>
      <c r="F1168" s="121"/>
      <c r="G1168" s="122"/>
      <c r="H1168" s="120"/>
    </row>
    <row r="1169" spans="1:8" ht="12.3">
      <c r="A1169" s="120"/>
      <c r="B1169" s="120"/>
      <c r="C1169" s="120"/>
      <c r="D1169" s="120"/>
      <c r="E1169" s="120"/>
      <c r="F1169" s="121"/>
      <c r="G1169" s="122"/>
      <c r="H1169" s="120"/>
    </row>
    <row r="1170" spans="1:8" ht="12.3">
      <c r="A1170" s="120"/>
      <c r="B1170" s="120"/>
      <c r="C1170" s="120"/>
      <c r="D1170" s="120"/>
      <c r="E1170" s="120"/>
      <c r="F1170" s="121"/>
      <c r="G1170" s="122"/>
      <c r="H1170" s="120"/>
    </row>
    <row r="1171" spans="1:8" ht="12.3">
      <c r="A1171" s="120"/>
      <c r="B1171" s="120"/>
      <c r="C1171" s="120"/>
      <c r="D1171" s="120"/>
      <c r="E1171" s="120"/>
      <c r="F1171" s="121"/>
      <c r="G1171" s="122"/>
      <c r="H1171" s="120"/>
    </row>
    <row r="1172" spans="1:8" ht="12.3">
      <c r="A1172" s="120"/>
      <c r="B1172" s="120"/>
      <c r="C1172" s="120"/>
      <c r="D1172" s="120"/>
      <c r="E1172" s="120"/>
      <c r="F1172" s="121"/>
      <c r="G1172" s="122"/>
      <c r="H1172" s="120"/>
    </row>
    <row r="1173" spans="1:8" ht="12.3">
      <c r="A1173" s="120"/>
      <c r="B1173" s="120"/>
      <c r="C1173" s="120"/>
      <c r="D1173" s="120"/>
      <c r="E1173" s="120"/>
      <c r="F1173" s="121"/>
      <c r="G1173" s="122"/>
      <c r="H1173" s="120"/>
    </row>
    <row r="1174" spans="1:8" ht="12.3">
      <c r="A1174" s="120"/>
      <c r="B1174" s="120"/>
      <c r="C1174" s="120"/>
      <c r="D1174" s="120"/>
      <c r="E1174" s="120"/>
      <c r="F1174" s="121"/>
      <c r="G1174" s="122"/>
      <c r="H1174" s="120"/>
    </row>
    <row r="1175" spans="1:8" ht="12.3">
      <c r="A1175" s="120"/>
      <c r="B1175" s="120"/>
      <c r="C1175" s="120"/>
      <c r="D1175" s="120"/>
      <c r="E1175" s="120"/>
      <c r="F1175" s="121"/>
      <c r="G1175" s="122"/>
      <c r="H1175" s="120"/>
    </row>
    <row r="1176" spans="1:8" ht="12.3">
      <c r="A1176" s="120"/>
      <c r="B1176" s="120"/>
      <c r="C1176" s="120"/>
      <c r="D1176" s="120"/>
      <c r="E1176" s="120"/>
      <c r="F1176" s="121"/>
      <c r="G1176" s="122"/>
      <c r="H1176" s="120"/>
    </row>
    <row r="1177" spans="1:8" ht="12.3">
      <c r="A1177" s="120"/>
      <c r="B1177" s="120"/>
      <c r="C1177" s="120"/>
      <c r="D1177" s="120"/>
      <c r="E1177" s="120"/>
      <c r="F1177" s="121"/>
      <c r="G1177" s="122"/>
      <c r="H1177" s="120"/>
    </row>
    <row r="1178" spans="1:8" ht="12.3">
      <c r="A1178" s="120"/>
      <c r="B1178" s="120"/>
      <c r="C1178" s="120"/>
      <c r="D1178" s="120"/>
      <c r="E1178" s="120"/>
      <c r="F1178" s="121"/>
      <c r="G1178" s="122"/>
      <c r="H1178" s="120"/>
    </row>
    <row r="1179" spans="1:8" ht="12.3">
      <c r="A1179" s="120"/>
      <c r="B1179" s="120"/>
      <c r="C1179" s="120"/>
      <c r="D1179" s="120"/>
      <c r="E1179" s="120"/>
      <c r="F1179" s="121"/>
      <c r="G1179" s="122"/>
      <c r="H1179" s="120"/>
    </row>
    <row r="1180" spans="1:8" ht="12.3">
      <c r="A1180" s="120"/>
      <c r="B1180" s="120"/>
      <c r="C1180" s="120"/>
      <c r="D1180" s="120"/>
      <c r="E1180" s="120"/>
      <c r="F1180" s="121"/>
      <c r="G1180" s="122"/>
      <c r="H1180" s="120"/>
    </row>
    <row r="1181" spans="1:8" ht="12.3">
      <c r="A1181" s="120"/>
      <c r="B1181" s="120"/>
      <c r="C1181" s="120"/>
      <c r="D1181" s="120"/>
      <c r="E1181" s="120"/>
      <c r="F1181" s="121"/>
      <c r="G1181" s="122"/>
      <c r="H1181" s="120"/>
    </row>
    <row r="1182" spans="1:8" ht="12.3">
      <c r="A1182" s="120"/>
      <c r="B1182" s="120"/>
      <c r="C1182" s="120"/>
      <c r="D1182" s="120"/>
      <c r="E1182" s="120"/>
      <c r="F1182" s="121"/>
      <c r="G1182" s="122"/>
      <c r="H1182" s="120"/>
    </row>
    <row r="1183" spans="1:8" ht="12.3">
      <c r="A1183" s="120"/>
      <c r="B1183" s="120"/>
      <c r="C1183" s="120"/>
      <c r="D1183" s="120"/>
      <c r="E1183" s="120"/>
      <c r="F1183" s="121"/>
      <c r="G1183" s="122"/>
      <c r="H1183" s="120"/>
    </row>
    <row r="1184" spans="1:8" ht="12.3">
      <c r="A1184" s="120"/>
      <c r="B1184" s="120"/>
      <c r="C1184" s="120"/>
      <c r="D1184" s="120"/>
      <c r="E1184" s="120"/>
      <c r="F1184" s="121"/>
      <c r="G1184" s="122"/>
      <c r="H1184" s="120"/>
    </row>
    <row r="1185" spans="1:8" ht="12.3">
      <c r="A1185" s="120"/>
      <c r="B1185" s="120"/>
      <c r="C1185" s="120"/>
      <c r="D1185" s="120"/>
      <c r="E1185" s="120"/>
      <c r="F1185" s="121"/>
      <c r="G1185" s="122"/>
      <c r="H1185" s="120"/>
    </row>
    <row r="1186" spans="1:8" ht="12.3">
      <c r="A1186" s="120"/>
      <c r="B1186" s="120"/>
      <c r="C1186" s="120"/>
      <c r="D1186" s="120"/>
      <c r="E1186" s="120"/>
      <c r="F1186" s="121"/>
      <c r="G1186" s="122"/>
      <c r="H1186" s="120"/>
    </row>
    <row r="1187" spans="1:8" ht="12.3">
      <c r="A1187" s="120"/>
      <c r="B1187" s="120"/>
      <c r="C1187" s="120"/>
      <c r="D1187" s="120"/>
      <c r="E1187" s="120"/>
      <c r="F1187" s="121"/>
      <c r="G1187" s="122"/>
      <c r="H1187" s="120"/>
    </row>
    <row r="1188" spans="1:8" ht="12.3">
      <c r="A1188" s="120"/>
      <c r="B1188" s="120"/>
      <c r="C1188" s="120"/>
      <c r="D1188" s="120"/>
      <c r="E1188" s="120"/>
      <c r="F1188" s="121"/>
      <c r="G1188" s="122"/>
      <c r="H1188" s="120"/>
    </row>
    <row r="1189" spans="1:8" ht="12.3">
      <c r="A1189" s="120"/>
      <c r="B1189" s="120"/>
      <c r="C1189" s="120"/>
      <c r="D1189" s="120"/>
      <c r="E1189" s="120"/>
      <c r="F1189" s="121"/>
      <c r="G1189" s="122"/>
      <c r="H1189" s="120"/>
    </row>
    <row r="1190" spans="1:8" ht="12.3">
      <c r="A1190" s="120"/>
      <c r="B1190" s="120"/>
      <c r="C1190" s="120"/>
      <c r="D1190" s="120"/>
      <c r="E1190" s="120"/>
      <c r="F1190" s="121"/>
      <c r="G1190" s="122"/>
      <c r="H1190" s="120"/>
    </row>
    <row r="1191" spans="1:8" ht="12.3">
      <c r="A1191" s="120"/>
      <c r="B1191" s="120"/>
      <c r="C1191" s="120"/>
      <c r="D1191" s="120"/>
      <c r="E1191" s="120"/>
      <c r="F1191" s="121"/>
      <c r="G1191" s="122"/>
      <c r="H1191" s="120"/>
    </row>
    <row r="1192" spans="1:8" ht="12.3">
      <c r="A1192" s="120"/>
      <c r="B1192" s="120"/>
      <c r="C1192" s="120"/>
      <c r="D1192" s="120"/>
      <c r="E1192" s="120"/>
      <c r="F1192" s="121"/>
      <c r="G1192" s="122"/>
      <c r="H1192" s="120"/>
    </row>
    <row r="1193" spans="1:8" ht="12.3">
      <c r="A1193" s="120"/>
      <c r="B1193" s="120"/>
      <c r="C1193" s="120"/>
      <c r="D1193" s="120"/>
      <c r="E1193" s="120"/>
      <c r="F1193" s="121"/>
      <c r="G1193" s="122"/>
      <c r="H1193" s="120"/>
    </row>
    <row r="1194" spans="1:8" ht="12.3">
      <c r="A1194" s="120"/>
      <c r="B1194" s="120"/>
      <c r="C1194" s="120"/>
      <c r="D1194" s="120"/>
      <c r="E1194" s="120"/>
      <c r="F1194" s="121"/>
      <c r="G1194" s="122"/>
      <c r="H1194" s="120"/>
    </row>
    <row r="1195" spans="1:8" ht="12.3">
      <c r="A1195" s="120"/>
      <c r="B1195" s="120"/>
      <c r="C1195" s="120"/>
      <c r="D1195" s="120"/>
      <c r="E1195" s="120"/>
      <c r="F1195" s="121"/>
      <c r="G1195" s="122"/>
      <c r="H1195" s="120"/>
    </row>
    <row r="1196" spans="1:8" ht="12.3">
      <c r="A1196" s="120"/>
      <c r="B1196" s="120"/>
      <c r="C1196" s="120"/>
      <c r="D1196" s="120"/>
      <c r="E1196" s="120"/>
      <c r="F1196" s="121"/>
      <c r="G1196" s="122"/>
      <c r="H1196" s="120"/>
    </row>
    <row r="1197" spans="1:8" ht="12.3">
      <c r="A1197" s="120"/>
      <c r="B1197" s="120"/>
      <c r="C1197" s="120"/>
      <c r="D1197" s="120"/>
      <c r="E1197" s="120"/>
      <c r="F1197" s="121"/>
      <c r="G1197" s="122"/>
      <c r="H1197" s="120"/>
    </row>
    <row r="1198" spans="1:8" ht="12.3">
      <c r="A1198" s="120"/>
      <c r="B1198" s="120"/>
      <c r="C1198" s="120"/>
      <c r="D1198" s="120"/>
      <c r="E1198" s="120"/>
      <c r="F1198" s="121"/>
      <c r="G1198" s="122"/>
      <c r="H1198" s="120"/>
    </row>
    <row r="1199" spans="1:8" ht="12.3">
      <c r="A1199" s="120"/>
      <c r="B1199" s="120"/>
      <c r="C1199" s="120"/>
      <c r="D1199" s="120"/>
      <c r="E1199" s="120"/>
      <c r="F1199" s="121"/>
      <c r="G1199" s="122"/>
      <c r="H1199" s="120"/>
    </row>
    <row r="1200" spans="1:8" ht="12.3">
      <c r="A1200" s="120"/>
      <c r="B1200" s="120"/>
      <c r="C1200" s="120"/>
      <c r="D1200" s="120"/>
      <c r="E1200" s="120"/>
      <c r="F1200" s="121"/>
      <c r="G1200" s="122"/>
      <c r="H1200" s="120"/>
    </row>
    <row r="1201" spans="1:8" ht="12.3">
      <c r="A1201" s="120"/>
      <c r="B1201" s="120"/>
      <c r="C1201" s="120"/>
      <c r="D1201" s="120"/>
      <c r="E1201" s="120"/>
      <c r="F1201" s="121"/>
      <c r="G1201" s="122"/>
      <c r="H1201" s="120"/>
    </row>
    <row r="1202" spans="1:8" ht="12.3">
      <c r="A1202" s="120"/>
      <c r="B1202" s="120"/>
      <c r="C1202" s="120"/>
      <c r="D1202" s="120"/>
      <c r="E1202" s="120"/>
      <c r="F1202" s="121"/>
      <c r="G1202" s="122"/>
      <c r="H1202" s="120"/>
    </row>
    <row r="1203" spans="1:8" ht="12.3">
      <c r="A1203" s="120"/>
      <c r="B1203" s="120"/>
      <c r="C1203" s="120"/>
      <c r="D1203" s="120"/>
      <c r="E1203" s="120"/>
      <c r="F1203" s="121"/>
      <c r="G1203" s="122"/>
      <c r="H1203" s="120"/>
    </row>
    <row r="1204" spans="1:8" ht="12.3">
      <c r="A1204" s="120"/>
      <c r="B1204" s="120"/>
      <c r="C1204" s="120"/>
      <c r="D1204" s="120"/>
      <c r="E1204" s="120"/>
      <c r="F1204" s="121"/>
      <c r="G1204" s="122"/>
      <c r="H1204" s="120"/>
    </row>
    <row r="1205" spans="1:8" ht="12.3">
      <c r="A1205" s="120"/>
      <c r="B1205" s="120"/>
      <c r="C1205" s="120"/>
      <c r="D1205" s="120"/>
      <c r="E1205" s="120"/>
      <c r="F1205" s="121"/>
      <c r="G1205" s="122"/>
      <c r="H1205" s="120"/>
    </row>
    <row r="1206" spans="1:8" ht="12.3">
      <c r="A1206" s="120"/>
      <c r="B1206" s="120"/>
      <c r="C1206" s="120"/>
      <c r="D1206" s="120"/>
      <c r="E1206" s="120"/>
      <c r="F1206" s="121"/>
      <c r="G1206" s="122"/>
      <c r="H1206" s="120"/>
    </row>
    <row r="1207" spans="1:8" ht="12.3">
      <c r="A1207" s="120"/>
      <c r="B1207" s="120"/>
      <c r="C1207" s="120"/>
      <c r="D1207" s="120"/>
      <c r="E1207" s="120"/>
      <c r="F1207" s="121"/>
      <c r="G1207" s="122"/>
      <c r="H1207" s="120"/>
    </row>
    <row r="1208" spans="1:8" ht="12.3">
      <c r="A1208" s="120"/>
      <c r="B1208" s="120"/>
      <c r="C1208" s="120"/>
      <c r="D1208" s="120"/>
      <c r="E1208" s="120"/>
      <c r="F1208" s="121"/>
      <c r="G1208" s="122"/>
      <c r="H1208" s="120"/>
    </row>
    <row r="1209" spans="1:8" ht="12.3">
      <c r="A1209" s="120"/>
      <c r="B1209" s="120"/>
      <c r="C1209" s="120"/>
      <c r="D1209" s="120"/>
      <c r="E1209" s="120"/>
      <c r="F1209" s="121"/>
      <c r="G1209" s="122"/>
      <c r="H1209" s="120"/>
    </row>
    <row r="1210" spans="1:8" ht="12.3">
      <c r="A1210" s="120"/>
      <c r="B1210" s="120"/>
      <c r="C1210" s="120"/>
      <c r="D1210" s="120"/>
      <c r="E1210" s="120"/>
      <c r="F1210" s="121"/>
      <c r="G1210" s="122"/>
      <c r="H1210" s="120"/>
    </row>
    <row r="1211" spans="1:8" ht="12.3">
      <c r="A1211" s="120"/>
      <c r="B1211" s="120"/>
      <c r="C1211" s="120"/>
      <c r="D1211" s="120"/>
      <c r="E1211" s="120"/>
      <c r="F1211" s="121"/>
      <c r="G1211" s="122"/>
      <c r="H1211" s="120"/>
    </row>
    <row r="1212" spans="1:8" ht="12.3">
      <c r="A1212" s="120"/>
      <c r="B1212" s="120"/>
      <c r="C1212" s="120"/>
      <c r="D1212" s="120"/>
      <c r="E1212" s="120"/>
      <c r="F1212" s="121"/>
      <c r="G1212" s="122"/>
      <c r="H1212" s="120"/>
    </row>
    <row r="1213" spans="1:8" ht="12.3">
      <c r="A1213" s="120"/>
      <c r="B1213" s="120"/>
      <c r="C1213" s="120"/>
      <c r="D1213" s="120"/>
      <c r="E1213" s="120"/>
      <c r="F1213" s="121"/>
      <c r="G1213" s="122"/>
      <c r="H1213" s="120"/>
    </row>
    <row r="1214" spans="1:8" ht="12.3">
      <c r="A1214" s="120"/>
      <c r="B1214" s="120"/>
      <c r="C1214" s="120"/>
      <c r="D1214" s="120"/>
      <c r="E1214" s="120"/>
      <c r="F1214" s="121"/>
      <c r="G1214" s="122"/>
      <c r="H1214" s="120"/>
    </row>
    <row r="1215" spans="1:8" ht="12.3">
      <c r="A1215" s="120"/>
      <c r="B1215" s="120"/>
      <c r="C1215" s="120"/>
      <c r="D1215" s="120"/>
      <c r="E1215" s="120"/>
      <c r="F1215" s="121"/>
      <c r="G1215" s="122"/>
      <c r="H1215" s="120"/>
    </row>
    <row r="1216" spans="1:8" ht="12.3">
      <c r="A1216" s="120"/>
      <c r="B1216" s="120"/>
      <c r="C1216" s="120"/>
      <c r="D1216" s="120"/>
      <c r="E1216" s="120"/>
      <c r="F1216" s="121"/>
      <c r="G1216" s="122"/>
      <c r="H1216" s="120"/>
    </row>
    <row r="1217" spans="1:8" ht="12.3">
      <c r="A1217" s="120"/>
      <c r="B1217" s="120"/>
      <c r="C1217" s="120"/>
      <c r="D1217" s="120"/>
      <c r="E1217" s="120"/>
      <c r="F1217" s="121"/>
      <c r="G1217" s="122"/>
      <c r="H1217" s="120"/>
    </row>
    <row r="1218" spans="1:8" ht="12.3">
      <c r="A1218" s="120"/>
      <c r="B1218" s="120"/>
      <c r="C1218" s="120"/>
      <c r="D1218" s="120"/>
      <c r="E1218" s="120"/>
      <c r="F1218" s="121"/>
      <c r="G1218" s="122"/>
      <c r="H1218" s="120"/>
    </row>
    <row r="1219" spans="1:8" ht="12.3">
      <c r="A1219" s="120"/>
      <c r="B1219" s="120"/>
      <c r="C1219" s="120"/>
      <c r="D1219" s="120"/>
      <c r="E1219" s="120"/>
      <c r="F1219" s="121"/>
      <c r="G1219" s="122"/>
      <c r="H1219" s="120"/>
    </row>
    <row r="1220" spans="1:8" ht="12.3">
      <c r="A1220" s="120"/>
      <c r="B1220" s="120"/>
      <c r="C1220" s="120"/>
      <c r="D1220" s="120"/>
      <c r="E1220" s="120"/>
      <c r="F1220" s="121"/>
      <c r="G1220" s="122"/>
      <c r="H1220" s="120"/>
    </row>
    <row r="1221" spans="1:8" ht="12.3">
      <c r="A1221" s="120"/>
      <c r="B1221" s="120"/>
      <c r="C1221" s="120"/>
      <c r="D1221" s="120"/>
      <c r="E1221" s="120"/>
      <c r="F1221" s="121"/>
      <c r="G1221" s="122"/>
      <c r="H1221" s="120"/>
    </row>
    <row r="1222" spans="1:8" ht="12.3">
      <c r="A1222" s="120"/>
      <c r="B1222" s="120"/>
      <c r="C1222" s="120"/>
      <c r="D1222" s="120"/>
      <c r="E1222" s="120"/>
      <c r="F1222" s="121"/>
      <c r="G1222" s="122"/>
      <c r="H1222" s="120"/>
    </row>
    <row r="1223" spans="1:8" ht="12.3">
      <c r="A1223" s="120"/>
      <c r="B1223" s="120"/>
      <c r="C1223" s="120"/>
      <c r="D1223" s="120"/>
      <c r="E1223" s="120"/>
      <c r="F1223" s="121"/>
      <c r="G1223" s="122"/>
      <c r="H1223" s="120"/>
    </row>
    <row r="1224" spans="1:8" ht="12.3">
      <c r="A1224" s="120"/>
      <c r="B1224" s="120"/>
      <c r="C1224" s="120"/>
      <c r="D1224" s="120"/>
      <c r="E1224" s="120"/>
      <c r="F1224" s="121"/>
      <c r="G1224" s="122"/>
      <c r="H1224" s="120"/>
    </row>
    <row r="1225" spans="1:8" ht="12.3">
      <c r="A1225" s="120"/>
      <c r="B1225" s="120"/>
      <c r="C1225" s="120"/>
      <c r="D1225" s="120"/>
      <c r="E1225" s="120"/>
      <c r="F1225" s="121"/>
      <c r="G1225" s="122"/>
      <c r="H1225" s="120"/>
    </row>
    <row r="1226" spans="1:8" ht="12.3">
      <c r="A1226" s="120"/>
      <c r="B1226" s="120"/>
      <c r="C1226" s="120"/>
      <c r="D1226" s="120"/>
      <c r="E1226" s="120"/>
      <c r="F1226" s="121"/>
      <c r="G1226" s="122"/>
      <c r="H1226" s="120"/>
    </row>
    <row r="1227" spans="1:8" ht="12.3">
      <c r="A1227" s="120"/>
      <c r="B1227" s="120"/>
      <c r="C1227" s="120"/>
      <c r="D1227" s="120"/>
      <c r="E1227" s="120"/>
      <c r="F1227" s="121"/>
      <c r="G1227" s="122"/>
      <c r="H1227" s="120"/>
    </row>
    <row r="1228" spans="1:8" ht="12.3">
      <c r="A1228" s="120"/>
      <c r="B1228" s="120"/>
      <c r="C1228" s="120"/>
      <c r="D1228" s="120"/>
      <c r="E1228" s="120"/>
      <c r="F1228" s="121"/>
      <c r="G1228" s="122"/>
      <c r="H1228" s="120"/>
    </row>
    <row r="1229" spans="1:8" ht="12.3">
      <c r="A1229" s="120"/>
      <c r="B1229" s="120"/>
      <c r="C1229" s="120"/>
      <c r="D1229" s="120"/>
      <c r="E1229" s="120"/>
      <c r="F1229" s="121"/>
      <c r="G1229" s="122"/>
      <c r="H1229" s="120"/>
    </row>
    <row r="1230" spans="1:8" ht="12.3">
      <c r="A1230" s="120"/>
      <c r="B1230" s="120"/>
      <c r="C1230" s="120"/>
      <c r="D1230" s="120"/>
      <c r="E1230" s="120"/>
      <c r="F1230" s="121"/>
      <c r="G1230" s="122"/>
      <c r="H1230" s="120"/>
    </row>
    <row r="1231" spans="1:8" ht="12.3">
      <c r="A1231" s="120"/>
      <c r="B1231" s="120"/>
      <c r="C1231" s="120"/>
      <c r="D1231" s="120"/>
      <c r="E1231" s="120"/>
      <c r="F1231" s="121"/>
      <c r="G1231" s="122"/>
      <c r="H1231" s="120"/>
    </row>
    <row r="1232" spans="1:8" ht="12.3">
      <c r="A1232" s="120"/>
      <c r="B1232" s="120"/>
      <c r="C1232" s="120"/>
      <c r="D1232" s="120"/>
      <c r="E1232" s="120"/>
      <c r="F1232" s="121"/>
      <c r="G1232" s="122"/>
      <c r="H1232" s="120"/>
    </row>
    <row r="1233" spans="1:8" ht="12.3">
      <c r="A1233" s="120"/>
      <c r="B1233" s="120"/>
      <c r="C1233" s="120"/>
      <c r="D1233" s="120"/>
      <c r="E1233" s="120"/>
      <c r="F1233" s="121"/>
      <c r="G1233" s="122"/>
      <c r="H1233" s="120"/>
    </row>
    <row r="1234" spans="1:8" ht="12.3">
      <c r="A1234" s="120"/>
      <c r="B1234" s="120"/>
      <c r="C1234" s="120"/>
      <c r="D1234" s="120"/>
      <c r="E1234" s="120"/>
      <c r="F1234" s="121"/>
      <c r="G1234" s="122"/>
      <c r="H1234" s="120"/>
    </row>
    <row r="1235" spans="1:8" ht="12.3">
      <c r="A1235" s="120"/>
      <c r="B1235" s="120"/>
      <c r="C1235" s="120"/>
      <c r="D1235" s="120"/>
      <c r="E1235" s="120"/>
      <c r="F1235" s="121"/>
      <c r="G1235" s="122"/>
      <c r="H1235" s="120"/>
    </row>
    <row r="1236" spans="1:8" ht="12.3">
      <c r="A1236" s="120"/>
      <c r="B1236" s="120"/>
      <c r="C1236" s="120"/>
      <c r="D1236" s="120"/>
      <c r="E1236" s="120"/>
      <c r="F1236" s="121"/>
      <c r="G1236" s="122"/>
      <c r="H1236" s="120"/>
    </row>
    <row r="1237" spans="1:8" ht="12.3">
      <c r="A1237" s="120"/>
      <c r="B1237" s="120"/>
      <c r="C1237" s="120"/>
      <c r="D1237" s="120"/>
      <c r="E1237" s="120"/>
      <c r="F1237" s="121"/>
      <c r="G1237" s="122"/>
      <c r="H1237" s="120"/>
    </row>
    <row r="1238" spans="1:8" ht="12.3">
      <c r="A1238" s="120"/>
      <c r="B1238" s="120"/>
      <c r="C1238" s="120"/>
      <c r="D1238" s="120"/>
      <c r="E1238" s="120"/>
      <c r="F1238" s="121"/>
      <c r="G1238" s="122"/>
      <c r="H1238" s="120"/>
    </row>
    <row r="1239" spans="1:8" ht="12.3">
      <c r="A1239" s="120"/>
      <c r="B1239" s="120"/>
      <c r="C1239" s="120"/>
      <c r="D1239" s="120"/>
      <c r="E1239" s="120"/>
      <c r="F1239" s="121"/>
      <c r="G1239" s="122"/>
      <c r="H1239" s="120"/>
    </row>
    <row r="1240" spans="1:8" ht="12.3">
      <c r="A1240" s="120"/>
      <c r="B1240" s="120"/>
      <c r="C1240" s="120"/>
      <c r="D1240" s="120"/>
      <c r="E1240" s="120"/>
      <c r="F1240" s="121"/>
      <c r="G1240" s="122"/>
      <c r="H1240" s="120"/>
    </row>
    <row r="1241" spans="1:8" ht="12.3">
      <c r="A1241" s="120"/>
      <c r="B1241" s="120"/>
      <c r="C1241" s="120"/>
      <c r="D1241" s="120"/>
      <c r="E1241" s="120"/>
      <c r="F1241" s="121"/>
      <c r="G1241" s="122"/>
      <c r="H1241" s="120"/>
    </row>
    <row r="1242" spans="1:8" ht="12.3">
      <c r="A1242" s="120"/>
      <c r="B1242" s="120"/>
      <c r="C1242" s="120"/>
      <c r="D1242" s="120"/>
      <c r="E1242" s="120"/>
      <c r="F1242" s="121"/>
      <c r="G1242" s="122"/>
      <c r="H1242" s="120"/>
    </row>
    <row r="1243" spans="1:8" ht="12.3">
      <c r="A1243" s="120"/>
      <c r="B1243" s="120"/>
      <c r="C1243" s="120"/>
      <c r="D1243" s="120"/>
      <c r="E1243" s="120"/>
      <c r="F1243" s="121"/>
      <c r="G1243" s="122"/>
      <c r="H1243" s="120"/>
    </row>
    <row r="1244" spans="1:8" ht="12.3">
      <c r="A1244" s="120"/>
      <c r="B1244" s="120"/>
      <c r="C1244" s="120"/>
      <c r="D1244" s="120"/>
      <c r="E1244" s="120"/>
      <c r="F1244" s="121"/>
      <c r="G1244" s="122"/>
      <c r="H1244" s="120"/>
    </row>
    <row r="1245" spans="1:8" ht="12.3">
      <c r="A1245" s="120"/>
      <c r="B1245" s="120"/>
      <c r="C1245" s="120"/>
      <c r="D1245" s="120"/>
      <c r="E1245" s="120"/>
      <c r="F1245" s="121"/>
      <c r="G1245" s="122"/>
      <c r="H1245" s="120"/>
    </row>
    <row r="1246" spans="1:8" ht="12.3">
      <c r="A1246" s="120"/>
      <c r="B1246" s="120"/>
      <c r="C1246" s="120"/>
      <c r="D1246" s="120"/>
      <c r="E1246" s="120"/>
      <c r="F1246" s="121"/>
      <c r="G1246" s="122"/>
      <c r="H1246" s="120"/>
    </row>
    <row r="1247" spans="1:8" ht="12.3">
      <c r="A1247" s="120"/>
      <c r="B1247" s="120"/>
      <c r="C1247" s="120"/>
      <c r="D1247" s="120"/>
      <c r="E1247" s="120"/>
      <c r="F1247" s="121"/>
      <c r="G1247" s="122"/>
      <c r="H1247" s="120"/>
    </row>
    <row r="1248" spans="1:8" ht="12.3">
      <c r="A1248" s="120"/>
      <c r="B1248" s="120"/>
      <c r="C1248" s="120"/>
      <c r="D1248" s="120"/>
      <c r="E1248" s="120"/>
      <c r="F1248" s="121"/>
      <c r="G1248" s="122"/>
      <c r="H1248" s="120"/>
    </row>
    <row r="1249" spans="1:8" ht="12.3">
      <c r="A1249" s="120"/>
      <c r="B1249" s="120"/>
      <c r="C1249" s="120"/>
      <c r="D1249" s="120"/>
      <c r="E1249" s="120"/>
      <c r="F1249" s="121"/>
      <c r="G1249" s="122"/>
      <c r="H1249" s="120"/>
    </row>
    <row r="1250" spans="1:8" ht="12.3">
      <c r="A1250" s="120"/>
      <c r="B1250" s="120"/>
      <c r="C1250" s="120"/>
      <c r="D1250" s="120"/>
      <c r="E1250" s="120"/>
      <c r="F1250" s="121"/>
      <c r="G1250" s="122"/>
      <c r="H1250" s="120"/>
    </row>
    <row r="1251" spans="1:8" ht="12.3">
      <c r="A1251" s="120"/>
      <c r="B1251" s="120"/>
      <c r="C1251" s="120"/>
      <c r="D1251" s="120"/>
      <c r="E1251" s="120"/>
      <c r="F1251" s="121"/>
      <c r="G1251" s="122"/>
      <c r="H1251" s="120"/>
    </row>
    <row r="1252" spans="1:8" ht="12.3">
      <c r="A1252" s="120"/>
      <c r="B1252" s="120"/>
      <c r="C1252" s="120"/>
      <c r="D1252" s="120"/>
      <c r="E1252" s="120"/>
      <c r="F1252" s="121"/>
      <c r="G1252" s="122"/>
      <c r="H1252" s="120"/>
    </row>
    <row r="1253" spans="1:8" ht="12.3">
      <c r="A1253" s="120"/>
      <c r="B1253" s="120"/>
      <c r="C1253" s="120"/>
      <c r="D1253" s="120"/>
      <c r="E1253" s="120"/>
      <c r="F1253" s="121"/>
      <c r="G1253" s="122"/>
      <c r="H1253" s="120"/>
    </row>
    <row r="1254" spans="1:8" ht="12.3">
      <c r="A1254" s="120"/>
      <c r="B1254" s="120"/>
      <c r="C1254" s="120"/>
      <c r="D1254" s="120"/>
      <c r="E1254" s="120"/>
      <c r="F1254" s="121"/>
      <c r="G1254" s="122"/>
      <c r="H1254" s="120"/>
    </row>
    <row r="1255" spans="1:8" ht="12.3">
      <c r="A1255" s="120"/>
      <c r="B1255" s="120"/>
      <c r="C1255" s="120"/>
      <c r="D1255" s="120"/>
      <c r="E1255" s="120"/>
      <c r="F1255" s="121"/>
      <c r="G1255" s="122"/>
      <c r="H1255" s="120"/>
    </row>
    <row r="1256" spans="1:8" ht="12.3">
      <c r="A1256" s="120"/>
      <c r="B1256" s="120"/>
      <c r="C1256" s="120"/>
      <c r="D1256" s="120"/>
      <c r="E1256" s="120"/>
      <c r="F1256" s="121"/>
      <c r="G1256" s="122"/>
      <c r="H1256" s="120"/>
    </row>
    <row r="1257" spans="1:8" ht="12.3">
      <c r="A1257" s="120"/>
      <c r="B1257" s="120"/>
      <c r="C1257" s="120"/>
      <c r="D1257" s="120"/>
      <c r="E1257" s="120"/>
      <c r="F1257" s="121"/>
      <c r="G1257" s="122"/>
      <c r="H1257" s="120"/>
    </row>
    <row r="1258" spans="1:8" ht="12.3">
      <c r="A1258" s="120"/>
      <c r="B1258" s="120"/>
      <c r="C1258" s="120"/>
      <c r="D1258" s="120"/>
      <c r="E1258" s="120"/>
      <c r="F1258" s="121"/>
      <c r="G1258" s="122"/>
      <c r="H1258" s="120"/>
    </row>
    <row r="1259" spans="1:8" ht="12.3">
      <c r="A1259" s="120"/>
      <c r="B1259" s="120"/>
      <c r="C1259" s="120"/>
      <c r="D1259" s="120"/>
      <c r="E1259" s="120"/>
      <c r="F1259" s="121"/>
      <c r="G1259" s="122"/>
      <c r="H1259" s="120"/>
    </row>
    <row r="1260" spans="1:8" ht="12.3">
      <c r="A1260" s="120"/>
      <c r="B1260" s="120"/>
      <c r="C1260" s="120"/>
      <c r="D1260" s="120"/>
      <c r="E1260" s="120"/>
      <c r="F1260" s="121"/>
      <c r="G1260" s="122"/>
      <c r="H1260" s="120"/>
    </row>
    <row r="1261" spans="1:8" ht="12.3">
      <c r="A1261" s="120"/>
      <c r="B1261" s="120"/>
      <c r="C1261" s="120"/>
      <c r="D1261" s="120"/>
      <c r="E1261" s="120"/>
      <c r="F1261" s="121"/>
      <c r="G1261" s="122"/>
      <c r="H1261" s="120"/>
    </row>
    <row r="1262" spans="1:8" ht="12.3">
      <c r="A1262" s="120"/>
      <c r="B1262" s="120"/>
      <c r="C1262" s="120"/>
      <c r="D1262" s="120"/>
      <c r="E1262" s="120"/>
      <c r="F1262" s="121"/>
      <c r="G1262" s="122"/>
      <c r="H1262" s="120"/>
    </row>
    <row r="1263" spans="1:8" ht="12.3">
      <c r="A1263" s="120"/>
      <c r="B1263" s="120"/>
      <c r="C1263" s="120"/>
      <c r="D1263" s="120"/>
      <c r="E1263" s="120"/>
      <c r="F1263" s="121"/>
      <c r="G1263" s="122"/>
      <c r="H1263" s="120"/>
    </row>
    <row r="1264" spans="1:8" ht="12.3">
      <c r="A1264" s="120"/>
      <c r="B1264" s="120"/>
      <c r="C1264" s="120"/>
      <c r="D1264" s="120"/>
      <c r="E1264" s="120"/>
      <c r="F1264" s="121"/>
      <c r="G1264" s="122"/>
      <c r="H1264" s="120"/>
    </row>
    <row r="1265" spans="1:8" ht="12.3">
      <c r="A1265" s="120"/>
      <c r="B1265" s="120"/>
      <c r="C1265" s="120"/>
      <c r="D1265" s="120"/>
      <c r="E1265" s="120"/>
      <c r="F1265" s="121"/>
      <c r="G1265" s="122"/>
      <c r="H1265" s="120"/>
    </row>
    <row r="1266" spans="1:8" ht="12.3">
      <c r="A1266" s="120"/>
      <c r="B1266" s="120"/>
      <c r="C1266" s="120"/>
      <c r="D1266" s="120"/>
      <c r="E1266" s="120"/>
      <c r="F1266" s="121"/>
      <c r="G1266" s="122"/>
      <c r="H1266" s="120"/>
    </row>
    <row r="1267" spans="1:8" ht="12.3">
      <c r="A1267" s="120"/>
      <c r="B1267" s="120"/>
      <c r="C1267" s="120"/>
      <c r="D1267" s="120"/>
      <c r="E1267" s="120"/>
      <c r="F1267" s="121"/>
      <c r="G1267" s="122"/>
      <c r="H1267" s="120"/>
    </row>
    <row r="1268" spans="1:8" ht="12.3">
      <c r="A1268" s="120"/>
      <c r="B1268" s="120"/>
      <c r="C1268" s="120"/>
      <c r="D1268" s="120"/>
      <c r="E1268" s="120"/>
      <c r="F1268" s="121"/>
      <c r="G1268" s="122"/>
      <c r="H1268" s="120"/>
    </row>
    <row r="1269" spans="1:8" ht="12.3">
      <c r="A1269" s="120"/>
      <c r="B1269" s="120"/>
      <c r="C1269" s="120"/>
      <c r="D1269" s="120"/>
      <c r="E1269" s="120"/>
      <c r="F1269" s="121"/>
      <c r="G1269" s="122"/>
      <c r="H1269" s="120"/>
    </row>
    <row r="1270" spans="1:8" ht="12.3">
      <c r="A1270" s="120"/>
      <c r="B1270" s="120"/>
      <c r="C1270" s="120"/>
      <c r="D1270" s="120"/>
      <c r="E1270" s="120"/>
      <c r="F1270" s="121"/>
      <c r="G1270" s="122"/>
      <c r="H1270" s="120"/>
    </row>
    <row r="1271" spans="1:8" ht="12.3">
      <c r="A1271" s="120"/>
      <c r="B1271" s="120"/>
      <c r="C1271" s="120"/>
      <c r="D1271" s="120"/>
      <c r="E1271" s="120"/>
      <c r="F1271" s="121"/>
      <c r="G1271" s="122"/>
      <c r="H1271" s="120"/>
    </row>
    <row r="1272" spans="1:8" ht="12.3">
      <c r="A1272" s="120"/>
      <c r="B1272" s="120"/>
      <c r="C1272" s="120"/>
      <c r="D1272" s="120"/>
      <c r="E1272" s="120"/>
      <c r="F1272" s="121"/>
      <c r="G1272" s="122"/>
      <c r="H1272" s="120"/>
    </row>
    <row r="1273" spans="1:8" ht="12.3">
      <c r="A1273" s="120"/>
      <c r="B1273" s="120"/>
      <c r="C1273" s="120"/>
      <c r="D1273" s="120"/>
      <c r="E1273" s="120"/>
      <c r="F1273" s="121"/>
      <c r="G1273" s="122"/>
      <c r="H1273" s="120"/>
    </row>
    <row r="1274" spans="1:8" ht="12.3">
      <c r="A1274" s="120"/>
      <c r="B1274" s="120"/>
      <c r="C1274" s="120"/>
      <c r="D1274" s="120"/>
      <c r="E1274" s="120"/>
      <c r="F1274" s="121"/>
      <c r="G1274" s="122"/>
      <c r="H1274" s="120"/>
    </row>
    <row r="1275" spans="1:8" ht="12.3">
      <c r="A1275" s="120"/>
      <c r="B1275" s="120"/>
      <c r="C1275" s="120"/>
      <c r="D1275" s="120"/>
      <c r="E1275" s="120"/>
      <c r="F1275" s="121"/>
      <c r="G1275" s="122"/>
      <c r="H1275" s="120"/>
    </row>
    <row r="1276" spans="1:8" ht="12.3">
      <c r="A1276" s="120"/>
      <c r="B1276" s="120"/>
      <c r="C1276" s="120"/>
      <c r="D1276" s="120"/>
      <c r="E1276" s="120"/>
      <c r="F1276" s="121"/>
      <c r="G1276" s="122"/>
      <c r="H1276" s="120"/>
    </row>
    <row r="1277" spans="1:8" ht="12.3">
      <c r="A1277" s="120"/>
      <c r="B1277" s="120"/>
      <c r="C1277" s="120"/>
      <c r="D1277" s="120"/>
      <c r="E1277" s="120"/>
      <c r="F1277" s="121"/>
      <c r="G1277" s="122"/>
      <c r="H1277" s="120"/>
    </row>
    <row r="1278" spans="1:8" ht="12.3">
      <c r="A1278" s="120"/>
      <c r="B1278" s="120"/>
      <c r="C1278" s="120"/>
      <c r="D1278" s="120"/>
      <c r="E1278" s="120"/>
      <c r="F1278" s="121"/>
      <c r="G1278" s="122"/>
      <c r="H1278" s="120"/>
    </row>
    <row r="1279" spans="1:8" ht="12.3">
      <c r="A1279" s="120"/>
      <c r="B1279" s="120"/>
      <c r="C1279" s="120"/>
      <c r="D1279" s="120"/>
      <c r="E1279" s="120"/>
      <c r="F1279" s="121"/>
      <c r="G1279" s="122"/>
      <c r="H1279" s="120"/>
    </row>
    <row r="1280" spans="1:8" ht="12.3">
      <c r="A1280" s="120"/>
      <c r="B1280" s="120"/>
      <c r="C1280" s="120"/>
      <c r="D1280" s="120"/>
      <c r="E1280" s="120"/>
      <c r="F1280" s="121"/>
      <c r="G1280" s="122"/>
      <c r="H1280" s="120"/>
    </row>
    <row r="1281" spans="1:8" ht="12.3">
      <c r="A1281" s="120"/>
      <c r="B1281" s="120"/>
      <c r="C1281" s="120"/>
      <c r="D1281" s="120"/>
      <c r="E1281" s="120"/>
      <c r="F1281" s="121"/>
      <c r="G1281" s="122"/>
      <c r="H1281" s="120"/>
    </row>
    <row r="1282" spans="1:8" ht="12.3">
      <c r="A1282" s="120"/>
      <c r="B1282" s="120"/>
      <c r="C1282" s="120"/>
      <c r="D1282" s="120"/>
      <c r="E1282" s="120"/>
      <c r="F1282" s="121"/>
      <c r="G1282" s="122"/>
      <c r="H1282" s="120"/>
    </row>
    <row r="1283" spans="1:8" ht="12.3">
      <c r="A1283" s="120"/>
      <c r="B1283" s="120"/>
      <c r="C1283" s="120"/>
      <c r="D1283" s="120"/>
      <c r="E1283" s="120"/>
      <c r="F1283" s="121"/>
      <c r="G1283" s="122"/>
      <c r="H1283" s="120"/>
    </row>
    <row r="1284" spans="1:8" ht="12.3">
      <c r="A1284" s="120"/>
      <c r="B1284" s="120"/>
      <c r="C1284" s="120"/>
      <c r="D1284" s="120"/>
      <c r="E1284" s="120"/>
      <c r="F1284" s="121"/>
      <c r="G1284" s="122"/>
      <c r="H1284" s="120"/>
    </row>
    <row r="1285" spans="1:8" ht="12.3">
      <c r="A1285" s="120"/>
      <c r="B1285" s="120"/>
      <c r="C1285" s="120"/>
      <c r="D1285" s="120"/>
      <c r="E1285" s="120"/>
      <c r="F1285" s="121"/>
      <c r="G1285" s="122"/>
      <c r="H1285" s="120"/>
    </row>
    <row r="1286" spans="1:8" ht="12.3">
      <c r="A1286" s="120"/>
      <c r="B1286" s="120"/>
      <c r="C1286" s="120"/>
      <c r="D1286" s="120"/>
      <c r="E1286" s="120"/>
      <c r="F1286" s="121"/>
      <c r="G1286" s="122"/>
      <c r="H1286" s="120"/>
    </row>
    <row r="1287" spans="1:8" ht="12.3">
      <c r="A1287" s="120"/>
      <c r="B1287" s="120"/>
      <c r="C1287" s="120"/>
      <c r="D1287" s="120"/>
      <c r="E1287" s="120"/>
      <c r="F1287" s="121"/>
      <c r="G1287" s="122"/>
      <c r="H1287" s="120"/>
    </row>
    <row r="1288" spans="1:8" ht="12.3">
      <c r="A1288" s="120"/>
      <c r="B1288" s="120"/>
      <c r="C1288" s="120"/>
      <c r="D1288" s="120"/>
      <c r="E1288" s="120"/>
      <c r="F1288" s="121"/>
      <c r="G1288" s="122"/>
      <c r="H1288" s="120"/>
    </row>
    <row r="1289" spans="1:8" ht="12.3">
      <c r="A1289" s="120"/>
      <c r="B1289" s="120"/>
      <c r="C1289" s="120"/>
      <c r="D1289" s="120"/>
      <c r="E1289" s="120"/>
      <c r="F1289" s="121"/>
      <c r="G1289" s="122"/>
      <c r="H1289" s="120"/>
    </row>
    <row r="1290" spans="1:8" ht="12.3">
      <c r="A1290" s="120"/>
      <c r="B1290" s="120"/>
      <c r="C1290" s="120"/>
      <c r="D1290" s="120"/>
      <c r="E1290" s="120"/>
      <c r="F1290" s="121"/>
      <c r="G1290" s="122"/>
      <c r="H1290" s="120"/>
    </row>
    <row r="1291" spans="1:8" ht="12.3">
      <c r="A1291" s="120"/>
      <c r="B1291" s="120"/>
      <c r="C1291" s="120"/>
      <c r="D1291" s="120"/>
      <c r="E1291" s="120"/>
      <c r="F1291" s="121"/>
      <c r="G1291" s="122"/>
      <c r="H1291" s="120"/>
    </row>
    <row r="1292" spans="1:8" ht="12.3">
      <c r="A1292" s="120"/>
      <c r="B1292" s="120"/>
      <c r="C1292" s="120"/>
      <c r="D1292" s="120"/>
      <c r="E1292" s="120"/>
      <c r="F1292" s="121"/>
      <c r="G1292" s="122"/>
      <c r="H1292" s="120"/>
    </row>
    <row r="1293" spans="1:8" ht="12.3">
      <c r="A1293" s="120"/>
      <c r="B1293" s="120"/>
      <c r="C1293" s="120"/>
      <c r="D1293" s="120"/>
      <c r="E1293" s="120"/>
      <c r="F1293" s="121"/>
      <c r="G1293" s="122"/>
      <c r="H1293" s="120"/>
    </row>
    <row r="1294" spans="1:8" ht="12.3">
      <c r="A1294" s="120"/>
      <c r="B1294" s="120"/>
      <c r="C1294" s="120"/>
      <c r="D1294" s="120"/>
      <c r="E1294" s="120"/>
      <c r="F1294" s="121"/>
      <c r="G1294" s="122"/>
      <c r="H1294" s="120"/>
    </row>
    <row r="1295" spans="1:8" ht="12.3">
      <c r="A1295" s="120"/>
      <c r="B1295" s="120"/>
      <c r="C1295" s="120"/>
      <c r="D1295" s="120"/>
      <c r="E1295" s="120"/>
      <c r="F1295" s="121"/>
      <c r="G1295" s="122"/>
      <c r="H1295" s="120"/>
    </row>
    <row r="1296" spans="1:8" ht="12.3">
      <c r="A1296" s="120"/>
      <c r="B1296" s="120"/>
      <c r="C1296" s="120"/>
      <c r="D1296" s="120"/>
      <c r="E1296" s="120"/>
      <c r="F1296" s="121"/>
      <c r="G1296" s="122"/>
      <c r="H1296" s="120"/>
    </row>
    <row r="1297" spans="1:8" ht="12.3">
      <c r="A1297" s="120"/>
      <c r="B1297" s="120"/>
      <c r="C1297" s="120"/>
      <c r="D1297" s="120"/>
      <c r="E1297" s="120"/>
      <c r="F1297" s="121"/>
      <c r="G1297" s="122"/>
      <c r="H1297" s="120"/>
    </row>
    <row r="1298" spans="1:8" ht="12.3">
      <c r="A1298" s="120"/>
      <c r="B1298" s="120"/>
      <c r="C1298" s="120"/>
      <c r="D1298" s="120"/>
      <c r="E1298" s="120"/>
      <c r="F1298" s="121"/>
      <c r="G1298" s="122"/>
      <c r="H1298" s="120"/>
    </row>
    <row r="1299" spans="1:8" ht="12.3">
      <c r="A1299" s="120"/>
      <c r="B1299" s="120"/>
      <c r="C1299" s="120"/>
      <c r="D1299" s="120"/>
      <c r="E1299" s="120"/>
      <c r="F1299" s="121"/>
      <c r="G1299" s="122"/>
      <c r="H1299" s="120"/>
    </row>
    <row r="1300" spans="1:8" ht="12.3">
      <c r="A1300" s="120"/>
      <c r="B1300" s="120"/>
      <c r="C1300" s="120"/>
      <c r="D1300" s="120"/>
      <c r="E1300" s="120"/>
      <c r="F1300" s="121"/>
      <c r="G1300" s="122"/>
      <c r="H1300" s="120"/>
    </row>
    <row r="1301" spans="1:8" ht="12.3">
      <c r="A1301" s="120"/>
      <c r="B1301" s="120"/>
      <c r="C1301" s="120"/>
      <c r="D1301" s="120"/>
      <c r="E1301" s="120"/>
      <c r="F1301" s="121"/>
      <c r="G1301" s="122"/>
      <c r="H1301" s="120"/>
    </row>
    <row r="1302" spans="1:8" ht="12.3">
      <c r="A1302" s="120"/>
      <c r="B1302" s="120"/>
      <c r="C1302" s="120"/>
      <c r="D1302" s="120"/>
      <c r="E1302" s="120"/>
      <c r="F1302" s="121"/>
      <c r="G1302" s="122"/>
      <c r="H1302" s="120"/>
    </row>
    <row r="1303" spans="1:8" ht="12.3">
      <c r="A1303" s="120"/>
      <c r="B1303" s="120"/>
      <c r="C1303" s="120"/>
      <c r="D1303" s="120"/>
      <c r="E1303" s="120"/>
      <c r="F1303" s="121"/>
      <c r="G1303" s="122"/>
      <c r="H1303" s="120"/>
    </row>
    <row r="1304" spans="1:8" ht="12.3">
      <c r="A1304" s="120"/>
      <c r="B1304" s="120"/>
      <c r="C1304" s="120"/>
      <c r="D1304" s="120"/>
      <c r="E1304" s="120"/>
      <c r="F1304" s="121"/>
      <c r="G1304" s="122"/>
      <c r="H1304" s="120"/>
    </row>
    <row r="1305" spans="1:8" ht="12.3">
      <c r="A1305" s="120"/>
      <c r="B1305" s="120"/>
      <c r="C1305" s="120"/>
      <c r="D1305" s="120"/>
      <c r="E1305" s="120"/>
      <c r="F1305" s="121"/>
      <c r="G1305" s="122"/>
      <c r="H1305" s="120"/>
    </row>
    <row r="1306" spans="1:8" ht="12.3">
      <c r="A1306" s="120"/>
      <c r="B1306" s="120"/>
      <c r="C1306" s="120"/>
      <c r="D1306" s="120"/>
      <c r="E1306" s="120"/>
      <c r="F1306" s="121"/>
      <c r="G1306" s="122"/>
      <c r="H1306" s="120"/>
    </row>
    <row r="1307" spans="1:8" ht="12.3">
      <c r="A1307" s="120"/>
      <c r="B1307" s="120"/>
      <c r="C1307" s="120"/>
      <c r="D1307" s="120"/>
      <c r="E1307" s="120"/>
      <c r="F1307" s="121"/>
      <c r="G1307" s="122"/>
      <c r="H1307" s="120"/>
    </row>
    <row r="1308" spans="1:8" ht="12.3">
      <c r="A1308" s="120"/>
      <c r="B1308" s="120"/>
      <c r="C1308" s="120"/>
      <c r="D1308" s="120"/>
      <c r="E1308" s="120"/>
      <c r="F1308" s="121"/>
      <c r="G1308" s="122"/>
      <c r="H1308" s="120"/>
    </row>
    <row r="1309" spans="1:8" ht="12.3">
      <c r="A1309" s="120"/>
      <c r="B1309" s="120"/>
      <c r="C1309" s="120"/>
      <c r="D1309" s="120"/>
      <c r="E1309" s="120"/>
      <c r="F1309" s="121"/>
      <c r="G1309" s="122"/>
      <c r="H1309" s="120"/>
    </row>
    <row r="1310" spans="1:8" ht="12.3">
      <c r="A1310" s="120"/>
      <c r="B1310" s="120"/>
      <c r="C1310" s="120"/>
      <c r="D1310" s="120"/>
      <c r="E1310" s="120"/>
      <c r="F1310" s="121"/>
      <c r="G1310" s="122"/>
      <c r="H1310" s="120"/>
    </row>
    <row r="1311" spans="1:8" ht="12.3">
      <c r="A1311" s="120"/>
      <c r="B1311" s="120"/>
      <c r="C1311" s="120"/>
      <c r="D1311" s="120"/>
      <c r="E1311" s="120"/>
      <c r="F1311" s="121"/>
      <c r="G1311" s="122"/>
      <c r="H1311" s="120"/>
    </row>
    <row r="1312" spans="1:8" ht="12.3">
      <c r="A1312" s="120"/>
      <c r="B1312" s="120"/>
      <c r="C1312" s="120"/>
      <c r="D1312" s="120"/>
      <c r="E1312" s="120"/>
      <c r="F1312" s="121"/>
      <c r="G1312" s="122"/>
      <c r="H1312" s="120"/>
    </row>
    <row r="1313" spans="1:8" ht="12.3">
      <c r="A1313" s="120"/>
      <c r="B1313" s="120"/>
      <c r="C1313" s="120"/>
      <c r="D1313" s="120"/>
      <c r="E1313" s="120"/>
      <c r="F1313" s="121"/>
      <c r="G1313" s="122"/>
      <c r="H1313" s="120"/>
    </row>
    <row r="1314" spans="1:8" ht="12.3">
      <c r="A1314" s="120"/>
      <c r="B1314" s="120"/>
      <c r="C1314" s="120"/>
      <c r="D1314" s="120"/>
      <c r="E1314" s="120"/>
      <c r="F1314" s="121"/>
      <c r="G1314" s="122"/>
      <c r="H1314" s="120"/>
    </row>
    <row r="1315" spans="1:8" ht="12.3">
      <c r="A1315" s="120"/>
      <c r="B1315" s="120"/>
      <c r="C1315" s="120"/>
      <c r="D1315" s="120"/>
      <c r="E1315" s="120"/>
      <c r="F1315" s="121"/>
      <c r="G1315" s="122"/>
      <c r="H1315" s="120"/>
    </row>
    <row r="1316" spans="1:8" ht="12.3">
      <c r="A1316" s="120"/>
      <c r="B1316" s="120"/>
      <c r="C1316" s="120"/>
      <c r="D1316" s="120"/>
      <c r="E1316" s="120"/>
      <c r="F1316" s="121"/>
      <c r="G1316" s="122"/>
      <c r="H1316" s="120"/>
    </row>
    <row r="1317" spans="1:8" ht="12.3">
      <c r="A1317" s="120"/>
      <c r="B1317" s="120"/>
      <c r="C1317" s="120"/>
      <c r="D1317" s="120"/>
      <c r="E1317" s="120"/>
      <c r="F1317" s="121"/>
      <c r="G1317" s="122"/>
      <c r="H1317" s="120"/>
    </row>
    <row r="1318" spans="1:8" ht="12.3">
      <c r="A1318" s="120"/>
      <c r="B1318" s="120"/>
      <c r="C1318" s="120"/>
      <c r="D1318" s="120"/>
      <c r="E1318" s="120"/>
      <c r="F1318" s="121"/>
      <c r="G1318" s="122"/>
      <c r="H1318" s="120"/>
    </row>
    <row r="1319" spans="1:8" ht="12.3">
      <c r="A1319" s="120"/>
      <c r="B1319" s="120"/>
      <c r="C1319" s="120"/>
      <c r="D1319" s="120"/>
      <c r="E1319" s="120"/>
      <c r="F1319" s="121"/>
      <c r="G1319" s="122"/>
      <c r="H1319" s="120"/>
    </row>
    <row r="1320" spans="1:8" ht="12.3">
      <c r="A1320" s="120"/>
      <c r="B1320" s="120"/>
      <c r="C1320" s="120"/>
      <c r="D1320" s="120"/>
      <c r="E1320" s="120"/>
      <c r="F1320" s="121"/>
      <c r="G1320" s="122"/>
      <c r="H1320" s="120"/>
    </row>
    <row r="1321" spans="1:8" ht="12.3">
      <c r="A1321" s="120"/>
      <c r="B1321" s="120"/>
      <c r="C1321" s="120"/>
      <c r="D1321" s="120"/>
      <c r="E1321" s="120"/>
      <c r="F1321" s="121"/>
      <c r="G1321" s="122"/>
      <c r="H1321" s="120"/>
    </row>
    <row r="1322" spans="1:8" ht="12.3">
      <c r="A1322" s="120"/>
      <c r="B1322" s="120"/>
      <c r="C1322" s="120"/>
      <c r="D1322" s="120"/>
      <c r="E1322" s="120"/>
      <c r="F1322" s="121"/>
      <c r="G1322" s="122"/>
      <c r="H1322" s="120"/>
    </row>
    <row r="1323" spans="1:8" ht="12.3">
      <c r="A1323" s="120"/>
      <c r="B1323" s="120"/>
      <c r="C1323" s="120"/>
      <c r="D1323" s="120"/>
      <c r="E1323" s="120"/>
      <c r="F1323" s="121"/>
      <c r="G1323" s="122"/>
      <c r="H1323" s="120"/>
    </row>
    <row r="1324" spans="1:8" ht="12.3">
      <c r="A1324" s="120"/>
      <c r="B1324" s="120"/>
      <c r="C1324" s="120"/>
      <c r="D1324" s="120"/>
      <c r="E1324" s="120"/>
      <c r="F1324" s="121"/>
      <c r="G1324" s="122"/>
      <c r="H1324" s="120"/>
    </row>
    <row r="1325" spans="1:8" ht="12.3">
      <c r="A1325" s="120"/>
      <c r="B1325" s="120"/>
      <c r="C1325" s="120"/>
      <c r="D1325" s="120"/>
      <c r="E1325" s="120"/>
      <c r="F1325" s="121"/>
      <c r="G1325" s="122"/>
      <c r="H1325" s="120"/>
    </row>
    <row r="1326" spans="1:8" ht="12.3">
      <c r="A1326" s="120"/>
      <c r="B1326" s="120"/>
      <c r="C1326" s="120"/>
      <c r="D1326" s="120"/>
      <c r="E1326" s="120"/>
      <c r="F1326" s="121"/>
      <c r="G1326" s="122"/>
      <c r="H1326" s="120"/>
    </row>
    <row r="1327" spans="1:8" ht="12.3">
      <c r="A1327" s="120"/>
      <c r="B1327" s="120"/>
      <c r="C1327" s="120"/>
      <c r="D1327" s="120"/>
      <c r="E1327" s="120"/>
      <c r="F1327" s="121"/>
      <c r="G1327" s="122"/>
      <c r="H1327" s="120"/>
    </row>
    <row r="1328" spans="1:8" ht="12.3">
      <c r="A1328" s="120"/>
      <c r="B1328" s="120"/>
      <c r="C1328" s="120"/>
      <c r="D1328" s="120"/>
      <c r="E1328" s="120"/>
      <c r="F1328" s="121"/>
      <c r="G1328" s="122"/>
      <c r="H1328" s="120"/>
    </row>
    <row r="1329" spans="1:8" ht="12.3">
      <c r="A1329" s="120"/>
      <c r="B1329" s="120"/>
      <c r="C1329" s="120"/>
      <c r="D1329" s="120"/>
      <c r="E1329" s="120"/>
      <c r="F1329" s="121"/>
      <c r="G1329" s="122"/>
      <c r="H1329" s="120"/>
    </row>
    <row r="1330" spans="1:8" ht="12.3">
      <c r="A1330" s="120"/>
      <c r="B1330" s="120"/>
      <c r="C1330" s="120"/>
      <c r="D1330" s="120"/>
      <c r="E1330" s="120"/>
      <c r="F1330" s="121"/>
      <c r="G1330" s="122"/>
      <c r="H1330" s="120"/>
    </row>
    <row r="1331" spans="1:8" ht="12.3">
      <c r="A1331" s="120"/>
      <c r="B1331" s="120"/>
      <c r="C1331" s="120"/>
      <c r="D1331" s="120"/>
      <c r="E1331" s="120"/>
      <c r="F1331" s="121"/>
      <c r="G1331" s="122"/>
      <c r="H1331" s="120"/>
    </row>
    <row r="1332" spans="1:8" ht="12.3">
      <c r="A1332" s="120"/>
      <c r="B1332" s="120"/>
      <c r="C1332" s="120"/>
      <c r="D1332" s="120"/>
      <c r="E1332" s="120"/>
      <c r="F1332" s="121"/>
      <c r="G1332" s="122"/>
      <c r="H1332" s="120"/>
    </row>
    <row r="1333" spans="1:8" ht="12.3">
      <c r="A1333" s="120"/>
      <c r="B1333" s="120"/>
      <c r="C1333" s="120"/>
      <c r="D1333" s="120"/>
      <c r="E1333" s="120"/>
      <c r="F1333" s="121"/>
      <c r="G1333" s="122"/>
      <c r="H1333" s="120"/>
    </row>
    <row r="1334" spans="1:8" ht="12.3">
      <c r="A1334" s="120"/>
      <c r="B1334" s="120"/>
      <c r="C1334" s="120"/>
      <c r="D1334" s="120"/>
      <c r="E1334" s="120"/>
      <c r="F1334" s="121"/>
      <c r="G1334" s="122"/>
      <c r="H1334" s="120"/>
    </row>
    <row r="1335" spans="1:8" ht="12.3">
      <c r="A1335" s="120"/>
      <c r="B1335" s="120"/>
      <c r="C1335" s="120"/>
      <c r="D1335" s="120"/>
      <c r="E1335" s="120"/>
      <c r="F1335" s="121"/>
      <c r="G1335" s="122"/>
      <c r="H1335" s="120"/>
    </row>
    <row r="1336" spans="1:8" ht="12.3">
      <c r="A1336" s="120"/>
      <c r="B1336" s="120"/>
      <c r="C1336" s="120"/>
      <c r="D1336" s="120"/>
      <c r="E1336" s="120"/>
      <c r="F1336" s="121"/>
      <c r="G1336" s="122"/>
      <c r="H1336" s="120"/>
    </row>
    <row r="1337" spans="1:8" ht="12.3">
      <c r="A1337" s="120"/>
      <c r="B1337" s="120"/>
      <c r="C1337" s="120"/>
      <c r="D1337" s="120"/>
      <c r="E1337" s="120"/>
      <c r="F1337" s="121"/>
      <c r="G1337" s="122"/>
      <c r="H1337" s="120"/>
    </row>
    <row r="1338" spans="1:8" ht="12.3">
      <c r="A1338" s="120"/>
      <c r="B1338" s="120"/>
      <c r="C1338" s="120"/>
      <c r="D1338" s="120"/>
      <c r="E1338" s="120"/>
      <c r="F1338" s="121"/>
      <c r="G1338" s="122"/>
      <c r="H1338" s="120"/>
    </row>
    <row r="1339" spans="1:8" ht="12.3">
      <c r="A1339" s="120"/>
      <c r="B1339" s="120"/>
      <c r="C1339" s="120"/>
      <c r="D1339" s="120"/>
      <c r="E1339" s="120"/>
      <c r="F1339" s="121"/>
      <c r="G1339" s="122"/>
      <c r="H1339" s="120"/>
    </row>
    <row r="1340" spans="1:8" ht="12.3">
      <c r="A1340" s="120"/>
      <c r="B1340" s="120"/>
      <c r="C1340" s="120"/>
      <c r="D1340" s="120"/>
      <c r="E1340" s="120"/>
      <c r="F1340" s="121"/>
      <c r="G1340" s="122"/>
      <c r="H1340" s="120"/>
    </row>
    <row r="1341" spans="1:8" ht="12.3">
      <c r="A1341" s="120"/>
      <c r="B1341" s="120"/>
      <c r="C1341" s="120"/>
      <c r="D1341" s="120"/>
      <c r="E1341" s="120"/>
      <c r="F1341" s="121"/>
      <c r="G1341" s="122"/>
      <c r="H1341" s="120"/>
    </row>
    <row r="1342" spans="1:8" ht="12.3">
      <c r="A1342" s="120"/>
      <c r="B1342" s="120"/>
      <c r="C1342" s="120"/>
      <c r="D1342" s="120"/>
      <c r="E1342" s="120"/>
      <c r="F1342" s="121"/>
      <c r="G1342" s="122"/>
      <c r="H1342" s="120"/>
    </row>
    <row r="1343" spans="1:8" ht="12.3">
      <c r="A1343" s="120"/>
      <c r="B1343" s="120"/>
      <c r="C1343" s="120"/>
      <c r="D1343" s="120"/>
      <c r="E1343" s="120"/>
      <c r="F1343" s="121"/>
      <c r="G1343" s="122"/>
      <c r="H1343" s="120"/>
    </row>
    <row r="1344" spans="1:8" ht="12.3">
      <c r="A1344" s="120"/>
      <c r="B1344" s="120"/>
      <c r="C1344" s="120"/>
      <c r="D1344" s="120"/>
      <c r="E1344" s="120"/>
      <c r="F1344" s="121"/>
      <c r="G1344" s="122"/>
      <c r="H1344" s="120"/>
    </row>
    <row r="1345" spans="1:8" ht="12.3">
      <c r="A1345" s="120"/>
      <c r="B1345" s="120"/>
      <c r="C1345" s="120"/>
      <c r="D1345" s="120"/>
      <c r="E1345" s="120"/>
      <c r="F1345" s="121"/>
      <c r="G1345" s="122"/>
      <c r="H1345" s="120"/>
    </row>
    <row r="1346" spans="1:8" ht="12.3">
      <c r="A1346" s="120"/>
      <c r="B1346" s="120"/>
      <c r="C1346" s="120"/>
      <c r="D1346" s="120"/>
      <c r="E1346" s="120"/>
      <c r="F1346" s="121"/>
      <c r="G1346" s="122"/>
      <c r="H1346" s="120"/>
    </row>
    <row r="1347" spans="1:8" ht="12.3">
      <c r="A1347" s="120"/>
      <c r="B1347" s="120"/>
      <c r="C1347" s="120"/>
      <c r="D1347" s="120"/>
      <c r="E1347" s="120"/>
      <c r="F1347" s="121"/>
      <c r="G1347" s="122"/>
      <c r="H1347" s="120"/>
    </row>
    <row r="1348" spans="1:8" ht="12.3">
      <c r="A1348" s="120"/>
      <c r="B1348" s="120"/>
      <c r="C1348" s="120"/>
      <c r="D1348" s="120"/>
      <c r="E1348" s="120"/>
      <c r="F1348" s="121"/>
      <c r="G1348" s="122"/>
      <c r="H1348" s="120"/>
    </row>
    <row r="1349" spans="1:8" ht="12.3">
      <c r="A1349" s="120"/>
      <c r="B1349" s="120"/>
      <c r="C1349" s="120"/>
      <c r="D1349" s="120"/>
      <c r="E1349" s="120"/>
      <c r="F1349" s="121"/>
      <c r="G1349" s="122"/>
      <c r="H1349" s="120"/>
    </row>
    <row r="1350" spans="1:8" ht="12.3">
      <c r="A1350" s="120"/>
      <c r="B1350" s="120"/>
      <c r="C1350" s="120"/>
      <c r="D1350" s="120"/>
      <c r="E1350" s="120"/>
      <c r="F1350" s="121"/>
      <c r="G1350" s="122"/>
      <c r="H1350" s="120"/>
    </row>
    <row r="1351" spans="1:8" ht="12.3">
      <c r="A1351" s="120"/>
      <c r="B1351" s="120"/>
      <c r="C1351" s="120"/>
      <c r="D1351" s="120"/>
      <c r="E1351" s="120"/>
      <c r="F1351" s="121"/>
      <c r="G1351" s="122"/>
      <c r="H1351" s="120"/>
    </row>
    <row r="1352" spans="1:8" ht="12.3">
      <c r="A1352" s="120"/>
      <c r="B1352" s="120"/>
      <c r="C1352" s="120"/>
      <c r="D1352" s="120"/>
      <c r="E1352" s="120"/>
      <c r="F1352" s="121"/>
      <c r="G1352" s="122"/>
      <c r="H1352" s="120"/>
    </row>
    <row r="1353" spans="1:8" ht="12.3">
      <c r="A1353" s="120"/>
      <c r="B1353" s="120"/>
      <c r="C1353" s="120"/>
      <c r="D1353" s="120"/>
      <c r="E1353" s="120"/>
      <c r="F1353" s="121"/>
      <c r="G1353" s="122"/>
      <c r="H1353" s="120"/>
    </row>
    <row r="1354" spans="1:8" ht="12.3">
      <c r="A1354" s="120"/>
      <c r="B1354" s="120"/>
      <c r="C1354" s="120"/>
      <c r="D1354" s="120"/>
      <c r="E1354" s="120"/>
      <c r="F1354" s="121"/>
      <c r="G1354" s="122"/>
      <c r="H1354" s="120"/>
    </row>
    <row r="1355" spans="1:8" ht="12.3">
      <c r="A1355" s="120"/>
      <c r="B1355" s="120"/>
      <c r="C1355" s="120"/>
      <c r="D1355" s="120"/>
      <c r="E1355" s="120"/>
      <c r="F1355" s="121"/>
      <c r="G1355" s="122"/>
      <c r="H1355" s="120"/>
    </row>
    <row r="1356" spans="1:8" ht="12.3">
      <c r="A1356" s="120"/>
      <c r="B1356" s="120"/>
      <c r="C1356" s="120"/>
      <c r="D1356" s="120"/>
      <c r="E1356" s="120"/>
      <c r="F1356" s="121"/>
      <c r="G1356" s="122"/>
      <c r="H1356" s="120"/>
    </row>
    <row r="1357" spans="1:8" ht="12.3">
      <c r="A1357" s="120"/>
      <c r="B1357" s="120"/>
      <c r="C1357" s="120"/>
      <c r="D1357" s="120"/>
      <c r="E1357" s="120"/>
      <c r="F1357" s="121"/>
      <c r="G1357" s="122"/>
      <c r="H1357" s="120"/>
    </row>
    <row r="1358" spans="1:8" ht="12.3">
      <c r="A1358" s="120"/>
      <c r="B1358" s="120"/>
      <c r="C1358" s="120"/>
      <c r="D1358" s="120"/>
      <c r="E1358" s="120"/>
      <c r="F1358" s="121"/>
      <c r="G1358" s="122"/>
      <c r="H1358" s="120"/>
    </row>
    <row r="1359" spans="1:8" ht="12.3">
      <c r="A1359" s="120"/>
      <c r="B1359" s="120"/>
      <c r="C1359" s="120"/>
      <c r="D1359" s="120"/>
      <c r="E1359" s="120"/>
      <c r="F1359" s="121"/>
      <c r="G1359" s="122"/>
      <c r="H1359" s="120"/>
    </row>
    <row r="1360" spans="1:8" ht="12.3">
      <c r="A1360" s="120"/>
      <c r="B1360" s="120"/>
      <c r="C1360" s="120"/>
      <c r="D1360" s="120"/>
      <c r="E1360" s="120"/>
      <c r="F1360" s="121"/>
      <c r="G1360" s="122"/>
      <c r="H1360" s="120"/>
    </row>
    <row r="1361" spans="1:8" ht="12.3">
      <c r="A1361" s="120"/>
      <c r="B1361" s="120"/>
      <c r="C1361" s="120"/>
      <c r="D1361" s="120"/>
      <c r="E1361" s="120"/>
      <c r="F1361" s="121"/>
      <c r="G1361" s="122"/>
      <c r="H1361" s="120"/>
    </row>
    <row r="1362" spans="1:8" ht="12.3">
      <c r="A1362" s="120"/>
      <c r="B1362" s="120"/>
      <c r="C1362" s="120"/>
      <c r="D1362" s="120"/>
      <c r="E1362" s="120"/>
      <c r="F1362" s="121"/>
      <c r="G1362" s="122"/>
      <c r="H1362" s="120"/>
    </row>
    <row r="1363" spans="1:8" ht="12.3">
      <c r="A1363" s="120"/>
      <c r="B1363" s="120"/>
      <c r="C1363" s="120"/>
      <c r="D1363" s="120"/>
      <c r="E1363" s="120"/>
      <c r="F1363" s="121"/>
      <c r="G1363" s="122"/>
      <c r="H1363" s="120"/>
    </row>
    <row r="1364" spans="1:8" ht="12.3">
      <c r="A1364" s="120"/>
      <c r="B1364" s="120"/>
      <c r="C1364" s="120"/>
      <c r="D1364" s="120"/>
      <c r="E1364" s="120"/>
      <c r="F1364" s="121"/>
      <c r="G1364" s="122"/>
      <c r="H1364" s="120"/>
    </row>
    <row r="1365" spans="1:8" ht="12.3">
      <c r="A1365" s="120"/>
      <c r="B1365" s="120"/>
      <c r="C1365" s="120"/>
      <c r="D1365" s="120"/>
      <c r="E1365" s="120"/>
      <c r="F1365" s="121"/>
      <c r="G1365" s="122"/>
      <c r="H1365" s="120"/>
    </row>
    <row r="1366" spans="1:8" ht="12.3">
      <c r="A1366" s="120"/>
      <c r="B1366" s="120"/>
      <c r="C1366" s="120"/>
      <c r="D1366" s="120"/>
      <c r="E1366" s="120"/>
      <c r="F1366" s="121"/>
      <c r="G1366" s="122"/>
      <c r="H1366" s="120"/>
    </row>
    <row r="1367" spans="1:8" ht="12.3">
      <c r="A1367" s="120"/>
      <c r="B1367" s="120"/>
      <c r="C1367" s="120"/>
      <c r="D1367" s="120"/>
      <c r="E1367" s="120"/>
      <c r="F1367" s="121"/>
      <c r="G1367" s="122"/>
      <c r="H1367" s="120"/>
    </row>
    <row r="1368" spans="1:8" ht="12.3">
      <c r="A1368" s="120"/>
      <c r="B1368" s="120"/>
      <c r="C1368" s="120"/>
      <c r="D1368" s="120"/>
      <c r="E1368" s="120"/>
      <c r="F1368" s="121"/>
      <c r="G1368" s="122"/>
      <c r="H1368" s="120"/>
    </row>
    <row r="1369" spans="1:8" ht="12.3">
      <c r="A1369" s="120"/>
      <c r="B1369" s="120"/>
      <c r="C1369" s="120"/>
      <c r="D1369" s="120"/>
      <c r="E1369" s="120"/>
      <c r="F1369" s="121"/>
      <c r="G1369" s="122"/>
      <c r="H1369" s="120"/>
    </row>
    <row r="1370" spans="1:8" ht="12.3">
      <c r="A1370" s="120"/>
      <c r="B1370" s="120"/>
      <c r="C1370" s="120"/>
      <c r="D1370" s="120"/>
      <c r="E1370" s="120"/>
      <c r="F1370" s="121"/>
      <c r="G1370" s="122"/>
      <c r="H1370" s="120"/>
    </row>
    <row r="1371" spans="1:8" ht="12.3">
      <c r="A1371" s="120"/>
      <c r="B1371" s="120"/>
      <c r="C1371" s="120"/>
      <c r="D1371" s="120"/>
      <c r="E1371" s="120"/>
      <c r="F1371" s="121"/>
      <c r="G1371" s="122"/>
      <c r="H1371" s="120"/>
    </row>
    <row r="1372" spans="1:8" ht="12.3">
      <c r="A1372" s="120"/>
      <c r="B1372" s="120"/>
      <c r="C1372" s="120"/>
      <c r="D1372" s="120"/>
      <c r="E1372" s="120"/>
      <c r="F1372" s="121"/>
      <c r="G1372" s="122"/>
      <c r="H1372" s="120"/>
    </row>
    <row r="1373" spans="1:8" ht="12.3">
      <c r="A1373" s="120"/>
      <c r="B1373" s="120"/>
      <c r="C1373" s="120"/>
      <c r="D1373" s="120"/>
      <c r="E1373" s="120"/>
      <c r="F1373" s="121"/>
      <c r="G1373" s="122"/>
      <c r="H1373" s="120"/>
    </row>
    <row r="1374" spans="1:8" ht="12.3">
      <c r="A1374" s="120"/>
      <c r="B1374" s="120"/>
      <c r="C1374" s="120"/>
      <c r="D1374" s="120"/>
      <c r="E1374" s="120"/>
      <c r="F1374" s="121"/>
      <c r="G1374" s="122"/>
      <c r="H1374" s="120"/>
    </row>
    <row r="1375" spans="1:8" ht="12.3">
      <c r="A1375" s="120"/>
      <c r="B1375" s="120"/>
      <c r="C1375" s="120"/>
      <c r="D1375" s="120"/>
      <c r="E1375" s="120"/>
      <c r="F1375" s="121"/>
      <c r="G1375" s="122"/>
      <c r="H1375" s="120"/>
    </row>
    <row r="1376" spans="1:8" ht="12.3">
      <c r="A1376" s="120"/>
      <c r="B1376" s="120"/>
      <c r="C1376" s="120"/>
      <c r="D1376" s="120"/>
      <c r="E1376" s="120"/>
      <c r="F1376" s="121"/>
      <c r="G1376" s="122"/>
      <c r="H1376" s="120"/>
    </row>
    <row r="1377" spans="1:8" ht="12.3">
      <c r="A1377" s="120"/>
      <c r="B1377" s="120"/>
      <c r="C1377" s="120"/>
      <c r="D1377" s="120"/>
      <c r="E1377" s="120"/>
      <c r="F1377" s="121"/>
      <c r="G1377" s="122"/>
      <c r="H1377" s="120"/>
    </row>
    <row r="1378" spans="1:8" ht="12.3">
      <c r="A1378" s="120"/>
      <c r="B1378" s="120"/>
      <c r="C1378" s="120"/>
      <c r="D1378" s="120"/>
      <c r="E1378" s="120"/>
      <c r="F1378" s="121"/>
      <c r="G1378" s="122"/>
      <c r="H1378" s="120"/>
    </row>
    <row r="1379" spans="1:8" ht="12.3">
      <c r="A1379" s="120"/>
      <c r="B1379" s="120"/>
      <c r="C1379" s="120"/>
      <c r="D1379" s="120"/>
      <c r="E1379" s="120"/>
      <c r="F1379" s="121"/>
      <c r="G1379" s="122"/>
      <c r="H1379" s="120"/>
    </row>
    <row r="1380" spans="1:8" ht="12.3">
      <c r="A1380" s="120"/>
      <c r="B1380" s="120"/>
      <c r="C1380" s="120"/>
      <c r="D1380" s="120"/>
      <c r="E1380" s="120"/>
      <c r="F1380" s="121"/>
      <c r="G1380" s="122"/>
      <c r="H1380" s="120"/>
    </row>
    <row r="1381" spans="1:8" ht="12.3">
      <c r="A1381" s="120"/>
      <c r="B1381" s="120"/>
      <c r="C1381" s="120"/>
      <c r="D1381" s="120"/>
      <c r="E1381" s="120"/>
      <c r="F1381" s="121"/>
      <c r="G1381" s="122"/>
      <c r="H1381" s="120"/>
    </row>
    <row r="1382" spans="1:8" ht="12.3">
      <c r="A1382" s="120"/>
      <c r="B1382" s="120"/>
      <c r="C1382" s="120"/>
      <c r="D1382" s="120"/>
      <c r="E1382" s="120"/>
      <c r="F1382" s="121"/>
      <c r="G1382" s="122"/>
      <c r="H1382" s="120"/>
    </row>
    <row r="1383" spans="1:8" ht="12.3">
      <c r="A1383" s="120"/>
      <c r="B1383" s="120"/>
      <c r="C1383" s="120"/>
      <c r="D1383" s="120"/>
      <c r="E1383" s="120"/>
      <c r="F1383" s="121"/>
      <c r="G1383" s="122"/>
      <c r="H1383" s="120"/>
    </row>
    <row r="1384" spans="1:8" ht="12.3">
      <c r="A1384" s="120"/>
      <c r="B1384" s="120"/>
      <c r="C1384" s="120"/>
      <c r="D1384" s="120"/>
      <c r="E1384" s="120"/>
      <c r="F1384" s="121"/>
      <c r="G1384" s="122"/>
      <c r="H1384" s="120"/>
    </row>
    <row r="1385" spans="1:8" ht="12.3">
      <c r="A1385" s="120"/>
      <c r="B1385" s="120"/>
      <c r="C1385" s="120"/>
      <c r="D1385" s="120"/>
      <c r="E1385" s="120"/>
      <c r="F1385" s="121"/>
      <c r="G1385" s="122"/>
      <c r="H1385" s="120"/>
    </row>
    <row r="1386" spans="1:8" ht="12.3">
      <c r="A1386" s="120"/>
      <c r="B1386" s="120"/>
      <c r="C1386" s="120"/>
      <c r="D1386" s="120"/>
      <c r="E1386" s="120"/>
      <c r="F1386" s="121"/>
      <c r="G1386" s="122"/>
      <c r="H1386" s="120"/>
    </row>
    <row r="1387" spans="1:8" ht="12.3">
      <c r="A1387" s="120"/>
      <c r="B1387" s="120"/>
      <c r="C1387" s="120"/>
      <c r="D1387" s="120"/>
      <c r="E1387" s="120"/>
      <c r="F1387" s="121"/>
      <c r="G1387" s="122"/>
      <c r="H1387" s="120"/>
    </row>
    <row r="1388" spans="1:8" ht="12.3">
      <c r="A1388" s="120"/>
      <c r="B1388" s="120"/>
      <c r="C1388" s="120"/>
      <c r="D1388" s="120"/>
      <c r="E1388" s="120"/>
      <c r="F1388" s="121"/>
      <c r="G1388" s="122"/>
      <c r="H1388" s="120"/>
    </row>
    <row r="1389" spans="1:8" ht="12.3">
      <c r="A1389" s="120"/>
      <c r="B1389" s="120"/>
      <c r="C1389" s="120"/>
      <c r="D1389" s="120"/>
      <c r="E1389" s="120"/>
      <c r="F1389" s="121"/>
      <c r="G1389" s="122"/>
      <c r="H1389" s="120"/>
    </row>
    <row r="1390" spans="1:8" ht="12.3">
      <c r="A1390" s="120"/>
      <c r="B1390" s="120"/>
      <c r="C1390" s="120"/>
      <c r="D1390" s="120"/>
      <c r="E1390" s="120"/>
      <c r="F1390" s="121"/>
      <c r="G1390" s="122"/>
      <c r="H1390" s="120"/>
    </row>
    <row r="1391" spans="1:8" ht="12.3">
      <c r="A1391" s="120"/>
      <c r="B1391" s="120"/>
      <c r="C1391" s="120"/>
      <c r="D1391" s="120"/>
      <c r="E1391" s="120"/>
      <c r="F1391" s="121"/>
      <c r="G1391" s="122"/>
      <c r="H1391" s="120"/>
    </row>
    <row r="1392" spans="1:8" ht="12.3">
      <c r="A1392" s="120"/>
      <c r="B1392" s="120"/>
      <c r="C1392" s="120"/>
      <c r="D1392" s="120"/>
      <c r="E1392" s="120"/>
      <c r="F1392" s="121"/>
      <c r="G1392" s="122"/>
      <c r="H1392" s="120"/>
    </row>
    <row r="1393" spans="1:8" ht="12.3">
      <c r="A1393" s="120"/>
      <c r="B1393" s="120"/>
      <c r="C1393" s="120"/>
      <c r="D1393" s="120"/>
      <c r="E1393" s="120"/>
      <c r="F1393" s="121"/>
      <c r="G1393" s="122"/>
      <c r="H1393" s="120"/>
    </row>
    <row r="1394" spans="1:8" ht="12.3">
      <c r="A1394" s="120"/>
      <c r="B1394" s="120"/>
      <c r="C1394" s="120"/>
      <c r="D1394" s="120"/>
      <c r="E1394" s="120"/>
      <c r="F1394" s="121"/>
      <c r="G1394" s="122"/>
      <c r="H1394" s="120"/>
    </row>
    <row r="1395" spans="1:8" ht="12.3">
      <c r="A1395" s="120"/>
      <c r="B1395" s="120"/>
      <c r="C1395" s="120"/>
      <c r="D1395" s="120"/>
      <c r="E1395" s="120"/>
      <c r="F1395" s="121"/>
      <c r="G1395" s="122"/>
      <c r="H1395" s="120"/>
    </row>
    <row r="1396" spans="1:8" ht="12.3">
      <c r="A1396" s="120"/>
      <c r="B1396" s="120"/>
      <c r="C1396" s="120"/>
      <c r="D1396" s="120"/>
      <c r="E1396" s="120"/>
      <c r="F1396" s="121"/>
      <c r="G1396" s="122"/>
      <c r="H1396" s="120"/>
    </row>
    <row r="1397" spans="1:8" ht="12.3">
      <c r="A1397" s="120"/>
      <c r="B1397" s="120"/>
      <c r="C1397" s="120"/>
      <c r="D1397" s="120"/>
      <c r="E1397" s="120"/>
      <c r="F1397" s="121"/>
      <c r="G1397" s="122"/>
      <c r="H1397" s="120"/>
    </row>
    <row r="1398" spans="1:8" ht="12.3">
      <c r="A1398" s="120"/>
      <c r="B1398" s="120"/>
      <c r="C1398" s="120"/>
      <c r="D1398" s="120"/>
      <c r="E1398" s="120"/>
      <c r="F1398" s="121"/>
      <c r="G1398" s="122"/>
      <c r="H1398" s="120"/>
    </row>
    <row r="1399" spans="1:8" ht="12.3">
      <c r="A1399" s="120"/>
      <c r="B1399" s="120"/>
      <c r="C1399" s="120"/>
      <c r="D1399" s="120"/>
      <c r="E1399" s="120"/>
      <c r="F1399" s="121"/>
      <c r="G1399" s="122"/>
      <c r="H1399" s="120"/>
    </row>
    <row r="1400" spans="1:8" ht="12.3">
      <c r="A1400" s="120"/>
      <c r="B1400" s="120"/>
      <c r="C1400" s="120"/>
      <c r="D1400" s="120"/>
      <c r="E1400" s="120"/>
      <c r="F1400" s="121"/>
      <c r="G1400" s="122"/>
      <c r="H1400" s="120"/>
    </row>
    <row r="1401" spans="1:8" ht="12.3">
      <c r="A1401" s="120"/>
      <c r="B1401" s="120"/>
      <c r="C1401" s="120"/>
      <c r="D1401" s="120"/>
      <c r="E1401" s="120"/>
      <c r="F1401" s="121"/>
      <c r="G1401" s="122"/>
      <c r="H1401" s="120"/>
    </row>
    <row r="1402" spans="1:8" ht="12.3">
      <c r="A1402" s="120"/>
      <c r="B1402" s="120"/>
      <c r="C1402" s="120"/>
      <c r="D1402" s="120"/>
      <c r="E1402" s="120"/>
      <c r="F1402" s="121"/>
      <c r="G1402" s="122"/>
      <c r="H1402" s="120"/>
    </row>
    <row r="1403" spans="1:8" ht="12.3">
      <c r="A1403" s="120"/>
      <c r="B1403" s="120"/>
      <c r="C1403" s="120"/>
      <c r="D1403" s="120"/>
      <c r="E1403" s="120"/>
      <c r="F1403" s="121"/>
      <c r="G1403" s="122"/>
      <c r="H1403" s="120"/>
    </row>
    <row r="1404" spans="1:8" ht="12.3">
      <c r="A1404" s="120"/>
      <c r="B1404" s="120"/>
      <c r="C1404" s="120"/>
      <c r="D1404" s="120"/>
      <c r="E1404" s="120"/>
      <c r="F1404" s="121"/>
      <c r="G1404" s="122"/>
      <c r="H1404" s="120"/>
    </row>
    <row r="1405" spans="1:8" ht="12.3">
      <c r="A1405" s="120"/>
      <c r="B1405" s="120"/>
      <c r="C1405" s="120"/>
      <c r="D1405" s="120"/>
      <c r="E1405" s="120"/>
      <c r="F1405" s="121"/>
      <c r="G1405" s="122"/>
      <c r="H1405" s="120"/>
    </row>
    <row r="1406" spans="1:8" ht="12.3">
      <c r="A1406" s="120"/>
      <c r="B1406" s="120"/>
      <c r="C1406" s="120"/>
      <c r="D1406" s="120"/>
      <c r="E1406" s="120"/>
      <c r="F1406" s="121"/>
      <c r="G1406" s="122"/>
      <c r="H1406" s="120"/>
    </row>
    <row r="1407" spans="1:8" ht="12.3">
      <c r="A1407" s="120"/>
      <c r="B1407" s="120"/>
      <c r="C1407" s="120"/>
      <c r="D1407" s="120"/>
      <c r="E1407" s="120"/>
      <c r="F1407" s="121"/>
      <c r="G1407" s="122"/>
      <c r="H1407" s="120"/>
    </row>
    <row r="1408" spans="1:8" ht="12.3">
      <c r="A1408" s="120"/>
      <c r="B1408" s="120"/>
      <c r="C1408" s="120"/>
      <c r="D1408" s="120"/>
      <c r="E1408" s="120"/>
      <c r="F1408" s="121"/>
      <c r="G1408" s="122"/>
      <c r="H1408" s="120"/>
    </row>
    <row r="1409" spans="1:8" ht="12.3">
      <c r="A1409" s="120"/>
      <c r="B1409" s="120"/>
      <c r="C1409" s="120"/>
      <c r="D1409" s="120"/>
      <c r="E1409" s="120"/>
      <c r="F1409" s="121"/>
      <c r="G1409" s="122"/>
      <c r="H1409" s="120"/>
    </row>
    <row r="1410" spans="1:8" ht="12.3">
      <c r="A1410" s="120"/>
      <c r="B1410" s="120"/>
      <c r="C1410" s="120"/>
      <c r="D1410" s="120"/>
      <c r="E1410" s="120"/>
      <c r="F1410" s="121"/>
      <c r="G1410" s="122"/>
      <c r="H1410" s="120"/>
    </row>
    <row r="1411" spans="1:8" ht="12.3">
      <c r="A1411" s="120"/>
      <c r="B1411" s="120"/>
      <c r="C1411" s="120"/>
      <c r="D1411" s="120"/>
      <c r="E1411" s="120"/>
      <c r="F1411" s="121"/>
      <c r="G1411" s="122"/>
      <c r="H1411" s="120"/>
    </row>
    <row r="1412" spans="1:8" ht="12.3">
      <c r="A1412" s="120"/>
      <c r="B1412" s="120"/>
      <c r="C1412" s="120"/>
      <c r="D1412" s="120"/>
      <c r="E1412" s="120"/>
      <c r="F1412" s="121"/>
      <c r="G1412" s="122"/>
      <c r="H1412" s="120"/>
    </row>
    <row r="1413" spans="1:8" ht="12.3">
      <c r="A1413" s="120"/>
      <c r="B1413" s="120"/>
      <c r="C1413" s="120"/>
      <c r="D1413" s="120"/>
      <c r="E1413" s="120"/>
      <c r="F1413" s="121"/>
      <c r="G1413" s="122"/>
      <c r="H1413" s="120"/>
    </row>
    <row r="1414" spans="1:8" ht="12.3">
      <c r="A1414" s="120"/>
      <c r="B1414" s="120"/>
      <c r="C1414" s="120"/>
      <c r="D1414" s="120"/>
      <c r="E1414" s="120"/>
      <c r="F1414" s="121"/>
      <c r="G1414" s="122"/>
      <c r="H1414" s="120"/>
    </row>
    <row r="1415" spans="1:8" ht="12.3">
      <c r="A1415" s="120"/>
      <c r="B1415" s="120"/>
      <c r="C1415" s="120"/>
      <c r="D1415" s="120"/>
      <c r="E1415" s="120"/>
      <c r="F1415" s="121"/>
      <c r="G1415" s="122"/>
      <c r="H1415" s="120"/>
    </row>
    <row r="1416" spans="1:8" ht="12.3">
      <c r="A1416" s="120"/>
      <c r="B1416" s="120"/>
      <c r="C1416" s="120"/>
      <c r="D1416" s="120"/>
      <c r="E1416" s="120"/>
      <c r="F1416" s="121"/>
      <c r="G1416" s="122"/>
      <c r="H1416" s="120"/>
    </row>
    <row r="1417" spans="1:8" ht="12.3">
      <c r="A1417" s="120"/>
      <c r="B1417" s="120"/>
      <c r="C1417" s="120"/>
      <c r="D1417" s="120"/>
      <c r="E1417" s="120"/>
      <c r="F1417" s="121"/>
      <c r="G1417" s="122"/>
      <c r="H1417" s="120"/>
    </row>
    <row r="1418" spans="1:8" ht="12.3">
      <c r="A1418" s="120"/>
      <c r="B1418" s="120"/>
      <c r="C1418" s="120"/>
      <c r="D1418" s="120"/>
      <c r="E1418" s="120"/>
      <c r="F1418" s="121"/>
      <c r="G1418" s="122"/>
      <c r="H1418" s="120"/>
    </row>
    <row r="1419" spans="1:8" ht="12.3">
      <c r="A1419" s="120"/>
      <c r="B1419" s="120"/>
      <c r="C1419" s="120"/>
      <c r="D1419" s="120"/>
      <c r="E1419" s="120"/>
      <c r="F1419" s="121"/>
      <c r="G1419" s="122"/>
      <c r="H1419" s="120"/>
    </row>
    <row r="1420" spans="1:8" ht="12.3">
      <c r="A1420" s="120"/>
      <c r="B1420" s="120"/>
      <c r="C1420" s="120"/>
      <c r="D1420" s="120"/>
      <c r="E1420" s="120"/>
      <c r="F1420" s="121"/>
      <c r="G1420" s="122"/>
      <c r="H1420" s="120"/>
    </row>
    <row r="1421" spans="1:8" ht="12.3">
      <c r="A1421" s="120"/>
      <c r="B1421" s="120"/>
      <c r="C1421" s="120"/>
      <c r="D1421" s="120"/>
      <c r="E1421" s="120"/>
      <c r="F1421" s="121"/>
      <c r="G1421" s="122"/>
      <c r="H1421" s="120"/>
    </row>
    <row r="1422" spans="1:8" ht="12.3">
      <c r="A1422" s="120"/>
      <c r="B1422" s="120"/>
      <c r="C1422" s="120"/>
      <c r="D1422" s="120"/>
      <c r="E1422" s="120"/>
      <c r="F1422" s="121"/>
      <c r="G1422" s="122"/>
      <c r="H1422" s="120"/>
    </row>
    <row r="1423" spans="1:8" ht="12.3">
      <c r="A1423" s="120"/>
      <c r="B1423" s="120"/>
      <c r="C1423" s="120"/>
      <c r="D1423" s="120"/>
      <c r="E1423" s="120"/>
      <c r="F1423" s="121"/>
      <c r="G1423" s="122"/>
      <c r="H1423" s="120"/>
    </row>
    <row r="1424" spans="1:8" ht="12.3">
      <c r="A1424" s="120"/>
      <c r="B1424" s="120"/>
      <c r="C1424" s="120"/>
      <c r="D1424" s="120"/>
      <c r="E1424" s="120"/>
      <c r="F1424" s="121"/>
      <c r="G1424" s="122"/>
      <c r="H1424" s="120"/>
    </row>
    <row r="1425" spans="1:8" ht="12.3">
      <c r="A1425" s="120"/>
      <c r="B1425" s="120"/>
      <c r="C1425" s="120"/>
      <c r="D1425" s="120"/>
      <c r="E1425" s="120"/>
      <c r="F1425" s="121"/>
      <c r="G1425" s="122"/>
      <c r="H1425" s="120"/>
    </row>
    <row r="1426" spans="1:8" ht="12.3">
      <c r="A1426" s="120"/>
      <c r="B1426" s="120"/>
      <c r="C1426" s="120"/>
      <c r="D1426" s="120"/>
      <c r="E1426" s="120"/>
      <c r="F1426" s="121"/>
      <c r="G1426" s="122"/>
      <c r="H1426" s="120"/>
    </row>
    <row r="1427" spans="1:8" ht="12.3">
      <c r="A1427" s="120"/>
      <c r="B1427" s="120"/>
      <c r="C1427" s="120"/>
      <c r="D1427" s="120"/>
      <c r="E1427" s="120"/>
      <c r="F1427" s="121"/>
      <c r="G1427" s="122"/>
      <c r="H1427" s="120"/>
    </row>
    <row r="1428" spans="1:8" ht="12.3">
      <c r="A1428" s="120"/>
      <c r="B1428" s="120"/>
      <c r="C1428" s="120"/>
      <c r="D1428" s="120"/>
      <c r="E1428" s="120"/>
      <c r="F1428" s="121"/>
      <c r="G1428" s="122"/>
      <c r="H1428" s="120"/>
    </row>
    <row r="1429" spans="1:8" ht="12.3">
      <c r="A1429" s="120"/>
      <c r="B1429" s="120"/>
      <c r="C1429" s="120"/>
      <c r="D1429" s="120"/>
      <c r="E1429" s="120"/>
      <c r="F1429" s="121"/>
      <c r="G1429" s="122"/>
      <c r="H1429" s="120"/>
    </row>
    <row r="1430" spans="1:8" ht="12.3">
      <c r="A1430" s="120"/>
      <c r="B1430" s="120"/>
      <c r="C1430" s="120"/>
      <c r="D1430" s="120"/>
      <c r="E1430" s="120"/>
      <c r="F1430" s="121"/>
      <c r="G1430" s="122"/>
      <c r="H1430" s="120"/>
    </row>
    <row r="1431" spans="1:8" ht="12.3">
      <c r="A1431" s="120"/>
      <c r="B1431" s="120"/>
      <c r="C1431" s="120"/>
      <c r="D1431" s="120"/>
      <c r="E1431" s="120"/>
      <c r="F1431" s="121"/>
      <c r="G1431" s="122"/>
      <c r="H1431" s="120"/>
    </row>
    <row r="1432" spans="1:8" ht="12.3">
      <c r="A1432" s="120"/>
      <c r="B1432" s="120"/>
      <c r="C1432" s="120"/>
      <c r="D1432" s="120"/>
      <c r="E1432" s="120"/>
      <c r="F1432" s="121"/>
      <c r="G1432" s="122"/>
      <c r="H1432" s="120"/>
    </row>
    <row r="1433" spans="1:8" ht="12.3">
      <c r="A1433" s="120"/>
      <c r="B1433" s="120"/>
      <c r="C1433" s="120"/>
      <c r="D1433" s="120"/>
      <c r="E1433" s="120"/>
      <c r="F1433" s="121"/>
      <c r="G1433" s="122"/>
      <c r="H1433" s="120"/>
    </row>
    <row r="1434" spans="1:8" ht="12.3">
      <c r="A1434" s="120"/>
      <c r="B1434" s="120"/>
      <c r="C1434" s="120"/>
      <c r="D1434" s="120"/>
      <c r="E1434" s="120"/>
      <c r="F1434" s="121"/>
      <c r="G1434" s="122"/>
      <c r="H1434" s="120"/>
    </row>
    <row r="1435" spans="1:8" ht="12.3">
      <c r="A1435" s="120"/>
      <c r="B1435" s="120"/>
      <c r="C1435" s="120"/>
      <c r="D1435" s="120"/>
      <c r="E1435" s="120"/>
      <c r="F1435" s="121"/>
      <c r="G1435" s="122"/>
      <c r="H1435" s="120"/>
    </row>
    <row r="1436" spans="1:8" ht="12.3">
      <c r="A1436" s="120"/>
      <c r="B1436" s="120"/>
      <c r="C1436" s="120"/>
      <c r="D1436" s="120"/>
      <c r="E1436" s="120"/>
      <c r="F1436" s="121"/>
      <c r="G1436" s="122"/>
      <c r="H1436" s="120"/>
    </row>
    <row r="1437" spans="1:8" ht="12.3">
      <c r="A1437" s="120"/>
      <c r="B1437" s="120"/>
      <c r="C1437" s="120"/>
      <c r="D1437" s="120"/>
      <c r="E1437" s="120"/>
      <c r="F1437" s="121"/>
      <c r="G1437" s="122"/>
      <c r="H1437" s="120"/>
    </row>
    <row r="1438" spans="1:8" ht="12.3">
      <c r="A1438" s="120"/>
      <c r="B1438" s="120"/>
      <c r="C1438" s="120"/>
      <c r="D1438" s="120"/>
      <c r="E1438" s="120"/>
      <c r="F1438" s="121"/>
      <c r="G1438" s="122"/>
      <c r="H1438" s="120"/>
    </row>
    <row r="1439" spans="1:8" ht="12.3">
      <c r="A1439" s="120"/>
      <c r="B1439" s="120"/>
      <c r="C1439" s="120"/>
      <c r="D1439" s="120"/>
      <c r="E1439" s="120"/>
      <c r="F1439" s="121"/>
      <c r="G1439" s="122"/>
      <c r="H1439" s="120"/>
    </row>
    <row r="1440" spans="1:8" ht="12.3">
      <c r="A1440" s="120"/>
      <c r="B1440" s="120"/>
      <c r="C1440" s="120"/>
      <c r="D1440" s="120"/>
      <c r="E1440" s="120"/>
      <c r="F1440" s="121"/>
      <c r="G1440" s="122"/>
      <c r="H1440" s="120"/>
    </row>
    <row r="1441" spans="1:8" ht="12.3">
      <c r="A1441" s="120"/>
      <c r="B1441" s="120"/>
      <c r="C1441" s="120"/>
      <c r="D1441" s="120"/>
      <c r="E1441" s="120"/>
      <c r="F1441" s="121"/>
      <c r="G1441" s="122"/>
      <c r="H1441" s="120"/>
    </row>
    <row r="1442" spans="1:8" ht="12.3">
      <c r="A1442" s="120"/>
      <c r="B1442" s="120"/>
      <c r="C1442" s="120"/>
      <c r="D1442" s="120"/>
      <c r="E1442" s="120"/>
      <c r="F1442" s="121"/>
      <c r="G1442" s="122"/>
      <c r="H1442" s="120"/>
    </row>
    <row r="1443" spans="1:8" ht="12.3">
      <c r="A1443" s="120"/>
      <c r="B1443" s="120"/>
      <c r="C1443" s="120"/>
      <c r="D1443" s="120"/>
      <c r="E1443" s="120"/>
      <c r="F1443" s="121"/>
      <c r="G1443" s="122"/>
      <c r="H1443" s="120"/>
    </row>
    <row r="1444" spans="1:8" ht="12.3">
      <c r="A1444" s="120"/>
      <c r="B1444" s="120"/>
      <c r="C1444" s="120"/>
      <c r="D1444" s="120"/>
      <c r="E1444" s="120"/>
      <c r="F1444" s="121"/>
      <c r="G1444" s="122"/>
      <c r="H1444" s="120"/>
    </row>
    <row r="1445" spans="1:8" ht="12.3">
      <c r="A1445" s="120"/>
      <c r="B1445" s="120"/>
      <c r="C1445" s="120"/>
      <c r="D1445" s="120"/>
      <c r="E1445" s="120"/>
      <c r="F1445" s="121"/>
      <c r="G1445" s="122"/>
      <c r="H1445" s="120"/>
    </row>
    <row r="1446" spans="1:8" ht="12.3">
      <c r="A1446" s="120"/>
      <c r="B1446" s="120"/>
      <c r="C1446" s="120"/>
      <c r="D1446" s="120"/>
      <c r="E1446" s="120"/>
      <c r="F1446" s="121"/>
      <c r="G1446" s="122"/>
      <c r="H1446" s="120"/>
    </row>
    <row r="1447" spans="1:8" ht="12.3">
      <c r="A1447" s="120"/>
      <c r="B1447" s="120"/>
      <c r="C1447" s="120"/>
      <c r="D1447" s="120"/>
      <c r="E1447" s="120"/>
      <c r="F1447" s="121"/>
      <c r="G1447" s="122"/>
      <c r="H1447" s="120"/>
    </row>
    <row r="1448" spans="1:8" ht="12.3">
      <c r="A1448" s="120"/>
      <c r="B1448" s="120"/>
      <c r="C1448" s="120"/>
      <c r="D1448" s="120"/>
      <c r="E1448" s="120"/>
      <c r="F1448" s="121"/>
      <c r="G1448" s="122"/>
      <c r="H1448" s="120"/>
    </row>
    <row r="1449" spans="1:8" ht="12.3">
      <c r="A1449" s="120"/>
      <c r="B1449" s="120"/>
      <c r="C1449" s="120"/>
      <c r="D1449" s="120"/>
      <c r="E1449" s="120"/>
      <c r="F1449" s="121"/>
      <c r="G1449" s="122"/>
      <c r="H1449" s="120"/>
    </row>
    <row r="1450" spans="1:8" ht="12.3">
      <c r="A1450" s="120"/>
      <c r="B1450" s="120"/>
      <c r="C1450" s="120"/>
      <c r="D1450" s="120"/>
      <c r="E1450" s="120"/>
      <c r="F1450" s="121"/>
      <c r="G1450" s="122"/>
      <c r="H1450" s="120"/>
    </row>
    <row r="1451" spans="1:8" ht="12.3">
      <c r="A1451" s="120"/>
      <c r="B1451" s="120"/>
      <c r="C1451" s="120"/>
      <c r="D1451" s="120"/>
      <c r="E1451" s="120"/>
      <c r="F1451" s="121"/>
      <c r="G1451" s="122"/>
      <c r="H1451" s="120"/>
    </row>
    <row r="1452" spans="1:8" ht="12.3">
      <c r="A1452" s="120"/>
      <c r="B1452" s="120"/>
      <c r="C1452" s="120"/>
      <c r="D1452" s="120"/>
      <c r="E1452" s="120"/>
      <c r="F1452" s="121"/>
      <c r="G1452" s="122"/>
      <c r="H1452" s="120"/>
    </row>
    <row r="1453" spans="1:8" ht="12.3">
      <c r="A1453" s="120"/>
      <c r="B1453" s="120"/>
      <c r="C1453" s="120"/>
      <c r="D1453" s="120"/>
      <c r="E1453" s="120"/>
      <c r="F1453" s="121"/>
      <c r="G1453" s="122"/>
      <c r="H1453" s="120"/>
    </row>
    <row r="1454" spans="1:8" ht="12.3">
      <c r="A1454" s="120"/>
      <c r="B1454" s="120"/>
      <c r="C1454" s="120"/>
      <c r="D1454" s="120"/>
      <c r="E1454" s="120"/>
      <c r="F1454" s="121"/>
      <c r="G1454" s="122"/>
      <c r="H1454" s="120"/>
    </row>
    <row r="1455" spans="1:8" ht="12.3">
      <c r="A1455" s="120"/>
      <c r="B1455" s="120"/>
      <c r="C1455" s="120"/>
      <c r="D1455" s="120"/>
      <c r="E1455" s="120"/>
      <c r="F1455" s="121"/>
      <c r="G1455" s="122"/>
      <c r="H1455" s="120"/>
    </row>
    <row r="1456" spans="1:8" ht="12.3">
      <c r="A1456" s="120"/>
      <c r="B1456" s="120"/>
      <c r="C1456" s="120"/>
      <c r="D1456" s="120"/>
      <c r="E1456" s="120"/>
      <c r="F1456" s="121"/>
      <c r="G1456" s="122"/>
      <c r="H1456" s="120"/>
    </row>
    <row r="1457" spans="1:8" ht="12.3">
      <c r="A1457" s="120"/>
      <c r="B1457" s="120"/>
      <c r="C1457" s="120"/>
      <c r="D1457" s="120"/>
      <c r="E1457" s="120"/>
      <c r="F1457" s="121"/>
      <c r="G1457" s="122"/>
      <c r="H1457" s="120"/>
    </row>
    <row r="1458" spans="1:8" ht="12.3">
      <c r="A1458" s="120"/>
      <c r="B1458" s="120"/>
      <c r="C1458" s="120"/>
      <c r="D1458" s="120"/>
      <c r="E1458" s="120"/>
      <c r="F1458" s="121"/>
      <c r="G1458" s="122"/>
      <c r="H1458" s="120"/>
    </row>
    <row r="1459" spans="1:8" ht="12.3">
      <c r="A1459" s="120"/>
      <c r="B1459" s="120"/>
      <c r="C1459" s="120"/>
      <c r="D1459" s="120"/>
      <c r="E1459" s="120"/>
      <c r="F1459" s="121"/>
      <c r="G1459" s="122"/>
      <c r="H1459" s="120"/>
    </row>
    <row r="1460" spans="1:8" ht="12.3">
      <c r="A1460" s="120"/>
      <c r="B1460" s="120"/>
      <c r="C1460" s="120"/>
      <c r="D1460" s="120"/>
      <c r="E1460" s="120"/>
      <c r="F1460" s="121"/>
      <c r="G1460" s="122"/>
      <c r="H1460" s="120"/>
    </row>
    <row r="1461" spans="1:8" ht="12.3">
      <c r="A1461" s="120"/>
      <c r="B1461" s="120"/>
      <c r="C1461" s="120"/>
      <c r="D1461" s="120"/>
      <c r="E1461" s="120"/>
      <c r="F1461" s="121"/>
      <c r="G1461" s="122"/>
      <c r="H1461" s="120"/>
    </row>
    <row r="1462" spans="1:8" ht="12.3">
      <c r="A1462" s="120"/>
      <c r="B1462" s="120"/>
      <c r="C1462" s="120"/>
      <c r="D1462" s="120"/>
      <c r="E1462" s="120"/>
      <c r="F1462" s="121"/>
      <c r="G1462" s="122"/>
      <c r="H1462" s="120"/>
    </row>
    <row r="1463" spans="1:8" ht="12.3">
      <c r="A1463" s="120"/>
      <c r="B1463" s="120"/>
      <c r="C1463" s="120"/>
      <c r="D1463" s="120"/>
      <c r="E1463" s="120"/>
      <c r="F1463" s="121"/>
      <c r="G1463" s="122"/>
      <c r="H1463" s="120"/>
    </row>
    <row r="1464" spans="1:8" ht="12.3">
      <c r="A1464" s="120"/>
      <c r="B1464" s="120"/>
      <c r="C1464" s="120"/>
      <c r="D1464" s="120"/>
      <c r="E1464" s="120"/>
      <c r="F1464" s="121"/>
      <c r="G1464" s="122"/>
      <c r="H1464" s="120"/>
    </row>
    <row r="1465" spans="1:8" ht="12.3">
      <c r="A1465" s="120"/>
      <c r="B1465" s="120"/>
      <c r="C1465" s="120"/>
      <c r="D1465" s="120"/>
      <c r="E1465" s="120"/>
      <c r="F1465" s="121"/>
      <c r="G1465" s="122"/>
      <c r="H1465" s="120"/>
    </row>
    <row r="1466" spans="1:8" ht="12.3">
      <c r="A1466" s="120"/>
      <c r="B1466" s="120"/>
      <c r="C1466" s="120"/>
      <c r="D1466" s="120"/>
      <c r="E1466" s="120"/>
      <c r="F1466" s="121"/>
      <c r="G1466" s="122"/>
      <c r="H1466" s="120"/>
    </row>
    <row r="1467" spans="1:8" ht="12.3">
      <c r="A1467" s="120"/>
      <c r="B1467" s="120"/>
      <c r="C1467" s="120"/>
      <c r="D1467" s="120"/>
      <c r="E1467" s="120"/>
      <c r="F1467" s="121"/>
      <c r="G1467" s="122"/>
      <c r="H1467" s="120"/>
    </row>
    <row r="1468" spans="1:8" ht="12.3">
      <c r="A1468" s="120"/>
      <c r="B1468" s="120"/>
      <c r="C1468" s="120"/>
      <c r="D1468" s="120"/>
      <c r="E1468" s="120"/>
      <c r="F1468" s="121"/>
      <c r="G1468" s="122"/>
      <c r="H1468" s="120"/>
    </row>
    <row r="1469" spans="1:8" ht="12.3">
      <c r="A1469" s="120"/>
      <c r="B1469" s="120"/>
      <c r="C1469" s="120"/>
      <c r="D1469" s="120"/>
      <c r="E1469" s="120"/>
      <c r="F1469" s="121"/>
      <c r="G1469" s="122"/>
      <c r="H1469" s="120"/>
    </row>
    <row r="1470" spans="1:8" ht="12.3">
      <c r="A1470" s="120"/>
      <c r="B1470" s="120"/>
      <c r="C1470" s="120"/>
      <c r="D1470" s="120"/>
      <c r="E1470" s="120"/>
      <c r="F1470" s="121"/>
      <c r="G1470" s="122"/>
      <c r="H1470" s="120"/>
    </row>
    <row r="1471" spans="1:8" ht="12.3">
      <c r="A1471" s="120"/>
      <c r="B1471" s="120"/>
      <c r="C1471" s="120"/>
      <c r="D1471" s="120"/>
      <c r="E1471" s="120"/>
      <c r="F1471" s="121"/>
      <c r="G1471" s="122"/>
      <c r="H1471" s="120"/>
    </row>
    <row r="1472" spans="1:8" ht="12.3">
      <c r="A1472" s="120"/>
      <c r="B1472" s="120"/>
      <c r="C1472" s="120"/>
      <c r="D1472" s="120"/>
      <c r="E1472" s="120"/>
      <c r="F1472" s="121"/>
      <c r="G1472" s="122"/>
      <c r="H1472" s="120"/>
    </row>
    <row r="1473" spans="1:8" ht="12.3">
      <c r="A1473" s="120"/>
      <c r="B1473" s="120"/>
      <c r="C1473" s="120"/>
      <c r="D1473" s="120"/>
      <c r="E1473" s="120"/>
      <c r="F1473" s="121"/>
      <c r="G1473" s="122"/>
      <c r="H1473" s="120"/>
    </row>
    <row r="1474" spans="1:8" ht="12.3">
      <c r="A1474" s="120"/>
      <c r="B1474" s="120"/>
      <c r="C1474" s="120"/>
      <c r="D1474" s="120"/>
      <c r="E1474" s="120"/>
      <c r="F1474" s="121"/>
      <c r="G1474" s="122"/>
      <c r="H1474" s="120"/>
    </row>
    <row r="1475" spans="1:8" ht="12.3">
      <c r="A1475" s="120"/>
      <c r="B1475" s="120"/>
      <c r="C1475" s="120"/>
      <c r="D1475" s="120"/>
      <c r="E1475" s="120"/>
      <c r="F1475" s="121"/>
      <c r="G1475" s="122"/>
      <c r="H1475" s="120"/>
    </row>
    <row r="1476" spans="1:8" ht="12.3">
      <c r="A1476" s="120"/>
      <c r="B1476" s="120"/>
      <c r="C1476" s="120"/>
      <c r="D1476" s="120"/>
      <c r="E1476" s="120"/>
      <c r="F1476" s="121"/>
      <c r="G1476" s="122"/>
      <c r="H1476" s="120"/>
    </row>
    <row r="1477" spans="1:8" ht="12.3">
      <c r="A1477" s="120"/>
      <c r="B1477" s="120"/>
      <c r="C1477" s="120"/>
      <c r="D1477" s="120"/>
      <c r="E1477" s="120"/>
      <c r="F1477" s="121"/>
      <c r="G1477" s="122"/>
      <c r="H1477" s="120"/>
    </row>
    <row r="1478" spans="1:8" ht="12.3">
      <c r="A1478" s="120"/>
      <c r="B1478" s="120"/>
      <c r="C1478" s="120"/>
      <c r="D1478" s="120"/>
      <c r="E1478" s="120"/>
      <c r="F1478" s="121"/>
      <c r="G1478" s="122"/>
      <c r="H1478" s="120"/>
    </row>
    <row r="1479" spans="1:8" ht="12.3">
      <c r="A1479" s="120"/>
      <c r="B1479" s="120"/>
      <c r="C1479" s="120"/>
      <c r="D1479" s="120"/>
      <c r="E1479" s="120"/>
      <c r="F1479" s="121"/>
      <c r="G1479" s="122"/>
      <c r="H1479" s="120"/>
    </row>
    <row r="1480" spans="1:8" ht="12.3">
      <c r="A1480" s="120"/>
      <c r="B1480" s="120"/>
      <c r="C1480" s="120"/>
      <c r="D1480" s="120"/>
      <c r="E1480" s="120"/>
      <c r="F1480" s="121"/>
      <c r="G1480" s="122"/>
      <c r="H1480" s="120"/>
    </row>
    <row r="1481" spans="1:8" ht="12.3">
      <c r="A1481" s="120"/>
      <c r="B1481" s="120"/>
      <c r="C1481" s="120"/>
      <c r="D1481" s="120"/>
      <c r="E1481" s="120"/>
      <c r="F1481" s="121"/>
      <c r="G1481" s="122"/>
      <c r="H1481" s="120"/>
    </row>
    <row r="1482" spans="1:8" ht="12.3">
      <c r="A1482" s="120"/>
      <c r="B1482" s="120"/>
      <c r="C1482" s="120"/>
      <c r="D1482" s="120"/>
      <c r="E1482" s="120"/>
      <c r="F1482" s="121"/>
      <c r="G1482" s="122"/>
      <c r="H1482" s="120"/>
    </row>
    <row r="1483" spans="1:8" ht="12.3">
      <c r="A1483" s="120"/>
      <c r="B1483" s="120"/>
      <c r="C1483" s="120"/>
      <c r="D1483" s="120"/>
      <c r="E1483" s="120"/>
      <c r="F1483" s="121"/>
      <c r="G1483" s="122"/>
      <c r="H1483" s="120"/>
    </row>
    <row r="1484" spans="1:8" ht="12.3">
      <c r="A1484" s="120"/>
      <c r="B1484" s="120"/>
      <c r="C1484" s="120"/>
      <c r="D1484" s="120"/>
      <c r="E1484" s="120"/>
      <c r="F1484" s="121"/>
      <c r="G1484" s="122"/>
      <c r="H1484" s="120"/>
    </row>
    <row r="1485" spans="1:8" ht="12.3">
      <c r="A1485" s="120"/>
      <c r="B1485" s="120"/>
      <c r="C1485" s="120"/>
      <c r="D1485" s="120"/>
      <c r="E1485" s="120"/>
      <c r="F1485" s="121"/>
      <c r="G1485" s="122"/>
      <c r="H1485" s="120"/>
    </row>
    <row r="1486" spans="1:8" ht="12.3">
      <c r="A1486" s="120"/>
      <c r="B1486" s="120"/>
      <c r="C1486" s="120"/>
      <c r="D1486" s="120"/>
      <c r="E1486" s="120"/>
      <c r="F1486" s="121"/>
      <c r="G1486" s="122"/>
      <c r="H1486" s="120"/>
    </row>
    <row r="1487" spans="1:8" ht="12.3">
      <c r="A1487" s="120"/>
      <c r="B1487" s="120"/>
      <c r="C1487" s="120"/>
      <c r="D1487" s="120"/>
      <c r="E1487" s="120"/>
      <c r="F1487" s="121"/>
      <c r="G1487" s="122"/>
      <c r="H1487" s="120"/>
    </row>
    <row r="1488" spans="1:8" ht="12.3">
      <c r="A1488" s="120"/>
      <c r="B1488" s="120"/>
      <c r="C1488" s="120"/>
      <c r="D1488" s="120"/>
      <c r="E1488" s="120"/>
      <c r="F1488" s="121"/>
      <c r="G1488" s="122"/>
      <c r="H1488" s="120"/>
    </row>
    <row r="1489" spans="1:8" ht="12.3">
      <c r="A1489" s="120"/>
      <c r="B1489" s="120"/>
      <c r="C1489" s="120"/>
      <c r="D1489" s="120"/>
      <c r="E1489" s="120"/>
      <c r="F1489" s="121"/>
      <c r="G1489" s="122"/>
      <c r="H1489" s="120"/>
    </row>
    <row r="1490" spans="1:8" ht="12.3">
      <c r="A1490" s="120"/>
      <c r="B1490" s="120"/>
      <c r="C1490" s="120"/>
      <c r="D1490" s="120"/>
      <c r="E1490" s="120"/>
      <c r="F1490" s="121"/>
      <c r="G1490" s="122"/>
      <c r="H1490" s="120"/>
    </row>
    <row r="1491" spans="1:8" ht="12.3">
      <c r="A1491" s="120"/>
      <c r="B1491" s="120"/>
      <c r="C1491" s="120"/>
      <c r="D1491" s="120"/>
      <c r="E1491" s="120"/>
      <c r="F1491" s="121"/>
      <c r="G1491" s="122"/>
      <c r="H1491" s="120"/>
    </row>
    <row r="1492" spans="1:8" ht="12.3">
      <c r="A1492" s="120"/>
      <c r="B1492" s="120"/>
      <c r="C1492" s="120"/>
      <c r="D1492" s="120"/>
      <c r="E1492" s="120"/>
      <c r="F1492" s="121"/>
      <c r="G1492" s="122"/>
      <c r="H1492" s="120"/>
    </row>
    <row r="1493" spans="1:8" ht="12.3">
      <c r="A1493" s="120"/>
      <c r="B1493" s="120"/>
      <c r="C1493" s="120"/>
      <c r="D1493" s="120"/>
      <c r="E1493" s="120"/>
      <c r="F1493" s="121"/>
      <c r="G1493" s="122"/>
      <c r="H1493" s="120"/>
    </row>
    <row r="1494" spans="1:8" ht="12.3">
      <c r="A1494" s="120"/>
      <c r="B1494" s="120"/>
      <c r="C1494" s="120"/>
      <c r="D1494" s="120"/>
      <c r="E1494" s="120"/>
      <c r="F1494" s="121"/>
      <c r="G1494" s="122"/>
      <c r="H1494" s="120"/>
    </row>
    <row r="1495" spans="1:8" ht="12.3">
      <c r="A1495" s="120"/>
      <c r="B1495" s="120"/>
      <c r="C1495" s="120"/>
      <c r="D1495" s="120"/>
      <c r="E1495" s="120"/>
      <c r="F1495" s="121"/>
      <c r="G1495" s="122"/>
      <c r="H1495" s="120"/>
    </row>
    <row r="1496" spans="1:8" ht="12.3">
      <c r="A1496" s="120"/>
      <c r="B1496" s="120"/>
      <c r="C1496" s="120"/>
      <c r="D1496" s="120"/>
      <c r="E1496" s="120"/>
      <c r="F1496" s="121"/>
      <c r="G1496" s="122"/>
      <c r="H1496" s="120"/>
    </row>
    <row r="1497" spans="1:8" ht="12.3">
      <c r="A1497" s="120"/>
      <c r="B1497" s="120"/>
      <c r="C1497" s="120"/>
      <c r="D1497" s="120"/>
      <c r="E1497" s="120"/>
      <c r="F1497" s="121"/>
      <c r="G1497" s="122"/>
      <c r="H1497" s="120"/>
    </row>
    <row r="1498" spans="1:8" ht="12.3">
      <c r="A1498" s="120"/>
      <c r="B1498" s="120"/>
      <c r="C1498" s="120"/>
      <c r="D1498" s="120"/>
      <c r="E1498" s="120"/>
      <c r="F1498" s="121"/>
      <c r="G1498" s="122"/>
      <c r="H1498" s="120"/>
    </row>
    <row r="1499" spans="1:8" ht="12.3">
      <c r="A1499" s="120"/>
      <c r="B1499" s="120"/>
      <c r="C1499" s="120"/>
      <c r="D1499" s="120"/>
      <c r="E1499" s="120"/>
      <c r="F1499" s="121"/>
      <c r="G1499" s="122"/>
      <c r="H1499" s="120"/>
    </row>
    <row r="1500" spans="1:8" ht="12.3">
      <c r="A1500" s="120"/>
      <c r="B1500" s="120"/>
      <c r="C1500" s="120"/>
      <c r="D1500" s="120"/>
      <c r="E1500" s="120"/>
      <c r="F1500" s="121"/>
      <c r="G1500" s="122"/>
      <c r="H1500" s="120"/>
    </row>
    <row r="1501" spans="1:8" ht="12.3">
      <c r="A1501" s="120"/>
      <c r="B1501" s="120"/>
      <c r="C1501" s="120"/>
      <c r="D1501" s="120"/>
      <c r="E1501" s="120"/>
      <c r="F1501" s="121"/>
      <c r="G1501" s="122"/>
      <c r="H1501" s="1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0"/>
  <sheetViews>
    <sheetView workbookViewId="0"/>
  </sheetViews>
  <sheetFormatPr defaultColWidth="14.44140625" defaultRowHeight="15.75" customHeight="1"/>
  <cols>
    <col min="1" max="1" width="7.83203125" customWidth="1"/>
    <col min="2" max="2" width="47.5546875" customWidth="1"/>
    <col min="3" max="3" width="12.109375" customWidth="1"/>
    <col min="4" max="4" width="28.44140625" customWidth="1"/>
    <col min="5" max="5" width="20.27734375" customWidth="1"/>
    <col min="6" max="6" width="12.71875" customWidth="1"/>
    <col min="7" max="7" width="17.44140625" customWidth="1"/>
    <col min="8" max="8" width="18.5546875" customWidth="1"/>
    <col min="9" max="9" width="5.109375" customWidth="1"/>
    <col min="10" max="10" width="8.71875" customWidth="1"/>
    <col min="11" max="11" width="25.5546875" customWidth="1"/>
    <col min="12" max="12" width="26.109375" customWidth="1"/>
    <col min="13" max="13" width="10.109375" customWidth="1"/>
    <col min="14" max="14" width="11.44140625" customWidth="1"/>
    <col min="15" max="15" width="10.109375" customWidth="1"/>
    <col min="16" max="16" width="21.27734375" customWidth="1"/>
  </cols>
  <sheetData>
    <row r="1" spans="1:26" ht="15.75" customHeight="1">
      <c r="A1" s="109" t="str">
        <f ca="1">IFERROR(__xludf.DUMMYFUNCTION("QUERY(Processed!A1:BP150,""SELECT A, B, C, D, E, J, U, Q, BG, BH, BI, BJ, BK, BL, BM, BN, BO, BP WHERE O = TRUE"",1)"),"Study ID")</f>
        <v>Study ID</v>
      </c>
      <c r="B1" s="109" t="str">
        <f ca="1">IFERROR(__xludf.DUMMYFUNCTION("""COMPUTED_VALUE"""),"Authors")</f>
        <v>Authors</v>
      </c>
      <c r="C1" s="109" t="str">
        <f ca="1">IFERROR(__xludf.DUMMYFUNCTION("""COMPUTED_VALUE"""),"Subsample ID")</f>
        <v>Subsample ID</v>
      </c>
      <c r="D1" s="109" t="str">
        <f ca="1">IFERROR(__xludf.DUMMYFUNCTION("""COMPUTED_VALUE"""),"Subsample Desciption")</f>
        <v>Subsample Desciption</v>
      </c>
      <c r="E1" s="109" t="str">
        <f ca="1">IFERROR(__xludf.DUMMYFUNCTION("""COMPUTED_VALUE"""),"Interval")</f>
        <v>Interval</v>
      </c>
      <c r="F1" s="109" t="str">
        <f ca="1">IFERROR(__xludf.DUMMYFUNCTION("""COMPUTED_VALUE"""),"2-way n - Final")</f>
        <v>2-way n - Final</v>
      </c>
      <c r="G1" s="109" t="str">
        <f ca="1">IFERROR(__xludf.DUMMYFUNCTION("""COMPUTED_VALUE"""),"2-way k - Final")</f>
        <v>2-way k - Final</v>
      </c>
      <c r="H1" s="109" t="str">
        <f ca="1">IFERROR(__xludf.DUMMYFUNCTION("""COMPUTED_VALUE"""),"2-way PA - Calculated")</f>
        <v>2-way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14" t="str">
        <f ca="1">IFERROR(__xludf.DUMMYFUNCTION("""COMPUTED_VALUE"""),"Gender")</f>
        <v>Gender</v>
      </c>
      <c r="S1" s="114"/>
      <c r="T1" s="114"/>
      <c r="U1" s="114"/>
      <c r="V1" s="114"/>
      <c r="W1" s="114"/>
      <c r="X1" s="114"/>
      <c r="Y1" s="114"/>
      <c r="Z1" s="114"/>
    </row>
    <row r="2" spans="1:26" ht="15.75" customHeight="1">
      <c r="A2" s="56">
        <f ca="1">IFERROR(__xludf.DUMMYFUNCTION("""COMPUTED_VALUE"""),2)</f>
        <v>2</v>
      </c>
      <c r="B2" s="56" t="str">
        <f ca="1">IFERROR(__xludf.DUMMYFUNCTION("""COMPUTED_VALUE"""),"Ammaniti, Speranza, &amp; Fedele (2005)")</f>
        <v>Ammaniti, Speranza, &amp; Fedele (2005)</v>
      </c>
      <c r="C2" s="56">
        <f ca="1">IFERROR(__xludf.DUMMYFUNCTION("""COMPUTED_VALUE"""),1)</f>
        <v>1</v>
      </c>
      <c r="D2" s="56" t="str">
        <f ca="1">IFERROR(__xludf.DUMMYFUNCTION("""COMPUTED_VALUE"""),"51 month interval")</f>
        <v>51 month interval</v>
      </c>
      <c r="E2" s="56" t="str">
        <f ca="1">IFERROR(__xludf.DUMMYFUNCTION("""COMPUTED_VALUE"""),"Infancy - Preschool")</f>
        <v>Infancy - Preschool</v>
      </c>
      <c r="F2" s="123">
        <f ca="1">IFERROR(__xludf.DUMMYFUNCTION("""COMPUTED_VALUE"""),35)</f>
        <v>35</v>
      </c>
      <c r="G2" s="124">
        <f ca="1">IFERROR(__xludf.DUMMYFUNCTION("""COMPUTED_VALUE"""),0.461538461538461)</f>
        <v>0.46153846153846101</v>
      </c>
      <c r="H2" s="118">
        <f ca="1">IFERROR(__xludf.DUMMYFUNCTION("""COMPUTED_VALUE"""),0.742857142857142)</f>
        <v>0.74285714285714199</v>
      </c>
      <c r="I2" s="56">
        <f ca="1">IFERROR(__xludf.DUMMYFUNCTION("""COMPUTED_VALUE"""),2005)</f>
        <v>2005</v>
      </c>
      <c r="J2" s="56" t="str">
        <f ca="1">IFERROR(__xludf.DUMMYFUNCTION("""COMPUTED_VALUE"""),"Non-USA")</f>
        <v>Non-USA</v>
      </c>
      <c r="K2" s="56" t="str">
        <f ca="1">IFERROR(__xludf.DUMMYFUNCTION("""COMPUTED_VALUE"""),"Ainsworth/Cassidy-Marvin")</f>
        <v>Ainsworth/Cassidy-Marvin</v>
      </c>
      <c r="L2" s="56">
        <f ca="1">IFERROR(__xludf.DUMMYFUNCTION("""COMPUTED_VALUE"""),1)</f>
        <v>1</v>
      </c>
      <c r="M2" s="56">
        <f ca="1">IFERROR(__xludf.DUMMYFUNCTION("""COMPUTED_VALUE"""),0)</f>
        <v>0</v>
      </c>
      <c r="N2" s="56">
        <f ca="1">IFERROR(__xludf.DUMMYFUNCTION("""COMPUTED_VALUE"""),0)</f>
        <v>0</v>
      </c>
      <c r="O2" s="56">
        <f ca="1">IFERROR(__xludf.DUMMYFUNCTION("""COMPUTED_VALUE"""),1)</f>
        <v>1</v>
      </c>
      <c r="P2" s="56" t="str">
        <f ca="1">IFERROR(__xludf.DUMMYFUNCTION("""COMPUTED_VALUE"""),"")</f>
        <v/>
      </c>
      <c r="Q2" s="56">
        <f ca="1">IFERROR(__xludf.DUMMYFUNCTION("""COMPUTED_VALUE"""),0)</f>
        <v>0</v>
      </c>
      <c r="R2" t="str">
        <f ca="1">IFERROR(__xludf.DUMMYFUNCTION("""COMPUTED_VALUE"""),"Female")</f>
        <v>Female</v>
      </c>
    </row>
    <row r="3" spans="1:26" ht="15.75" customHeight="1">
      <c r="A3" s="56">
        <f ca="1">IFERROR(__xludf.DUMMYFUNCTION("""COMPUTED_VALUE"""),4)</f>
        <v>4</v>
      </c>
      <c r="B3" s="56" t="str">
        <f ca="1">IFERROR(__xludf.DUMMYFUNCTION("""COMPUTED_VALUE"""),"Bar-Haim et al. (2000) ")</f>
        <v xml:space="preserve">Bar-Haim et al. (2000) </v>
      </c>
      <c r="C3" s="56">
        <f ca="1">IFERROR(__xludf.DUMMYFUNCTION("""COMPUTED_VALUE"""),1)</f>
        <v>1</v>
      </c>
      <c r="D3" s="56" t="str">
        <f ca="1">IFERROR(__xludf.DUMMYFUNCTION("""COMPUTED_VALUE"""),"10 month interval")</f>
        <v>10 month interval</v>
      </c>
      <c r="E3" s="56" t="str">
        <f ca="1">IFERROR(__xludf.DUMMYFUNCTION("""COMPUTED_VALUE"""),"Infancy - Toddlerhood")</f>
        <v>Infancy - Toddlerhood</v>
      </c>
      <c r="F3" s="123">
        <f ca="1">IFERROR(__xludf.DUMMYFUNCTION("""COMPUTED_VALUE"""),42)</f>
        <v>42</v>
      </c>
      <c r="G3" s="124">
        <f ca="1">IFERROR(__xludf.DUMMYFUNCTION("""COMPUTED_VALUE"""),0.363636363636363)</f>
        <v>0.36363636363636298</v>
      </c>
      <c r="H3" s="118">
        <f ca="1">IFERROR(__xludf.DUMMYFUNCTION("""COMPUTED_VALUE"""),0.714285714285714)</f>
        <v>0.71428571428571397</v>
      </c>
      <c r="I3" s="56">
        <f ca="1">IFERROR(__xludf.DUMMYFUNCTION("""COMPUTED_VALUE"""),2000)</f>
        <v>2000</v>
      </c>
      <c r="J3" s="56" t="str">
        <f ca="1">IFERROR(__xludf.DUMMYFUNCTION("""COMPUTED_VALUE"""),"USA")</f>
        <v>USA</v>
      </c>
      <c r="K3" s="56" t="str">
        <f ca="1">IFERROR(__xludf.DUMMYFUNCTION("""COMPUTED_VALUE"""),"Ainsworth/Ainsworth")</f>
        <v>Ainsworth/Ainsworth</v>
      </c>
      <c r="L3" s="56">
        <f ca="1">IFERROR(__xludf.DUMMYFUNCTION("""COMPUTED_VALUE"""),1)</f>
        <v>1</v>
      </c>
      <c r="M3" s="56">
        <f ca="1">IFERROR(__xludf.DUMMYFUNCTION("""COMPUTED_VALUE"""),0)</f>
        <v>0</v>
      </c>
      <c r="N3" s="56">
        <f ca="1">IFERROR(__xludf.DUMMYFUNCTION("""COMPUTED_VALUE"""),0)</f>
        <v>0</v>
      </c>
      <c r="O3" s="56">
        <f ca="1">IFERROR(__xludf.DUMMYFUNCTION("""COMPUTED_VALUE"""),1)</f>
        <v>1</v>
      </c>
      <c r="P3" s="56">
        <f ca="1">IFERROR(__xludf.DUMMYFUNCTION("""COMPUTED_VALUE"""),0.82)</f>
        <v>0.82</v>
      </c>
      <c r="Q3" s="56">
        <f ca="1">IFERROR(__xludf.DUMMYFUNCTION("""COMPUTED_VALUE"""),0)</f>
        <v>0</v>
      </c>
      <c r="R3" t="str">
        <f ca="1">IFERROR(__xludf.DUMMYFUNCTION("""COMPUTED_VALUE"""),"Female")</f>
        <v>Female</v>
      </c>
    </row>
    <row r="4" spans="1:26" ht="15.75" customHeight="1">
      <c r="A4" s="56">
        <f ca="1">IFERROR(__xludf.DUMMYFUNCTION("""COMPUTED_VALUE"""),4)</f>
        <v>4</v>
      </c>
      <c r="B4" s="56" t="str">
        <f ca="1">IFERROR(__xludf.DUMMYFUNCTION("""COMPUTED_VALUE"""),"Bar-Haim et al. (2000) ")</f>
        <v xml:space="preserve">Bar-Haim et al. (2000) </v>
      </c>
      <c r="C4" s="56">
        <f ca="1">IFERROR(__xludf.DUMMYFUNCTION("""COMPUTED_VALUE"""),2)</f>
        <v>2</v>
      </c>
      <c r="D4" s="56" t="str">
        <f ca="1">IFERROR(__xludf.DUMMYFUNCTION("""COMPUTED_VALUE"""),"34 month interval")</f>
        <v>34 month interval</v>
      </c>
      <c r="E4" s="56" t="str">
        <f ca="1">IFERROR(__xludf.DUMMYFUNCTION("""COMPUTED_VALUE"""),"Toddlerhood - Preschool")</f>
        <v>Toddlerhood - Preschool</v>
      </c>
      <c r="F4" s="123">
        <f ca="1">IFERROR(__xludf.DUMMYFUNCTION("""COMPUTED_VALUE"""),45)</f>
        <v>45</v>
      </c>
      <c r="G4" s="124">
        <f ca="1">IFERROR(__xludf.DUMMYFUNCTION("""COMPUTED_VALUE"""),-0.180482686253934)</f>
        <v>-0.18048268625393399</v>
      </c>
      <c r="H4" s="118">
        <f ca="1">IFERROR(__xludf.DUMMYFUNCTION("""COMPUTED_VALUE"""),0.444444444444444)</f>
        <v>0.44444444444444398</v>
      </c>
      <c r="I4" s="56">
        <f ca="1">IFERROR(__xludf.DUMMYFUNCTION("""COMPUTED_VALUE"""),2000)</f>
        <v>2000</v>
      </c>
      <c r="J4" s="56" t="str">
        <f ca="1">IFERROR(__xludf.DUMMYFUNCTION("""COMPUTED_VALUE"""),"USA")</f>
        <v>USA</v>
      </c>
      <c r="K4" s="56" t="str">
        <f ca="1">IFERROR(__xludf.DUMMYFUNCTION("""COMPUTED_VALUE"""),"Ainsworth/Cassidy-Marvin")</f>
        <v>Ainsworth/Cassidy-Marvin</v>
      </c>
      <c r="L4" s="56">
        <f ca="1">IFERROR(__xludf.DUMMYFUNCTION("""COMPUTED_VALUE"""),1)</f>
        <v>1</v>
      </c>
      <c r="M4" s="56">
        <f ca="1">IFERROR(__xludf.DUMMYFUNCTION("""COMPUTED_VALUE"""),0)</f>
        <v>0</v>
      </c>
      <c r="N4" s="56">
        <f ca="1">IFERROR(__xludf.DUMMYFUNCTION("""COMPUTED_VALUE"""),0)</f>
        <v>0</v>
      </c>
      <c r="O4" s="56">
        <f ca="1">IFERROR(__xludf.DUMMYFUNCTION("""COMPUTED_VALUE"""),1)</f>
        <v>1</v>
      </c>
      <c r="P4" s="56">
        <f ca="1">IFERROR(__xludf.DUMMYFUNCTION("""COMPUTED_VALUE"""),0.82)</f>
        <v>0.82</v>
      </c>
      <c r="Q4" s="56">
        <f ca="1">IFERROR(__xludf.DUMMYFUNCTION("""COMPUTED_VALUE"""),0)</f>
        <v>0</v>
      </c>
      <c r="R4" t="str">
        <f ca="1">IFERROR(__xludf.DUMMYFUNCTION("""COMPUTED_VALUE"""),"Female")</f>
        <v>Female</v>
      </c>
    </row>
    <row r="5" spans="1:26" ht="15.75" customHeight="1">
      <c r="A5" s="56">
        <f ca="1">IFERROR(__xludf.DUMMYFUNCTION("""COMPUTED_VALUE"""),4)</f>
        <v>4</v>
      </c>
      <c r="B5" s="56" t="str">
        <f ca="1">IFERROR(__xludf.DUMMYFUNCTION("""COMPUTED_VALUE"""),"Bar-Haimet al. (2000) ")</f>
        <v xml:space="preserve">Bar-Haimet al. (2000) </v>
      </c>
      <c r="C5" s="56">
        <f ca="1">IFERROR(__xludf.DUMMYFUNCTION("""COMPUTED_VALUE"""),3)</f>
        <v>3</v>
      </c>
      <c r="D5" s="56" t="str">
        <f ca="1">IFERROR(__xludf.DUMMYFUNCTION("""COMPUTED_VALUE"""),"44 month interval")</f>
        <v>44 month interval</v>
      </c>
      <c r="E5" s="56" t="str">
        <f ca="1">IFERROR(__xludf.DUMMYFUNCTION("""COMPUTED_VALUE"""),"Infancy - Preschool")</f>
        <v>Infancy - Preschool</v>
      </c>
      <c r="F5" s="123">
        <f ca="1">IFERROR(__xludf.DUMMYFUNCTION("""COMPUTED_VALUE"""),43)</f>
        <v>43</v>
      </c>
      <c r="G5" s="124">
        <f ca="1">IFERROR(__xludf.DUMMYFUNCTION("""COMPUTED_VALUE"""),0.0137614678899081)</f>
        <v>1.37614678899081E-2</v>
      </c>
      <c r="H5" s="118">
        <f ca="1">IFERROR(__xludf.DUMMYFUNCTION("""COMPUTED_VALUE"""),0.534883720930232)</f>
        <v>0.53488372093023195</v>
      </c>
      <c r="I5" s="56">
        <f ca="1">IFERROR(__xludf.DUMMYFUNCTION("""COMPUTED_VALUE"""),2000)</f>
        <v>2000</v>
      </c>
      <c r="J5" s="56" t="str">
        <f ca="1">IFERROR(__xludf.DUMMYFUNCTION("""COMPUTED_VALUE"""),"USA")</f>
        <v>USA</v>
      </c>
      <c r="K5" s="56" t="str">
        <f ca="1">IFERROR(__xludf.DUMMYFUNCTION("""COMPUTED_VALUE"""),"Ainsworth/Cassidy-Marvin")</f>
        <v>Ainsworth/Cassidy-Marvin</v>
      </c>
      <c r="L5" s="56">
        <f ca="1">IFERROR(__xludf.DUMMYFUNCTION("""COMPUTED_VALUE"""),1)</f>
        <v>1</v>
      </c>
      <c r="M5" s="56">
        <f ca="1">IFERROR(__xludf.DUMMYFUNCTION("""COMPUTED_VALUE"""),0)</f>
        <v>0</v>
      </c>
      <c r="N5" s="56">
        <f ca="1">IFERROR(__xludf.DUMMYFUNCTION("""COMPUTED_VALUE"""),0)</f>
        <v>0</v>
      </c>
      <c r="O5" s="56">
        <f ca="1">IFERROR(__xludf.DUMMYFUNCTION("""COMPUTED_VALUE"""),1)</f>
        <v>1</v>
      </c>
      <c r="P5" s="56">
        <f ca="1">IFERROR(__xludf.DUMMYFUNCTION("""COMPUTED_VALUE"""),0.82)</f>
        <v>0.82</v>
      </c>
      <c r="Q5" s="56">
        <f ca="1">IFERROR(__xludf.DUMMYFUNCTION("""COMPUTED_VALUE"""),0)</f>
        <v>0</v>
      </c>
      <c r="R5" t="str">
        <f ca="1">IFERROR(__xludf.DUMMYFUNCTION("""COMPUTED_VALUE"""),"Female")</f>
        <v>Female</v>
      </c>
    </row>
    <row r="6" spans="1:26" ht="15.75" customHeight="1">
      <c r="A6" s="56">
        <f ca="1">IFERROR(__xludf.DUMMYFUNCTION("""COMPUTED_VALUE"""),5)</f>
        <v>5</v>
      </c>
      <c r="B6" s="56" t="str">
        <f ca="1">IFERROR(__xludf.DUMMYFUNCTION("""COMPUTED_VALUE"""),"Barnett et al. (2006)")</f>
        <v>Barnett et al. (2006)</v>
      </c>
      <c r="C6" s="56">
        <f ca="1">IFERROR(__xludf.DUMMYFUNCTION("""COMPUTED_VALUE"""),1)</f>
        <v>1</v>
      </c>
      <c r="D6" s="56" t="str">
        <f ca="1">IFERROR(__xludf.DUMMYFUNCTION("""COMPUTED_VALUE"""),"Single sample")</f>
        <v>Single sample</v>
      </c>
      <c r="E6" s="56" t="str">
        <f ca="1">IFERROR(__xludf.DUMMYFUNCTION("""COMPUTED_VALUE"""),"Toddlerhood - Preschool")</f>
        <v>Toddlerhood - Preschool</v>
      </c>
      <c r="F6" s="123">
        <f ca="1">IFERROR(__xludf.DUMMYFUNCTION("""COMPUTED_VALUE"""),47)</f>
        <v>47</v>
      </c>
      <c r="G6" s="124">
        <f ca="1">IFERROR(__xludf.DUMMYFUNCTION("""COMPUTED_VALUE"""),-0.0115606936416185)</f>
        <v>-1.15606936416185E-2</v>
      </c>
      <c r="H6" s="118">
        <f ca="1">IFERROR(__xludf.DUMMYFUNCTION("""COMPUTED_VALUE"""),0.44)</f>
        <v>0.44</v>
      </c>
      <c r="I6" s="56">
        <f ca="1">IFERROR(__xludf.DUMMYFUNCTION("""COMPUTED_VALUE"""),2006)</f>
        <v>2006</v>
      </c>
      <c r="J6" s="56" t="str">
        <f ca="1">IFERROR(__xludf.DUMMYFUNCTION("""COMPUTED_VALUE"""),"USA")</f>
        <v>USA</v>
      </c>
      <c r="K6" s="56" t="str">
        <f ca="1">IFERROR(__xludf.DUMMYFUNCTION("""COMPUTED_VALUE"""),"NA")</f>
        <v>NA</v>
      </c>
      <c r="L6" s="56">
        <f ca="1">IFERROR(__xludf.DUMMYFUNCTION("""COMPUTED_VALUE"""),1)</f>
        <v>1</v>
      </c>
      <c r="M6" s="56">
        <f ca="1">IFERROR(__xludf.DUMMYFUNCTION("""COMPUTED_VALUE"""),0)</f>
        <v>0</v>
      </c>
      <c r="N6" s="56">
        <f ca="1">IFERROR(__xludf.DUMMYFUNCTION("""COMPUTED_VALUE"""),1)</f>
        <v>1</v>
      </c>
      <c r="O6" s="56">
        <f ca="1">IFERROR(__xludf.DUMMYFUNCTION("""COMPUTED_VALUE"""),1)</f>
        <v>1</v>
      </c>
      <c r="P6" s="56">
        <f ca="1">IFERROR(__xludf.DUMMYFUNCTION("""COMPUTED_VALUE"""),0.94)</f>
        <v>0.94</v>
      </c>
      <c r="Q6" s="56">
        <f ca="1">IFERROR(__xludf.DUMMYFUNCTION("""COMPUTED_VALUE"""),0)</f>
        <v>0</v>
      </c>
      <c r="R6" t="str">
        <f ca="1">IFERROR(__xludf.DUMMYFUNCTION("""COMPUTED_VALUE"""),"Female")</f>
        <v>Female</v>
      </c>
    </row>
    <row r="7" spans="1:26" ht="15.75" customHeight="1">
      <c r="A7" s="56">
        <f ca="1">IFERROR(__xludf.DUMMYFUNCTION("""COMPUTED_VALUE"""),6)</f>
        <v>6</v>
      </c>
      <c r="B7" s="56" t="str">
        <f ca="1">IFERROR(__xludf.DUMMYFUNCTION("""COMPUTED_VALUE"""),"Barnett, Ganiban &amp; Cicchetti (1999)")</f>
        <v>Barnett, Ganiban &amp; Cicchetti (1999)</v>
      </c>
      <c r="C7" s="56">
        <f ca="1">IFERROR(__xludf.DUMMYFUNCTION("""COMPUTED_VALUE"""),1)</f>
        <v>1</v>
      </c>
      <c r="D7" s="56" t="str">
        <f ca="1">IFERROR(__xludf.DUMMYFUNCTION("""COMPUTED_VALUE"""),"Comparison")</f>
        <v>Comparison</v>
      </c>
      <c r="E7" s="56" t="str">
        <f ca="1">IFERROR(__xludf.DUMMYFUNCTION("""COMPUTED_VALUE"""),"Infancy - Toddlerhood")</f>
        <v>Infancy - Toddlerhood</v>
      </c>
      <c r="F7" s="123">
        <f ca="1">IFERROR(__xludf.DUMMYFUNCTION("""COMPUTED_VALUE"""),20)</f>
        <v>20</v>
      </c>
      <c r="G7" s="124">
        <f ca="1">IFERROR(__xludf.DUMMYFUNCTION("""COMPUTED_VALUE"""),0.313725490196078)</f>
        <v>0.31372549019607798</v>
      </c>
      <c r="H7" s="118">
        <f ca="1">IFERROR(__xludf.DUMMYFUNCTION("""COMPUTED_VALUE"""),0.65)</f>
        <v>0.65</v>
      </c>
      <c r="I7" s="56">
        <f ca="1">IFERROR(__xludf.DUMMYFUNCTION("""COMPUTED_VALUE"""),1999)</f>
        <v>1999</v>
      </c>
      <c r="J7" s="56" t="str">
        <f ca="1">IFERROR(__xludf.DUMMYFUNCTION("""COMPUTED_VALUE"""),"USA")</f>
        <v>USA</v>
      </c>
      <c r="K7" s="56" t="str">
        <f ca="1">IFERROR(__xludf.DUMMYFUNCTION("""COMPUTED_VALUE"""),"Ainsworth/Ainsworth")</f>
        <v>Ainsworth/Ainsworth</v>
      </c>
      <c r="L7" s="56">
        <f ca="1">IFERROR(__xludf.DUMMYFUNCTION("""COMPUTED_VALUE"""),1)</f>
        <v>1</v>
      </c>
      <c r="M7" s="56">
        <f ca="1">IFERROR(__xludf.DUMMYFUNCTION("""COMPUTED_VALUE"""),0)</f>
        <v>0</v>
      </c>
      <c r="N7" s="56">
        <f ca="1">IFERROR(__xludf.DUMMYFUNCTION("""COMPUTED_VALUE"""),0)</f>
        <v>0</v>
      </c>
      <c r="O7" s="56">
        <f ca="1">IFERROR(__xludf.DUMMYFUNCTION("""COMPUTED_VALUE"""),1)</f>
        <v>1</v>
      </c>
      <c r="P7" s="56">
        <f ca="1">IFERROR(__xludf.DUMMYFUNCTION("""COMPUTED_VALUE"""),0.895)</f>
        <v>0.89500000000000002</v>
      </c>
      <c r="Q7" s="56">
        <f ca="1">IFERROR(__xludf.DUMMYFUNCTION("""COMPUTED_VALUE"""),0)</f>
        <v>0</v>
      </c>
      <c r="R7" t="str">
        <f ca="1">IFERROR(__xludf.DUMMYFUNCTION("""COMPUTED_VALUE"""),"Female")</f>
        <v>Female</v>
      </c>
    </row>
    <row r="8" spans="1:26" ht="15.75" customHeight="1">
      <c r="A8" s="56">
        <f ca="1">IFERROR(__xludf.DUMMYFUNCTION("""COMPUTED_VALUE"""),6)</f>
        <v>6</v>
      </c>
      <c r="B8" s="56" t="str">
        <f ca="1">IFERROR(__xludf.DUMMYFUNCTION("""COMPUTED_VALUE"""),"Barnett, Ganiban &amp; Cicchetti (1999)")</f>
        <v>Barnett, Ganiban &amp; Cicchetti (1999)</v>
      </c>
      <c r="C8" s="56">
        <f ca="1">IFERROR(__xludf.DUMMYFUNCTION("""COMPUTED_VALUE"""),2)</f>
        <v>2</v>
      </c>
      <c r="D8" s="56" t="str">
        <f ca="1">IFERROR(__xludf.DUMMYFUNCTION("""COMPUTED_VALUE"""),"Comparison")</f>
        <v>Comparison</v>
      </c>
      <c r="E8" s="56" t="str">
        <f ca="1">IFERROR(__xludf.DUMMYFUNCTION("""COMPUTED_VALUE"""),"Infancy - Infancy")</f>
        <v>Infancy - Infancy</v>
      </c>
      <c r="F8" s="123">
        <f ca="1">IFERROR(__xludf.DUMMYFUNCTION("""COMPUTED_VALUE"""),21)</f>
        <v>21</v>
      </c>
      <c r="G8" s="124">
        <f ca="1">IFERROR(__xludf.DUMMYFUNCTION("""COMPUTED_VALUE"""),0.432432432432432)</f>
        <v>0.43243243243243201</v>
      </c>
      <c r="H8" s="118">
        <f ca="1">IFERROR(__xludf.DUMMYFUNCTION("""COMPUTED_VALUE"""),0.714285714285714)</f>
        <v>0.71428571428571397</v>
      </c>
      <c r="I8" s="56">
        <f ca="1">IFERROR(__xludf.DUMMYFUNCTION("""COMPUTED_VALUE"""),1999)</f>
        <v>1999</v>
      </c>
      <c r="J8" s="56" t="str">
        <f ca="1">IFERROR(__xludf.DUMMYFUNCTION("""COMPUTED_VALUE"""),"USA")</f>
        <v>USA</v>
      </c>
      <c r="K8" s="56" t="str">
        <f ca="1">IFERROR(__xludf.DUMMYFUNCTION("""COMPUTED_VALUE"""),"Ainsworth/Ainsworth")</f>
        <v>Ainsworth/Ainsworth</v>
      </c>
      <c r="L8" s="56">
        <f ca="1">IFERROR(__xludf.DUMMYFUNCTION("""COMPUTED_VALUE"""),1)</f>
        <v>1</v>
      </c>
      <c r="M8" s="56">
        <f ca="1">IFERROR(__xludf.DUMMYFUNCTION("""COMPUTED_VALUE"""),0)</f>
        <v>0</v>
      </c>
      <c r="N8" s="56">
        <f ca="1">IFERROR(__xludf.DUMMYFUNCTION("""COMPUTED_VALUE"""),0)</f>
        <v>0</v>
      </c>
      <c r="O8" s="56">
        <f ca="1">IFERROR(__xludf.DUMMYFUNCTION("""COMPUTED_VALUE"""),1)</f>
        <v>1</v>
      </c>
      <c r="P8" s="56">
        <f ca="1">IFERROR(__xludf.DUMMYFUNCTION("""COMPUTED_VALUE"""),0.865)</f>
        <v>0.86499999999999999</v>
      </c>
      <c r="Q8" s="56">
        <f ca="1">IFERROR(__xludf.DUMMYFUNCTION("""COMPUTED_VALUE"""),0)</f>
        <v>0</v>
      </c>
      <c r="R8" t="str">
        <f ca="1">IFERROR(__xludf.DUMMYFUNCTION("""COMPUTED_VALUE"""),"Female")</f>
        <v>Female</v>
      </c>
    </row>
    <row r="9" spans="1:26" ht="15.75" customHeight="1">
      <c r="A9" s="56">
        <f ca="1">IFERROR(__xludf.DUMMYFUNCTION("""COMPUTED_VALUE"""),6)</f>
        <v>6</v>
      </c>
      <c r="B9" s="56" t="str">
        <f ca="1">IFERROR(__xludf.DUMMYFUNCTION("""COMPUTED_VALUE"""),"Barnett, Ganiban &amp; Cicchetti (1999)")</f>
        <v>Barnett, Ganiban &amp; Cicchetti (1999)</v>
      </c>
      <c r="C9" s="56">
        <f ca="1">IFERROR(__xludf.DUMMYFUNCTION("""COMPUTED_VALUE"""),3)</f>
        <v>3</v>
      </c>
      <c r="D9" s="56" t="str">
        <f ca="1">IFERROR(__xludf.DUMMYFUNCTION("""COMPUTED_VALUE"""),"Comparison")</f>
        <v>Comparison</v>
      </c>
      <c r="E9" s="56" t="str">
        <f ca="1">IFERROR(__xludf.DUMMYFUNCTION("""COMPUTED_VALUE"""),"Infancy - Toddlerhood")</f>
        <v>Infancy - Toddlerhood</v>
      </c>
      <c r="F9" s="123">
        <f ca="1">IFERROR(__xludf.DUMMYFUNCTION("""COMPUTED_VALUE"""),20)</f>
        <v>20</v>
      </c>
      <c r="G9" s="124">
        <f ca="1">IFERROR(__xludf.DUMMYFUNCTION("""COMPUTED_VALUE"""),0.5)</f>
        <v>0.5</v>
      </c>
      <c r="H9" s="118">
        <f ca="1">IFERROR(__xludf.DUMMYFUNCTION("""COMPUTED_VALUE"""),0.75)</f>
        <v>0.75</v>
      </c>
      <c r="I9" s="56">
        <f ca="1">IFERROR(__xludf.DUMMYFUNCTION("""COMPUTED_VALUE"""),1999)</f>
        <v>1999</v>
      </c>
      <c r="J9" s="56" t="str">
        <f ca="1">IFERROR(__xludf.DUMMYFUNCTION("""COMPUTED_VALUE"""),"USA")</f>
        <v>USA</v>
      </c>
      <c r="K9" s="56" t="str">
        <f ca="1">IFERROR(__xludf.DUMMYFUNCTION("""COMPUTED_VALUE"""),"Ainsworth/Ainsworth")</f>
        <v>Ainsworth/Ainsworth</v>
      </c>
      <c r="L9" s="56">
        <f ca="1">IFERROR(__xludf.DUMMYFUNCTION("""COMPUTED_VALUE"""),1)</f>
        <v>1</v>
      </c>
      <c r="M9" s="56">
        <f ca="1">IFERROR(__xludf.DUMMYFUNCTION("""COMPUTED_VALUE"""),0)</f>
        <v>0</v>
      </c>
      <c r="N9" s="56">
        <f ca="1">IFERROR(__xludf.DUMMYFUNCTION("""COMPUTED_VALUE"""),0)</f>
        <v>0</v>
      </c>
      <c r="O9" s="56">
        <f ca="1">IFERROR(__xludf.DUMMYFUNCTION("""COMPUTED_VALUE"""),1)</f>
        <v>1</v>
      </c>
      <c r="P9" s="56">
        <f ca="1">IFERROR(__xludf.DUMMYFUNCTION("""COMPUTED_VALUE"""),0.88)</f>
        <v>0.88</v>
      </c>
      <c r="Q9" s="56">
        <f ca="1">IFERROR(__xludf.DUMMYFUNCTION("""COMPUTED_VALUE"""),0)</f>
        <v>0</v>
      </c>
      <c r="R9" t="str">
        <f ca="1">IFERROR(__xludf.DUMMYFUNCTION("""COMPUTED_VALUE"""),"Female")</f>
        <v>Female</v>
      </c>
    </row>
    <row r="10" spans="1:26" ht="15.75" customHeight="1">
      <c r="A10" s="56">
        <f ca="1">IFERROR(__xludf.DUMMYFUNCTION("""COMPUTED_VALUE"""),7)</f>
        <v>7</v>
      </c>
      <c r="B10" s="56" t="str">
        <f ca="1">IFERROR(__xludf.DUMMYFUNCTION("""COMPUTED_VALUE"""),"Barnett, Ganiban &amp; Cicchetti (1999)")</f>
        <v>Barnett, Ganiban &amp; Cicchetti (1999)</v>
      </c>
      <c r="C10" s="56">
        <f ca="1">IFERROR(__xludf.DUMMYFUNCTION("""COMPUTED_VALUE"""),1)</f>
        <v>1</v>
      </c>
      <c r="D10" s="56" t="str">
        <f ca="1">IFERROR(__xludf.DUMMYFUNCTION("""COMPUTED_VALUE"""),"Maltreated")</f>
        <v>Maltreated</v>
      </c>
      <c r="E10" s="56" t="str">
        <f ca="1">IFERROR(__xludf.DUMMYFUNCTION("""COMPUTED_VALUE"""),"Infancy - Toddlerhood")</f>
        <v>Infancy - Toddlerhood</v>
      </c>
      <c r="F10" s="123">
        <f ca="1">IFERROR(__xludf.DUMMYFUNCTION("""COMPUTED_VALUE"""),16)</f>
        <v>16</v>
      </c>
      <c r="G10" s="124">
        <f ca="1">IFERROR(__xludf.DUMMYFUNCTION("""COMPUTED_VALUE"""),1)</f>
        <v>1</v>
      </c>
      <c r="H10" s="118">
        <f ca="1">IFERROR(__xludf.DUMMYFUNCTION("""COMPUTED_VALUE"""),1)</f>
        <v>1</v>
      </c>
      <c r="I10" s="56">
        <f ca="1">IFERROR(__xludf.DUMMYFUNCTION("""COMPUTED_VALUE"""),1999)</f>
        <v>1999</v>
      </c>
      <c r="J10" s="56" t="str">
        <f ca="1">IFERROR(__xludf.DUMMYFUNCTION("""COMPUTED_VALUE"""),"USA")</f>
        <v>USA</v>
      </c>
      <c r="K10" s="56" t="str">
        <f ca="1">IFERROR(__xludf.DUMMYFUNCTION("""COMPUTED_VALUE"""),"Ainsworth/Ainsworth")</f>
        <v>Ainsworth/Ainsworth</v>
      </c>
      <c r="L10" s="56">
        <f ca="1">IFERROR(__xludf.DUMMYFUNCTION("""COMPUTED_VALUE"""),1)</f>
        <v>1</v>
      </c>
      <c r="M10" s="56">
        <f ca="1">IFERROR(__xludf.DUMMYFUNCTION("""COMPUTED_VALUE"""),1)</f>
        <v>1</v>
      </c>
      <c r="N10" s="56">
        <f ca="1">IFERROR(__xludf.DUMMYFUNCTION("""COMPUTED_VALUE"""),0)</f>
        <v>0</v>
      </c>
      <c r="O10" s="56">
        <f ca="1">IFERROR(__xludf.DUMMYFUNCTION("""COMPUTED_VALUE"""),1)</f>
        <v>1</v>
      </c>
      <c r="P10" s="56">
        <f ca="1">IFERROR(__xludf.DUMMYFUNCTION("""COMPUTED_VALUE"""),0.895)</f>
        <v>0.89500000000000002</v>
      </c>
      <c r="Q10" s="56">
        <f ca="1">IFERROR(__xludf.DUMMYFUNCTION("""COMPUTED_VALUE"""),0)</f>
        <v>0</v>
      </c>
      <c r="R10" t="str">
        <f ca="1">IFERROR(__xludf.DUMMYFUNCTION("""COMPUTED_VALUE"""),"Female")</f>
        <v>Female</v>
      </c>
    </row>
    <row r="11" spans="1:26" ht="15.75" customHeight="1">
      <c r="A11" s="56">
        <f ca="1">IFERROR(__xludf.DUMMYFUNCTION("""COMPUTED_VALUE"""),7)</f>
        <v>7</v>
      </c>
      <c r="B11" s="56" t="str">
        <f ca="1">IFERROR(__xludf.DUMMYFUNCTION("""COMPUTED_VALUE"""),"Barnett, Ganiban &amp; Cicchetti (1999)")</f>
        <v>Barnett, Ganiban &amp; Cicchetti (1999)</v>
      </c>
      <c r="C11" s="56">
        <f ca="1">IFERROR(__xludf.DUMMYFUNCTION("""COMPUTED_VALUE"""),2)</f>
        <v>2</v>
      </c>
      <c r="D11" s="56" t="str">
        <f ca="1">IFERROR(__xludf.DUMMYFUNCTION("""COMPUTED_VALUE"""),"Maltreated")</f>
        <v>Maltreated</v>
      </c>
      <c r="E11" s="56" t="str">
        <f ca="1">IFERROR(__xludf.DUMMYFUNCTION("""COMPUTED_VALUE"""),"Infancy - Infancy")</f>
        <v>Infancy - Infancy</v>
      </c>
      <c r="F11" s="123">
        <f ca="1">IFERROR(__xludf.DUMMYFUNCTION("""COMPUTED_VALUE"""),18)</f>
        <v>18</v>
      </c>
      <c r="G11" s="124">
        <f ca="1">IFERROR(__xludf.DUMMYFUNCTION("""COMPUTED_VALUE"""),0.470588235294117)</f>
        <v>0.47058823529411697</v>
      </c>
      <c r="H11" s="118">
        <f ca="1">IFERROR(__xludf.DUMMYFUNCTION("""COMPUTED_VALUE"""),0.833333333333333)</f>
        <v>0.83333333333333304</v>
      </c>
      <c r="I11" s="56">
        <f ca="1">IFERROR(__xludf.DUMMYFUNCTION("""COMPUTED_VALUE"""),1999)</f>
        <v>1999</v>
      </c>
      <c r="J11" s="56" t="str">
        <f ca="1">IFERROR(__xludf.DUMMYFUNCTION("""COMPUTED_VALUE"""),"USA")</f>
        <v>USA</v>
      </c>
      <c r="K11" s="56" t="str">
        <f ca="1">IFERROR(__xludf.DUMMYFUNCTION("""COMPUTED_VALUE"""),"Ainsworth/Ainsworth")</f>
        <v>Ainsworth/Ainsworth</v>
      </c>
      <c r="L11" s="56">
        <f ca="1">IFERROR(__xludf.DUMMYFUNCTION("""COMPUTED_VALUE"""),1)</f>
        <v>1</v>
      </c>
      <c r="M11" s="56">
        <f ca="1">IFERROR(__xludf.DUMMYFUNCTION("""COMPUTED_VALUE"""),1)</f>
        <v>1</v>
      </c>
      <c r="N11" s="56">
        <f ca="1">IFERROR(__xludf.DUMMYFUNCTION("""COMPUTED_VALUE"""),0)</f>
        <v>0</v>
      </c>
      <c r="O11" s="56">
        <f ca="1">IFERROR(__xludf.DUMMYFUNCTION("""COMPUTED_VALUE"""),1)</f>
        <v>1</v>
      </c>
      <c r="P11" s="56">
        <f ca="1">IFERROR(__xludf.DUMMYFUNCTION("""COMPUTED_VALUE"""),0.865)</f>
        <v>0.86499999999999999</v>
      </c>
      <c r="Q11" s="56">
        <f ca="1">IFERROR(__xludf.DUMMYFUNCTION("""COMPUTED_VALUE"""),0)</f>
        <v>0</v>
      </c>
      <c r="R11" t="str">
        <f ca="1">IFERROR(__xludf.DUMMYFUNCTION("""COMPUTED_VALUE"""),"Female")</f>
        <v>Female</v>
      </c>
    </row>
    <row r="12" spans="1:26" ht="15.75" customHeight="1">
      <c r="A12" s="56">
        <f ca="1">IFERROR(__xludf.DUMMYFUNCTION("""COMPUTED_VALUE"""),7)</f>
        <v>7</v>
      </c>
      <c r="B12" s="56" t="str">
        <f ca="1">IFERROR(__xludf.DUMMYFUNCTION("""COMPUTED_VALUE"""),"Barnett, Ganiban &amp; Cicchetti (1999)")</f>
        <v>Barnett, Ganiban &amp; Cicchetti (1999)</v>
      </c>
      <c r="C12" s="56">
        <f ca="1">IFERROR(__xludf.DUMMYFUNCTION("""COMPUTED_VALUE"""),3)</f>
        <v>3</v>
      </c>
      <c r="D12" s="56" t="str">
        <f ca="1">IFERROR(__xludf.DUMMYFUNCTION("""COMPUTED_VALUE"""),"Maltreated")</f>
        <v>Maltreated</v>
      </c>
      <c r="E12" s="56" t="str">
        <f ca="1">IFERROR(__xludf.DUMMYFUNCTION("""COMPUTED_VALUE"""),"Infancy - Toddlerhood")</f>
        <v>Infancy - Toddlerhood</v>
      </c>
      <c r="F12" s="123">
        <f ca="1">IFERROR(__xludf.DUMMYFUNCTION("""COMPUTED_VALUE"""),16)</f>
        <v>16</v>
      </c>
      <c r="G12" s="124">
        <f ca="1">IFERROR(__xludf.DUMMYFUNCTION("""COMPUTED_VALUE"""),0.294117647058823)</f>
        <v>0.29411764705882298</v>
      </c>
      <c r="H12" s="118">
        <f ca="1">IFERROR(__xludf.DUMMYFUNCTION("""COMPUTED_VALUE"""),0.8125)</f>
        <v>0.8125</v>
      </c>
      <c r="I12" s="56">
        <f ca="1">IFERROR(__xludf.DUMMYFUNCTION("""COMPUTED_VALUE"""),1999)</f>
        <v>1999</v>
      </c>
      <c r="J12" s="56" t="str">
        <f ca="1">IFERROR(__xludf.DUMMYFUNCTION("""COMPUTED_VALUE"""),"USA")</f>
        <v>USA</v>
      </c>
      <c r="K12" s="56" t="str">
        <f ca="1">IFERROR(__xludf.DUMMYFUNCTION("""COMPUTED_VALUE"""),"Ainsworth/Ainsworth")</f>
        <v>Ainsworth/Ainsworth</v>
      </c>
      <c r="L12" s="56">
        <f ca="1">IFERROR(__xludf.DUMMYFUNCTION("""COMPUTED_VALUE"""),1)</f>
        <v>1</v>
      </c>
      <c r="M12" s="56">
        <f ca="1">IFERROR(__xludf.DUMMYFUNCTION("""COMPUTED_VALUE"""),1)</f>
        <v>1</v>
      </c>
      <c r="N12" s="56">
        <f ca="1">IFERROR(__xludf.DUMMYFUNCTION("""COMPUTED_VALUE"""),0)</f>
        <v>0</v>
      </c>
      <c r="O12" s="56">
        <f ca="1">IFERROR(__xludf.DUMMYFUNCTION("""COMPUTED_VALUE"""),1)</f>
        <v>1</v>
      </c>
      <c r="P12" s="56">
        <f ca="1">IFERROR(__xludf.DUMMYFUNCTION("""COMPUTED_VALUE"""),0.88)</f>
        <v>0.88</v>
      </c>
      <c r="Q12" s="56">
        <f ca="1">IFERROR(__xludf.DUMMYFUNCTION("""COMPUTED_VALUE"""),0)</f>
        <v>0</v>
      </c>
      <c r="R12" t="str">
        <f ca="1">IFERROR(__xludf.DUMMYFUNCTION("""COMPUTED_VALUE"""),"Female")</f>
        <v>Female</v>
      </c>
    </row>
    <row r="13" spans="1:26" ht="15.75" customHeight="1">
      <c r="A13" s="56">
        <f ca="1">IFERROR(__xludf.DUMMYFUNCTION("""COMPUTED_VALUE"""),8)</f>
        <v>8</v>
      </c>
      <c r="B13" s="56" t="str">
        <f ca="1">IFERROR(__xludf.DUMMYFUNCTION("""COMPUTED_VALUE"""),"Cicchetti &amp; Barnett (1991)")</f>
        <v>Cicchetti &amp; Barnett (1991)</v>
      </c>
      <c r="C13" s="56">
        <f ca="1">IFERROR(__xludf.DUMMYFUNCTION("""COMPUTED_VALUE"""),1)</f>
        <v>1</v>
      </c>
      <c r="D13" s="56" t="str">
        <f ca="1">IFERROR(__xludf.DUMMYFUNCTION("""COMPUTED_VALUE"""),"Maltreated, 18 month interval")</f>
        <v>Maltreated, 18 month interval</v>
      </c>
      <c r="E13" s="56" t="str">
        <f ca="1">IFERROR(__xludf.DUMMYFUNCTION("""COMPUTED_VALUE"""),"Toddlerhood - Preschool")</f>
        <v>Toddlerhood - Preschool</v>
      </c>
      <c r="F13" s="123">
        <f ca="1">IFERROR(__xludf.DUMMYFUNCTION("""COMPUTED_VALUE"""),18)</f>
        <v>18</v>
      </c>
      <c r="G13" s="124">
        <f ca="1">IFERROR(__xludf.DUMMYFUNCTION("""COMPUTED_VALUE"""),0.470588235294117)</f>
        <v>0.47058823529411697</v>
      </c>
      <c r="H13" s="118">
        <f ca="1">IFERROR(__xludf.DUMMYFUNCTION("""COMPUTED_VALUE"""),0.833333333333333)</f>
        <v>0.83333333333333304</v>
      </c>
      <c r="I13" s="56">
        <f ca="1">IFERROR(__xludf.DUMMYFUNCTION("""COMPUTED_VALUE"""),1991)</f>
        <v>1991</v>
      </c>
      <c r="J13" s="56" t="str">
        <f ca="1">IFERROR(__xludf.DUMMYFUNCTION("""COMPUTED_VALUE"""),"USA")</f>
        <v>USA</v>
      </c>
      <c r="K13" s="56" t="str">
        <f ca="1">IFERROR(__xludf.DUMMYFUNCTION("""COMPUTED_VALUE"""),"Cassidy-Marvin/Cassidy-Marvin")</f>
        <v>Cassidy-Marvin/Cassidy-Marvin</v>
      </c>
      <c r="L13" s="56">
        <f ca="1">IFERROR(__xludf.DUMMYFUNCTION("""COMPUTED_VALUE"""),1)</f>
        <v>1</v>
      </c>
      <c r="M13" s="56">
        <f ca="1">IFERROR(__xludf.DUMMYFUNCTION("""COMPUTED_VALUE"""),1)</f>
        <v>1</v>
      </c>
      <c r="N13" s="56">
        <f ca="1">IFERROR(__xludf.DUMMYFUNCTION("""COMPUTED_VALUE"""),0)</f>
        <v>0</v>
      </c>
      <c r="O13" s="56">
        <f ca="1">IFERROR(__xludf.DUMMYFUNCTION("""COMPUTED_VALUE"""),1)</f>
        <v>1</v>
      </c>
      <c r="P13" s="56">
        <f ca="1">IFERROR(__xludf.DUMMYFUNCTION("""COMPUTED_VALUE"""),0.75)</f>
        <v>0.75</v>
      </c>
      <c r="Q13" s="56">
        <f ca="1">IFERROR(__xludf.DUMMYFUNCTION("""COMPUTED_VALUE"""),0)</f>
        <v>0</v>
      </c>
      <c r="R13" t="str">
        <f ca="1">IFERROR(__xludf.DUMMYFUNCTION("""COMPUTED_VALUE"""),"Mixed")</f>
        <v>Mixed</v>
      </c>
    </row>
    <row r="14" spans="1:26" ht="15.75" customHeight="1">
      <c r="A14" s="56">
        <f ca="1">IFERROR(__xludf.DUMMYFUNCTION("""COMPUTED_VALUE"""),8)</f>
        <v>8</v>
      </c>
      <c r="B14" s="56" t="str">
        <f ca="1">IFERROR(__xludf.DUMMYFUNCTION("""COMPUTED_VALUE"""),"Cicchetti &amp; Barnett (1991)")</f>
        <v>Cicchetti &amp; Barnett (1991)</v>
      </c>
      <c r="C14" s="56">
        <f ca="1">IFERROR(__xludf.DUMMYFUNCTION("""COMPUTED_VALUE"""),2)</f>
        <v>2</v>
      </c>
      <c r="D14" s="56" t="str">
        <f ca="1">IFERROR(__xludf.DUMMYFUNCTION("""COMPUTED_VALUE"""),"Maltreated, 12 month interval")</f>
        <v>Maltreated, 12 month interval</v>
      </c>
      <c r="E14" s="56" t="str">
        <f ca="1">IFERROR(__xludf.DUMMYFUNCTION("""COMPUTED_VALUE"""),"Toddlerhood - Preschool")</f>
        <v>Toddlerhood - Preschool</v>
      </c>
      <c r="F14" s="123">
        <f ca="1">IFERROR(__xludf.DUMMYFUNCTION("""COMPUTED_VALUE"""),25)</f>
        <v>25</v>
      </c>
      <c r="G14" s="124">
        <f ca="1">IFERROR(__xludf.DUMMYFUNCTION("""COMPUTED_VALUE"""),0.122807017543859)</f>
        <v>0.122807017543859</v>
      </c>
      <c r="H14" s="118">
        <f ca="1">IFERROR(__xludf.DUMMYFUNCTION("""COMPUTED_VALUE"""),0.68)</f>
        <v>0.68</v>
      </c>
      <c r="I14" s="56">
        <f ca="1">IFERROR(__xludf.DUMMYFUNCTION("""COMPUTED_VALUE"""),1991)</f>
        <v>1991</v>
      </c>
      <c r="J14" s="56" t="str">
        <f ca="1">IFERROR(__xludf.DUMMYFUNCTION("""COMPUTED_VALUE"""),"USA")</f>
        <v>USA</v>
      </c>
      <c r="K14" s="56" t="str">
        <f ca="1">IFERROR(__xludf.DUMMYFUNCTION("""COMPUTED_VALUE"""),"Cassidy-Marvin/Cassidy-Marvin")</f>
        <v>Cassidy-Marvin/Cassidy-Marvin</v>
      </c>
      <c r="L14" s="56">
        <f ca="1">IFERROR(__xludf.DUMMYFUNCTION("""COMPUTED_VALUE"""),1)</f>
        <v>1</v>
      </c>
      <c r="M14" s="56">
        <f ca="1">IFERROR(__xludf.DUMMYFUNCTION("""COMPUTED_VALUE"""),1)</f>
        <v>1</v>
      </c>
      <c r="N14" s="56">
        <f ca="1">IFERROR(__xludf.DUMMYFUNCTION("""COMPUTED_VALUE"""),0)</f>
        <v>0</v>
      </c>
      <c r="O14" s="56">
        <f ca="1">IFERROR(__xludf.DUMMYFUNCTION("""COMPUTED_VALUE"""),1)</f>
        <v>1</v>
      </c>
      <c r="P14" s="56">
        <f ca="1">IFERROR(__xludf.DUMMYFUNCTION("""COMPUTED_VALUE"""),0.75)</f>
        <v>0.75</v>
      </c>
      <c r="Q14" s="56">
        <f ca="1">IFERROR(__xludf.DUMMYFUNCTION("""COMPUTED_VALUE"""),0)</f>
        <v>0</v>
      </c>
      <c r="R14" t="str">
        <f ca="1">IFERROR(__xludf.DUMMYFUNCTION("""COMPUTED_VALUE"""),"Mixed")</f>
        <v>Mixed</v>
      </c>
    </row>
    <row r="15" spans="1:26" ht="15.75" customHeight="1">
      <c r="A15" s="56">
        <f ca="1">IFERROR(__xludf.DUMMYFUNCTION("""COMPUTED_VALUE"""),9)</f>
        <v>9</v>
      </c>
      <c r="B15" s="56" t="str">
        <f ca="1">IFERROR(__xludf.DUMMYFUNCTION("""COMPUTED_VALUE"""),"Cicchetti &amp; Barnett (1991)")</f>
        <v>Cicchetti &amp; Barnett (1991)</v>
      </c>
      <c r="C15" s="56">
        <f ca="1">IFERROR(__xludf.DUMMYFUNCTION("""COMPUTED_VALUE"""),1)</f>
        <v>1</v>
      </c>
      <c r="D15" s="56" t="str">
        <f ca="1">IFERROR(__xludf.DUMMYFUNCTION("""COMPUTED_VALUE"""),"Comparison, 18 month interval")</f>
        <v>Comparison, 18 month interval</v>
      </c>
      <c r="E15" s="56" t="str">
        <f ca="1">IFERROR(__xludf.DUMMYFUNCTION("""COMPUTED_VALUE"""),"Toddlerhood - Preschool")</f>
        <v>Toddlerhood - Preschool</v>
      </c>
      <c r="F15" s="123">
        <f ca="1">IFERROR(__xludf.DUMMYFUNCTION("""COMPUTED_VALUE"""),20)</f>
        <v>20</v>
      </c>
      <c r="G15" s="124">
        <f ca="1">IFERROR(__xludf.DUMMYFUNCTION("""COMPUTED_VALUE"""),0.473684210526315)</f>
        <v>0.47368421052631499</v>
      </c>
      <c r="H15" s="118">
        <f ca="1">IFERROR(__xludf.DUMMYFUNCTION("""COMPUTED_VALUE"""),0.8)</f>
        <v>0.8</v>
      </c>
      <c r="I15" s="56">
        <f ca="1">IFERROR(__xludf.DUMMYFUNCTION("""COMPUTED_VALUE"""),1991)</f>
        <v>1991</v>
      </c>
      <c r="J15" s="56" t="str">
        <f ca="1">IFERROR(__xludf.DUMMYFUNCTION("""COMPUTED_VALUE"""),"USA")</f>
        <v>USA</v>
      </c>
      <c r="K15" s="56" t="str">
        <f ca="1">IFERROR(__xludf.DUMMYFUNCTION("""COMPUTED_VALUE"""),"Cassidy-Marvin/Cassidy-Marvin")</f>
        <v>Cassidy-Marvin/Cassidy-Marvin</v>
      </c>
      <c r="L15" s="56">
        <f ca="1">IFERROR(__xludf.DUMMYFUNCTION("""COMPUTED_VALUE"""),1)</f>
        <v>1</v>
      </c>
      <c r="M15" s="56">
        <f ca="1">IFERROR(__xludf.DUMMYFUNCTION("""COMPUTED_VALUE"""),1)</f>
        <v>1</v>
      </c>
      <c r="N15" s="56">
        <f ca="1">IFERROR(__xludf.DUMMYFUNCTION("""COMPUTED_VALUE"""),0)</f>
        <v>0</v>
      </c>
      <c r="O15" s="56">
        <f ca="1">IFERROR(__xludf.DUMMYFUNCTION("""COMPUTED_VALUE"""),1)</f>
        <v>1</v>
      </c>
      <c r="P15" s="56">
        <f ca="1">IFERROR(__xludf.DUMMYFUNCTION("""COMPUTED_VALUE"""),0.75)</f>
        <v>0.75</v>
      </c>
      <c r="Q15" s="56">
        <f ca="1">IFERROR(__xludf.DUMMYFUNCTION("""COMPUTED_VALUE"""),0)</f>
        <v>0</v>
      </c>
      <c r="R15" t="str">
        <f ca="1">IFERROR(__xludf.DUMMYFUNCTION("""COMPUTED_VALUE"""),"Mixed")</f>
        <v>Mixed</v>
      </c>
    </row>
    <row r="16" spans="1:26" ht="15.75" customHeight="1">
      <c r="A16" s="56">
        <f ca="1">IFERROR(__xludf.DUMMYFUNCTION("""COMPUTED_VALUE"""),9)</f>
        <v>9</v>
      </c>
      <c r="B16" s="56" t="str">
        <f ca="1">IFERROR(__xludf.DUMMYFUNCTION("""COMPUTED_VALUE"""),"Cicchetti &amp; Barnett (1991)")</f>
        <v>Cicchetti &amp; Barnett (1991)</v>
      </c>
      <c r="C16" s="56">
        <f ca="1">IFERROR(__xludf.DUMMYFUNCTION("""COMPUTED_VALUE"""),2)</f>
        <v>2</v>
      </c>
      <c r="D16" s="56" t="str">
        <f ca="1">IFERROR(__xludf.DUMMYFUNCTION("""COMPUTED_VALUE"""),"Comparison, 12 month interval")</f>
        <v>Comparison, 12 month interval</v>
      </c>
      <c r="E16" s="56" t="str">
        <f ca="1">IFERROR(__xludf.DUMMYFUNCTION("""COMPUTED_VALUE"""),"Toddlerhood - Preschool")</f>
        <v>Toddlerhood - Preschool</v>
      </c>
      <c r="F16" s="123">
        <f ca="1">IFERROR(__xludf.DUMMYFUNCTION("""COMPUTED_VALUE"""),15)</f>
        <v>15</v>
      </c>
      <c r="G16" s="124">
        <f ca="1">IFERROR(__xludf.DUMMYFUNCTION("""COMPUTED_VALUE"""),0.333333333333333)</f>
        <v>0.33333333333333298</v>
      </c>
      <c r="H16" s="118">
        <f ca="1">IFERROR(__xludf.DUMMYFUNCTION("""COMPUTED_VALUE"""),0.733333333333333)</f>
        <v>0.73333333333333295</v>
      </c>
      <c r="I16" s="56">
        <f ca="1">IFERROR(__xludf.DUMMYFUNCTION("""COMPUTED_VALUE"""),1991)</f>
        <v>1991</v>
      </c>
      <c r="J16" s="56" t="str">
        <f ca="1">IFERROR(__xludf.DUMMYFUNCTION("""COMPUTED_VALUE"""),"USA")</f>
        <v>USA</v>
      </c>
      <c r="K16" s="56" t="str">
        <f ca="1">IFERROR(__xludf.DUMMYFUNCTION("""COMPUTED_VALUE"""),"Cassidy-Marvin/Cassidy-Marvin")</f>
        <v>Cassidy-Marvin/Cassidy-Marvin</v>
      </c>
      <c r="L16" s="56">
        <f ca="1">IFERROR(__xludf.DUMMYFUNCTION("""COMPUTED_VALUE"""),1)</f>
        <v>1</v>
      </c>
      <c r="M16" s="56">
        <f ca="1">IFERROR(__xludf.DUMMYFUNCTION("""COMPUTED_VALUE"""),1)</f>
        <v>1</v>
      </c>
      <c r="N16" s="56">
        <f ca="1">IFERROR(__xludf.DUMMYFUNCTION("""COMPUTED_VALUE"""),0)</f>
        <v>0</v>
      </c>
      <c r="O16" s="56">
        <f ca="1">IFERROR(__xludf.DUMMYFUNCTION("""COMPUTED_VALUE"""),1)</f>
        <v>1</v>
      </c>
      <c r="P16" s="56">
        <f ca="1">IFERROR(__xludf.DUMMYFUNCTION("""COMPUTED_VALUE"""),0.75)</f>
        <v>0.75</v>
      </c>
      <c r="Q16" s="56">
        <f ca="1">IFERROR(__xludf.DUMMYFUNCTION("""COMPUTED_VALUE"""),0)</f>
        <v>0</v>
      </c>
      <c r="R16" t="str">
        <f ca="1">IFERROR(__xludf.DUMMYFUNCTION("""COMPUTED_VALUE"""),"Mixed")</f>
        <v>Mixed</v>
      </c>
    </row>
    <row r="17" spans="1:18" ht="15.75" customHeight="1">
      <c r="A17" s="56">
        <f ca="1">IFERROR(__xludf.DUMMYFUNCTION("""COMPUTED_VALUE"""),10)</f>
        <v>10</v>
      </c>
      <c r="B17" s="56" t="str">
        <f ca="1">IFERROR(__xludf.DUMMYFUNCTION("""COMPUTED_VALUE"""),"Cicchetti, Rogosch &amp; Toth (2006)")</f>
        <v>Cicchetti, Rogosch &amp; Toth (2006)</v>
      </c>
      <c r="C17" s="56">
        <f ca="1">IFERROR(__xludf.DUMMYFUNCTION("""COMPUTED_VALUE"""),1)</f>
        <v>1</v>
      </c>
      <c r="D17" s="56" t="str">
        <f ca="1">IFERROR(__xludf.DUMMYFUNCTION("""COMPUTED_VALUE"""),"Maltreated")</f>
        <v>Maltreated</v>
      </c>
      <c r="E17" s="56" t="str">
        <f ca="1">IFERROR(__xludf.DUMMYFUNCTION("""COMPUTED_VALUE"""),"Infancy - Toddlerhood")</f>
        <v>Infancy - Toddlerhood</v>
      </c>
      <c r="F17" s="123">
        <f ca="1">IFERROR(__xludf.DUMMYFUNCTION("""COMPUTED_VALUE"""),54)</f>
        <v>54</v>
      </c>
      <c r="G17" s="124">
        <f ca="1">IFERROR(__xludf.DUMMYFUNCTION("""COMPUTED_VALUE"""),0)</f>
        <v>0</v>
      </c>
      <c r="H17" s="118">
        <f ca="1">IFERROR(__xludf.DUMMYFUNCTION("""COMPUTED_VALUE"""),0.981481481481481)</f>
        <v>0.98148148148148096</v>
      </c>
      <c r="I17" s="56">
        <f ca="1">IFERROR(__xludf.DUMMYFUNCTION("""COMPUTED_VALUE"""),2006)</f>
        <v>2006</v>
      </c>
      <c r="J17" s="56" t="str">
        <f ca="1">IFERROR(__xludf.DUMMYFUNCTION("""COMPUTED_VALUE"""),"USA")</f>
        <v>USA</v>
      </c>
      <c r="K17" s="56" t="str">
        <f ca="1">IFERROR(__xludf.DUMMYFUNCTION("""COMPUTED_VALUE"""),"Ainsworth/Schneider-Rosen")</f>
        <v>Ainsworth/Schneider-Rosen</v>
      </c>
      <c r="L17" s="56">
        <f ca="1">IFERROR(__xludf.DUMMYFUNCTION("""COMPUTED_VALUE"""),1)</f>
        <v>1</v>
      </c>
      <c r="M17" s="56">
        <f ca="1">IFERROR(__xludf.DUMMYFUNCTION("""COMPUTED_VALUE"""),1)</f>
        <v>1</v>
      </c>
      <c r="N17" s="56">
        <f ca="1">IFERROR(__xludf.DUMMYFUNCTION("""COMPUTED_VALUE"""),0)</f>
        <v>0</v>
      </c>
      <c r="O17" s="56">
        <f ca="1">IFERROR(__xludf.DUMMYFUNCTION("""COMPUTED_VALUE"""),1)</f>
        <v>1</v>
      </c>
      <c r="P17" s="56">
        <f ca="1">IFERROR(__xludf.DUMMYFUNCTION("""COMPUTED_VALUE"""),0.88)</f>
        <v>0.88</v>
      </c>
      <c r="Q17" s="56">
        <f ca="1">IFERROR(__xludf.DUMMYFUNCTION("""COMPUTED_VALUE"""),0)</f>
        <v>0</v>
      </c>
      <c r="R17" t="str">
        <f ca="1">IFERROR(__xludf.DUMMYFUNCTION("""COMPUTED_VALUE"""),"Female")</f>
        <v>Female</v>
      </c>
    </row>
    <row r="18" spans="1:18" ht="15.75" customHeight="1">
      <c r="A18" s="56">
        <f ca="1">IFERROR(__xludf.DUMMYFUNCTION("""COMPUTED_VALUE"""),11)</f>
        <v>11</v>
      </c>
      <c r="B18" s="56" t="str">
        <f ca="1">IFERROR(__xludf.DUMMYFUNCTION("""COMPUTED_VALUE"""),"Cicchetti, Rogosch &amp; Toth (2006)")</f>
        <v>Cicchetti, Rogosch &amp; Toth (2006)</v>
      </c>
      <c r="C18" s="56">
        <f ca="1">IFERROR(__xludf.DUMMYFUNCTION("""COMPUTED_VALUE"""),1)</f>
        <v>1</v>
      </c>
      <c r="D18" s="56" t="str">
        <f ca="1">IFERROR(__xludf.DUMMYFUNCTION("""COMPUTED_VALUE"""),"Comparison")</f>
        <v>Comparison</v>
      </c>
      <c r="E18" s="56" t="str">
        <f ca="1">IFERROR(__xludf.DUMMYFUNCTION("""COMPUTED_VALUE"""),"Infancy - Toddlerhood")</f>
        <v>Infancy - Toddlerhood</v>
      </c>
      <c r="F18" s="123">
        <f ca="1">IFERROR(__xludf.DUMMYFUNCTION("""COMPUTED_VALUE"""),44)</f>
        <v>44</v>
      </c>
      <c r="G18" s="124">
        <f ca="1">IFERROR(__xludf.DUMMYFUNCTION("""COMPUTED_VALUE"""),0.233115468409586)</f>
        <v>0.233115468409586</v>
      </c>
      <c r="H18" s="118">
        <f ca="1">IFERROR(__xludf.DUMMYFUNCTION("""COMPUTED_VALUE"""),0.636363636363636)</f>
        <v>0.63636363636363602</v>
      </c>
      <c r="I18" s="56">
        <f ca="1">IFERROR(__xludf.DUMMYFUNCTION("""COMPUTED_VALUE"""),2006)</f>
        <v>2006</v>
      </c>
      <c r="J18" s="56" t="str">
        <f ca="1">IFERROR(__xludf.DUMMYFUNCTION("""COMPUTED_VALUE"""),"USA")</f>
        <v>USA</v>
      </c>
      <c r="K18" s="56" t="str">
        <f ca="1">IFERROR(__xludf.DUMMYFUNCTION("""COMPUTED_VALUE"""),"Ainsworth/Schneider-Rosen")</f>
        <v>Ainsworth/Schneider-Rosen</v>
      </c>
      <c r="L18" s="56">
        <f ca="1">IFERROR(__xludf.DUMMYFUNCTION("""COMPUTED_VALUE"""),1)</f>
        <v>1</v>
      </c>
      <c r="M18" s="56">
        <f ca="1">IFERROR(__xludf.DUMMYFUNCTION("""COMPUTED_VALUE"""),0)</f>
        <v>0</v>
      </c>
      <c r="N18" s="56">
        <f ca="1">IFERROR(__xludf.DUMMYFUNCTION("""COMPUTED_VALUE"""),0)</f>
        <v>0</v>
      </c>
      <c r="O18" s="56">
        <f ca="1">IFERROR(__xludf.DUMMYFUNCTION("""COMPUTED_VALUE"""),1)</f>
        <v>1</v>
      </c>
      <c r="P18" s="56">
        <f ca="1">IFERROR(__xludf.DUMMYFUNCTION("""COMPUTED_VALUE"""),0.88)</f>
        <v>0.88</v>
      </c>
      <c r="Q18" s="56">
        <f ca="1">IFERROR(__xludf.DUMMYFUNCTION("""COMPUTED_VALUE"""),0)</f>
        <v>0</v>
      </c>
      <c r="R18" t="str">
        <f ca="1">IFERROR(__xludf.DUMMYFUNCTION("""COMPUTED_VALUE"""),"Female")</f>
        <v>Female</v>
      </c>
    </row>
    <row r="19" spans="1:18" ht="15.75" customHeight="1">
      <c r="A19" s="56">
        <f ca="1">IFERROR(__xludf.DUMMYFUNCTION("""COMPUTED_VALUE"""),13)</f>
        <v>13</v>
      </c>
      <c r="B19" s="56" t="str">
        <f ca="1">IFERROR(__xludf.DUMMYFUNCTION("""COMPUTED_VALUE"""),"Fish (2004)")</f>
        <v>Fish (2004)</v>
      </c>
      <c r="C19" s="56">
        <f ca="1">IFERROR(__xludf.DUMMYFUNCTION("""COMPUTED_VALUE"""),1)</f>
        <v>1</v>
      </c>
      <c r="D19" s="56" t="str">
        <f ca="1">IFERROR(__xludf.DUMMYFUNCTION("""COMPUTED_VALUE"""),"Single sample")</f>
        <v>Single sample</v>
      </c>
      <c r="E19" s="56" t="str">
        <f ca="1">IFERROR(__xludf.DUMMYFUNCTION("""COMPUTED_VALUE"""),"Infancy - Preschool")</f>
        <v>Infancy - Preschool</v>
      </c>
      <c r="F19" s="123">
        <f ca="1">IFERROR(__xludf.DUMMYFUNCTION("""COMPUTED_VALUE"""),82)</f>
        <v>82</v>
      </c>
      <c r="G19" s="124">
        <f ca="1">IFERROR(__xludf.DUMMYFUNCTION("""COMPUTED_VALUE"""),0.235718580877931)</f>
        <v>0.23571858087793099</v>
      </c>
      <c r="H19" s="118">
        <f ca="1">IFERROR(__xludf.DUMMYFUNCTION("""COMPUTED_VALUE"""),0.621951219512195)</f>
        <v>0.62195121951219501</v>
      </c>
      <c r="I19" s="56">
        <f ca="1">IFERROR(__xludf.DUMMYFUNCTION("""COMPUTED_VALUE"""),2004)</f>
        <v>2004</v>
      </c>
      <c r="J19" s="56" t="str">
        <f ca="1">IFERROR(__xludf.DUMMYFUNCTION("""COMPUTED_VALUE"""),"USA")</f>
        <v>USA</v>
      </c>
      <c r="K19" s="56" t="str">
        <f ca="1">IFERROR(__xludf.DUMMYFUNCTION("""COMPUTED_VALUE"""),"Ainsworth/Cassidy-Marvin")</f>
        <v>Ainsworth/Cassidy-Marvin</v>
      </c>
      <c r="L19" s="56">
        <f ca="1">IFERROR(__xludf.DUMMYFUNCTION("""COMPUTED_VALUE"""),1)</f>
        <v>1</v>
      </c>
      <c r="M19" s="56">
        <f ca="1">IFERROR(__xludf.DUMMYFUNCTION("""COMPUTED_VALUE"""),1)</f>
        <v>1</v>
      </c>
      <c r="N19" s="56">
        <f ca="1">IFERROR(__xludf.DUMMYFUNCTION("""COMPUTED_VALUE"""),0)</f>
        <v>0</v>
      </c>
      <c r="O19" s="56">
        <f ca="1">IFERROR(__xludf.DUMMYFUNCTION("""COMPUTED_VALUE"""),1)</f>
        <v>1</v>
      </c>
      <c r="P19" s="56">
        <f ca="1">IFERROR(__xludf.DUMMYFUNCTION("""COMPUTED_VALUE"""),0.769)</f>
        <v>0.76900000000000002</v>
      </c>
      <c r="Q19" s="56">
        <f ca="1">IFERROR(__xludf.DUMMYFUNCTION("""COMPUTED_VALUE"""),0)</f>
        <v>0</v>
      </c>
      <c r="R19" t="str">
        <f ca="1">IFERROR(__xludf.DUMMYFUNCTION("""COMPUTED_VALUE"""),"Female")</f>
        <v>Female</v>
      </c>
    </row>
    <row r="20" spans="1:18" ht="15.75" customHeight="1">
      <c r="A20" s="56">
        <f ca="1">IFERROR(__xludf.DUMMYFUNCTION("""COMPUTED_VALUE"""),14)</f>
        <v>14</v>
      </c>
      <c r="B20" s="56" t="str">
        <f ca="1">IFERROR(__xludf.DUMMYFUNCTION("""COMPUTED_VALUE"""),"Ganiban, Barnett &amp; Cicchetti (2000)")</f>
        <v>Ganiban, Barnett &amp; Cicchetti (2000)</v>
      </c>
      <c r="C20" s="56">
        <f ca="1">IFERROR(__xludf.DUMMYFUNCTION("""COMPUTED_VALUE"""),1)</f>
        <v>1</v>
      </c>
      <c r="D20" s="56" t="str">
        <f ca="1">IFERROR(__xludf.DUMMYFUNCTION("""COMPUTED_VALUE"""),"Single sample")</f>
        <v>Single sample</v>
      </c>
      <c r="E20" s="56" t="str">
        <f ca="1">IFERROR(__xludf.DUMMYFUNCTION("""COMPUTED_VALUE"""),"Infancy - Toddlerhood")</f>
        <v>Infancy - Toddlerhood</v>
      </c>
      <c r="F20" s="123">
        <f ca="1">IFERROR(__xludf.DUMMYFUNCTION("""COMPUTED_VALUE"""),30)</f>
        <v>30</v>
      </c>
      <c r="G20" s="124">
        <f ca="1">IFERROR(__xludf.DUMMYFUNCTION("""COMPUTED_VALUE"""),0.405286343612334)</f>
        <v>0.40528634361233401</v>
      </c>
      <c r="H20" s="118">
        <f ca="1">IFERROR(__xludf.DUMMYFUNCTION("""COMPUTED_VALUE"""),0.7)</f>
        <v>0.7</v>
      </c>
      <c r="I20" s="56">
        <f ca="1">IFERROR(__xludf.DUMMYFUNCTION("""COMPUTED_VALUE"""),2000)</f>
        <v>2000</v>
      </c>
      <c r="J20" s="56" t="str">
        <f ca="1">IFERROR(__xludf.DUMMYFUNCTION("""COMPUTED_VALUE"""),"USA")</f>
        <v>USA</v>
      </c>
      <c r="K20" s="56" t="str">
        <f ca="1">IFERROR(__xludf.DUMMYFUNCTION("""COMPUTED_VALUE"""),"Ainsworth/Ainsworth")</f>
        <v>Ainsworth/Ainsworth</v>
      </c>
      <c r="L20" s="56">
        <f ca="1">IFERROR(__xludf.DUMMYFUNCTION("""COMPUTED_VALUE"""),1)</f>
        <v>1</v>
      </c>
      <c r="M20" s="56">
        <f ca="1">IFERROR(__xludf.DUMMYFUNCTION("""COMPUTED_VALUE"""),0)</f>
        <v>0</v>
      </c>
      <c r="N20" s="56">
        <f ca="1">IFERROR(__xludf.DUMMYFUNCTION("""COMPUTED_VALUE"""),1)</f>
        <v>1</v>
      </c>
      <c r="O20" s="56">
        <f ca="1">IFERROR(__xludf.DUMMYFUNCTION("""COMPUTED_VALUE"""),1)</f>
        <v>1</v>
      </c>
      <c r="P20" s="56">
        <f ca="1">IFERROR(__xludf.DUMMYFUNCTION("""COMPUTED_VALUE"""),1)</f>
        <v>1</v>
      </c>
      <c r="Q20" s="56">
        <f ca="1">IFERROR(__xludf.DUMMYFUNCTION("""COMPUTED_VALUE"""),0)</f>
        <v>0</v>
      </c>
      <c r="R20" t="str">
        <f ca="1">IFERROR(__xludf.DUMMYFUNCTION("""COMPUTED_VALUE"""),"Female")</f>
        <v>Female</v>
      </c>
    </row>
    <row r="21" spans="1:18" ht="15.75" customHeight="1">
      <c r="A21" s="56">
        <f ca="1">IFERROR(__xludf.DUMMYFUNCTION("""COMPUTED_VALUE"""),15)</f>
        <v>15</v>
      </c>
      <c r="B21" s="56" t="str">
        <f ca="1">IFERROR(__xludf.DUMMYFUNCTION("""COMPUTED_VALUE"""),"Hautamaki et al. (2010)")</f>
        <v>Hautamaki et al. (2010)</v>
      </c>
      <c r="C21" s="56">
        <f ca="1">IFERROR(__xludf.DUMMYFUNCTION("""COMPUTED_VALUE"""),1)</f>
        <v>1</v>
      </c>
      <c r="D21" s="56" t="str">
        <f ca="1">IFERROR(__xludf.DUMMYFUNCTION("""COMPUTED_VALUE"""),"Mother-child")</f>
        <v>Mother-child</v>
      </c>
      <c r="E21" s="56" t="str">
        <f ca="1">IFERROR(__xludf.DUMMYFUNCTION("""COMPUTED_VALUE"""),"Infancy - Toddlerhood")</f>
        <v>Infancy - Toddlerhood</v>
      </c>
      <c r="F21" s="123">
        <f ca="1">IFERROR(__xludf.DUMMYFUNCTION("""COMPUTED_VALUE"""),33)</f>
        <v>33</v>
      </c>
      <c r="G21" s="124">
        <f ca="1">IFERROR(__xludf.DUMMYFUNCTION("""COMPUTED_VALUE"""),0.778523489932885)</f>
        <v>0.778523489932885</v>
      </c>
      <c r="H21" s="118">
        <f ca="1">IFERROR(__xludf.DUMMYFUNCTION("""COMPUTED_VALUE"""),0.909090909090909)</f>
        <v>0.90909090909090895</v>
      </c>
      <c r="I21" s="56">
        <f ca="1">IFERROR(__xludf.DUMMYFUNCTION("""COMPUTED_VALUE"""),2010)</f>
        <v>2010</v>
      </c>
      <c r="J21" s="56" t="str">
        <f ca="1">IFERROR(__xludf.DUMMYFUNCTION("""COMPUTED_VALUE"""),"Non-USA")</f>
        <v>Non-USA</v>
      </c>
      <c r="K21" s="56" t="str">
        <f ca="1">IFERROR(__xludf.DUMMYFUNCTION("""COMPUTED_VALUE"""),"Ainsworth/Crittenden")</f>
        <v>Ainsworth/Crittenden</v>
      </c>
      <c r="L21" s="56">
        <f ca="1">IFERROR(__xludf.DUMMYFUNCTION("""COMPUTED_VALUE"""),1)</f>
        <v>1</v>
      </c>
      <c r="M21" s="56">
        <f ca="1">IFERROR(__xludf.DUMMYFUNCTION("""COMPUTED_VALUE"""),0)</f>
        <v>0</v>
      </c>
      <c r="N21" s="56">
        <f ca="1">IFERROR(__xludf.DUMMYFUNCTION("""COMPUTED_VALUE"""),0)</f>
        <v>0</v>
      </c>
      <c r="O21" s="56">
        <f ca="1">IFERROR(__xludf.DUMMYFUNCTION("""COMPUTED_VALUE"""),1)</f>
        <v>1</v>
      </c>
      <c r="P21" s="56">
        <f ca="1">IFERROR(__xludf.DUMMYFUNCTION("""COMPUTED_VALUE"""),0.975)</f>
        <v>0.97499999999999998</v>
      </c>
      <c r="Q21" s="56">
        <f ca="1">IFERROR(__xludf.DUMMYFUNCTION("""COMPUTED_VALUE"""),0)</f>
        <v>0</v>
      </c>
      <c r="R21" t="str">
        <f ca="1">IFERROR(__xludf.DUMMYFUNCTION("""COMPUTED_VALUE"""),"Mixed")</f>
        <v>Mixed</v>
      </c>
    </row>
    <row r="22" spans="1:18" ht="15.75" customHeight="1">
      <c r="A22" s="56">
        <f ca="1">IFERROR(__xludf.DUMMYFUNCTION("""COMPUTED_VALUE"""),16)</f>
        <v>16</v>
      </c>
      <c r="B22" s="56" t="str">
        <f ca="1">IFERROR(__xludf.DUMMYFUNCTION("""COMPUTED_VALUE"""),"Howes &amp; Hamilton (1992)")</f>
        <v>Howes &amp; Hamilton (1992)</v>
      </c>
      <c r="C22" s="56">
        <f ca="1">IFERROR(__xludf.DUMMYFUNCTION("""COMPUTED_VALUE"""),1)</f>
        <v>1</v>
      </c>
      <c r="D22" s="56" t="str">
        <f ca="1">IFERROR(__xludf.DUMMYFUNCTION("""COMPUTED_VALUE"""),"Sample 2")</f>
        <v>Sample 2</v>
      </c>
      <c r="E22" s="56" t="str">
        <f ca="1">IFERROR(__xludf.DUMMYFUNCTION("""COMPUTED_VALUE"""),"Infancy - Preschool")</f>
        <v>Infancy - Preschool</v>
      </c>
      <c r="F22" s="123">
        <f ca="1">IFERROR(__xludf.DUMMYFUNCTION("""COMPUTED_VALUE"""),89)</f>
        <v>89</v>
      </c>
      <c r="G22" s="124">
        <f ca="1">IFERROR(__xludf.DUMMYFUNCTION("""COMPUTED_VALUE"""),0.435083669936526)</f>
        <v>0.43508366993652597</v>
      </c>
      <c r="H22" s="118">
        <f ca="1">IFERROR(__xludf.DUMMYFUNCTION("""COMPUTED_VALUE"""),0.752808988764044)</f>
        <v>0.75280898876404401</v>
      </c>
      <c r="I22" s="56">
        <f ca="1">IFERROR(__xludf.DUMMYFUNCTION("""COMPUTED_VALUE"""),1992)</f>
        <v>1992</v>
      </c>
      <c r="J22" s="56" t="str">
        <f ca="1">IFERROR(__xludf.DUMMYFUNCTION("""COMPUTED_VALUE"""),"USA")</f>
        <v>USA</v>
      </c>
      <c r="K22" s="56" t="str">
        <f ca="1">IFERROR(__xludf.DUMMYFUNCTION("""COMPUTED_VALUE"""),"Ainsworth/Cassidy-Marvin")</f>
        <v>Ainsworth/Cassidy-Marvin</v>
      </c>
      <c r="L22" s="56">
        <f ca="1">IFERROR(__xludf.DUMMYFUNCTION("""COMPUTED_VALUE"""),1)</f>
        <v>1</v>
      </c>
      <c r="M22" s="56">
        <f ca="1">IFERROR(__xludf.DUMMYFUNCTION("""COMPUTED_VALUE"""),0)</f>
        <v>0</v>
      </c>
      <c r="N22" s="56">
        <f ca="1">IFERROR(__xludf.DUMMYFUNCTION("""COMPUTED_VALUE"""),0)</f>
        <v>0</v>
      </c>
      <c r="O22" s="56">
        <f ca="1">IFERROR(__xludf.DUMMYFUNCTION("""COMPUTED_VALUE"""),1)</f>
        <v>1</v>
      </c>
      <c r="P22" s="56" t="str">
        <f ca="1">IFERROR(__xludf.DUMMYFUNCTION("""COMPUTED_VALUE"""),"")</f>
        <v/>
      </c>
      <c r="Q22" s="56">
        <f ca="1">IFERROR(__xludf.DUMMYFUNCTION("""COMPUTED_VALUE"""),0)</f>
        <v>0</v>
      </c>
      <c r="R22" t="str">
        <f ca="1">IFERROR(__xludf.DUMMYFUNCTION("""COMPUTED_VALUE"""),"Female")</f>
        <v>Female</v>
      </c>
    </row>
    <row r="23" spans="1:18" ht="15.75" customHeight="1">
      <c r="A23" s="56">
        <f ca="1">IFERROR(__xludf.DUMMYFUNCTION("""COMPUTED_VALUE"""),18)</f>
        <v>18</v>
      </c>
      <c r="B23" s="56" t="str">
        <f ca="1">IFERROR(__xludf.DUMMYFUNCTION("""COMPUTED_VALUE"""),"Jacobsen et al. (2014)")</f>
        <v>Jacobsen et al. (2014)</v>
      </c>
      <c r="C23" s="56">
        <f ca="1">IFERROR(__xludf.DUMMYFUNCTION("""COMPUTED_VALUE"""),1)</f>
        <v>1</v>
      </c>
      <c r="D23" s="56" t="str">
        <f ca="1">IFERROR(__xludf.DUMMYFUNCTION("""COMPUTED_VALUE"""),"Foster children")</f>
        <v>Foster children</v>
      </c>
      <c r="E23" s="56" t="str">
        <f ca="1">IFERROR(__xludf.DUMMYFUNCTION("""COMPUTED_VALUE"""),"Toddlerhood - Preschool")</f>
        <v>Toddlerhood - Preschool</v>
      </c>
      <c r="F23" s="123">
        <f ca="1">IFERROR(__xludf.DUMMYFUNCTION("""COMPUTED_VALUE"""),55)</f>
        <v>55</v>
      </c>
      <c r="G23" s="124">
        <f ca="1">IFERROR(__xludf.DUMMYFUNCTION("""COMPUTED_VALUE"""),0.0915915915915914)</f>
        <v>9.1591591591591401E-2</v>
      </c>
      <c r="H23" s="118">
        <f ca="1">IFERROR(__xludf.DUMMYFUNCTION("""COMPUTED_VALUE"""),0.6)</f>
        <v>0.6</v>
      </c>
      <c r="I23" s="56">
        <f ca="1">IFERROR(__xludf.DUMMYFUNCTION("""COMPUTED_VALUE"""),2014)</f>
        <v>2014</v>
      </c>
      <c r="J23" s="56" t="str">
        <f ca="1">IFERROR(__xludf.DUMMYFUNCTION("""COMPUTED_VALUE"""),"Non-USA")</f>
        <v>Non-USA</v>
      </c>
      <c r="K23" s="56" t="str">
        <f ca="1">IFERROR(__xludf.DUMMYFUNCTION("""COMPUTED_VALUE"""),"Ainsworth/Cassidy-Marvin")</f>
        <v>Ainsworth/Cassidy-Marvin</v>
      </c>
      <c r="L23" s="56">
        <f ca="1">IFERROR(__xludf.DUMMYFUNCTION("""COMPUTED_VALUE"""),0)</f>
        <v>0</v>
      </c>
      <c r="M23" s="56">
        <f ca="1">IFERROR(__xludf.DUMMYFUNCTION("""COMPUTED_VALUE"""),1)</f>
        <v>1</v>
      </c>
      <c r="N23" s="56">
        <f ca="1">IFERROR(__xludf.DUMMYFUNCTION("""COMPUTED_VALUE"""),0)</f>
        <v>0</v>
      </c>
      <c r="O23" s="56">
        <f ca="1">IFERROR(__xludf.DUMMYFUNCTION("""COMPUTED_VALUE"""),1)</f>
        <v>1</v>
      </c>
      <c r="P23" s="56">
        <f ca="1">IFERROR(__xludf.DUMMYFUNCTION("""COMPUTED_VALUE"""),0.82)</f>
        <v>0.82</v>
      </c>
      <c r="Q23" s="56">
        <f ca="1">IFERROR(__xludf.DUMMYFUNCTION("""COMPUTED_VALUE"""),0)</f>
        <v>0</v>
      </c>
      <c r="R23" t="str">
        <f ca="1">IFERROR(__xludf.DUMMYFUNCTION("""COMPUTED_VALUE"""),"Female")</f>
        <v>Female</v>
      </c>
    </row>
    <row r="24" spans="1:18" ht="15.75" customHeight="1">
      <c r="A24" s="56">
        <f ca="1">IFERROR(__xludf.DUMMYFUNCTION("""COMPUTED_VALUE"""),19)</f>
        <v>19</v>
      </c>
      <c r="B24" s="56" t="str">
        <f ca="1">IFERROR(__xludf.DUMMYFUNCTION("""COMPUTED_VALUE"""),"Jacobsen et al. (2014)")</f>
        <v>Jacobsen et al. (2014)</v>
      </c>
      <c r="C24" s="56">
        <f ca="1">IFERROR(__xludf.DUMMYFUNCTION("""COMPUTED_VALUE"""),1)</f>
        <v>1</v>
      </c>
      <c r="D24" s="56" t="str">
        <f ca="1">IFERROR(__xludf.DUMMYFUNCTION("""COMPUTED_VALUE"""),"Comparison")</f>
        <v>Comparison</v>
      </c>
      <c r="E24" s="56" t="str">
        <f ca="1">IFERROR(__xludf.DUMMYFUNCTION("""COMPUTED_VALUE"""),"Toddlerhood - Preschool")</f>
        <v>Toddlerhood - Preschool</v>
      </c>
      <c r="F24" s="123">
        <f ca="1">IFERROR(__xludf.DUMMYFUNCTION("""COMPUTED_VALUE"""),40)</f>
        <v>40</v>
      </c>
      <c r="G24" s="124">
        <f ca="1">IFERROR(__xludf.DUMMYFUNCTION("""COMPUTED_VALUE"""),0.161290322580645)</f>
        <v>0.16129032258064499</v>
      </c>
      <c r="H24" s="118">
        <f ca="1">IFERROR(__xludf.DUMMYFUNCTION("""COMPUTED_VALUE"""),0.675)</f>
        <v>0.67500000000000004</v>
      </c>
      <c r="I24" s="56">
        <f ca="1">IFERROR(__xludf.DUMMYFUNCTION("""COMPUTED_VALUE"""),2014)</f>
        <v>2014</v>
      </c>
      <c r="J24" s="56" t="str">
        <f ca="1">IFERROR(__xludf.DUMMYFUNCTION("""COMPUTED_VALUE"""),"Non-USA")</f>
        <v>Non-USA</v>
      </c>
      <c r="K24" s="56" t="str">
        <f ca="1">IFERROR(__xludf.DUMMYFUNCTION("""COMPUTED_VALUE"""),"Cassidy-Marvin/Cassidy-Marvin")</f>
        <v>Cassidy-Marvin/Cassidy-Marvin</v>
      </c>
      <c r="L24" s="56">
        <f ca="1">IFERROR(__xludf.DUMMYFUNCTION("""COMPUTED_VALUE"""),0)</f>
        <v>0</v>
      </c>
      <c r="M24" s="56">
        <f ca="1">IFERROR(__xludf.DUMMYFUNCTION("""COMPUTED_VALUE"""),0)</f>
        <v>0</v>
      </c>
      <c r="N24" s="56">
        <f ca="1">IFERROR(__xludf.DUMMYFUNCTION("""COMPUTED_VALUE"""),0)</f>
        <v>0</v>
      </c>
      <c r="O24" s="56">
        <f ca="1">IFERROR(__xludf.DUMMYFUNCTION("""COMPUTED_VALUE"""),1)</f>
        <v>1</v>
      </c>
      <c r="P24" s="56">
        <f ca="1">IFERROR(__xludf.DUMMYFUNCTION("""COMPUTED_VALUE"""),0.82)</f>
        <v>0.82</v>
      </c>
      <c r="Q24" s="56">
        <f ca="1">IFERROR(__xludf.DUMMYFUNCTION("""COMPUTED_VALUE"""),0)</f>
        <v>0</v>
      </c>
      <c r="R24" t="str">
        <f ca="1">IFERROR(__xludf.DUMMYFUNCTION("""COMPUTED_VALUE"""),"Female")</f>
        <v>Female</v>
      </c>
    </row>
    <row r="25" spans="1:18" ht="15.75" customHeight="1">
      <c r="A25" s="56">
        <f ca="1">IFERROR(__xludf.DUMMYFUNCTION("""COMPUTED_VALUE"""),20)</f>
        <v>20</v>
      </c>
      <c r="B25" s="56" t="str">
        <f ca="1">IFERROR(__xludf.DUMMYFUNCTION("""COMPUTED_VALUE"""),"Korntheuer, Lissmann &amp; Lohaus (2010) ")</f>
        <v xml:space="preserve">Korntheuer, Lissmann &amp; Lohaus (2010) </v>
      </c>
      <c r="C25" s="56">
        <f ca="1">IFERROR(__xludf.DUMMYFUNCTION("""COMPUTED_VALUE"""),1)</f>
        <v>1</v>
      </c>
      <c r="D25" s="56" t="str">
        <f ca="1">IFERROR(__xludf.DUMMYFUNCTION("""COMPUTED_VALUE"""),"Single sample")</f>
        <v>Single sample</v>
      </c>
      <c r="E25" s="56" t="str">
        <f ca="1">IFERROR(__xludf.DUMMYFUNCTION("""COMPUTED_VALUE"""),"Infancy - Toddlerhood")</f>
        <v>Infancy - Toddlerhood</v>
      </c>
      <c r="F25" s="123">
        <f ca="1">IFERROR(__xludf.DUMMYFUNCTION("""COMPUTED_VALUE"""),81)</f>
        <v>81</v>
      </c>
      <c r="G25" s="124">
        <f ca="1">IFERROR(__xludf.DUMMYFUNCTION("""COMPUTED_VALUE"""),0.256880733944954)</f>
        <v>0.25688073394495398</v>
      </c>
      <c r="H25" s="118">
        <f ca="1">IFERROR(__xludf.DUMMYFUNCTION("""COMPUTED_VALUE"""),0.629629629629629)</f>
        <v>0.62962962962962898</v>
      </c>
      <c r="I25" s="56">
        <f ca="1">IFERROR(__xludf.DUMMYFUNCTION("""COMPUTED_VALUE"""),2010)</f>
        <v>2010</v>
      </c>
      <c r="J25" s="56" t="str">
        <f ca="1">IFERROR(__xludf.DUMMYFUNCTION("""COMPUTED_VALUE"""),"Non-USA")</f>
        <v>Non-USA</v>
      </c>
      <c r="K25" s="56" t="str">
        <f ca="1">IFERROR(__xludf.DUMMYFUNCTION("""COMPUTED_VALUE"""),"Ainsworth/Grossmann")</f>
        <v>Ainsworth/Grossmann</v>
      </c>
      <c r="L25" s="56">
        <f ca="1">IFERROR(__xludf.DUMMYFUNCTION("""COMPUTED_VALUE"""),1)</f>
        <v>1</v>
      </c>
      <c r="M25" s="56">
        <f ca="1">IFERROR(__xludf.DUMMYFUNCTION("""COMPUTED_VALUE"""),0)</f>
        <v>0</v>
      </c>
      <c r="N25" s="56">
        <f ca="1">IFERROR(__xludf.DUMMYFUNCTION("""COMPUTED_VALUE"""),0)</f>
        <v>0</v>
      </c>
      <c r="O25" s="56">
        <f ca="1">IFERROR(__xludf.DUMMYFUNCTION("""COMPUTED_VALUE"""),1)</f>
        <v>1</v>
      </c>
      <c r="P25" s="56" t="str">
        <f ca="1">IFERROR(__xludf.DUMMYFUNCTION("""COMPUTED_VALUE"""),"")</f>
        <v/>
      </c>
      <c r="Q25" s="56">
        <f ca="1">IFERROR(__xludf.DUMMYFUNCTION("""COMPUTED_VALUE"""),0)</f>
        <v>0</v>
      </c>
      <c r="R25" t="str">
        <f ca="1">IFERROR(__xludf.DUMMYFUNCTION("""COMPUTED_VALUE"""),"Female")</f>
        <v>Female</v>
      </c>
    </row>
    <row r="26" spans="1:18" ht="15.75" customHeight="1">
      <c r="A26" s="56">
        <f ca="1">IFERROR(__xludf.DUMMYFUNCTION("""COMPUTED_VALUE"""),21)</f>
        <v>21</v>
      </c>
      <c r="B26" s="56" t="str">
        <f ca="1">IFERROR(__xludf.DUMMYFUNCTION("""COMPUTED_VALUE"""),"Levendosky et al. (2011)")</f>
        <v>Levendosky et al. (2011)</v>
      </c>
      <c r="C26" s="56">
        <f ca="1">IFERROR(__xludf.DUMMYFUNCTION("""COMPUTED_VALUE"""),1)</f>
        <v>1</v>
      </c>
      <c r="D26" s="56" t="str">
        <f ca="1">IFERROR(__xludf.DUMMYFUNCTION("""COMPUTED_VALUE"""),"Domestic violence dyads")</f>
        <v>Domestic violence dyads</v>
      </c>
      <c r="E26" s="56" t="str">
        <f ca="1">IFERROR(__xludf.DUMMYFUNCTION("""COMPUTED_VALUE"""),"Infancy - Preschool")</f>
        <v>Infancy - Preschool</v>
      </c>
      <c r="F26" s="123">
        <f ca="1">IFERROR(__xludf.DUMMYFUNCTION("""COMPUTED_VALUE"""),150)</f>
        <v>150</v>
      </c>
      <c r="G26" s="124">
        <f ca="1">IFERROR(__xludf.DUMMYFUNCTION("""COMPUTED_VALUE"""),0.116997792494481)</f>
        <v>0.116997792494481</v>
      </c>
      <c r="H26" s="118">
        <f ca="1">IFERROR(__xludf.DUMMYFUNCTION("""COMPUTED_VALUE"""),0.573333333333333)</f>
        <v>0.57333333333333303</v>
      </c>
      <c r="I26" s="56">
        <f ca="1">IFERROR(__xludf.DUMMYFUNCTION("""COMPUTED_VALUE"""),2011)</f>
        <v>2011</v>
      </c>
      <c r="J26" s="56" t="str">
        <f ca="1">IFERROR(__xludf.DUMMYFUNCTION("""COMPUTED_VALUE"""),"USA")</f>
        <v>USA</v>
      </c>
      <c r="K26" s="56" t="str">
        <f ca="1">IFERROR(__xludf.DUMMYFUNCTION("""COMPUTED_VALUE"""),"Ainsworth/Cassidy-Marvin")</f>
        <v>Ainsworth/Cassidy-Marvin</v>
      </c>
      <c r="L26" s="56">
        <f ca="1">IFERROR(__xludf.DUMMYFUNCTION("""COMPUTED_VALUE"""),1)</f>
        <v>1</v>
      </c>
      <c r="M26" s="56">
        <f ca="1">IFERROR(__xludf.DUMMYFUNCTION("""COMPUTED_VALUE"""),1)</f>
        <v>1</v>
      </c>
      <c r="N26" s="56">
        <f ca="1">IFERROR(__xludf.DUMMYFUNCTION("""COMPUTED_VALUE"""),0)</f>
        <v>0</v>
      </c>
      <c r="O26" s="56">
        <f ca="1">IFERROR(__xludf.DUMMYFUNCTION("""COMPUTED_VALUE"""),1)</f>
        <v>1</v>
      </c>
      <c r="P26" s="56">
        <f ca="1">IFERROR(__xludf.DUMMYFUNCTION("""COMPUTED_VALUE"""),0.83)</f>
        <v>0.83</v>
      </c>
      <c r="Q26" s="56">
        <f ca="1">IFERROR(__xludf.DUMMYFUNCTION("""COMPUTED_VALUE"""),0)</f>
        <v>0</v>
      </c>
      <c r="R26" t="str">
        <f ca="1">IFERROR(__xludf.DUMMYFUNCTION("""COMPUTED_VALUE"""),"Female")</f>
        <v>Female</v>
      </c>
    </row>
    <row r="27" spans="1:18" ht="12.9">
      <c r="A27" s="56">
        <f ca="1">IFERROR(__xludf.DUMMYFUNCTION("""COMPUTED_VALUE"""),22)</f>
        <v>22</v>
      </c>
      <c r="B27" s="56" t="str">
        <f ca="1">IFERROR(__xludf.DUMMYFUNCTION("""COMPUTED_VALUE"""),"Lounds et al. (2005)")</f>
        <v>Lounds et al. (2005)</v>
      </c>
      <c r="C27" s="56">
        <f ca="1">IFERROR(__xludf.DUMMYFUNCTION("""COMPUTED_VALUE"""),1)</f>
        <v>1</v>
      </c>
      <c r="D27" s="56" t="str">
        <f ca="1">IFERROR(__xludf.DUMMYFUNCTION("""COMPUTED_VALUE"""),"Single sample")</f>
        <v>Single sample</v>
      </c>
      <c r="E27" s="56" t="str">
        <f ca="1">IFERROR(__xludf.DUMMYFUNCTION("""COMPUTED_VALUE"""),"Infancy - Preschool")</f>
        <v>Infancy - Preschool</v>
      </c>
      <c r="F27" s="123">
        <f ca="1">IFERROR(__xludf.DUMMYFUNCTION("""COMPUTED_VALUE"""),78)</f>
        <v>78</v>
      </c>
      <c r="G27" s="124">
        <f ca="1">IFERROR(__xludf.DUMMYFUNCTION("""COMPUTED_VALUE"""),0.283898305084745)</f>
        <v>0.28389830508474501</v>
      </c>
      <c r="H27" s="118">
        <f ca="1">IFERROR(__xludf.DUMMYFUNCTION("""COMPUTED_VALUE"""),0.666666666666666)</f>
        <v>0.66666666666666596</v>
      </c>
      <c r="I27" s="56">
        <f ca="1">IFERROR(__xludf.DUMMYFUNCTION("""COMPUTED_VALUE"""),2005)</f>
        <v>2005</v>
      </c>
      <c r="J27" s="56" t="str">
        <f ca="1">IFERROR(__xludf.DUMMYFUNCTION("""COMPUTED_VALUE"""),"USA")</f>
        <v>USA</v>
      </c>
      <c r="K27" s="56" t="str">
        <f ca="1">IFERROR(__xludf.DUMMYFUNCTION("""COMPUTED_VALUE"""),"Ainsworth/Cassidy-Marvin")</f>
        <v>Ainsworth/Cassidy-Marvin</v>
      </c>
      <c r="L27" s="56">
        <f ca="1">IFERROR(__xludf.DUMMYFUNCTION("""COMPUTED_VALUE"""),1)</f>
        <v>1</v>
      </c>
      <c r="M27" s="56">
        <f ca="1">IFERROR(__xludf.DUMMYFUNCTION("""COMPUTED_VALUE"""),1)</f>
        <v>1</v>
      </c>
      <c r="N27" s="56">
        <f ca="1">IFERROR(__xludf.DUMMYFUNCTION("""COMPUTED_VALUE"""),0)</f>
        <v>0</v>
      </c>
      <c r="O27" s="56">
        <f ca="1">IFERROR(__xludf.DUMMYFUNCTION("""COMPUTED_VALUE"""),1)</f>
        <v>1</v>
      </c>
      <c r="P27" s="56" t="str">
        <f ca="1">IFERROR(__xludf.DUMMYFUNCTION("""COMPUTED_VALUE"""),"")</f>
        <v/>
      </c>
      <c r="Q27" s="56">
        <f ca="1">IFERROR(__xludf.DUMMYFUNCTION("""COMPUTED_VALUE"""),0)</f>
        <v>0</v>
      </c>
      <c r="R27" t="str">
        <f ca="1">IFERROR(__xludf.DUMMYFUNCTION("""COMPUTED_VALUE"""),"Female")</f>
        <v>Female</v>
      </c>
    </row>
    <row r="28" spans="1:18" ht="12.9">
      <c r="A28" s="56">
        <f ca="1">IFERROR(__xludf.DUMMYFUNCTION("""COMPUTED_VALUE"""),24)</f>
        <v>24</v>
      </c>
      <c r="B28" s="56" t="str">
        <f ca="1">IFERROR(__xludf.DUMMYFUNCTION("""COMPUTED_VALUE"""),"Maris et al. (2000)")</f>
        <v>Maris et al. (2000)</v>
      </c>
      <c r="C28" s="56">
        <f ca="1">IFERROR(__xludf.DUMMYFUNCTION("""COMPUTED_VALUE"""),1)</f>
        <v>1</v>
      </c>
      <c r="D28" s="56" t="str">
        <f ca="1">IFERROR(__xludf.DUMMYFUNCTION("""COMPUTED_VALUE"""),"Cleft lip and palate")</f>
        <v>Cleft lip and palate</v>
      </c>
      <c r="E28" s="56" t="str">
        <f ca="1">IFERROR(__xludf.DUMMYFUNCTION("""COMPUTED_VALUE"""),"Infancy - Toddlerhood")</f>
        <v>Infancy - Toddlerhood</v>
      </c>
      <c r="F28" s="123">
        <f ca="1">IFERROR(__xludf.DUMMYFUNCTION("""COMPUTED_VALUE"""),24)</f>
        <v>24</v>
      </c>
      <c r="G28" s="124">
        <f ca="1">IFERROR(__xludf.DUMMYFUNCTION("""COMPUTED_VALUE"""),-0.212121212121212)</f>
        <v>-0.21212121212121199</v>
      </c>
      <c r="H28" s="118">
        <f ca="1">IFERROR(__xludf.DUMMYFUNCTION("""COMPUTED_VALUE"""),0.583333333333333)</f>
        <v>0.58333333333333304</v>
      </c>
      <c r="I28" s="56">
        <f ca="1">IFERROR(__xludf.DUMMYFUNCTION("""COMPUTED_VALUE"""),2000)</f>
        <v>2000</v>
      </c>
      <c r="J28" s="56" t="str">
        <f ca="1">IFERROR(__xludf.DUMMYFUNCTION("""COMPUTED_VALUE"""),"USA")</f>
        <v>USA</v>
      </c>
      <c r="K28" s="56" t="str">
        <f ca="1">IFERROR(__xludf.DUMMYFUNCTION("""COMPUTED_VALUE"""),"Ainsworth/Cassidy-Marvin")</f>
        <v>Ainsworth/Cassidy-Marvin</v>
      </c>
      <c r="L28" s="56">
        <f ca="1">IFERROR(__xludf.DUMMYFUNCTION("""COMPUTED_VALUE"""),1)</f>
        <v>1</v>
      </c>
      <c r="M28" s="56">
        <f ca="1">IFERROR(__xludf.DUMMYFUNCTION("""COMPUTED_VALUE"""),0)</f>
        <v>0</v>
      </c>
      <c r="N28" s="56">
        <f ca="1">IFERROR(__xludf.DUMMYFUNCTION("""COMPUTED_VALUE"""),1)</f>
        <v>1</v>
      </c>
      <c r="O28" s="56">
        <f ca="1">IFERROR(__xludf.DUMMYFUNCTION("""COMPUTED_VALUE"""),1)</f>
        <v>1</v>
      </c>
      <c r="P28" s="56">
        <f ca="1">IFERROR(__xludf.DUMMYFUNCTION("""COMPUTED_VALUE"""),0.83)</f>
        <v>0.83</v>
      </c>
      <c r="Q28" s="56">
        <f ca="1">IFERROR(__xludf.DUMMYFUNCTION("""COMPUTED_VALUE"""),0)</f>
        <v>0</v>
      </c>
      <c r="R28" t="str">
        <f ca="1">IFERROR(__xludf.DUMMYFUNCTION("""COMPUTED_VALUE"""),"Female")</f>
        <v>Female</v>
      </c>
    </row>
    <row r="29" spans="1:18" ht="12.9">
      <c r="A29" s="56">
        <f ca="1">IFERROR(__xludf.DUMMYFUNCTION("""COMPUTED_VALUE"""),25)</f>
        <v>25</v>
      </c>
      <c r="B29" s="56" t="str">
        <f ca="1">IFERROR(__xludf.DUMMYFUNCTION("""COMPUTED_VALUE"""),"Maris et al. (2000)")</f>
        <v>Maris et al. (2000)</v>
      </c>
      <c r="C29" s="56">
        <f ca="1">IFERROR(__xludf.DUMMYFUNCTION("""COMPUTED_VALUE"""),1)</f>
        <v>1</v>
      </c>
      <c r="D29" s="56" t="str">
        <f ca="1">IFERROR(__xludf.DUMMYFUNCTION("""COMPUTED_VALUE"""),"Comparison")</f>
        <v>Comparison</v>
      </c>
      <c r="E29" s="56" t="str">
        <f ca="1">IFERROR(__xludf.DUMMYFUNCTION("""COMPUTED_VALUE"""),"Infancy - Toddlerhood")</f>
        <v>Infancy - Toddlerhood</v>
      </c>
      <c r="F29" s="123">
        <f ca="1">IFERROR(__xludf.DUMMYFUNCTION("""COMPUTED_VALUE"""),61)</f>
        <v>61</v>
      </c>
      <c r="G29" s="124">
        <f ca="1">IFERROR(__xludf.DUMMYFUNCTION("""COMPUTED_VALUE"""),0.175191064079953)</f>
        <v>0.175191064079953</v>
      </c>
      <c r="H29" s="118">
        <f ca="1">IFERROR(__xludf.DUMMYFUNCTION("""COMPUTED_VALUE"""),0.622950819672131)</f>
        <v>0.62295081967213095</v>
      </c>
      <c r="I29" s="56">
        <f ca="1">IFERROR(__xludf.DUMMYFUNCTION("""COMPUTED_VALUE"""),2000)</f>
        <v>2000</v>
      </c>
      <c r="J29" s="56" t="str">
        <f ca="1">IFERROR(__xludf.DUMMYFUNCTION("""COMPUTED_VALUE"""),"USA")</f>
        <v>USA</v>
      </c>
      <c r="K29" s="56" t="str">
        <f ca="1">IFERROR(__xludf.DUMMYFUNCTION("""COMPUTED_VALUE"""),"Ainsworth/Cassidy-Marvin")</f>
        <v>Ainsworth/Cassidy-Marvin</v>
      </c>
      <c r="L29" s="56">
        <f ca="1">IFERROR(__xludf.DUMMYFUNCTION("""COMPUTED_VALUE"""),1)</f>
        <v>1</v>
      </c>
      <c r="M29" s="56">
        <f ca="1">IFERROR(__xludf.DUMMYFUNCTION("""COMPUTED_VALUE"""),0)</f>
        <v>0</v>
      </c>
      <c r="N29" s="56">
        <f ca="1">IFERROR(__xludf.DUMMYFUNCTION("""COMPUTED_VALUE"""),0)</f>
        <v>0</v>
      </c>
      <c r="O29" s="56">
        <f ca="1">IFERROR(__xludf.DUMMYFUNCTION("""COMPUTED_VALUE"""),1)</f>
        <v>1</v>
      </c>
      <c r="P29" s="56">
        <f ca="1">IFERROR(__xludf.DUMMYFUNCTION("""COMPUTED_VALUE"""),0.83)</f>
        <v>0.83</v>
      </c>
      <c r="Q29" s="56">
        <f ca="1">IFERROR(__xludf.DUMMYFUNCTION("""COMPUTED_VALUE"""),0)</f>
        <v>0</v>
      </c>
      <c r="R29" t="str">
        <f ca="1">IFERROR(__xludf.DUMMYFUNCTION("""COMPUTED_VALUE"""),"Female")</f>
        <v>Female</v>
      </c>
    </row>
    <row r="30" spans="1:18" ht="12.9">
      <c r="A30" s="56">
        <f ca="1">IFERROR(__xludf.DUMMYFUNCTION("""COMPUTED_VALUE"""),26)</f>
        <v>26</v>
      </c>
      <c r="B30" s="56" t="str">
        <f ca="1">IFERROR(__xludf.DUMMYFUNCTION("""COMPUTED_VALUE"""),"Maris et al. (2000)")</f>
        <v>Maris et al. (2000)</v>
      </c>
      <c r="C30" s="56">
        <f ca="1">IFERROR(__xludf.DUMMYFUNCTION("""COMPUTED_VALUE"""),1)</f>
        <v>1</v>
      </c>
      <c r="D30" s="56" t="str">
        <f ca="1">IFERROR(__xludf.DUMMYFUNCTION("""COMPUTED_VALUE"""),"Cleft palate only")</f>
        <v>Cleft palate only</v>
      </c>
      <c r="E30" s="56" t="str">
        <f ca="1">IFERROR(__xludf.DUMMYFUNCTION("""COMPUTED_VALUE"""),"Infancy - Toddlerhood")</f>
        <v>Infancy - Toddlerhood</v>
      </c>
      <c r="F30" s="123">
        <f ca="1">IFERROR(__xludf.DUMMYFUNCTION("""COMPUTED_VALUE"""),22)</f>
        <v>22</v>
      </c>
      <c r="G30" s="124">
        <f ca="1">IFERROR(__xludf.DUMMYFUNCTION("""COMPUTED_VALUE"""),-0.272727272727272)</f>
        <v>-0.27272727272727199</v>
      </c>
      <c r="H30" s="118">
        <f ca="1">IFERROR(__xludf.DUMMYFUNCTION("""COMPUTED_VALUE"""),0.363636363636363)</f>
        <v>0.36363636363636298</v>
      </c>
      <c r="I30" s="56">
        <f ca="1">IFERROR(__xludf.DUMMYFUNCTION("""COMPUTED_VALUE"""),2000)</f>
        <v>2000</v>
      </c>
      <c r="J30" s="56" t="str">
        <f ca="1">IFERROR(__xludf.DUMMYFUNCTION("""COMPUTED_VALUE"""),"USA")</f>
        <v>USA</v>
      </c>
      <c r="K30" s="56" t="str">
        <f ca="1">IFERROR(__xludf.DUMMYFUNCTION("""COMPUTED_VALUE"""),"Ainsworth/Cassidy-Marvin")</f>
        <v>Ainsworth/Cassidy-Marvin</v>
      </c>
      <c r="L30" s="56">
        <f ca="1">IFERROR(__xludf.DUMMYFUNCTION("""COMPUTED_VALUE"""),1)</f>
        <v>1</v>
      </c>
      <c r="M30" s="56">
        <f ca="1">IFERROR(__xludf.DUMMYFUNCTION("""COMPUTED_VALUE"""),0)</f>
        <v>0</v>
      </c>
      <c r="N30" s="56">
        <f ca="1">IFERROR(__xludf.DUMMYFUNCTION("""COMPUTED_VALUE"""),1)</f>
        <v>1</v>
      </c>
      <c r="O30" s="56">
        <f ca="1">IFERROR(__xludf.DUMMYFUNCTION("""COMPUTED_VALUE"""),1)</f>
        <v>1</v>
      </c>
      <c r="P30" s="56">
        <f ca="1">IFERROR(__xludf.DUMMYFUNCTION("""COMPUTED_VALUE"""),0.83)</f>
        <v>0.83</v>
      </c>
      <c r="Q30" s="56">
        <f ca="1">IFERROR(__xludf.DUMMYFUNCTION("""COMPUTED_VALUE"""),0)</f>
        <v>0</v>
      </c>
      <c r="R30" t="str">
        <f ca="1">IFERROR(__xludf.DUMMYFUNCTION("""COMPUTED_VALUE"""),"Female")</f>
        <v>Female</v>
      </c>
    </row>
    <row r="31" spans="1:18" ht="12.9">
      <c r="A31" s="56">
        <f ca="1">IFERROR(__xludf.DUMMYFUNCTION("""COMPUTED_VALUE"""),27)</f>
        <v>27</v>
      </c>
      <c r="B31" s="56" t="str">
        <f ca="1">IFERROR(__xludf.DUMMYFUNCTION("""COMPUTED_VALUE"""),"Milentijevic, Altman &amp; Ward (1995)")</f>
        <v>Milentijevic, Altman &amp; Ward (1995)</v>
      </c>
      <c r="C31" s="56">
        <f ca="1">IFERROR(__xludf.DUMMYFUNCTION("""COMPUTED_VALUE"""),1)</f>
        <v>1</v>
      </c>
      <c r="D31" s="56" t="str">
        <f ca="1">IFERROR(__xludf.DUMMYFUNCTION("""COMPUTED_VALUE"""),"Single sample")</f>
        <v>Single sample</v>
      </c>
      <c r="E31" s="56" t="str">
        <f ca="1">IFERROR(__xludf.DUMMYFUNCTION("""COMPUTED_VALUE"""),"Infancy - Preschool")</f>
        <v>Infancy - Preschool</v>
      </c>
      <c r="F31" s="123">
        <f ca="1">IFERROR(__xludf.DUMMYFUNCTION("""COMPUTED_VALUE"""),86)</f>
        <v>86</v>
      </c>
      <c r="G31" s="124">
        <f ca="1">IFERROR(__xludf.DUMMYFUNCTION("""COMPUTED_VALUE"""),0.0128136679124398)</f>
        <v>1.28136679124398E-2</v>
      </c>
      <c r="H31" s="118">
        <f ca="1">IFERROR(__xludf.DUMMYFUNCTION("""COMPUTED_VALUE"""),0.5)</f>
        <v>0.5</v>
      </c>
      <c r="I31" s="56">
        <f ca="1">IFERROR(__xludf.DUMMYFUNCTION("""COMPUTED_VALUE"""),1995)</f>
        <v>1995</v>
      </c>
      <c r="J31" s="56" t="str">
        <f ca="1">IFERROR(__xludf.DUMMYFUNCTION("""COMPUTED_VALUE"""),"USA")</f>
        <v>USA</v>
      </c>
      <c r="K31" s="56" t="str">
        <f ca="1">IFERROR(__xludf.DUMMYFUNCTION("""COMPUTED_VALUE"""),"Ainsworth/Cassidy-Marvin")</f>
        <v>Ainsworth/Cassidy-Marvin</v>
      </c>
      <c r="L31" s="56">
        <f ca="1">IFERROR(__xludf.DUMMYFUNCTION("""COMPUTED_VALUE"""),0)</f>
        <v>0</v>
      </c>
      <c r="M31" s="56">
        <f ca="1">IFERROR(__xludf.DUMMYFUNCTION("""COMPUTED_VALUE"""),1)</f>
        <v>1</v>
      </c>
      <c r="N31" s="56">
        <f ca="1">IFERROR(__xludf.DUMMYFUNCTION("""COMPUTED_VALUE"""),0)</f>
        <v>0</v>
      </c>
      <c r="O31" s="56">
        <f ca="1">IFERROR(__xludf.DUMMYFUNCTION("""COMPUTED_VALUE"""),0)</f>
        <v>0</v>
      </c>
      <c r="P31" s="56">
        <f ca="1">IFERROR(__xludf.DUMMYFUNCTION("""COMPUTED_VALUE"""),0.8)</f>
        <v>0.8</v>
      </c>
      <c r="Q31" s="56">
        <f ca="1">IFERROR(__xludf.DUMMYFUNCTION("""COMPUTED_VALUE"""),1)</f>
        <v>1</v>
      </c>
      <c r="R31" t="str">
        <f ca="1">IFERROR(__xludf.DUMMYFUNCTION("""COMPUTED_VALUE"""),"Female")</f>
        <v>Female</v>
      </c>
    </row>
    <row r="32" spans="1:18" ht="12.9">
      <c r="A32" s="56">
        <f ca="1">IFERROR(__xludf.DUMMYFUNCTION("""COMPUTED_VALUE"""),28)</f>
        <v>28</v>
      </c>
      <c r="B32" s="56" t="str">
        <f ca="1">IFERROR(__xludf.DUMMYFUNCTION("""COMPUTED_VALUE"""),"Moss et al. (2005)")</f>
        <v>Moss et al. (2005)</v>
      </c>
      <c r="C32" s="56">
        <f ca="1">IFERROR(__xludf.DUMMYFUNCTION("""COMPUTED_VALUE"""),1)</f>
        <v>1</v>
      </c>
      <c r="D32" s="56" t="str">
        <f ca="1">IFERROR(__xludf.DUMMYFUNCTION("""COMPUTED_VALUE"""),"Single sample")</f>
        <v>Single sample</v>
      </c>
      <c r="E32" s="56" t="str">
        <f ca="1">IFERROR(__xludf.DUMMYFUNCTION("""COMPUTED_VALUE"""),"Preschool - Preschool")</f>
        <v>Preschool - Preschool</v>
      </c>
      <c r="F32" s="123">
        <f ca="1">IFERROR(__xludf.DUMMYFUNCTION("""COMPUTED_VALUE"""),120)</f>
        <v>120</v>
      </c>
      <c r="G32" s="124">
        <f ca="1">IFERROR(__xludf.DUMMYFUNCTION("""COMPUTED_VALUE"""),0.528619528619528)</f>
        <v>0.52861952861952799</v>
      </c>
      <c r="H32" s="118">
        <f ca="1">IFERROR(__xludf.DUMMYFUNCTION("""COMPUTED_VALUE"""),0.766666666666666)</f>
        <v>0.76666666666666605</v>
      </c>
      <c r="I32" s="56">
        <f ca="1">IFERROR(__xludf.DUMMYFUNCTION("""COMPUTED_VALUE"""),2005)</f>
        <v>2005</v>
      </c>
      <c r="J32" s="56" t="str">
        <f ca="1">IFERROR(__xludf.DUMMYFUNCTION("""COMPUTED_VALUE"""),"Non-USA")</f>
        <v>Non-USA</v>
      </c>
      <c r="K32" s="56" t="str">
        <f ca="1">IFERROR(__xludf.DUMMYFUNCTION("""COMPUTED_VALUE"""),"Cassidy-Marvin/Main-Cassidy")</f>
        <v>Cassidy-Marvin/Main-Cassidy</v>
      </c>
      <c r="L32" s="56">
        <f ca="1">IFERROR(__xludf.DUMMYFUNCTION("""COMPUTED_VALUE"""),1)</f>
        <v>1</v>
      </c>
      <c r="M32" s="56">
        <f ca="1">IFERROR(__xludf.DUMMYFUNCTION("""COMPUTED_VALUE"""),0)</f>
        <v>0</v>
      </c>
      <c r="N32" s="56">
        <f ca="1">IFERROR(__xludf.DUMMYFUNCTION("""COMPUTED_VALUE"""),0)</f>
        <v>0</v>
      </c>
      <c r="O32" s="56">
        <f ca="1">IFERROR(__xludf.DUMMYFUNCTION("""COMPUTED_VALUE"""),1)</f>
        <v>1</v>
      </c>
      <c r="P32" s="56">
        <f ca="1">IFERROR(__xludf.DUMMYFUNCTION("""COMPUTED_VALUE"""),0.895)</f>
        <v>0.89500000000000002</v>
      </c>
      <c r="Q32" s="56">
        <f ca="1">IFERROR(__xludf.DUMMYFUNCTION("""COMPUTED_VALUE"""),0)</f>
        <v>0</v>
      </c>
      <c r="R32" t="str">
        <f ca="1">IFERROR(__xludf.DUMMYFUNCTION("""COMPUTED_VALUE"""),"Female")</f>
        <v>Female</v>
      </c>
    </row>
    <row r="33" spans="1:18" ht="12.9">
      <c r="A33" s="56">
        <f ca="1">IFERROR(__xludf.DUMMYFUNCTION("""COMPUTED_VALUE"""),29)</f>
        <v>29</v>
      </c>
      <c r="B33" s="56" t="str">
        <f ca="1">IFERROR(__xludf.DUMMYFUNCTION("""COMPUTED_VALUE"""),"NICHD (2001)")</f>
        <v>NICHD (2001)</v>
      </c>
      <c r="C33" s="56">
        <f ca="1">IFERROR(__xludf.DUMMYFUNCTION("""COMPUTED_VALUE"""),1)</f>
        <v>1</v>
      </c>
      <c r="D33" s="56" t="str">
        <f ca="1">IFERROR(__xludf.DUMMYFUNCTION("""COMPUTED_VALUE"""),"Single sample")</f>
        <v>Single sample</v>
      </c>
      <c r="E33" s="56" t="str">
        <f ca="1">IFERROR(__xludf.DUMMYFUNCTION("""COMPUTED_VALUE"""),"Infancy - Toddlerhood")</f>
        <v>Infancy - Toddlerhood</v>
      </c>
      <c r="F33" s="123">
        <f ca="1">IFERROR(__xludf.DUMMYFUNCTION("""COMPUTED_VALUE"""),1060)</f>
        <v>1060</v>
      </c>
      <c r="G33" s="124">
        <f ca="1">IFERROR(__xludf.DUMMYFUNCTION("""COMPUTED_VALUE"""),0.0447599903270662)</f>
        <v>4.47599903270662E-2</v>
      </c>
      <c r="H33" s="118">
        <f ca="1">IFERROR(__xludf.DUMMYFUNCTION("""COMPUTED_VALUE"""),0.55)</f>
        <v>0.55000000000000004</v>
      </c>
      <c r="I33" s="56">
        <f ca="1">IFERROR(__xludf.DUMMYFUNCTION("""COMPUTED_VALUE"""),2001)</f>
        <v>2001</v>
      </c>
      <c r="J33" s="56" t="str">
        <f ca="1">IFERROR(__xludf.DUMMYFUNCTION("""COMPUTED_VALUE"""),"USA")</f>
        <v>USA</v>
      </c>
      <c r="K33" s="56" t="str">
        <f ca="1">IFERROR(__xludf.DUMMYFUNCTION("""COMPUTED_VALUE"""),"Ainsworth/Cassidy-Marvin")</f>
        <v>Ainsworth/Cassidy-Marvin</v>
      </c>
      <c r="L33" s="56">
        <f ca="1">IFERROR(__xludf.DUMMYFUNCTION("""COMPUTED_VALUE"""),1)</f>
        <v>1</v>
      </c>
      <c r="M33" s="56">
        <f ca="1">IFERROR(__xludf.DUMMYFUNCTION("""COMPUTED_VALUE"""),0)</f>
        <v>0</v>
      </c>
      <c r="N33" s="56">
        <f ca="1">IFERROR(__xludf.DUMMYFUNCTION("""COMPUTED_VALUE"""),0)</f>
        <v>0</v>
      </c>
      <c r="O33" s="56">
        <f ca="1">IFERROR(__xludf.DUMMYFUNCTION("""COMPUTED_VALUE"""),1)</f>
        <v>1</v>
      </c>
      <c r="P33" s="56">
        <f ca="1">IFERROR(__xludf.DUMMYFUNCTION("""COMPUTED_VALUE"""),0.7885)</f>
        <v>0.78849999999999998</v>
      </c>
      <c r="Q33" s="56">
        <f ca="1">IFERROR(__xludf.DUMMYFUNCTION("""COMPUTED_VALUE"""),0)</f>
        <v>0</v>
      </c>
      <c r="R33" t="str">
        <f ca="1">IFERROR(__xludf.DUMMYFUNCTION("""COMPUTED_VALUE"""),"Female")</f>
        <v>Female</v>
      </c>
    </row>
    <row r="34" spans="1:18" ht="12.9">
      <c r="A34" s="56">
        <f ca="1">IFERROR(__xludf.DUMMYFUNCTION("""COMPUTED_VALUE"""),30)</f>
        <v>30</v>
      </c>
      <c r="B34" s="56" t="str">
        <f ca="1">IFERROR(__xludf.DUMMYFUNCTION("""COMPUTED_VALUE"""),"Rauh et al. (2000)")</f>
        <v>Rauh et al. (2000)</v>
      </c>
      <c r="C34" s="56">
        <f ca="1">IFERROR(__xludf.DUMMYFUNCTION("""COMPUTED_VALUE"""),1)</f>
        <v>1</v>
      </c>
      <c r="D34" s="56" t="str">
        <f ca="1">IFERROR(__xludf.DUMMYFUNCTION("""COMPUTED_VALUE"""),"Ainsworth-Ainsworth")</f>
        <v>Ainsworth-Ainsworth</v>
      </c>
      <c r="E34" s="56" t="str">
        <f ca="1">IFERROR(__xludf.DUMMYFUNCTION("""COMPUTED_VALUE"""),"Infancy - Toddlerhood")</f>
        <v>Infancy - Toddlerhood</v>
      </c>
      <c r="F34" s="123">
        <f ca="1">IFERROR(__xludf.DUMMYFUNCTION("""COMPUTED_VALUE"""),75)</f>
        <v>75</v>
      </c>
      <c r="G34" s="124">
        <f ca="1">IFERROR(__xludf.DUMMYFUNCTION("""COMPUTED_VALUE"""),0.166666666666666)</f>
        <v>0.16666666666666599</v>
      </c>
      <c r="H34" s="118">
        <f ca="1">IFERROR(__xludf.DUMMYFUNCTION("""COMPUTED_VALUE"""),0.626666666666666)</f>
        <v>0.62666666666666604</v>
      </c>
      <c r="I34" s="56">
        <f ca="1">IFERROR(__xludf.DUMMYFUNCTION("""COMPUTED_VALUE"""),2000)</f>
        <v>2000</v>
      </c>
      <c r="J34" s="56" t="str">
        <f ca="1">IFERROR(__xludf.DUMMYFUNCTION("""COMPUTED_VALUE"""),"Non-USA")</f>
        <v>Non-USA</v>
      </c>
      <c r="K34" s="56" t="str">
        <f ca="1">IFERROR(__xludf.DUMMYFUNCTION("""COMPUTED_VALUE"""),"Ainsworth/Ainsworth")</f>
        <v>Ainsworth/Ainsworth</v>
      </c>
      <c r="L34" s="56">
        <f ca="1">IFERROR(__xludf.DUMMYFUNCTION("""COMPUTED_VALUE"""),1)</f>
        <v>1</v>
      </c>
      <c r="M34" s="56">
        <f ca="1">IFERROR(__xludf.DUMMYFUNCTION("""COMPUTED_VALUE"""),0)</f>
        <v>0</v>
      </c>
      <c r="N34" s="56">
        <f ca="1">IFERROR(__xludf.DUMMYFUNCTION("""COMPUTED_VALUE"""),0)</f>
        <v>0</v>
      </c>
      <c r="O34" s="56">
        <f ca="1">IFERROR(__xludf.DUMMYFUNCTION("""COMPUTED_VALUE"""),1)</f>
        <v>1</v>
      </c>
      <c r="P34" s="56">
        <f ca="1">IFERROR(__xludf.DUMMYFUNCTION("""COMPUTED_VALUE"""),0.94)</f>
        <v>0.94</v>
      </c>
      <c r="Q34" s="56">
        <f ca="1">IFERROR(__xludf.DUMMYFUNCTION("""COMPUTED_VALUE"""),1)</f>
        <v>1</v>
      </c>
      <c r="R34" t="str">
        <f ca="1">IFERROR(__xludf.DUMMYFUNCTION("""COMPUTED_VALUE"""),"Female")</f>
        <v>Female</v>
      </c>
    </row>
    <row r="35" spans="1:18" ht="12.9">
      <c r="A35" s="56">
        <f ca="1">IFERROR(__xludf.DUMMYFUNCTION("""COMPUTED_VALUE"""),30)</f>
        <v>30</v>
      </c>
      <c r="B35" s="56" t="str">
        <f ca="1">IFERROR(__xludf.DUMMYFUNCTION("""COMPUTED_VALUE"""),"Rauh et al. (2000)")</f>
        <v>Rauh et al. (2000)</v>
      </c>
      <c r="C35" s="56">
        <f ca="1">IFERROR(__xludf.DUMMYFUNCTION("""COMPUTED_VALUE"""),2)</f>
        <v>2</v>
      </c>
      <c r="D35" s="56" t="str">
        <f ca="1">IFERROR(__xludf.DUMMYFUNCTION("""COMPUTED_VALUE"""),"Main-Main")</f>
        <v>Main-Main</v>
      </c>
      <c r="E35" s="56" t="str">
        <f ca="1">IFERROR(__xludf.DUMMYFUNCTION("""COMPUTED_VALUE"""),"Infancy - Toddlerhood")</f>
        <v>Infancy - Toddlerhood</v>
      </c>
      <c r="F35" s="123">
        <f ca="1">IFERROR(__xludf.DUMMYFUNCTION("""COMPUTED_VALUE"""),75)</f>
        <v>75</v>
      </c>
      <c r="G35" s="124">
        <f ca="1">IFERROR(__xludf.DUMMYFUNCTION("""COMPUTED_VALUE"""),0.207188160676532)</f>
        <v>0.20718816067653201</v>
      </c>
      <c r="H35" s="118">
        <f ca="1">IFERROR(__xludf.DUMMYFUNCTION("""COMPUTED_VALUE"""),0.6)</f>
        <v>0.6</v>
      </c>
      <c r="I35" s="56">
        <f ca="1">IFERROR(__xludf.DUMMYFUNCTION("""COMPUTED_VALUE"""),2000)</f>
        <v>2000</v>
      </c>
      <c r="J35" s="56" t="str">
        <f ca="1">IFERROR(__xludf.DUMMYFUNCTION("""COMPUTED_VALUE"""),"Non-USA")</f>
        <v>Non-USA</v>
      </c>
      <c r="K35" s="56" t="str">
        <f ca="1">IFERROR(__xludf.DUMMYFUNCTION("""COMPUTED_VALUE"""),"Main-Cassidy/Main-Cassidy")</f>
        <v>Main-Cassidy/Main-Cassidy</v>
      </c>
      <c r="L35" s="56">
        <f ca="1">IFERROR(__xludf.DUMMYFUNCTION("""COMPUTED_VALUE"""),1)</f>
        <v>1</v>
      </c>
      <c r="M35" s="56">
        <f ca="1">IFERROR(__xludf.DUMMYFUNCTION("""COMPUTED_VALUE"""),0)</f>
        <v>0</v>
      </c>
      <c r="N35" s="56">
        <f ca="1">IFERROR(__xludf.DUMMYFUNCTION("""COMPUTED_VALUE"""),0)</f>
        <v>0</v>
      </c>
      <c r="O35" s="56">
        <f ca="1">IFERROR(__xludf.DUMMYFUNCTION("""COMPUTED_VALUE"""),1)</f>
        <v>1</v>
      </c>
      <c r="P35" s="56">
        <f ca="1">IFERROR(__xludf.DUMMYFUNCTION("""COMPUTED_VALUE"""),0.94)</f>
        <v>0.94</v>
      </c>
      <c r="Q35" s="56">
        <f ca="1">IFERROR(__xludf.DUMMYFUNCTION("""COMPUTED_VALUE"""),0)</f>
        <v>0</v>
      </c>
      <c r="R35" t="str">
        <f ca="1">IFERROR(__xludf.DUMMYFUNCTION("""COMPUTED_VALUE"""),"Female")</f>
        <v>Female</v>
      </c>
    </row>
    <row r="36" spans="1:18" ht="12.9">
      <c r="A36" s="56">
        <f ca="1">IFERROR(__xludf.DUMMYFUNCTION("""COMPUTED_VALUE"""),30)</f>
        <v>30</v>
      </c>
      <c r="B36" s="56" t="str">
        <f ca="1">IFERROR(__xludf.DUMMYFUNCTION("""COMPUTED_VALUE"""),"Rauh et al. (2000)")</f>
        <v>Rauh et al. (2000)</v>
      </c>
      <c r="C36" s="56">
        <f ca="1">IFERROR(__xludf.DUMMYFUNCTION("""COMPUTED_VALUE"""),3)</f>
        <v>3</v>
      </c>
      <c r="D36" s="56" t="str">
        <f ca="1">IFERROR(__xludf.DUMMYFUNCTION("""COMPUTED_VALUE"""),"Main-Ainsworth")</f>
        <v>Main-Ainsworth</v>
      </c>
      <c r="E36" s="56" t="str">
        <f ca="1">IFERROR(__xludf.DUMMYFUNCTION("""COMPUTED_VALUE"""),"Infancy - Toddlerhood")</f>
        <v>Infancy - Toddlerhood</v>
      </c>
      <c r="F36" s="123">
        <f ca="1">IFERROR(__xludf.DUMMYFUNCTION("""COMPUTED_VALUE"""),75)</f>
        <v>75</v>
      </c>
      <c r="G36" s="124">
        <f ca="1">IFERROR(__xludf.DUMMYFUNCTION("""COMPUTED_VALUE"""),0.0935114503816794)</f>
        <v>9.3511450381679406E-2</v>
      </c>
      <c r="H36" s="118">
        <f ca="1">IFERROR(__xludf.DUMMYFUNCTION("""COMPUTED_VALUE"""),0.493333333333333)</f>
        <v>0.49333333333333301</v>
      </c>
      <c r="I36" s="56">
        <f ca="1">IFERROR(__xludf.DUMMYFUNCTION("""COMPUTED_VALUE"""),2000)</f>
        <v>2000</v>
      </c>
      <c r="J36" s="56" t="str">
        <f ca="1">IFERROR(__xludf.DUMMYFUNCTION("""COMPUTED_VALUE"""),"Non-USA")</f>
        <v>Non-USA</v>
      </c>
      <c r="K36" s="56" t="str">
        <f ca="1">IFERROR(__xludf.DUMMYFUNCTION("""COMPUTED_VALUE"""),"Main-Cassidy/Ainsworth")</f>
        <v>Main-Cassidy/Ainsworth</v>
      </c>
      <c r="L36" s="56">
        <f ca="1">IFERROR(__xludf.DUMMYFUNCTION("""COMPUTED_VALUE"""),1)</f>
        <v>1</v>
      </c>
      <c r="M36" s="56">
        <f ca="1">IFERROR(__xludf.DUMMYFUNCTION("""COMPUTED_VALUE"""),0)</f>
        <v>0</v>
      </c>
      <c r="N36" s="56">
        <f ca="1">IFERROR(__xludf.DUMMYFUNCTION("""COMPUTED_VALUE"""),0)</f>
        <v>0</v>
      </c>
      <c r="O36" s="56">
        <f ca="1">IFERROR(__xludf.DUMMYFUNCTION("""COMPUTED_VALUE"""),1)</f>
        <v>1</v>
      </c>
      <c r="P36" s="56">
        <f ca="1">IFERROR(__xludf.DUMMYFUNCTION("""COMPUTED_VALUE"""),0.94)</f>
        <v>0.94</v>
      </c>
      <c r="Q36" s="56">
        <f ca="1">IFERROR(__xludf.DUMMYFUNCTION("""COMPUTED_VALUE"""),0)</f>
        <v>0</v>
      </c>
      <c r="R36" t="str">
        <f ca="1">IFERROR(__xludf.DUMMYFUNCTION("""COMPUTED_VALUE"""),"Female")</f>
        <v>Female</v>
      </c>
    </row>
    <row r="37" spans="1:18" ht="12.9">
      <c r="A37" s="56">
        <f ca="1">IFERROR(__xludf.DUMMYFUNCTION("""COMPUTED_VALUE"""),30)</f>
        <v>30</v>
      </c>
      <c r="B37" s="56" t="str">
        <f ca="1">IFERROR(__xludf.DUMMYFUNCTION("""COMPUTED_VALUE"""),"Rauh et al. (2000)")</f>
        <v>Rauh et al. (2000)</v>
      </c>
      <c r="C37" s="56">
        <f ca="1">IFERROR(__xludf.DUMMYFUNCTION("""COMPUTED_VALUE"""),4)</f>
        <v>4</v>
      </c>
      <c r="D37" s="56" t="str">
        <f ca="1">IFERROR(__xludf.DUMMYFUNCTION("""COMPUTED_VALUE"""),"Ainsworth-Main")</f>
        <v>Ainsworth-Main</v>
      </c>
      <c r="E37" s="56" t="str">
        <f ca="1">IFERROR(__xludf.DUMMYFUNCTION("""COMPUTED_VALUE"""),"Infancy - Toddlerhood")</f>
        <v>Infancy - Toddlerhood</v>
      </c>
      <c r="F37" s="123">
        <f ca="1">IFERROR(__xludf.DUMMYFUNCTION("""COMPUTED_VALUE"""),75)</f>
        <v>75</v>
      </c>
      <c r="G37" s="124">
        <f ca="1">IFERROR(__xludf.DUMMYFUNCTION("""COMPUTED_VALUE"""),0.139784946236559)</f>
        <v>0.13978494623655899</v>
      </c>
      <c r="H37" s="118">
        <f ca="1">IFERROR(__xludf.DUMMYFUNCTION("""COMPUTED_VALUE"""),0.573333333333333)</f>
        <v>0.57333333333333303</v>
      </c>
      <c r="I37" s="56">
        <f ca="1">IFERROR(__xludf.DUMMYFUNCTION("""COMPUTED_VALUE"""),2000)</f>
        <v>2000</v>
      </c>
      <c r="J37" s="56" t="str">
        <f ca="1">IFERROR(__xludf.DUMMYFUNCTION("""COMPUTED_VALUE"""),"Non-USA")</f>
        <v>Non-USA</v>
      </c>
      <c r="K37" s="56" t="str">
        <f ca="1">IFERROR(__xludf.DUMMYFUNCTION("""COMPUTED_VALUE"""),"Ainsworth/Main-Cassidy")</f>
        <v>Ainsworth/Main-Cassidy</v>
      </c>
      <c r="L37" s="56">
        <f ca="1">IFERROR(__xludf.DUMMYFUNCTION("""COMPUTED_VALUE"""),1)</f>
        <v>1</v>
      </c>
      <c r="M37" s="56">
        <f ca="1">IFERROR(__xludf.DUMMYFUNCTION("""COMPUTED_VALUE"""),0)</f>
        <v>0</v>
      </c>
      <c r="N37" s="56">
        <f ca="1">IFERROR(__xludf.DUMMYFUNCTION("""COMPUTED_VALUE"""),0)</f>
        <v>0</v>
      </c>
      <c r="O37" s="56">
        <f ca="1">IFERROR(__xludf.DUMMYFUNCTION("""COMPUTED_VALUE"""),1)</f>
        <v>1</v>
      </c>
      <c r="P37" s="56">
        <f ca="1">IFERROR(__xludf.DUMMYFUNCTION("""COMPUTED_VALUE"""),0.94)</f>
        <v>0.94</v>
      </c>
      <c r="Q37" s="56">
        <f ca="1">IFERROR(__xludf.DUMMYFUNCTION("""COMPUTED_VALUE"""),0)</f>
        <v>0</v>
      </c>
      <c r="R37" t="str">
        <f ca="1">IFERROR(__xludf.DUMMYFUNCTION("""COMPUTED_VALUE"""),"Female")</f>
        <v>Female</v>
      </c>
    </row>
    <row r="38" spans="1:18" ht="12.9">
      <c r="A38" s="56">
        <f ca="1">IFERROR(__xludf.DUMMYFUNCTION("""COMPUTED_VALUE"""),30)</f>
        <v>30</v>
      </c>
      <c r="B38" s="56" t="str">
        <f ca="1">IFERROR(__xludf.DUMMYFUNCTION("""COMPUTED_VALUE"""),"Rauh et al. (2000)")</f>
        <v>Rauh et al. (2000)</v>
      </c>
      <c r="C38" s="56">
        <f ca="1">IFERROR(__xludf.DUMMYFUNCTION("""COMPUTED_VALUE"""),5)</f>
        <v>5</v>
      </c>
      <c r="D38" s="56" t="str">
        <f ca="1">IFERROR(__xludf.DUMMYFUNCTION("""COMPUTED_VALUE"""),"Main-Crittenden")</f>
        <v>Main-Crittenden</v>
      </c>
      <c r="E38" s="56" t="str">
        <f ca="1">IFERROR(__xludf.DUMMYFUNCTION("""COMPUTED_VALUE"""),"Infancy - Toddlerhood")</f>
        <v>Infancy - Toddlerhood</v>
      </c>
      <c r="F38" s="123">
        <f ca="1">IFERROR(__xludf.DUMMYFUNCTION("""COMPUTED_VALUE"""),75)</f>
        <v>75</v>
      </c>
      <c r="G38" s="124">
        <f ca="1">IFERROR(__xludf.DUMMYFUNCTION("""COMPUTED_VALUE"""),0.248747913188647)</f>
        <v>0.248747913188647</v>
      </c>
      <c r="H38" s="118">
        <f ca="1">IFERROR(__xludf.DUMMYFUNCTION("""COMPUTED_VALUE"""),0.68)</f>
        <v>0.68</v>
      </c>
      <c r="I38" s="56">
        <f ca="1">IFERROR(__xludf.DUMMYFUNCTION("""COMPUTED_VALUE"""),2000)</f>
        <v>2000</v>
      </c>
      <c r="J38" s="56" t="str">
        <f ca="1">IFERROR(__xludf.DUMMYFUNCTION("""COMPUTED_VALUE"""),"Non-USA")</f>
        <v>Non-USA</v>
      </c>
      <c r="K38" s="56" t="str">
        <f ca="1">IFERROR(__xludf.DUMMYFUNCTION("""COMPUTED_VALUE"""),"Main-Cassidy/Crittenden")</f>
        <v>Main-Cassidy/Crittenden</v>
      </c>
      <c r="L38" s="56">
        <f ca="1">IFERROR(__xludf.DUMMYFUNCTION("""COMPUTED_VALUE"""),1)</f>
        <v>1</v>
      </c>
      <c r="M38" s="56">
        <f ca="1">IFERROR(__xludf.DUMMYFUNCTION("""COMPUTED_VALUE"""),0)</f>
        <v>0</v>
      </c>
      <c r="N38" s="56">
        <f ca="1">IFERROR(__xludf.DUMMYFUNCTION("""COMPUTED_VALUE"""),0)</f>
        <v>0</v>
      </c>
      <c r="O38" s="56">
        <f ca="1">IFERROR(__xludf.DUMMYFUNCTION("""COMPUTED_VALUE"""),1)</f>
        <v>1</v>
      </c>
      <c r="P38" s="56">
        <f ca="1">IFERROR(__xludf.DUMMYFUNCTION("""COMPUTED_VALUE"""),0.94)</f>
        <v>0.94</v>
      </c>
      <c r="Q38" s="56">
        <f ca="1">IFERROR(__xludf.DUMMYFUNCTION("""COMPUTED_VALUE"""),0)</f>
        <v>0</v>
      </c>
      <c r="R38" t="str">
        <f ca="1">IFERROR(__xludf.DUMMYFUNCTION("""COMPUTED_VALUE"""),"Female")</f>
        <v>Female</v>
      </c>
    </row>
    <row r="39" spans="1:18" ht="12.9">
      <c r="A39" s="56">
        <f ca="1">IFERROR(__xludf.DUMMYFUNCTION("""COMPUTED_VALUE"""),30)</f>
        <v>30</v>
      </c>
      <c r="B39" s="56" t="str">
        <f ca="1">IFERROR(__xludf.DUMMYFUNCTION("""COMPUTED_VALUE"""),"Rauh et al. (2000)")</f>
        <v>Rauh et al. (2000)</v>
      </c>
      <c r="C39" s="56">
        <f ca="1">IFERROR(__xludf.DUMMYFUNCTION("""COMPUTED_VALUE"""),6)</f>
        <v>6</v>
      </c>
      <c r="D39" s="56" t="str">
        <f ca="1">IFERROR(__xludf.DUMMYFUNCTION("""COMPUTED_VALUE"""),"Ainsworth-Crittenden")</f>
        <v>Ainsworth-Crittenden</v>
      </c>
      <c r="E39" s="56" t="str">
        <f ca="1">IFERROR(__xludf.DUMMYFUNCTION("""COMPUTED_VALUE"""),"Infancy - Toddlerhood")</f>
        <v>Infancy - Toddlerhood</v>
      </c>
      <c r="F39" s="123">
        <f ca="1">IFERROR(__xludf.DUMMYFUNCTION("""COMPUTED_VALUE"""),75)</f>
        <v>75</v>
      </c>
      <c r="G39" s="124">
        <f ca="1">IFERROR(__xludf.DUMMYFUNCTION("""COMPUTED_VALUE"""),0.10377358490566)</f>
        <v>0.10377358490565999</v>
      </c>
      <c r="H39" s="118">
        <f ca="1">IFERROR(__xludf.DUMMYFUNCTION("""COMPUTED_VALUE"""),0.493333333333333)</f>
        <v>0.49333333333333301</v>
      </c>
      <c r="I39" s="56">
        <f ca="1">IFERROR(__xludf.DUMMYFUNCTION("""COMPUTED_VALUE"""),2000)</f>
        <v>2000</v>
      </c>
      <c r="J39" s="56" t="str">
        <f ca="1">IFERROR(__xludf.DUMMYFUNCTION("""COMPUTED_VALUE"""),"Non-USA")</f>
        <v>Non-USA</v>
      </c>
      <c r="K39" s="56" t="str">
        <f ca="1">IFERROR(__xludf.DUMMYFUNCTION("""COMPUTED_VALUE"""),"Ainsworth/Crittenden")</f>
        <v>Ainsworth/Crittenden</v>
      </c>
      <c r="L39" s="56">
        <f ca="1">IFERROR(__xludf.DUMMYFUNCTION("""COMPUTED_VALUE"""),1)</f>
        <v>1</v>
      </c>
      <c r="M39" s="56">
        <f ca="1">IFERROR(__xludf.DUMMYFUNCTION("""COMPUTED_VALUE"""),0)</f>
        <v>0</v>
      </c>
      <c r="N39" s="56">
        <f ca="1">IFERROR(__xludf.DUMMYFUNCTION("""COMPUTED_VALUE"""),0)</f>
        <v>0</v>
      </c>
      <c r="O39" s="56">
        <f ca="1">IFERROR(__xludf.DUMMYFUNCTION("""COMPUTED_VALUE"""),1)</f>
        <v>1</v>
      </c>
      <c r="P39" s="56">
        <f ca="1">IFERROR(__xludf.DUMMYFUNCTION("""COMPUTED_VALUE"""),0.94)</f>
        <v>0.94</v>
      </c>
      <c r="Q39" s="56">
        <f ca="1">IFERROR(__xludf.DUMMYFUNCTION("""COMPUTED_VALUE"""),0)</f>
        <v>0</v>
      </c>
      <c r="R39" t="str">
        <f ca="1">IFERROR(__xludf.DUMMYFUNCTION("""COMPUTED_VALUE"""),"Female")</f>
        <v>Female</v>
      </c>
    </row>
    <row r="40" spans="1:18" ht="12.9">
      <c r="A40" s="56">
        <f ca="1">IFERROR(__xludf.DUMMYFUNCTION("""COMPUTED_VALUE"""),31)</f>
        <v>31</v>
      </c>
      <c r="B40" s="56" t="str">
        <f ca="1">IFERROR(__xludf.DUMMYFUNCTION("""COMPUTED_VALUE"""),"Seifer et al. (2004) ")</f>
        <v xml:space="preserve">Seifer et al. (2004) </v>
      </c>
      <c r="C40" s="56">
        <f ca="1">IFERROR(__xludf.DUMMYFUNCTION("""COMPUTED_VALUE"""),1)</f>
        <v>1</v>
      </c>
      <c r="D40" s="56" t="str">
        <f ca="1">IFERROR(__xludf.DUMMYFUNCTION("""COMPUTED_VALUE"""),"Single sample")</f>
        <v>Single sample</v>
      </c>
      <c r="E40" s="56" t="str">
        <f ca="1">IFERROR(__xludf.DUMMYFUNCTION("""COMPUTED_VALUE"""),"Infancy - Toddlerhood")</f>
        <v>Infancy - Toddlerhood</v>
      </c>
      <c r="F40" s="123">
        <f ca="1">IFERROR(__xludf.DUMMYFUNCTION("""COMPUTED_VALUE"""),601)</f>
        <v>601</v>
      </c>
      <c r="G40" s="124">
        <f ca="1">IFERROR(__xludf.DUMMYFUNCTION("""COMPUTED_VALUE"""),0.0779851700332395)</f>
        <v>7.7985170033239501E-2</v>
      </c>
      <c r="H40" s="118">
        <f ca="1">IFERROR(__xludf.DUMMYFUNCTION("""COMPUTED_VALUE"""),0.600665557404326)</f>
        <v>0.60066555740432603</v>
      </c>
      <c r="I40" s="56">
        <f ca="1">IFERROR(__xludf.DUMMYFUNCTION("""COMPUTED_VALUE"""),2004)</f>
        <v>2004</v>
      </c>
      <c r="J40" s="56" t="str">
        <f ca="1">IFERROR(__xludf.DUMMYFUNCTION("""COMPUTED_VALUE"""),"USA")</f>
        <v>USA</v>
      </c>
      <c r="K40" s="56" t="str">
        <f ca="1">IFERROR(__xludf.DUMMYFUNCTION("""COMPUTED_VALUE"""),"Ainsworth/Cassidy-Marvin")</f>
        <v>Ainsworth/Cassidy-Marvin</v>
      </c>
      <c r="L40" s="56">
        <f ca="1">IFERROR(__xludf.DUMMYFUNCTION("""COMPUTED_VALUE"""),1)</f>
        <v>1</v>
      </c>
      <c r="M40" s="56">
        <f ca="1">IFERROR(__xludf.DUMMYFUNCTION("""COMPUTED_VALUE"""),1)</f>
        <v>1</v>
      </c>
      <c r="N40" s="56">
        <f ca="1">IFERROR(__xludf.DUMMYFUNCTION("""COMPUTED_VALUE"""),0)</f>
        <v>0</v>
      </c>
      <c r="O40" s="56">
        <f ca="1">IFERROR(__xludf.DUMMYFUNCTION("""COMPUTED_VALUE"""),1)</f>
        <v>1</v>
      </c>
      <c r="P40" s="56">
        <f ca="1">IFERROR(__xludf.DUMMYFUNCTION("""COMPUTED_VALUE"""),0.900244462224634)</f>
        <v>0.90024446222463395</v>
      </c>
      <c r="Q40" s="56">
        <f ca="1">IFERROR(__xludf.DUMMYFUNCTION("""COMPUTED_VALUE"""),0)</f>
        <v>0</v>
      </c>
      <c r="R40" t="str">
        <f ca="1">IFERROR(__xludf.DUMMYFUNCTION("""COMPUTED_VALUE"""),"Female")</f>
        <v>Female</v>
      </c>
    </row>
    <row r="41" spans="1:18" ht="12.9">
      <c r="A41" s="56">
        <f ca="1">IFERROR(__xludf.DUMMYFUNCTION("""COMPUTED_VALUE"""),32)</f>
        <v>32</v>
      </c>
      <c r="B41" s="56" t="str">
        <f ca="1">IFERROR(__xludf.DUMMYFUNCTION("""COMPUTED_VALUE"""),"Steele, Steele &amp; Fonagy (1996)")</f>
        <v>Steele, Steele &amp; Fonagy (1996)</v>
      </c>
      <c r="C41" s="56">
        <f ca="1">IFERROR(__xludf.DUMMYFUNCTION("""COMPUTED_VALUE"""),1)</f>
        <v>1</v>
      </c>
      <c r="D41" s="56" t="str">
        <f ca="1">IFERROR(__xludf.DUMMYFUNCTION("""COMPUTED_VALUE"""),"Mother-child")</f>
        <v>Mother-child</v>
      </c>
      <c r="E41" s="56" t="str">
        <f ca="1">IFERROR(__xludf.DUMMYFUNCTION("""COMPUTED_VALUE"""),"Infancy - Preschool")</f>
        <v>Infancy - Preschool</v>
      </c>
      <c r="F41" s="123">
        <f ca="1">IFERROR(__xludf.DUMMYFUNCTION("""COMPUTED_VALUE"""),88)</f>
        <v>88</v>
      </c>
      <c r="G41" s="124">
        <f ca="1">IFERROR(__xludf.DUMMYFUNCTION("""COMPUTED_VALUE"""),0.0677966101694915)</f>
        <v>6.7796610169491497E-2</v>
      </c>
      <c r="H41" s="118">
        <f ca="1">IFERROR(__xludf.DUMMYFUNCTION("""COMPUTED_VALUE"""),0.545454545454545)</f>
        <v>0.54545454545454497</v>
      </c>
      <c r="I41" s="56">
        <f ca="1">IFERROR(__xludf.DUMMYFUNCTION("""COMPUTED_VALUE"""),1996)</f>
        <v>1996</v>
      </c>
      <c r="J41" s="56" t="str">
        <f ca="1">IFERROR(__xludf.DUMMYFUNCTION("""COMPUTED_VALUE"""),"Non-USA")</f>
        <v>Non-USA</v>
      </c>
      <c r="K41" s="56" t="str">
        <f ca="1">IFERROR(__xludf.DUMMYFUNCTION("""COMPUTED_VALUE"""),"Ainsworth/Cassidy-Marvin")</f>
        <v>Ainsworth/Cassidy-Marvin</v>
      </c>
      <c r="L41" s="56">
        <f ca="1">IFERROR(__xludf.DUMMYFUNCTION("""COMPUTED_VALUE"""),0)</f>
        <v>0</v>
      </c>
      <c r="M41" s="56">
        <f ca="1">IFERROR(__xludf.DUMMYFUNCTION("""COMPUTED_VALUE"""),0)</f>
        <v>0</v>
      </c>
      <c r="N41" s="56">
        <f ca="1">IFERROR(__xludf.DUMMYFUNCTION("""COMPUTED_VALUE"""),0)</f>
        <v>0</v>
      </c>
      <c r="O41" s="56">
        <f ca="1">IFERROR(__xludf.DUMMYFUNCTION("""COMPUTED_VALUE"""),0)</f>
        <v>0</v>
      </c>
      <c r="P41" s="56">
        <f ca="1">IFERROR(__xludf.DUMMYFUNCTION("""COMPUTED_VALUE"""),0.91)</f>
        <v>0.91</v>
      </c>
      <c r="Q41" s="56">
        <f ca="1">IFERROR(__xludf.DUMMYFUNCTION("""COMPUTED_VALUE"""),1)</f>
        <v>1</v>
      </c>
      <c r="R41" t="str">
        <f ca="1">IFERROR(__xludf.DUMMYFUNCTION("""COMPUTED_VALUE"""),"Female")</f>
        <v>Female</v>
      </c>
    </row>
    <row r="42" spans="1:18" ht="12.9">
      <c r="A42" s="56">
        <f ca="1">IFERROR(__xludf.DUMMYFUNCTION("""COMPUTED_VALUE"""),32)</f>
        <v>32</v>
      </c>
      <c r="B42" s="56" t="str">
        <f ca="1">IFERROR(__xludf.DUMMYFUNCTION("""COMPUTED_VALUE"""),"Steele, Steele &amp; Fonagy (1996)")</f>
        <v>Steele, Steele &amp; Fonagy (1996)</v>
      </c>
      <c r="C42" s="56">
        <f ca="1">IFERROR(__xludf.DUMMYFUNCTION("""COMPUTED_VALUE"""),1)</f>
        <v>1</v>
      </c>
      <c r="D42" s="56" t="str">
        <f ca="1">IFERROR(__xludf.DUMMYFUNCTION("""COMPUTED_VALUE"""),"Father-child")</f>
        <v>Father-child</v>
      </c>
      <c r="E42" s="56" t="str">
        <f ca="1">IFERROR(__xludf.DUMMYFUNCTION("""COMPUTED_VALUE"""),"Infancy - Preschool")</f>
        <v>Infancy - Preschool</v>
      </c>
      <c r="F42" s="123">
        <f ca="1">IFERROR(__xludf.DUMMYFUNCTION("""COMPUTED_VALUE"""),68)</f>
        <v>68</v>
      </c>
      <c r="G42" s="124">
        <f ca="1">IFERROR(__xludf.DUMMYFUNCTION("""COMPUTED_VALUE"""),0.277992277992278)</f>
        <v>0.27799227799227799</v>
      </c>
      <c r="H42" s="118">
        <f ca="1">IFERROR(__xludf.DUMMYFUNCTION("""COMPUTED_VALUE"""),0.676470588235294)</f>
        <v>0.67647058823529405</v>
      </c>
      <c r="I42" s="56">
        <f ca="1">IFERROR(__xludf.DUMMYFUNCTION("""COMPUTED_VALUE"""),1996)</f>
        <v>1996</v>
      </c>
      <c r="J42" s="56" t="str">
        <f ca="1">IFERROR(__xludf.DUMMYFUNCTION("""COMPUTED_VALUE"""),"Non-USA")</f>
        <v>Non-USA</v>
      </c>
      <c r="K42" s="56" t="str">
        <f ca="1">IFERROR(__xludf.DUMMYFUNCTION("""COMPUTED_VALUE"""),"Ainsworth/Cassidy-Marvin")</f>
        <v>Ainsworth/Cassidy-Marvin</v>
      </c>
      <c r="L42" s="56">
        <f ca="1">IFERROR(__xludf.DUMMYFUNCTION("""COMPUTED_VALUE"""),0)</f>
        <v>0</v>
      </c>
      <c r="M42" s="56">
        <f ca="1">IFERROR(__xludf.DUMMYFUNCTION("""COMPUTED_VALUE"""),0)</f>
        <v>0</v>
      </c>
      <c r="N42" s="56">
        <f ca="1">IFERROR(__xludf.DUMMYFUNCTION("""COMPUTED_VALUE"""),0)</f>
        <v>0</v>
      </c>
      <c r="O42" s="56">
        <f ca="1">IFERROR(__xludf.DUMMYFUNCTION("""COMPUTED_VALUE"""),0)</f>
        <v>0</v>
      </c>
      <c r="P42" s="56">
        <f ca="1">IFERROR(__xludf.DUMMYFUNCTION("""COMPUTED_VALUE"""),0.91)</f>
        <v>0.91</v>
      </c>
      <c r="Q42" s="56">
        <f ca="1">IFERROR(__xludf.DUMMYFUNCTION("""COMPUTED_VALUE"""),1)</f>
        <v>1</v>
      </c>
      <c r="R42" t="str">
        <f ca="1">IFERROR(__xludf.DUMMYFUNCTION("""COMPUTED_VALUE"""),"Male")</f>
        <v>Male</v>
      </c>
    </row>
    <row r="43" spans="1:18" ht="12.9">
      <c r="A43" s="56">
        <f ca="1">IFERROR(__xludf.DUMMYFUNCTION("""COMPUTED_VALUE"""),33)</f>
        <v>33</v>
      </c>
      <c r="B43" s="56" t="str">
        <f ca="1">IFERROR(__xludf.DUMMYFUNCTION("""COMPUTED_VALUE"""),"Stevenson-Hinde &amp; Shouldice (1990)")</f>
        <v>Stevenson-Hinde &amp; Shouldice (1990)</v>
      </c>
      <c r="C43" s="56">
        <f ca="1">IFERROR(__xludf.DUMMYFUNCTION("""COMPUTED_VALUE"""),1)</f>
        <v>1</v>
      </c>
      <c r="D43" s="56" t="str">
        <f ca="1">IFERROR(__xludf.DUMMYFUNCTION("""COMPUTED_VALUE"""),"Single sample")</f>
        <v>Single sample</v>
      </c>
      <c r="E43" s="56" t="str">
        <f ca="1">IFERROR(__xludf.DUMMYFUNCTION("""COMPUTED_VALUE"""),"Toddlerhood - Preschool")</f>
        <v>Toddlerhood - Preschool</v>
      </c>
      <c r="F43" s="123">
        <f ca="1">IFERROR(__xludf.DUMMYFUNCTION("""COMPUTED_VALUE"""),78)</f>
        <v>78</v>
      </c>
      <c r="G43" s="124">
        <f ca="1">IFERROR(__xludf.DUMMYFUNCTION("""COMPUTED_VALUE"""),0.492957746478873)</f>
        <v>0.49295774647887303</v>
      </c>
      <c r="H43" s="118">
        <f ca="1">IFERROR(__xludf.DUMMYFUNCTION("""COMPUTED_VALUE"""),0.791666666666666)</f>
        <v>0.79166666666666596</v>
      </c>
      <c r="I43" s="56">
        <f ca="1">IFERROR(__xludf.DUMMYFUNCTION("""COMPUTED_VALUE"""),1990)</f>
        <v>1990</v>
      </c>
      <c r="J43" s="56" t="str">
        <f ca="1">IFERROR(__xludf.DUMMYFUNCTION("""COMPUTED_VALUE"""),"Non-USA")</f>
        <v>Non-USA</v>
      </c>
      <c r="K43" s="56" t="str">
        <f ca="1">IFERROR(__xludf.DUMMYFUNCTION("""COMPUTED_VALUE"""),"Ainsworth/Cassidy-Marvin")</f>
        <v>Ainsworth/Cassidy-Marvin</v>
      </c>
      <c r="L43" s="56">
        <f ca="1">IFERROR(__xludf.DUMMYFUNCTION("""COMPUTED_VALUE"""),1)</f>
        <v>1</v>
      </c>
      <c r="M43" s="56">
        <f ca="1">IFERROR(__xludf.DUMMYFUNCTION("""COMPUTED_VALUE"""),0)</f>
        <v>0</v>
      </c>
      <c r="N43" s="56">
        <f ca="1">IFERROR(__xludf.DUMMYFUNCTION("""COMPUTED_VALUE"""),0)</f>
        <v>0</v>
      </c>
      <c r="O43" s="56">
        <f ca="1">IFERROR(__xludf.DUMMYFUNCTION("""COMPUTED_VALUE"""),1)</f>
        <v>1</v>
      </c>
      <c r="P43" s="56">
        <f ca="1">IFERROR(__xludf.DUMMYFUNCTION("""COMPUTED_VALUE"""),0.88)</f>
        <v>0.88</v>
      </c>
      <c r="Q43" s="56">
        <f ca="1">IFERROR(__xludf.DUMMYFUNCTION("""COMPUTED_VALUE"""),0)</f>
        <v>0</v>
      </c>
      <c r="R43" t="str">
        <f ca="1">IFERROR(__xludf.DUMMYFUNCTION("""COMPUTED_VALUE"""),"Female")</f>
        <v>Female</v>
      </c>
    </row>
    <row r="44" spans="1:18" ht="12.9">
      <c r="A44" s="56">
        <f ca="1">IFERROR(__xludf.DUMMYFUNCTION("""COMPUTED_VALUE"""),35)</f>
        <v>35</v>
      </c>
      <c r="B44" s="56" t="str">
        <f ca="1">IFERROR(__xludf.DUMMYFUNCTION("""COMPUTED_VALUE"""),"Wartner et al. (1994) ")</f>
        <v xml:space="preserve">Wartner et al. (1994) </v>
      </c>
      <c r="C44" s="56">
        <f ca="1">IFERROR(__xludf.DUMMYFUNCTION("""COMPUTED_VALUE"""),1)</f>
        <v>1</v>
      </c>
      <c r="D44" s="56" t="str">
        <f ca="1">IFERROR(__xludf.DUMMYFUNCTION("""COMPUTED_VALUE"""),"Single sample")</f>
        <v>Single sample</v>
      </c>
      <c r="E44" s="56" t="str">
        <f ca="1">IFERROR(__xludf.DUMMYFUNCTION("""COMPUTED_VALUE"""),"Infancy - Preschool")</f>
        <v>Infancy - Preschool</v>
      </c>
      <c r="F44" s="123">
        <f ca="1">IFERROR(__xludf.DUMMYFUNCTION("""COMPUTED_VALUE"""),39)</f>
        <v>39</v>
      </c>
      <c r="G44" s="124">
        <f ca="1">IFERROR(__xludf.DUMMYFUNCTION("""COMPUTED_VALUE"""),0.794736842105263)</f>
        <v>0.79473684210526296</v>
      </c>
      <c r="H44" s="118">
        <f ca="1">IFERROR(__xludf.DUMMYFUNCTION("""COMPUTED_VALUE"""),0.897435897435897)</f>
        <v>0.89743589743589702</v>
      </c>
      <c r="I44" s="56">
        <f ca="1">IFERROR(__xludf.DUMMYFUNCTION("""COMPUTED_VALUE"""),1994)</f>
        <v>1994</v>
      </c>
      <c r="J44" s="56" t="str">
        <f ca="1">IFERROR(__xludf.DUMMYFUNCTION("""COMPUTED_VALUE"""),"Non-USA")</f>
        <v>Non-USA</v>
      </c>
      <c r="K44" s="56" t="str">
        <f ca="1">IFERROR(__xludf.DUMMYFUNCTION("""COMPUTED_VALUE"""),"Ainsworth/Main-Cassidy")</f>
        <v>Ainsworth/Main-Cassidy</v>
      </c>
      <c r="L44" s="56">
        <f ca="1">IFERROR(__xludf.DUMMYFUNCTION("""COMPUTED_VALUE"""),0)</f>
        <v>0</v>
      </c>
      <c r="M44" s="56">
        <f ca="1">IFERROR(__xludf.DUMMYFUNCTION("""COMPUTED_VALUE"""),0)</f>
        <v>0</v>
      </c>
      <c r="N44" s="56">
        <f ca="1">IFERROR(__xludf.DUMMYFUNCTION("""COMPUTED_VALUE"""),0)</f>
        <v>0</v>
      </c>
      <c r="O44" s="56">
        <f ca="1">IFERROR(__xludf.DUMMYFUNCTION("""COMPUTED_VALUE"""),1)</f>
        <v>1</v>
      </c>
      <c r="P44" s="56">
        <f ca="1">IFERROR(__xludf.DUMMYFUNCTION("""COMPUTED_VALUE"""),0.97)</f>
        <v>0.97</v>
      </c>
      <c r="Q44" s="56">
        <f ca="1">IFERROR(__xludf.DUMMYFUNCTION("""COMPUTED_VALUE"""),1)</f>
        <v>1</v>
      </c>
      <c r="R44" t="str">
        <f ca="1">IFERROR(__xludf.DUMMYFUNCTION("""COMPUTED_VALUE"""),"Female")</f>
        <v>Female</v>
      </c>
    </row>
    <row r="45" spans="1:18" ht="12.9">
      <c r="A45" s="56">
        <f ca="1">IFERROR(__xludf.DUMMYFUNCTION("""COMPUTED_VALUE"""),36)</f>
        <v>36</v>
      </c>
      <c r="B45" s="56" t="str">
        <f ca="1">IFERROR(__xludf.DUMMYFUNCTION("""COMPUTED_VALUE"""),"Waters &amp; Valenzuela (1999)")</f>
        <v>Waters &amp; Valenzuela (1999)</v>
      </c>
      <c r="C45" s="56">
        <f ca="1">IFERROR(__xludf.DUMMYFUNCTION("""COMPUTED_VALUE"""),1)</f>
        <v>1</v>
      </c>
      <c r="D45" s="56" t="str">
        <f ca="1">IFERROR(__xludf.DUMMYFUNCTION("""COMPUTED_VALUE"""),"Well nourished")</f>
        <v>Well nourished</v>
      </c>
      <c r="E45" s="56" t="str">
        <f ca="1">IFERROR(__xludf.DUMMYFUNCTION("""COMPUTED_VALUE"""),"Infancy - Toddlerhood")</f>
        <v>Infancy - Toddlerhood</v>
      </c>
      <c r="F45" s="123">
        <f ca="1">IFERROR(__xludf.DUMMYFUNCTION("""COMPUTED_VALUE"""),34)</f>
        <v>34</v>
      </c>
      <c r="G45" s="124">
        <f ca="1">IFERROR(__xludf.DUMMYFUNCTION("""COMPUTED_VALUE"""),0.294117647058823)</f>
        <v>0.29411764705882298</v>
      </c>
      <c r="H45" s="118">
        <f ca="1">IFERROR(__xludf.DUMMYFUNCTION("""COMPUTED_VALUE"""),0.647058823529411)</f>
        <v>0.64705882352941102</v>
      </c>
      <c r="I45" s="56">
        <f ca="1">IFERROR(__xludf.DUMMYFUNCTION("""COMPUTED_VALUE"""),1999)</f>
        <v>1999</v>
      </c>
      <c r="J45" s="56" t="str">
        <f ca="1">IFERROR(__xludf.DUMMYFUNCTION("""COMPUTED_VALUE"""),"Non-USA")</f>
        <v>Non-USA</v>
      </c>
      <c r="K45" s="56" t="str">
        <f ca="1">IFERROR(__xludf.DUMMYFUNCTION("""COMPUTED_VALUE"""),"Ainsworth/Ainsworth")</f>
        <v>Ainsworth/Ainsworth</v>
      </c>
      <c r="L45" s="56">
        <f ca="1">IFERROR(__xludf.DUMMYFUNCTION("""COMPUTED_VALUE"""),0)</f>
        <v>0</v>
      </c>
      <c r="M45" s="56">
        <f ca="1">IFERROR(__xludf.DUMMYFUNCTION("""COMPUTED_VALUE"""),1)</f>
        <v>1</v>
      </c>
      <c r="N45" s="56">
        <f ca="1">IFERROR(__xludf.DUMMYFUNCTION("""COMPUTED_VALUE"""),0)</f>
        <v>0</v>
      </c>
      <c r="O45" s="56">
        <f ca="1">IFERROR(__xludf.DUMMYFUNCTION("""COMPUTED_VALUE"""),1)</f>
        <v>1</v>
      </c>
      <c r="P45" s="56">
        <f ca="1">IFERROR(__xludf.DUMMYFUNCTION("""COMPUTED_VALUE"""),0.859499999999999)</f>
        <v>0.85949999999999904</v>
      </c>
      <c r="Q45" s="56">
        <f ca="1">IFERROR(__xludf.DUMMYFUNCTION("""COMPUTED_VALUE"""),0)</f>
        <v>0</v>
      </c>
      <c r="R45" t="str">
        <f ca="1">IFERROR(__xludf.DUMMYFUNCTION("""COMPUTED_VALUE"""),"Female")</f>
        <v>Female</v>
      </c>
    </row>
    <row r="46" spans="1:18" ht="12.9">
      <c r="A46" s="56">
        <f ca="1">IFERROR(__xludf.DUMMYFUNCTION("""COMPUTED_VALUE"""),37)</f>
        <v>37</v>
      </c>
      <c r="B46" s="56" t="str">
        <f ca="1">IFERROR(__xludf.DUMMYFUNCTION("""COMPUTED_VALUE"""),"Waters &amp; Valenzuela (1999)")</f>
        <v>Waters &amp; Valenzuela (1999)</v>
      </c>
      <c r="C46" s="56">
        <f ca="1">IFERROR(__xludf.DUMMYFUNCTION("""COMPUTED_VALUE"""),1)</f>
        <v>1</v>
      </c>
      <c r="D46" s="56" t="str">
        <f ca="1">IFERROR(__xludf.DUMMYFUNCTION("""COMPUTED_VALUE"""),"Undernourished")</f>
        <v>Undernourished</v>
      </c>
      <c r="E46" s="56" t="str">
        <f ca="1">IFERROR(__xludf.DUMMYFUNCTION("""COMPUTED_VALUE"""),"Infancy - Toddlerhood")</f>
        <v>Infancy - Toddlerhood</v>
      </c>
      <c r="F46" s="123">
        <f ca="1">IFERROR(__xludf.DUMMYFUNCTION("""COMPUTED_VALUE"""),37)</f>
        <v>37</v>
      </c>
      <c r="G46" s="124">
        <f ca="1">IFERROR(__xludf.DUMMYFUNCTION("""COMPUTED_VALUE"""),-0.14251781472684)</f>
        <v>-0.14251781472684</v>
      </c>
      <c r="H46" s="118">
        <f ca="1">IFERROR(__xludf.DUMMYFUNCTION("""COMPUTED_VALUE"""),0.648648648648648)</f>
        <v>0.64864864864864802</v>
      </c>
      <c r="I46" s="56">
        <f ca="1">IFERROR(__xludf.DUMMYFUNCTION("""COMPUTED_VALUE"""),1999)</f>
        <v>1999</v>
      </c>
      <c r="J46" s="56" t="str">
        <f ca="1">IFERROR(__xludf.DUMMYFUNCTION("""COMPUTED_VALUE"""),"Non-USA")</f>
        <v>Non-USA</v>
      </c>
      <c r="K46" s="56" t="str">
        <f ca="1">IFERROR(__xludf.DUMMYFUNCTION("""COMPUTED_VALUE"""),"Ainsworth/Ainsworth")</f>
        <v>Ainsworth/Ainsworth</v>
      </c>
      <c r="L46" s="56">
        <f ca="1">IFERROR(__xludf.DUMMYFUNCTION("""COMPUTED_VALUE"""),0)</f>
        <v>0</v>
      </c>
      <c r="M46" s="56">
        <f ca="1">IFERROR(__xludf.DUMMYFUNCTION("""COMPUTED_VALUE"""),1)</f>
        <v>1</v>
      </c>
      <c r="N46" s="56">
        <f ca="1">IFERROR(__xludf.DUMMYFUNCTION("""COMPUTED_VALUE"""),1)</f>
        <v>1</v>
      </c>
      <c r="O46" s="56">
        <f ca="1">IFERROR(__xludf.DUMMYFUNCTION("""COMPUTED_VALUE"""),1)</f>
        <v>1</v>
      </c>
      <c r="P46" s="56">
        <f ca="1">IFERROR(__xludf.DUMMYFUNCTION("""COMPUTED_VALUE"""),0.859499999999999)</f>
        <v>0.85949999999999904</v>
      </c>
      <c r="Q46" s="56">
        <f ca="1">IFERROR(__xludf.DUMMYFUNCTION("""COMPUTED_VALUE"""),0)</f>
        <v>0</v>
      </c>
      <c r="R46" t="str">
        <f ca="1">IFERROR(__xludf.DUMMYFUNCTION("""COMPUTED_VALUE"""),"Female")</f>
        <v>Female</v>
      </c>
    </row>
    <row r="47" spans="1:18" ht="12.9">
      <c r="A47" s="56">
        <f ca="1">IFERROR(__xludf.DUMMYFUNCTION("""COMPUTED_VALUE"""),38)</f>
        <v>38</v>
      </c>
      <c r="B47" s="56" t="str">
        <f ca="1">IFERROR(__xludf.DUMMYFUNCTION("""COMPUTED_VALUE"""),"Vondra et al. (2001)")</f>
        <v>Vondra et al. (2001)</v>
      </c>
      <c r="C47" s="56">
        <f ca="1">IFERROR(__xludf.DUMMYFUNCTION("""COMPUTED_VALUE"""),1)</f>
        <v>1</v>
      </c>
      <c r="D47" s="56" t="str">
        <f ca="1">IFERROR(__xludf.DUMMYFUNCTION("""COMPUTED_VALUE"""),"12/24 months (12 month interval)")</f>
        <v>12/24 months (12 month interval)</v>
      </c>
      <c r="E47" s="56" t="str">
        <f ca="1">IFERROR(__xludf.DUMMYFUNCTION("""COMPUTED_VALUE"""),"Infancy - Toddlerhood")</f>
        <v>Infancy - Toddlerhood</v>
      </c>
      <c r="F47" s="123">
        <f ca="1">IFERROR(__xludf.DUMMYFUNCTION("""COMPUTED_VALUE"""),198)</f>
        <v>198</v>
      </c>
      <c r="G47" s="124">
        <f ca="1">IFERROR(__xludf.DUMMYFUNCTION("""COMPUTED_VALUE"""),0.139130434782608)</f>
        <v>0.139130434782608</v>
      </c>
      <c r="H47" s="118">
        <f ca="1">IFERROR(__xludf.DUMMYFUNCTION("""COMPUTED_VALUE"""),0.56060606060606)</f>
        <v>0.56060606060606</v>
      </c>
      <c r="I47" s="56">
        <f ca="1">IFERROR(__xludf.DUMMYFUNCTION("""COMPUTED_VALUE"""),2001)</f>
        <v>2001</v>
      </c>
      <c r="J47" s="56" t="str">
        <f ca="1">IFERROR(__xludf.DUMMYFUNCTION("""COMPUTED_VALUE"""),"USA")</f>
        <v>USA</v>
      </c>
      <c r="K47" s="56" t="str">
        <f ca="1">IFERROR(__xludf.DUMMYFUNCTION("""COMPUTED_VALUE"""),"Ainsworth/Crittenden")</f>
        <v>Ainsworth/Crittenden</v>
      </c>
      <c r="L47" s="56">
        <f ca="1">IFERROR(__xludf.DUMMYFUNCTION("""COMPUTED_VALUE"""),0)</f>
        <v>0</v>
      </c>
      <c r="M47" s="56">
        <f ca="1">IFERROR(__xludf.DUMMYFUNCTION("""COMPUTED_VALUE"""),1)</f>
        <v>1</v>
      </c>
      <c r="N47" s="56">
        <f ca="1">IFERROR(__xludf.DUMMYFUNCTION("""COMPUTED_VALUE"""),0)</f>
        <v>0</v>
      </c>
      <c r="O47" s="56">
        <f ca="1">IFERROR(__xludf.DUMMYFUNCTION("""COMPUTED_VALUE"""),1)</f>
        <v>1</v>
      </c>
      <c r="P47" s="56">
        <f ca="1">IFERROR(__xludf.DUMMYFUNCTION("""COMPUTED_VALUE"""),0.695)</f>
        <v>0.69499999999999995</v>
      </c>
      <c r="Q47" s="56">
        <f ca="1">IFERROR(__xludf.DUMMYFUNCTION("""COMPUTED_VALUE"""),0)</f>
        <v>0</v>
      </c>
      <c r="R47" t="str">
        <f ca="1">IFERROR(__xludf.DUMMYFUNCTION("""COMPUTED_VALUE"""),"Female")</f>
        <v>Female</v>
      </c>
    </row>
    <row r="48" spans="1:18" ht="12.9">
      <c r="A48" s="56">
        <f ca="1">IFERROR(__xludf.DUMMYFUNCTION("""COMPUTED_VALUE"""),38)</f>
        <v>38</v>
      </c>
      <c r="B48" s="56" t="str">
        <f ca="1">IFERROR(__xludf.DUMMYFUNCTION("""COMPUTED_VALUE"""),"Vondra et al. (2001)")</f>
        <v>Vondra et al. (2001)</v>
      </c>
      <c r="C48" s="56">
        <f ca="1">IFERROR(__xludf.DUMMYFUNCTION("""COMPUTED_VALUE"""),2)</f>
        <v>2</v>
      </c>
      <c r="D48" s="56" t="str">
        <f ca="1">IFERROR(__xludf.DUMMYFUNCTION("""COMPUTED_VALUE"""),"12/18 months (6 month interval)")</f>
        <v>12/18 months (6 month interval)</v>
      </c>
      <c r="E48" s="56" t="str">
        <f ca="1">IFERROR(__xludf.DUMMYFUNCTION("""COMPUTED_VALUE"""),"Infancy - Infancy")</f>
        <v>Infancy - Infancy</v>
      </c>
      <c r="F48" s="123">
        <f ca="1">IFERROR(__xludf.DUMMYFUNCTION("""COMPUTED_VALUE"""),195)</f>
        <v>195</v>
      </c>
      <c r="G48" s="124">
        <f ca="1">IFERROR(__xludf.DUMMYFUNCTION("""COMPUTED_VALUE"""),0.219835754895767)</f>
        <v>0.21983575489576701</v>
      </c>
      <c r="H48" s="118">
        <f ca="1">IFERROR(__xludf.DUMMYFUNCTION("""COMPUTED_VALUE"""),0.61025641025641)</f>
        <v>0.61025641025640998</v>
      </c>
      <c r="I48" s="56">
        <f ca="1">IFERROR(__xludf.DUMMYFUNCTION("""COMPUTED_VALUE"""),2001)</f>
        <v>2001</v>
      </c>
      <c r="J48" s="56" t="str">
        <f ca="1">IFERROR(__xludf.DUMMYFUNCTION("""COMPUTED_VALUE"""),"USA")</f>
        <v>USA</v>
      </c>
      <c r="K48" s="56" t="str">
        <f ca="1">IFERROR(__xludf.DUMMYFUNCTION("""COMPUTED_VALUE"""),"Ainsworth/Ainsworth")</f>
        <v>Ainsworth/Ainsworth</v>
      </c>
      <c r="L48" s="56">
        <f ca="1">IFERROR(__xludf.DUMMYFUNCTION("""COMPUTED_VALUE"""),1)</f>
        <v>1</v>
      </c>
      <c r="M48" s="56">
        <f ca="1">IFERROR(__xludf.DUMMYFUNCTION("""COMPUTED_VALUE"""),1)</f>
        <v>1</v>
      </c>
      <c r="N48" s="56">
        <f ca="1">IFERROR(__xludf.DUMMYFUNCTION("""COMPUTED_VALUE"""),0)</f>
        <v>0</v>
      </c>
      <c r="O48" s="56">
        <f ca="1">IFERROR(__xludf.DUMMYFUNCTION("""COMPUTED_VALUE"""),1)</f>
        <v>1</v>
      </c>
      <c r="P48" s="56">
        <f ca="1">IFERROR(__xludf.DUMMYFUNCTION("""COMPUTED_VALUE"""),0.77)</f>
        <v>0.77</v>
      </c>
      <c r="Q48" s="56">
        <f ca="1">IFERROR(__xludf.DUMMYFUNCTION("""COMPUTED_VALUE"""),0)</f>
        <v>0</v>
      </c>
      <c r="R48" t="str">
        <f ca="1">IFERROR(__xludf.DUMMYFUNCTION("""COMPUTED_VALUE"""),"Female")</f>
        <v>Female</v>
      </c>
    </row>
    <row r="49" spans="1:18" ht="12.9">
      <c r="A49" s="56">
        <f ca="1">IFERROR(__xludf.DUMMYFUNCTION("""COMPUTED_VALUE"""),39)</f>
        <v>39</v>
      </c>
      <c r="B49" s="56" t="str">
        <f ca="1">IFERROR(__xludf.DUMMYFUNCTION("""COMPUTED_VALUE"""),"Xue (2010)")</f>
        <v>Xue (2010)</v>
      </c>
      <c r="C49" s="56">
        <f ca="1">IFERROR(__xludf.DUMMYFUNCTION("""COMPUTED_VALUE"""),1)</f>
        <v>1</v>
      </c>
      <c r="D49" s="56" t="str">
        <f ca="1">IFERROR(__xludf.DUMMYFUNCTION("""COMPUTED_VALUE"""),"13/42 months (29 month interval)")</f>
        <v>13/42 months (29 month interval)</v>
      </c>
      <c r="E49" s="56" t="str">
        <f ca="1">IFERROR(__xludf.DUMMYFUNCTION("""COMPUTED_VALUE"""),"Infancy - Preschool")</f>
        <v>Infancy - Preschool</v>
      </c>
      <c r="F49" s="123">
        <f ca="1">IFERROR(__xludf.DUMMYFUNCTION("""COMPUTED_VALUE"""),46)</f>
        <v>46</v>
      </c>
      <c r="G49" s="124">
        <f ca="1">IFERROR(__xludf.DUMMYFUNCTION("""COMPUTED_VALUE"""),0.205433569036099)</f>
        <v>0.205433569036099</v>
      </c>
      <c r="H49" s="118">
        <f ca="1">IFERROR(__xludf.DUMMYFUNCTION("""COMPUTED_VALUE"""),0.426229508196721)</f>
        <v>0.42622950819672101</v>
      </c>
      <c r="I49" s="56">
        <f ca="1">IFERROR(__xludf.DUMMYFUNCTION("""COMPUTED_VALUE"""),2010)</f>
        <v>2010</v>
      </c>
      <c r="J49" s="56" t="str">
        <f ca="1">IFERROR(__xludf.DUMMYFUNCTION("""COMPUTED_VALUE"""),"Non-USA")</f>
        <v>Non-USA</v>
      </c>
      <c r="K49" s="56" t="str">
        <f ca="1">IFERROR(__xludf.DUMMYFUNCTION("""COMPUTED_VALUE"""),"Ainsworth/Cassidy-Marvin")</f>
        <v>Ainsworth/Cassidy-Marvin</v>
      </c>
      <c r="L49" s="56">
        <f ca="1">IFERROR(__xludf.DUMMYFUNCTION("""COMPUTED_VALUE"""),0)</f>
        <v>0</v>
      </c>
      <c r="M49" s="56">
        <f ca="1">IFERROR(__xludf.DUMMYFUNCTION("""COMPUTED_VALUE"""),0)</f>
        <v>0</v>
      </c>
      <c r="N49" s="56">
        <f ca="1">IFERROR(__xludf.DUMMYFUNCTION("""COMPUTED_VALUE"""),0)</f>
        <v>0</v>
      </c>
      <c r="O49" s="56">
        <f ca="1">IFERROR(__xludf.DUMMYFUNCTION("""COMPUTED_VALUE"""),0)</f>
        <v>0</v>
      </c>
      <c r="P49" s="56">
        <f ca="1">IFERROR(__xludf.DUMMYFUNCTION("""COMPUTED_VALUE"""),0.89)</f>
        <v>0.89</v>
      </c>
      <c r="Q49" s="56">
        <f ca="1">IFERROR(__xludf.DUMMYFUNCTION("""COMPUTED_VALUE"""),0)</f>
        <v>0</v>
      </c>
      <c r="R49" t="str">
        <f ca="1">IFERROR(__xludf.DUMMYFUNCTION("""COMPUTED_VALUE"""),"Female")</f>
        <v>Female</v>
      </c>
    </row>
    <row r="50" spans="1:18" ht="12.9">
      <c r="A50" s="56">
        <f ca="1">IFERROR(__xludf.DUMMYFUNCTION("""COMPUTED_VALUE"""),40)</f>
        <v>40</v>
      </c>
      <c r="B50" s="56" t="str">
        <f ca="1">IFERROR(__xludf.DUMMYFUNCTION("""COMPUTED_VALUE"""),"Fargot &amp; Pears (1996)")</f>
        <v>Fargot &amp; Pears (1996)</v>
      </c>
      <c r="C50" s="56">
        <f ca="1">IFERROR(__xludf.DUMMYFUNCTION("""COMPUTED_VALUE"""),1)</f>
        <v>1</v>
      </c>
      <c r="D50" s="56" t="str">
        <f ca="1">IFERROR(__xludf.DUMMYFUNCTION("""COMPUTED_VALUE"""),"Single sample")</f>
        <v>Single sample</v>
      </c>
      <c r="E50" s="56" t="str">
        <f ca="1">IFERROR(__xludf.DUMMYFUNCTION("""COMPUTED_VALUE"""),"Infancy - Toddlerhood")</f>
        <v>Infancy - Toddlerhood</v>
      </c>
      <c r="F50" s="123">
        <f ca="1">IFERROR(__xludf.DUMMYFUNCTION("""COMPUTED_VALUE"""),96)</f>
        <v>96</v>
      </c>
      <c r="G50" s="124">
        <f ca="1">IFERROR(__xludf.DUMMYFUNCTION("""COMPUTED_VALUE"""),0.688850475367329)</f>
        <v>0.68885047536732902</v>
      </c>
      <c r="H50" s="118">
        <f ca="1">IFERROR(__xludf.DUMMYFUNCTION("""COMPUTED_VALUE"""),0.84375)</f>
        <v>0.84375</v>
      </c>
      <c r="I50" s="56">
        <f ca="1">IFERROR(__xludf.DUMMYFUNCTION("""COMPUTED_VALUE"""),1996)</f>
        <v>1996</v>
      </c>
      <c r="J50" s="56" t="str">
        <f ca="1">IFERROR(__xludf.DUMMYFUNCTION("""COMPUTED_VALUE"""),"USA")</f>
        <v>USA</v>
      </c>
      <c r="K50" s="56" t="str">
        <f ca="1">IFERROR(__xludf.DUMMYFUNCTION("""COMPUTED_VALUE"""),"Ainsworth/Crittenden")</f>
        <v>Ainsworth/Crittenden</v>
      </c>
      <c r="L50" s="56">
        <f ca="1">IFERROR(__xludf.DUMMYFUNCTION("""COMPUTED_VALUE"""),1)</f>
        <v>1</v>
      </c>
      <c r="M50" s="56">
        <f ca="1">IFERROR(__xludf.DUMMYFUNCTION("""COMPUTED_VALUE"""),0)</f>
        <v>0</v>
      </c>
      <c r="N50" s="56">
        <f ca="1">IFERROR(__xludf.DUMMYFUNCTION("""COMPUTED_VALUE"""),0)</f>
        <v>0</v>
      </c>
      <c r="O50" s="56">
        <f ca="1">IFERROR(__xludf.DUMMYFUNCTION("""COMPUTED_VALUE"""),1)</f>
        <v>1</v>
      </c>
      <c r="P50" s="56">
        <f ca="1">IFERROR(__xludf.DUMMYFUNCTION("""COMPUTED_VALUE"""),0.832763671875)</f>
        <v>0.832763671875</v>
      </c>
      <c r="Q50" s="56">
        <f ca="1">IFERROR(__xludf.DUMMYFUNCTION("""COMPUTED_VALUE"""),0)</f>
        <v>0</v>
      </c>
      <c r="R50" t="str">
        <f ca="1">IFERROR(__xludf.DUMMYFUNCTION("""COMPUTED_VALUE"""),"Female")</f>
        <v>Female</v>
      </c>
    </row>
    <row r="51" spans="1:18" ht="12.9">
      <c r="A51" s="56">
        <f ca="1">IFERROR(__xludf.DUMMYFUNCTION("""COMPUTED_VALUE"""),41)</f>
        <v>41</v>
      </c>
      <c r="B51" s="56" t="str">
        <f ca="1">IFERROR(__xludf.DUMMYFUNCTION("""COMPUTED_VALUE"""),"Toth et al. (2006)")</f>
        <v>Toth et al. (2006)</v>
      </c>
      <c r="C51" s="56">
        <f ca="1">IFERROR(__xludf.DUMMYFUNCTION("""COMPUTED_VALUE"""),1)</f>
        <v>1</v>
      </c>
      <c r="D51" s="56" t="str">
        <f ca="1">IFERROR(__xludf.DUMMYFUNCTION("""COMPUTED_VALUE"""),"Non-depressed control")</f>
        <v>Non-depressed control</v>
      </c>
      <c r="E51" s="56" t="str">
        <f ca="1">IFERROR(__xludf.DUMMYFUNCTION("""COMPUTED_VALUE"""),"Toddlerhood - Preschool")</f>
        <v>Toddlerhood - Preschool</v>
      </c>
      <c r="F51" s="123">
        <f ca="1">IFERROR(__xludf.DUMMYFUNCTION("""COMPUTED_VALUE"""),63)</f>
        <v>63</v>
      </c>
      <c r="G51" s="124">
        <f ca="1">IFERROR(__xludf.DUMMYFUNCTION("""COMPUTED_VALUE"""),0.304216867469879)</f>
        <v>0.30421686746987903</v>
      </c>
      <c r="H51" s="118">
        <f ca="1">IFERROR(__xludf.DUMMYFUNCTION("""COMPUTED_VALUE"""),0.65079365079365)</f>
        <v>0.65079365079365004</v>
      </c>
      <c r="I51" s="56">
        <f ca="1">IFERROR(__xludf.DUMMYFUNCTION("""COMPUTED_VALUE"""),2006)</f>
        <v>2006</v>
      </c>
      <c r="J51" s="56" t="str">
        <f ca="1">IFERROR(__xludf.DUMMYFUNCTION("""COMPUTED_VALUE"""),"USA")</f>
        <v>USA</v>
      </c>
      <c r="K51" s="56" t="str">
        <f ca="1">IFERROR(__xludf.DUMMYFUNCTION("""COMPUTED_VALUE"""),"Ainsworth/Cassidy-Marvin")</f>
        <v>Ainsworth/Cassidy-Marvin</v>
      </c>
      <c r="L51" s="56">
        <f ca="1">IFERROR(__xludf.DUMMYFUNCTION("""COMPUTED_VALUE"""),0)</f>
        <v>0</v>
      </c>
      <c r="M51" s="56">
        <f ca="1">IFERROR(__xludf.DUMMYFUNCTION("""COMPUTED_VALUE"""),0)</f>
        <v>0</v>
      </c>
      <c r="N51" s="56">
        <f ca="1">IFERROR(__xludf.DUMMYFUNCTION("""COMPUTED_VALUE"""),0)</f>
        <v>0</v>
      </c>
      <c r="O51" s="56">
        <f ca="1">IFERROR(__xludf.DUMMYFUNCTION("""COMPUTED_VALUE"""),1)</f>
        <v>1</v>
      </c>
      <c r="P51" s="56">
        <f ca="1">IFERROR(__xludf.DUMMYFUNCTION("""COMPUTED_VALUE"""),0.919999999999999)</f>
        <v>0.91999999999999904</v>
      </c>
      <c r="Q51" s="56">
        <f ca="1">IFERROR(__xludf.DUMMYFUNCTION("""COMPUTED_VALUE"""),0)</f>
        <v>0</v>
      </c>
      <c r="R51" t="str">
        <f ca="1">IFERROR(__xludf.DUMMYFUNCTION("""COMPUTED_VALUE"""),"Female")</f>
        <v>Female</v>
      </c>
    </row>
    <row r="52" spans="1:18" ht="12.9">
      <c r="A52" s="56">
        <f ca="1">IFERROR(__xludf.DUMMYFUNCTION("""COMPUTED_VALUE"""),42)</f>
        <v>42</v>
      </c>
      <c r="B52" s="56" t="str">
        <f ca="1">IFERROR(__xludf.DUMMYFUNCTION("""COMPUTED_VALUE"""),"Toth et al. (2006)")</f>
        <v>Toth et al. (2006)</v>
      </c>
      <c r="C52" s="56">
        <f ca="1">IFERROR(__xludf.DUMMYFUNCTION("""COMPUTED_VALUE"""),1)</f>
        <v>1</v>
      </c>
      <c r="D52" s="56" t="str">
        <f ca="1">IFERROR(__xludf.DUMMYFUNCTION("""COMPUTED_VALUE"""),"Depressed control")</f>
        <v>Depressed control</v>
      </c>
      <c r="E52" s="56" t="str">
        <f ca="1">IFERROR(__xludf.DUMMYFUNCTION("""COMPUTED_VALUE"""),"Toddlerhood - Preschool")</f>
        <v>Toddlerhood - Preschool</v>
      </c>
      <c r="F52" s="123">
        <f ca="1">IFERROR(__xludf.DUMMYFUNCTION("""COMPUTED_VALUE"""),54)</f>
        <v>54</v>
      </c>
      <c r="G52" s="124">
        <f ca="1">IFERROR(__xludf.DUMMYFUNCTION("""COMPUTED_VALUE"""),0.387755102040816)</f>
        <v>0.38775510204081598</v>
      </c>
      <c r="H52" s="118">
        <f ca="1">IFERROR(__xludf.DUMMYFUNCTION("""COMPUTED_VALUE"""),0.814814814814814)</f>
        <v>0.81481481481481399</v>
      </c>
      <c r="I52" s="56">
        <f ca="1">IFERROR(__xludf.DUMMYFUNCTION("""COMPUTED_VALUE"""),2006)</f>
        <v>2006</v>
      </c>
      <c r="J52" s="56" t="str">
        <f ca="1">IFERROR(__xludf.DUMMYFUNCTION("""COMPUTED_VALUE"""),"USA")</f>
        <v>USA</v>
      </c>
      <c r="K52" s="56" t="str">
        <f ca="1">IFERROR(__xludf.DUMMYFUNCTION("""COMPUTED_VALUE"""),"Ainsworth/Cassidy-Marvin")</f>
        <v>Ainsworth/Cassidy-Marvin</v>
      </c>
      <c r="L52" s="56">
        <f ca="1">IFERROR(__xludf.DUMMYFUNCTION("""COMPUTED_VALUE"""),0)</f>
        <v>0</v>
      </c>
      <c r="M52" s="56">
        <f ca="1">IFERROR(__xludf.DUMMYFUNCTION("""COMPUTED_VALUE"""),1)</f>
        <v>1</v>
      </c>
      <c r="N52" s="56">
        <f ca="1">IFERROR(__xludf.DUMMYFUNCTION("""COMPUTED_VALUE"""),0)</f>
        <v>0</v>
      </c>
      <c r="O52" s="56">
        <f ca="1">IFERROR(__xludf.DUMMYFUNCTION("""COMPUTED_VALUE"""),1)</f>
        <v>1</v>
      </c>
      <c r="P52" s="56">
        <f ca="1">IFERROR(__xludf.DUMMYFUNCTION("""COMPUTED_VALUE"""),0.919999999999999)</f>
        <v>0.91999999999999904</v>
      </c>
      <c r="Q52" s="56">
        <f ca="1">IFERROR(__xludf.DUMMYFUNCTION("""COMPUTED_VALUE"""),0)</f>
        <v>0</v>
      </c>
      <c r="R52" t="str">
        <f ca="1">IFERROR(__xludf.DUMMYFUNCTION("""COMPUTED_VALUE"""),"Female")</f>
        <v>Female</v>
      </c>
    </row>
    <row r="53" spans="1:18" ht="12.9">
      <c r="A53" s="56">
        <f ca="1">IFERROR(__xludf.DUMMYFUNCTION("""COMPUTED_VALUE"""),43)</f>
        <v>43</v>
      </c>
      <c r="B53" s="56" t="str">
        <f ca="1">IFERROR(__xludf.DUMMYFUNCTION("""COMPUTED_VALUE"""),"Kreppner et al. (2011)")</f>
        <v>Kreppner et al. (2011)</v>
      </c>
      <c r="C53" s="56">
        <f ca="1">IFERROR(__xludf.DUMMYFUNCTION("""COMPUTED_VALUE"""),1)</f>
        <v>1</v>
      </c>
      <c r="D53" s="56" t="str">
        <f ca="1">IFERROR(__xludf.DUMMYFUNCTION("""COMPUTED_VALUE"""),"Family care &lt; 6 mo")</f>
        <v>Family care &lt; 6 mo</v>
      </c>
      <c r="E53" s="56" t="str">
        <f ca="1">IFERROR(__xludf.DUMMYFUNCTION("""COMPUTED_VALUE"""),"Preschool - Preschool")</f>
        <v>Preschool - Preschool</v>
      </c>
      <c r="F53" s="123">
        <f ca="1">IFERROR(__xludf.DUMMYFUNCTION("""COMPUTED_VALUE"""),106)</f>
        <v>106</v>
      </c>
      <c r="G53" s="124">
        <f ca="1">IFERROR(__xludf.DUMMYFUNCTION("""COMPUTED_VALUE"""),0.232426704344754)</f>
        <v>0.23242670434475399</v>
      </c>
      <c r="H53" s="118">
        <f ca="1">IFERROR(__xludf.DUMMYFUNCTION("""COMPUTED_VALUE"""),0.613207547169811)</f>
        <v>0.61320754716981096</v>
      </c>
      <c r="I53" s="56">
        <f ca="1">IFERROR(__xludf.DUMMYFUNCTION("""COMPUTED_VALUE"""),2011)</f>
        <v>2011</v>
      </c>
      <c r="J53" s="56" t="str">
        <f ca="1">IFERROR(__xludf.DUMMYFUNCTION("""COMPUTED_VALUE"""),"Non-USA")</f>
        <v>Non-USA</v>
      </c>
      <c r="K53" s="56" t="str">
        <f ca="1">IFERROR(__xludf.DUMMYFUNCTION("""COMPUTED_VALUE"""),"Cassidy-Marvin/Cassidy-Marvin")</f>
        <v>Cassidy-Marvin/Cassidy-Marvin</v>
      </c>
      <c r="L53" s="56">
        <f ca="1">IFERROR(__xludf.DUMMYFUNCTION("""COMPUTED_VALUE"""),0)</f>
        <v>0</v>
      </c>
      <c r="M53" s="56">
        <f ca="1">IFERROR(__xludf.DUMMYFUNCTION("""COMPUTED_VALUE"""),0)</f>
        <v>0</v>
      </c>
      <c r="N53" s="56">
        <f ca="1">IFERROR(__xludf.DUMMYFUNCTION("""COMPUTED_VALUE"""),0)</f>
        <v>0</v>
      </c>
      <c r="O53" s="56">
        <f ca="1">IFERROR(__xludf.DUMMYFUNCTION("""COMPUTED_VALUE"""),1)</f>
        <v>1</v>
      </c>
      <c r="P53" s="56">
        <f ca="1">IFERROR(__xludf.DUMMYFUNCTION("""COMPUTED_VALUE"""),0.818814524741901)</f>
        <v>0.81881452474190097</v>
      </c>
      <c r="Q53" s="56">
        <f ca="1">IFERROR(__xludf.DUMMYFUNCTION("""COMPUTED_VALUE"""),0)</f>
        <v>0</v>
      </c>
      <c r="R53" t="str">
        <f ca="1">IFERROR(__xludf.DUMMYFUNCTION("""COMPUTED_VALUE"""),"Female")</f>
        <v>Female</v>
      </c>
    </row>
    <row r="54" spans="1:18" ht="12.9">
      <c r="A54" s="56">
        <f ca="1">IFERROR(__xludf.DUMMYFUNCTION("""COMPUTED_VALUE"""),44)</f>
        <v>44</v>
      </c>
      <c r="B54" s="56" t="str">
        <f ca="1">IFERROR(__xludf.DUMMYFUNCTION("""COMPUTED_VALUE"""),"Kreppner et al. (2011)")</f>
        <v>Kreppner et al. (2011)</v>
      </c>
      <c r="C54" s="56">
        <f ca="1">IFERROR(__xludf.DUMMYFUNCTION("""COMPUTED_VALUE"""),1)</f>
        <v>1</v>
      </c>
      <c r="D54" s="56" t="str">
        <f ca="1">IFERROR(__xludf.DUMMYFUNCTION("""COMPUTED_VALUE"""),"Institutionalised &gt; 6 mo")</f>
        <v>Institutionalised &gt; 6 mo</v>
      </c>
      <c r="E54" s="56" t="str">
        <f ca="1">IFERROR(__xludf.DUMMYFUNCTION("""COMPUTED_VALUE"""),"Preschool - Preschool")</f>
        <v>Preschool - Preschool</v>
      </c>
      <c r="F54" s="123">
        <f ca="1">IFERROR(__xludf.DUMMYFUNCTION("""COMPUTED_VALUE"""),31)</f>
        <v>31</v>
      </c>
      <c r="G54" s="124">
        <f ca="1">IFERROR(__xludf.DUMMYFUNCTION("""COMPUTED_VALUE"""),0.198807157057654)</f>
        <v>0.198807157057654</v>
      </c>
      <c r="H54" s="118">
        <f ca="1">IFERROR(__xludf.DUMMYFUNCTION("""COMPUTED_VALUE"""),0.580645161290322)</f>
        <v>0.58064516129032195</v>
      </c>
      <c r="I54" s="56">
        <f ca="1">IFERROR(__xludf.DUMMYFUNCTION("""COMPUTED_VALUE"""),2011)</f>
        <v>2011</v>
      </c>
      <c r="J54" s="56" t="str">
        <f ca="1">IFERROR(__xludf.DUMMYFUNCTION("""COMPUTED_VALUE"""),"Non-USA")</f>
        <v>Non-USA</v>
      </c>
      <c r="K54" s="56" t="str">
        <f ca="1">IFERROR(__xludf.DUMMYFUNCTION("""COMPUTED_VALUE"""),"Cassidy-Marvin/Cassidy-Marvin")</f>
        <v>Cassidy-Marvin/Cassidy-Marvin</v>
      </c>
      <c r="L54" s="56">
        <f ca="1">IFERROR(__xludf.DUMMYFUNCTION("""COMPUTED_VALUE"""),0)</f>
        <v>0</v>
      </c>
      <c r="M54" s="56">
        <f ca="1">IFERROR(__xludf.DUMMYFUNCTION("""COMPUTED_VALUE"""),1)</f>
        <v>1</v>
      </c>
      <c r="N54" s="56">
        <f ca="1">IFERROR(__xludf.DUMMYFUNCTION("""COMPUTED_VALUE"""),0)</f>
        <v>0</v>
      </c>
      <c r="O54" s="56">
        <f ca="1">IFERROR(__xludf.DUMMYFUNCTION("""COMPUTED_VALUE"""),1)</f>
        <v>1</v>
      </c>
      <c r="P54" s="56">
        <f ca="1">IFERROR(__xludf.DUMMYFUNCTION("""COMPUTED_VALUE"""),0.810790842872008)</f>
        <v>0.81079084287200798</v>
      </c>
      <c r="Q54" s="56">
        <f ca="1">IFERROR(__xludf.DUMMYFUNCTION("""COMPUTED_VALUE"""),0)</f>
        <v>0</v>
      </c>
      <c r="R54" t="str">
        <f ca="1">IFERROR(__xludf.DUMMYFUNCTION("""COMPUTED_VALUE"""),"Female")</f>
        <v>Female</v>
      </c>
    </row>
    <row r="55" spans="1:18" ht="12.3">
      <c r="A55">
        <f ca="1">IFERROR(__xludf.DUMMYFUNCTION("""COMPUTED_VALUE"""),46)</f>
        <v>46</v>
      </c>
      <c r="B55" t="str">
        <f ca="1">IFERROR(__xludf.DUMMYFUNCTION("""COMPUTED_VALUE"""),"Frodi, Grolnick &amp; Bridges (1985)")</f>
        <v>Frodi, Grolnick &amp; Bridges (1985)</v>
      </c>
      <c r="C55">
        <f ca="1">IFERROR(__xludf.DUMMYFUNCTION("""COMPUTED_VALUE"""),1)</f>
        <v>1</v>
      </c>
      <c r="D55" t="str">
        <f ca="1">IFERROR(__xludf.DUMMYFUNCTION("""COMPUTED_VALUE"""),"Single sample")</f>
        <v>Single sample</v>
      </c>
      <c r="E55" t="str">
        <f ca="1">IFERROR(__xludf.DUMMYFUNCTION("""COMPUTED_VALUE"""),"Infancy - Toddlerhood")</f>
        <v>Infancy - Toddlerhood</v>
      </c>
      <c r="F55" s="125">
        <f ca="1">IFERROR(__xludf.DUMMYFUNCTION("""COMPUTED_VALUE"""),38)</f>
        <v>38</v>
      </c>
      <c r="G55" s="119">
        <f ca="1">IFERROR(__xludf.DUMMYFUNCTION("""COMPUTED_VALUE"""),0.129770992366412)</f>
        <v>0.12977099236641201</v>
      </c>
      <c r="H55" s="122">
        <f ca="1">IFERROR(__xludf.DUMMYFUNCTION("""COMPUTED_VALUE"""),0.684210526315789)</f>
        <v>0.68421052631578905</v>
      </c>
      <c r="I55">
        <f ca="1">IFERROR(__xludf.DUMMYFUNCTION("""COMPUTED_VALUE"""),1985)</f>
        <v>1985</v>
      </c>
      <c r="J55" t="str">
        <f ca="1">IFERROR(__xludf.DUMMYFUNCTION("""COMPUTED_VALUE"""),"USA")</f>
        <v>USA</v>
      </c>
      <c r="K55" t="str">
        <f ca="1">IFERROR(__xludf.DUMMYFUNCTION("""COMPUTED_VALUE"""),"Ainsworth/Ainsworth")</f>
        <v>Ainsworth/Ainsworth</v>
      </c>
      <c r="L55">
        <f ca="1">IFERROR(__xludf.DUMMYFUNCTION("""COMPUTED_VALUE"""),1)</f>
        <v>1</v>
      </c>
      <c r="M55">
        <f ca="1">IFERROR(__xludf.DUMMYFUNCTION("""COMPUTED_VALUE"""),0)</f>
        <v>0</v>
      </c>
      <c r="N55">
        <f ca="1">IFERROR(__xludf.DUMMYFUNCTION("""COMPUTED_VALUE"""),0)</f>
        <v>0</v>
      </c>
      <c r="O55">
        <f ca="1">IFERROR(__xludf.DUMMYFUNCTION("""COMPUTED_VALUE"""),1)</f>
        <v>1</v>
      </c>
      <c r="P55">
        <f ca="1">IFERROR(__xludf.DUMMYFUNCTION("""COMPUTED_VALUE"""),0.79)</f>
        <v>0.79</v>
      </c>
      <c r="Q55">
        <f ca="1">IFERROR(__xludf.DUMMYFUNCTION("""COMPUTED_VALUE"""),0)</f>
        <v>0</v>
      </c>
      <c r="R55" t="str">
        <f ca="1">IFERROR(__xludf.DUMMYFUNCTION("""COMPUTED_VALUE"""),"Female")</f>
        <v>Female</v>
      </c>
    </row>
    <row r="56" spans="1:18" ht="12.3">
      <c r="A56">
        <f ca="1">IFERROR(__xludf.DUMMYFUNCTION("""COMPUTED_VALUE"""),47)</f>
        <v>47</v>
      </c>
      <c r="B56" t="str">
        <f ca="1">IFERROR(__xludf.DUMMYFUNCTION("""COMPUTED_VALUE"""),"Thompson, Lamb &amp; Estes (1982)")</f>
        <v>Thompson, Lamb &amp; Estes (1982)</v>
      </c>
      <c r="C56">
        <f ca="1">IFERROR(__xludf.DUMMYFUNCTION("""COMPUTED_VALUE"""),1)</f>
        <v>1</v>
      </c>
      <c r="D56" t="str">
        <f ca="1">IFERROR(__xludf.DUMMYFUNCTION("""COMPUTED_VALUE"""),"Single sample")</f>
        <v>Single sample</v>
      </c>
      <c r="E56" t="str">
        <f ca="1">IFERROR(__xludf.DUMMYFUNCTION("""COMPUTED_VALUE"""),"Infancy - Toddlerhood")</f>
        <v>Infancy - Toddlerhood</v>
      </c>
      <c r="F56" s="125">
        <f ca="1">IFERROR(__xludf.DUMMYFUNCTION("""COMPUTED_VALUE"""),43)</f>
        <v>43</v>
      </c>
      <c r="G56" s="119">
        <f ca="1">IFERROR(__xludf.DUMMYFUNCTION("""COMPUTED_VALUE"""),-0.0250941028858218)</f>
        <v>-2.5094102885821801E-2</v>
      </c>
      <c r="H56" s="122">
        <f ca="1">IFERROR(__xludf.DUMMYFUNCTION("""COMPUTED_VALUE"""),0.55813953488372)</f>
        <v>0.55813953488372003</v>
      </c>
      <c r="I56">
        <f ca="1">IFERROR(__xludf.DUMMYFUNCTION("""COMPUTED_VALUE"""),1982)</f>
        <v>1982</v>
      </c>
      <c r="J56" t="str">
        <f ca="1">IFERROR(__xludf.DUMMYFUNCTION("""COMPUTED_VALUE"""),"USA")</f>
        <v>USA</v>
      </c>
      <c r="K56" t="str">
        <f ca="1">IFERROR(__xludf.DUMMYFUNCTION("""COMPUTED_VALUE"""),"Ainsworth/Ainsworth")</f>
        <v>Ainsworth/Ainsworth</v>
      </c>
      <c r="L56">
        <f ca="1">IFERROR(__xludf.DUMMYFUNCTION("""COMPUTED_VALUE"""),1)</f>
        <v>1</v>
      </c>
      <c r="M56">
        <f ca="1">IFERROR(__xludf.DUMMYFUNCTION("""COMPUTED_VALUE"""),0)</f>
        <v>0</v>
      </c>
      <c r="N56">
        <f ca="1">IFERROR(__xludf.DUMMYFUNCTION("""COMPUTED_VALUE"""),0)</f>
        <v>0</v>
      </c>
      <c r="O56">
        <f ca="1">IFERROR(__xludf.DUMMYFUNCTION("""COMPUTED_VALUE"""),1)</f>
        <v>1</v>
      </c>
      <c r="P56">
        <f ca="1">IFERROR(__xludf.DUMMYFUNCTION("""COMPUTED_VALUE"""),0.94)</f>
        <v>0.94</v>
      </c>
      <c r="Q56">
        <f ca="1">IFERROR(__xludf.DUMMYFUNCTION("""COMPUTED_VALUE"""),0)</f>
        <v>0</v>
      </c>
      <c r="R56" t="str">
        <f ca="1">IFERROR(__xludf.DUMMYFUNCTION("""COMPUTED_VALUE"""),"Female")</f>
        <v>Female</v>
      </c>
    </row>
    <row r="57" spans="1:18" ht="12.3">
      <c r="A57">
        <f ca="1">IFERROR(__xludf.DUMMYFUNCTION("""COMPUTED_VALUE"""),48)</f>
        <v>48</v>
      </c>
      <c r="B57" t="str">
        <f ca="1">IFERROR(__xludf.DUMMYFUNCTION("""COMPUTED_VALUE"""),"Owen et al. (1984)")</f>
        <v>Owen et al. (1984)</v>
      </c>
      <c r="C57">
        <f ca="1">IFERROR(__xludf.DUMMYFUNCTION("""COMPUTED_VALUE"""),1)</f>
        <v>1</v>
      </c>
      <c r="D57" t="str">
        <f ca="1">IFERROR(__xludf.DUMMYFUNCTION("""COMPUTED_VALUE"""),"Mother-child")</f>
        <v>Mother-child</v>
      </c>
      <c r="E57" t="str">
        <f ca="1">IFERROR(__xludf.DUMMYFUNCTION("""COMPUTED_VALUE"""),"Infancy - Toddlerhood")</f>
        <v>Infancy - Toddlerhood</v>
      </c>
      <c r="F57" s="125">
        <f ca="1">IFERROR(__xludf.DUMMYFUNCTION("""COMPUTED_VALUE"""),59)</f>
        <v>59</v>
      </c>
      <c r="G57" s="119">
        <f ca="1">IFERROR(__xludf.DUMMYFUNCTION("""COMPUTED_VALUE"""),0.107101280558789)</f>
        <v>0.10710128055878899</v>
      </c>
      <c r="H57" s="122">
        <f ca="1">IFERROR(__xludf.DUMMYFUNCTION("""COMPUTED_VALUE"""),0.779661016949152)</f>
        <v>0.77966101694915202</v>
      </c>
      <c r="I57">
        <f ca="1">IFERROR(__xludf.DUMMYFUNCTION("""COMPUTED_VALUE"""),1984)</f>
        <v>1984</v>
      </c>
      <c r="J57" t="str">
        <f ca="1">IFERROR(__xludf.DUMMYFUNCTION("""COMPUTED_VALUE"""),"USA")</f>
        <v>USA</v>
      </c>
      <c r="K57" t="str">
        <f ca="1">IFERROR(__xludf.DUMMYFUNCTION("""COMPUTED_VALUE"""),"Ainsworth/Ainsworth")</f>
        <v>Ainsworth/Ainsworth</v>
      </c>
      <c r="L57">
        <f ca="1">IFERROR(__xludf.DUMMYFUNCTION("""COMPUTED_VALUE"""),1)</f>
        <v>1</v>
      </c>
      <c r="M57">
        <f ca="1">IFERROR(__xludf.DUMMYFUNCTION("""COMPUTED_VALUE"""),0)</f>
        <v>0</v>
      </c>
      <c r="N57">
        <f ca="1">IFERROR(__xludf.DUMMYFUNCTION("""COMPUTED_VALUE"""),0)</f>
        <v>0</v>
      </c>
      <c r="O57">
        <f ca="1">IFERROR(__xludf.DUMMYFUNCTION("""COMPUTED_VALUE"""),1)</f>
        <v>1</v>
      </c>
      <c r="P57">
        <f ca="1">IFERROR(__xludf.DUMMYFUNCTION("""COMPUTED_VALUE"""),0.945)</f>
        <v>0.94499999999999995</v>
      </c>
      <c r="Q57">
        <f ca="1">IFERROR(__xludf.DUMMYFUNCTION("""COMPUTED_VALUE"""),0)</f>
        <v>0</v>
      </c>
      <c r="R57" t="str">
        <f ca="1">IFERROR(__xludf.DUMMYFUNCTION("""COMPUTED_VALUE"""),"Female")</f>
        <v>Female</v>
      </c>
    </row>
    <row r="58" spans="1:18" ht="12.3">
      <c r="A58">
        <f ca="1">IFERROR(__xludf.DUMMYFUNCTION("""COMPUTED_VALUE"""),48)</f>
        <v>48</v>
      </c>
      <c r="B58" t="str">
        <f ca="1">IFERROR(__xludf.DUMMYFUNCTION("""COMPUTED_VALUE"""),"Owen et al. (1984)")</f>
        <v>Owen et al. (1984)</v>
      </c>
      <c r="C58">
        <f ca="1">IFERROR(__xludf.DUMMYFUNCTION("""COMPUTED_VALUE"""),2)</f>
        <v>2</v>
      </c>
      <c r="D58" t="str">
        <f ca="1">IFERROR(__xludf.DUMMYFUNCTION("""COMPUTED_VALUE"""),"Father-child")</f>
        <v>Father-child</v>
      </c>
      <c r="E58" t="str">
        <f ca="1">IFERROR(__xludf.DUMMYFUNCTION("""COMPUTED_VALUE"""),"Infancy - Toddlerhood")</f>
        <v>Infancy - Toddlerhood</v>
      </c>
      <c r="F58" s="125">
        <f ca="1">IFERROR(__xludf.DUMMYFUNCTION("""COMPUTED_VALUE"""),53)</f>
        <v>53</v>
      </c>
      <c r="G58" s="119">
        <f ca="1">IFERROR(__xludf.DUMMYFUNCTION("""COMPUTED_VALUE"""),0.137103684661525)</f>
        <v>0.137103684661525</v>
      </c>
      <c r="H58" s="122">
        <f ca="1">IFERROR(__xludf.DUMMYFUNCTION("""COMPUTED_VALUE"""),0.641509433962264)</f>
        <v>0.64150943396226401</v>
      </c>
      <c r="I58">
        <f ca="1">IFERROR(__xludf.DUMMYFUNCTION("""COMPUTED_VALUE"""),1984)</f>
        <v>1984</v>
      </c>
      <c r="J58" t="str">
        <f ca="1">IFERROR(__xludf.DUMMYFUNCTION("""COMPUTED_VALUE"""),"USA")</f>
        <v>USA</v>
      </c>
      <c r="K58" t="str">
        <f ca="1">IFERROR(__xludf.DUMMYFUNCTION("""COMPUTED_VALUE"""),"Ainsworth/Ainsworth")</f>
        <v>Ainsworth/Ainsworth</v>
      </c>
      <c r="L58">
        <f ca="1">IFERROR(__xludf.DUMMYFUNCTION("""COMPUTED_VALUE"""),1)</f>
        <v>1</v>
      </c>
      <c r="M58">
        <f ca="1">IFERROR(__xludf.DUMMYFUNCTION("""COMPUTED_VALUE"""),0)</f>
        <v>0</v>
      </c>
      <c r="N58">
        <f ca="1">IFERROR(__xludf.DUMMYFUNCTION("""COMPUTED_VALUE"""),0)</f>
        <v>0</v>
      </c>
      <c r="O58">
        <f ca="1">IFERROR(__xludf.DUMMYFUNCTION("""COMPUTED_VALUE"""),1)</f>
        <v>1</v>
      </c>
      <c r="P58">
        <f ca="1">IFERROR(__xludf.DUMMYFUNCTION("""COMPUTED_VALUE"""),0.945)</f>
        <v>0.94499999999999995</v>
      </c>
      <c r="Q58">
        <f ca="1">IFERROR(__xludf.DUMMYFUNCTION("""COMPUTED_VALUE"""),0)</f>
        <v>0</v>
      </c>
      <c r="R58" t="str">
        <f ca="1">IFERROR(__xludf.DUMMYFUNCTION("""COMPUTED_VALUE"""),"Male")</f>
        <v>Male</v>
      </c>
    </row>
    <row r="59" spans="1:18" ht="12.3">
      <c r="A59">
        <f ca="1">IFERROR(__xludf.DUMMYFUNCTION("""COMPUTED_VALUE"""),49)</f>
        <v>49</v>
      </c>
      <c r="B59" t="str">
        <f ca="1">IFERROR(__xludf.DUMMYFUNCTION("""COMPUTED_VALUE"""),"Belsky et al. (1996)")</f>
        <v>Belsky et al. (1996)</v>
      </c>
      <c r="C59">
        <f ca="1">IFERROR(__xludf.DUMMYFUNCTION("""COMPUTED_VALUE"""),1)</f>
        <v>1</v>
      </c>
      <c r="D59" t="str">
        <f ca="1">IFERROR(__xludf.DUMMYFUNCTION("""COMPUTED_VALUE"""),"Father-son (Penn. State)")</f>
        <v>Father-son (Penn. State)</v>
      </c>
      <c r="E59" t="str">
        <f ca="1">IFERROR(__xludf.DUMMYFUNCTION("""COMPUTED_VALUE"""),"Infancy - Toddlerhood")</f>
        <v>Infancy - Toddlerhood</v>
      </c>
      <c r="F59" s="125">
        <f ca="1">IFERROR(__xludf.DUMMYFUNCTION("""COMPUTED_VALUE"""),120)</f>
        <v>120</v>
      </c>
      <c r="G59" s="119">
        <f ca="1">IFERROR(__xludf.DUMMYFUNCTION("""COMPUTED_VALUE"""),-0.0572687224669603)</f>
        <v>-5.7268722466960298E-2</v>
      </c>
      <c r="H59" s="122">
        <f ca="1">IFERROR(__xludf.DUMMYFUNCTION("""COMPUTED_VALUE"""),0.5)</f>
        <v>0.5</v>
      </c>
      <c r="I59">
        <f ca="1">IFERROR(__xludf.DUMMYFUNCTION("""COMPUTED_VALUE"""),1996)</f>
        <v>1996</v>
      </c>
      <c r="J59" t="str">
        <f ca="1">IFERROR(__xludf.DUMMYFUNCTION("""COMPUTED_VALUE"""),"USA")</f>
        <v>USA</v>
      </c>
      <c r="K59" t="str">
        <f ca="1">IFERROR(__xludf.DUMMYFUNCTION("""COMPUTED_VALUE"""),"Ainsworth/Ainsworth")</f>
        <v>Ainsworth/Ainsworth</v>
      </c>
      <c r="L59">
        <f ca="1">IFERROR(__xludf.DUMMYFUNCTION("""COMPUTED_VALUE"""),1)</f>
        <v>1</v>
      </c>
      <c r="M59">
        <f ca="1">IFERROR(__xludf.DUMMYFUNCTION("""COMPUTED_VALUE"""),0)</f>
        <v>0</v>
      </c>
      <c r="N59">
        <f ca="1">IFERROR(__xludf.DUMMYFUNCTION("""COMPUTED_VALUE"""),0)</f>
        <v>0</v>
      </c>
      <c r="O59">
        <f ca="1">IFERROR(__xludf.DUMMYFUNCTION("""COMPUTED_VALUE"""),1)</f>
        <v>1</v>
      </c>
      <c r="P59">
        <f ca="1">IFERROR(__xludf.DUMMYFUNCTION("""COMPUTED_VALUE"""),0.929177083333333)</f>
        <v>0.92917708333333304</v>
      </c>
      <c r="Q59">
        <f ca="1">IFERROR(__xludf.DUMMYFUNCTION("""COMPUTED_VALUE"""),0)</f>
        <v>0</v>
      </c>
      <c r="R59" t="str">
        <f ca="1">IFERROR(__xludf.DUMMYFUNCTION("""COMPUTED_VALUE"""),"Male")</f>
        <v>Male</v>
      </c>
    </row>
    <row r="60" spans="1:18" ht="12.3">
      <c r="A60">
        <f ca="1">IFERROR(__xludf.DUMMYFUNCTION("""COMPUTED_VALUE"""),49)</f>
        <v>49</v>
      </c>
      <c r="B60" t="str">
        <f ca="1">IFERROR(__xludf.DUMMYFUNCTION("""COMPUTED_VALUE"""),"Belsky et al. (1996)")</f>
        <v>Belsky et al. (1996)</v>
      </c>
      <c r="C60">
        <f ca="1">IFERROR(__xludf.DUMMYFUNCTION("""COMPUTED_VALUE"""),2)</f>
        <v>2</v>
      </c>
      <c r="D60" t="str">
        <f ca="1">IFERROR(__xludf.DUMMYFUNCTION("""COMPUTED_VALUE"""),"Mother-son (Penn. State)")</f>
        <v>Mother-son (Penn. State)</v>
      </c>
      <c r="E60" t="str">
        <f ca="1">IFERROR(__xludf.DUMMYFUNCTION("""COMPUTED_VALUE"""),"Infancy - Infancy")</f>
        <v>Infancy - Infancy</v>
      </c>
      <c r="F60" s="125">
        <f ca="1">IFERROR(__xludf.DUMMYFUNCTION("""COMPUTED_VALUE"""),125)</f>
        <v>125</v>
      </c>
      <c r="G60" s="119">
        <f ca="1">IFERROR(__xludf.DUMMYFUNCTION("""COMPUTED_VALUE"""),0.0410958904109588)</f>
        <v>4.1095890410958798E-2</v>
      </c>
      <c r="H60" s="122">
        <f ca="1">IFERROR(__xludf.DUMMYFUNCTION("""COMPUTED_VALUE"""),0.552)</f>
        <v>0.55200000000000005</v>
      </c>
      <c r="I60">
        <f ca="1">IFERROR(__xludf.DUMMYFUNCTION("""COMPUTED_VALUE"""),1996)</f>
        <v>1996</v>
      </c>
      <c r="J60" t="str">
        <f ca="1">IFERROR(__xludf.DUMMYFUNCTION("""COMPUTED_VALUE"""),"USA")</f>
        <v>USA</v>
      </c>
      <c r="K60" t="str">
        <f ca="1">IFERROR(__xludf.DUMMYFUNCTION("""COMPUTED_VALUE"""),"Ainsworth/Ainsworth")</f>
        <v>Ainsworth/Ainsworth</v>
      </c>
      <c r="L60">
        <f ca="1">IFERROR(__xludf.DUMMYFUNCTION("""COMPUTED_VALUE"""),1)</f>
        <v>1</v>
      </c>
      <c r="M60">
        <f ca="1">IFERROR(__xludf.DUMMYFUNCTION("""COMPUTED_VALUE"""),0)</f>
        <v>0</v>
      </c>
      <c r="N60">
        <f ca="1">IFERROR(__xludf.DUMMYFUNCTION("""COMPUTED_VALUE"""),0)</f>
        <v>0</v>
      </c>
      <c r="O60">
        <f ca="1">IFERROR(__xludf.DUMMYFUNCTION("""COMPUTED_VALUE"""),1)</f>
        <v>1</v>
      </c>
      <c r="P60">
        <f ca="1">IFERROR(__xludf.DUMMYFUNCTION("""COMPUTED_VALUE"""),0.93082752)</f>
        <v>0.93082752000000002</v>
      </c>
      <c r="Q60">
        <f ca="1">IFERROR(__xludf.DUMMYFUNCTION("""COMPUTED_VALUE"""),0)</f>
        <v>0</v>
      </c>
      <c r="R60" t="str">
        <f ca="1">IFERROR(__xludf.DUMMYFUNCTION("""COMPUTED_VALUE"""),"Female")</f>
        <v>Female</v>
      </c>
    </row>
    <row r="61" spans="1:18" ht="12.3">
      <c r="A61">
        <f ca="1">IFERROR(__xludf.DUMMYFUNCTION("""COMPUTED_VALUE"""),50)</f>
        <v>50</v>
      </c>
      <c r="B61" t="str">
        <f ca="1">IFERROR(__xludf.DUMMYFUNCTION("""COMPUTED_VALUE"""),"Belsky et al. (1996)")</f>
        <v>Belsky et al. (1996)</v>
      </c>
      <c r="C61">
        <f ca="1">IFERROR(__xludf.DUMMYFUNCTION("""COMPUTED_VALUE"""),1)</f>
        <v>1</v>
      </c>
      <c r="D61" t="str">
        <f ca="1">IFERROR(__xludf.DUMMYFUNCTION("""COMPUTED_VALUE"""),"Mother-child (Univ. Pitt.)")</f>
        <v>Mother-child (Univ. Pitt.)</v>
      </c>
      <c r="E61" t="str">
        <f ca="1">IFERROR(__xludf.DUMMYFUNCTION("""COMPUTED_VALUE"""),"Infancy - Infancy")</f>
        <v>Infancy - Infancy</v>
      </c>
      <c r="F61" s="125">
        <f ca="1">IFERROR(__xludf.DUMMYFUNCTION("""COMPUTED_VALUE"""),90)</f>
        <v>90</v>
      </c>
      <c r="G61" s="119">
        <f ca="1">IFERROR(__xludf.DUMMYFUNCTION("""COMPUTED_VALUE"""),-0.0253164556962026)</f>
        <v>-2.5316455696202601E-2</v>
      </c>
      <c r="H61" s="122">
        <f ca="1">IFERROR(__xludf.DUMMYFUNCTION("""COMPUTED_VALUE"""),0.5)</f>
        <v>0.5</v>
      </c>
      <c r="I61">
        <f ca="1">IFERROR(__xludf.DUMMYFUNCTION("""COMPUTED_VALUE"""),1996)</f>
        <v>1996</v>
      </c>
      <c r="J61" t="str">
        <f ca="1">IFERROR(__xludf.DUMMYFUNCTION("""COMPUTED_VALUE"""),"USA")</f>
        <v>USA</v>
      </c>
      <c r="K61" t="str">
        <f ca="1">IFERROR(__xludf.DUMMYFUNCTION("""COMPUTED_VALUE"""),"Ainsworth/Ainsworth")</f>
        <v>Ainsworth/Ainsworth</v>
      </c>
      <c r="L61">
        <f ca="1">IFERROR(__xludf.DUMMYFUNCTION("""COMPUTED_VALUE"""),1)</f>
        <v>1</v>
      </c>
      <c r="M61">
        <f ca="1">IFERROR(__xludf.DUMMYFUNCTION("""COMPUTED_VALUE"""),0)</f>
        <v>0</v>
      </c>
      <c r="N61">
        <f ca="1">IFERROR(__xludf.DUMMYFUNCTION("""COMPUTED_VALUE"""),0)</f>
        <v>0</v>
      </c>
      <c r="O61">
        <f ca="1">IFERROR(__xludf.DUMMYFUNCTION("""COMPUTED_VALUE"""),1)</f>
        <v>1</v>
      </c>
      <c r="P61">
        <f ca="1">IFERROR(__xludf.DUMMYFUNCTION("""COMPUTED_VALUE"""),0.956701234567901)</f>
        <v>0.95670123456790102</v>
      </c>
      <c r="Q61">
        <f ca="1">IFERROR(__xludf.DUMMYFUNCTION("""COMPUTED_VALUE"""),0)</f>
        <v>0</v>
      </c>
      <c r="R61" t="str">
        <f ca="1">IFERROR(__xludf.DUMMYFUNCTION("""COMPUTED_VALUE"""),"Female")</f>
        <v>Female</v>
      </c>
    </row>
    <row r="62" spans="1:18" ht="12.3">
      <c r="A62">
        <f ca="1">IFERROR(__xludf.DUMMYFUNCTION("""COMPUTED_VALUE"""),52)</f>
        <v>52</v>
      </c>
      <c r="B62" t="str">
        <f ca="1">IFERROR(__xludf.DUMMYFUNCTION("""COMPUTED_VALUE"""),"Meins, Bureau &amp; Fernyhough (2017)")</f>
        <v>Meins, Bureau &amp; Fernyhough (2017)</v>
      </c>
      <c r="C62">
        <f ca="1">IFERROR(__xludf.DUMMYFUNCTION("""COMPUTED_VALUE"""),1)</f>
        <v>1</v>
      </c>
      <c r="D62" t="str">
        <f ca="1">IFERROR(__xludf.DUMMYFUNCTION("""COMPUTED_VALUE"""),"Mother-child")</f>
        <v>Mother-child</v>
      </c>
      <c r="E62" t="str">
        <f ca="1">IFERROR(__xludf.DUMMYFUNCTION("""COMPUTED_VALUE"""),"Infancy - Preschool")</f>
        <v>Infancy - Preschool</v>
      </c>
      <c r="F62" s="125">
        <f ca="1">IFERROR(__xludf.DUMMYFUNCTION("""COMPUTED_VALUE"""),164)</f>
        <v>164</v>
      </c>
      <c r="G62" s="119">
        <f ca="1">IFERROR(__xludf.DUMMYFUNCTION("""COMPUTED_VALUE"""),0.339914945321992)</f>
        <v>0.33991494532199201</v>
      </c>
      <c r="H62" s="122">
        <f ca="1">IFERROR(__xludf.DUMMYFUNCTION("""COMPUTED_VALUE"""),0.676829268292683)</f>
        <v>0.67682926829268297</v>
      </c>
      <c r="I62">
        <f ca="1">IFERROR(__xludf.DUMMYFUNCTION("""COMPUTED_VALUE"""),2017)</f>
        <v>2017</v>
      </c>
      <c r="J62" t="str">
        <f ca="1">IFERROR(__xludf.DUMMYFUNCTION("""COMPUTED_VALUE"""),"Non-USA")</f>
        <v>Non-USA</v>
      </c>
      <c r="K62" t="str">
        <f ca="1">IFERROR(__xludf.DUMMYFUNCTION("""COMPUTED_VALUE"""),"Ainsworth/Cassidy-Marvin")</f>
        <v>Ainsworth/Cassidy-Marvin</v>
      </c>
      <c r="L62">
        <f ca="1">IFERROR(__xludf.DUMMYFUNCTION("""COMPUTED_VALUE"""),0)</f>
        <v>0</v>
      </c>
      <c r="M62">
        <f ca="1">IFERROR(__xludf.DUMMYFUNCTION("""COMPUTED_VALUE"""),0)</f>
        <v>0</v>
      </c>
      <c r="N62">
        <f ca="1">IFERROR(__xludf.DUMMYFUNCTION("""COMPUTED_VALUE"""),0)</f>
        <v>0</v>
      </c>
      <c r="O62">
        <f ca="1">IFERROR(__xludf.DUMMYFUNCTION("""COMPUTED_VALUE"""),1)</f>
        <v>1</v>
      </c>
      <c r="P62">
        <f ca="1">IFERROR(__xludf.DUMMYFUNCTION("""COMPUTED_VALUE"""),0.877286585365853)</f>
        <v>0.87728658536585302</v>
      </c>
      <c r="Q62">
        <f ca="1">IFERROR(__xludf.DUMMYFUNCTION("""COMPUTED_VALUE"""),0)</f>
        <v>0</v>
      </c>
      <c r="R62" t="str">
        <f ca="1">IFERROR(__xludf.DUMMYFUNCTION("""COMPUTED_VALUE"""),"Female")</f>
        <v>Female</v>
      </c>
    </row>
    <row r="63" spans="1:18" ht="12.3">
      <c r="A63">
        <f ca="1">IFERROR(__xludf.DUMMYFUNCTION("""COMPUTED_VALUE"""),52)</f>
        <v>52</v>
      </c>
      <c r="B63" t="str">
        <f ca="1">IFERROR(__xludf.DUMMYFUNCTION("""COMPUTED_VALUE"""),"Meins, Bureau &amp; Fernyhough (2017)")</f>
        <v>Meins, Bureau &amp; Fernyhough (2017)</v>
      </c>
      <c r="C63">
        <f ca="1">IFERROR(__xludf.DUMMYFUNCTION("""COMPUTED_VALUE"""),2)</f>
        <v>2</v>
      </c>
      <c r="D63" t="str">
        <f ca="1">IFERROR(__xludf.DUMMYFUNCTION("""COMPUTED_VALUE"""),"Mother-child")</f>
        <v>Mother-child</v>
      </c>
      <c r="E63" t="str">
        <f ca="1">IFERROR(__xludf.DUMMYFUNCTION("""COMPUTED_VALUE"""),"Infancy - Preschool")</f>
        <v>Infancy - Preschool</v>
      </c>
      <c r="F63" s="125">
        <f ca="1">IFERROR(__xludf.DUMMYFUNCTION("""COMPUTED_VALUE"""),128)</f>
        <v>128</v>
      </c>
      <c r="G63" s="119">
        <f ca="1">IFERROR(__xludf.DUMMYFUNCTION("""COMPUTED_VALUE"""),0.223942208462332)</f>
        <v>0.22394220846233201</v>
      </c>
      <c r="H63" s="122">
        <f ca="1">IFERROR(__xludf.DUMMYFUNCTION("""COMPUTED_VALUE"""),0.6328125)</f>
        <v>0.6328125</v>
      </c>
      <c r="I63">
        <f ca="1">IFERROR(__xludf.DUMMYFUNCTION("""COMPUTED_VALUE"""),2017)</f>
        <v>2017</v>
      </c>
      <c r="J63" t="str">
        <f ca="1">IFERROR(__xludf.DUMMYFUNCTION("""COMPUTED_VALUE"""),"Non-USA")</f>
        <v>Non-USA</v>
      </c>
      <c r="K63" t="str">
        <f ca="1">IFERROR(__xludf.DUMMYFUNCTION("""COMPUTED_VALUE"""),"Ainsworth/Cassidy-Marvin")</f>
        <v>Ainsworth/Cassidy-Marvin</v>
      </c>
      <c r="L63">
        <f ca="1">IFERROR(__xludf.DUMMYFUNCTION("""COMPUTED_VALUE"""),0)</f>
        <v>0</v>
      </c>
      <c r="M63">
        <f ca="1">IFERROR(__xludf.DUMMYFUNCTION("""COMPUTED_VALUE"""),0)</f>
        <v>0</v>
      </c>
      <c r="N63">
        <f ca="1">IFERROR(__xludf.DUMMYFUNCTION("""COMPUTED_VALUE"""),0)</f>
        <v>0</v>
      </c>
      <c r="O63">
        <f ca="1">IFERROR(__xludf.DUMMYFUNCTION("""COMPUTED_VALUE"""),1)</f>
        <v>1</v>
      </c>
      <c r="P63">
        <f ca="1">IFERROR(__xludf.DUMMYFUNCTION("""COMPUTED_VALUE"""),0.86837890625)</f>
        <v>0.86837890625000003</v>
      </c>
      <c r="Q63">
        <f ca="1">IFERROR(__xludf.DUMMYFUNCTION("""COMPUTED_VALUE"""),0)</f>
        <v>0</v>
      </c>
      <c r="R63" t="str">
        <f ca="1">IFERROR(__xludf.DUMMYFUNCTION("""COMPUTED_VALUE"""),"Female")</f>
        <v>Female</v>
      </c>
    </row>
    <row r="64" spans="1:18" ht="12.3">
      <c r="A64">
        <f ca="1">IFERROR(__xludf.DUMMYFUNCTION("""COMPUTED_VALUE"""),53)</f>
        <v>53</v>
      </c>
      <c r="B64" t="str">
        <f ca="1">IFERROR(__xludf.DUMMYFUNCTION("""COMPUTED_VALUE"""),"Waters (1978)")</f>
        <v>Waters (1978)</v>
      </c>
      <c r="C64">
        <f ca="1">IFERROR(__xludf.DUMMYFUNCTION("""COMPUTED_VALUE"""),1)</f>
        <v>1</v>
      </c>
      <c r="D64" t="str">
        <f ca="1">IFERROR(__xludf.DUMMYFUNCTION("""COMPUTED_VALUE"""),"Mother-child")</f>
        <v>Mother-child</v>
      </c>
      <c r="E64" t="str">
        <f ca="1">IFERROR(__xludf.DUMMYFUNCTION("""COMPUTED_VALUE"""),"Infancy - Infancy")</f>
        <v>Infancy - Infancy</v>
      </c>
      <c r="F64" s="125">
        <f ca="1">IFERROR(__xludf.DUMMYFUNCTION("""COMPUTED_VALUE"""),50)</f>
        <v>50</v>
      </c>
      <c r="G64" s="119">
        <f ca="1">IFERROR(__xludf.DUMMYFUNCTION("""COMPUTED_VALUE"""),0.915254237288135)</f>
        <v>0.91525423728813504</v>
      </c>
      <c r="H64" s="122">
        <f ca="1">IFERROR(__xludf.DUMMYFUNCTION("""COMPUTED_VALUE"""),0.96)</f>
        <v>0.96</v>
      </c>
      <c r="I64">
        <f ca="1">IFERROR(__xludf.DUMMYFUNCTION("""COMPUTED_VALUE"""),1978)</f>
        <v>1978</v>
      </c>
      <c r="J64" t="str">
        <f ca="1">IFERROR(__xludf.DUMMYFUNCTION("""COMPUTED_VALUE"""),"USA")</f>
        <v>USA</v>
      </c>
      <c r="K64" t="str">
        <f ca="1">IFERROR(__xludf.DUMMYFUNCTION("""COMPUTED_VALUE"""),"Ainsworth/Ainsworth")</f>
        <v>Ainsworth/Ainsworth</v>
      </c>
      <c r="L64">
        <f ca="1">IFERROR(__xludf.DUMMYFUNCTION("""COMPUTED_VALUE"""),1)</f>
        <v>1</v>
      </c>
      <c r="M64">
        <f ca="1">IFERROR(__xludf.DUMMYFUNCTION("""COMPUTED_VALUE"""),0)</f>
        <v>0</v>
      </c>
      <c r="N64">
        <f ca="1">IFERROR(__xludf.DUMMYFUNCTION("""COMPUTED_VALUE"""),0)</f>
        <v>0</v>
      </c>
      <c r="O64">
        <f ca="1">IFERROR(__xludf.DUMMYFUNCTION("""COMPUTED_VALUE"""),1)</f>
        <v>1</v>
      </c>
      <c r="P64">
        <f ca="1">IFERROR(__xludf.DUMMYFUNCTION("""COMPUTED_VALUE"""),0.92)</f>
        <v>0.92</v>
      </c>
      <c r="Q64">
        <f ca="1">IFERROR(__xludf.DUMMYFUNCTION("""COMPUTED_VALUE"""),0)</f>
        <v>0</v>
      </c>
      <c r="R64" t="str">
        <f ca="1">IFERROR(__xludf.DUMMYFUNCTION("""COMPUTED_VALUE"""),"Female")</f>
        <v>Female</v>
      </c>
    </row>
    <row r="65" spans="1:18" ht="12.3">
      <c r="A65">
        <f ca="1">IFERROR(__xludf.DUMMYFUNCTION("""COMPUTED_VALUE"""),54)</f>
        <v>54</v>
      </c>
      <c r="B65" t="str">
        <f ca="1">IFERROR(__xludf.DUMMYFUNCTION("""COMPUTED_VALUE"""),"Lyons-Ruth et al. (1991)")</f>
        <v>Lyons-Ruth et al. (1991)</v>
      </c>
      <c r="C65">
        <f ca="1">IFERROR(__xludf.DUMMYFUNCTION("""COMPUTED_VALUE"""),1)</f>
        <v>1</v>
      </c>
      <c r="D65" t="str">
        <f ca="1">IFERROR(__xludf.DUMMYFUNCTION("""COMPUTED_VALUE"""),"Low income")</f>
        <v>Low income</v>
      </c>
      <c r="E65" t="str">
        <f ca="1">IFERROR(__xludf.DUMMYFUNCTION("""COMPUTED_VALUE"""),"Infancy - Infancy")</f>
        <v>Infancy - Infancy</v>
      </c>
      <c r="F65" s="125">
        <f ca="1">IFERROR(__xludf.DUMMYFUNCTION("""COMPUTED_VALUE"""),46)</f>
        <v>46</v>
      </c>
      <c r="G65" s="119">
        <f ca="1">IFERROR(__xludf.DUMMYFUNCTION("""COMPUTED_VALUE"""),-0.0271844660194175)</f>
        <v>-2.71844660194175E-2</v>
      </c>
      <c r="H65" s="122">
        <f ca="1">IFERROR(__xludf.DUMMYFUNCTION("""COMPUTED_VALUE"""),0.5)</f>
        <v>0.5</v>
      </c>
      <c r="I65">
        <f ca="1">IFERROR(__xludf.DUMMYFUNCTION("""COMPUTED_VALUE"""),1991)</f>
        <v>1991</v>
      </c>
      <c r="J65" t="str">
        <f ca="1">IFERROR(__xludf.DUMMYFUNCTION("""COMPUTED_VALUE"""),"USA")</f>
        <v>USA</v>
      </c>
      <c r="K65" t="str">
        <f ca="1">IFERROR(__xludf.DUMMYFUNCTION("""COMPUTED_VALUE"""),"Ainsworth/Ainsworth")</f>
        <v>Ainsworth/Ainsworth</v>
      </c>
      <c r="L65">
        <f ca="1">IFERROR(__xludf.DUMMYFUNCTION("""COMPUTED_VALUE"""),1)</f>
        <v>1</v>
      </c>
      <c r="M65">
        <f ca="1">IFERROR(__xludf.DUMMYFUNCTION("""COMPUTED_VALUE"""),1)</f>
        <v>1</v>
      </c>
      <c r="N65">
        <f ca="1">IFERROR(__xludf.DUMMYFUNCTION("""COMPUTED_VALUE"""),0)</f>
        <v>0</v>
      </c>
      <c r="O65">
        <f ca="1">IFERROR(__xludf.DUMMYFUNCTION("""COMPUTED_VALUE"""),1)</f>
        <v>1</v>
      </c>
      <c r="P65">
        <f ca="1">IFERROR(__xludf.DUMMYFUNCTION("""COMPUTED_VALUE"""),0.86)</f>
        <v>0.86</v>
      </c>
      <c r="Q65">
        <f ca="1">IFERROR(__xludf.DUMMYFUNCTION("""COMPUTED_VALUE"""),1)</f>
        <v>1</v>
      </c>
      <c r="R65" t="str">
        <f ca="1">IFERROR(__xludf.DUMMYFUNCTION("""COMPUTED_VALUE"""),"Female")</f>
        <v>Female</v>
      </c>
    </row>
    <row r="66" spans="1:18" ht="12.3">
      <c r="A66">
        <f ca="1">IFERROR(__xludf.DUMMYFUNCTION("""COMPUTED_VALUE"""),55)</f>
        <v>55</v>
      </c>
      <c r="B66" t="str">
        <f ca="1">IFERROR(__xludf.DUMMYFUNCTION("""COMPUTED_VALUE"""),"Ziegenhain &amp; Wolff (2000)")</f>
        <v>Ziegenhain &amp; Wolff (2000)</v>
      </c>
      <c r="C66">
        <f ca="1">IFERROR(__xludf.DUMMYFUNCTION("""COMPUTED_VALUE"""),1)</f>
        <v>1</v>
      </c>
      <c r="D66" t="str">
        <f ca="1">IFERROR(__xludf.DUMMYFUNCTION("""COMPUTED_VALUE"""),"Mother-child")</f>
        <v>Mother-child</v>
      </c>
      <c r="E66" t="str">
        <f ca="1">IFERROR(__xludf.DUMMYFUNCTION("""COMPUTED_VALUE"""),"Infancy - Infancy")</f>
        <v>Infancy - Infancy</v>
      </c>
      <c r="F66" s="125">
        <f ca="1">IFERROR(__xludf.DUMMYFUNCTION("""COMPUTED_VALUE"""),35)</f>
        <v>35</v>
      </c>
      <c r="G66" s="119">
        <f ca="1">IFERROR(__xludf.DUMMYFUNCTION("""COMPUTED_VALUE"""),0.25531914893617)</f>
        <v>0.25531914893617003</v>
      </c>
      <c r="H66" s="122">
        <f ca="1">IFERROR(__xludf.DUMMYFUNCTION("""COMPUTED_VALUE"""),0.628571428571428)</f>
        <v>0.628571428571428</v>
      </c>
      <c r="I66">
        <f ca="1">IFERROR(__xludf.DUMMYFUNCTION("""COMPUTED_VALUE"""),2000)</f>
        <v>2000</v>
      </c>
      <c r="J66" t="str">
        <f ca="1">IFERROR(__xludf.DUMMYFUNCTION("""COMPUTED_VALUE"""),"Non-USA")</f>
        <v>Non-USA</v>
      </c>
      <c r="K66" t="str">
        <f ca="1">IFERROR(__xludf.DUMMYFUNCTION("""COMPUTED_VALUE"""),"Ainsworth/Ainsworth")</f>
        <v>Ainsworth/Ainsworth</v>
      </c>
      <c r="L66">
        <f ca="1">IFERROR(__xludf.DUMMYFUNCTION("""COMPUTED_VALUE"""),1)</f>
        <v>1</v>
      </c>
      <c r="M66">
        <f ca="1">IFERROR(__xludf.DUMMYFUNCTION("""COMPUTED_VALUE"""),0)</f>
        <v>0</v>
      </c>
      <c r="N66">
        <f ca="1">IFERROR(__xludf.DUMMYFUNCTION("""COMPUTED_VALUE"""),0)</f>
        <v>0</v>
      </c>
      <c r="O66">
        <f ca="1">IFERROR(__xludf.DUMMYFUNCTION("""COMPUTED_VALUE"""),1)</f>
        <v>1</v>
      </c>
      <c r="P66" t="str">
        <f ca="1">IFERROR(__xludf.DUMMYFUNCTION("""COMPUTED_VALUE"""),"")</f>
        <v/>
      </c>
      <c r="Q66">
        <f ca="1">IFERROR(__xludf.DUMMYFUNCTION("""COMPUTED_VALUE"""),0)</f>
        <v>0</v>
      </c>
      <c r="R66" t="str">
        <f ca="1">IFERROR(__xludf.DUMMYFUNCTION("""COMPUTED_VALUE"""),"Female")</f>
        <v>Female</v>
      </c>
    </row>
    <row r="67" spans="1:18" ht="12.3">
      <c r="A67">
        <f ca="1">IFERROR(__xludf.DUMMYFUNCTION("""COMPUTED_VALUE"""),56)</f>
        <v>56</v>
      </c>
      <c r="B67" t="str">
        <f ca="1">IFERROR(__xludf.DUMMYFUNCTION("""COMPUTED_VALUE"""),"Edwards et al. (2004)")</f>
        <v>Edwards et al. (2004)</v>
      </c>
      <c r="C67">
        <f ca="1">IFERROR(__xludf.DUMMYFUNCTION("""COMPUTED_VALUE"""),1)</f>
        <v>1</v>
      </c>
      <c r="D67" t="str">
        <f ca="1">IFERROR(__xludf.DUMMYFUNCTION("""COMPUTED_VALUE"""),"Mother-child")</f>
        <v>Mother-child</v>
      </c>
      <c r="E67" t="str">
        <f ca="1">IFERROR(__xludf.DUMMYFUNCTION("""COMPUTED_VALUE"""),"Infancy - Infancy")</f>
        <v>Infancy - Infancy</v>
      </c>
      <c r="F67" s="125">
        <f ca="1">IFERROR(__xludf.DUMMYFUNCTION("""COMPUTED_VALUE"""),217)</f>
        <v>217</v>
      </c>
      <c r="G67" s="119">
        <f ca="1">IFERROR(__xludf.DUMMYFUNCTION("""COMPUTED_VALUE"""),0.258623110403893)</f>
        <v>0.25862311040389302</v>
      </c>
      <c r="H67" s="122">
        <f ca="1">IFERROR(__xludf.DUMMYFUNCTION("""COMPUTED_VALUE"""),0.663594470046083)</f>
        <v>0.66359447004608296</v>
      </c>
      <c r="I67">
        <f ca="1">IFERROR(__xludf.DUMMYFUNCTION("""COMPUTED_VALUE"""),2004)</f>
        <v>2004</v>
      </c>
      <c r="J67" t="str">
        <f ca="1">IFERROR(__xludf.DUMMYFUNCTION("""COMPUTED_VALUE"""),"USA")</f>
        <v>USA</v>
      </c>
      <c r="K67" t="str">
        <f ca="1">IFERROR(__xludf.DUMMYFUNCTION("""COMPUTED_VALUE"""),"Ainsworth/Ainsworth")</f>
        <v>Ainsworth/Ainsworth</v>
      </c>
      <c r="L67">
        <f ca="1">IFERROR(__xludf.DUMMYFUNCTION("""COMPUTED_VALUE"""),1)</f>
        <v>1</v>
      </c>
      <c r="M67">
        <f ca="1">IFERROR(__xludf.DUMMYFUNCTION("""COMPUTED_VALUE"""),1)</f>
        <v>1</v>
      </c>
      <c r="N67">
        <f ca="1">IFERROR(__xludf.DUMMYFUNCTION("""COMPUTED_VALUE"""),0)</f>
        <v>0</v>
      </c>
      <c r="O67">
        <f ca="1">IFERROR(__xludf.DUMMYFUNCTION("""COMPUTED_VALUE"""),1)</f>
        <v>1</v>
      </c>
      <c r="P67">
        <f ca="1">IFERROR(__xludf.DUMMYFUNCTION("""COMPUTED_VALUE"""),0.89)</f>
        <v>0.89</v>
      </c>
      <c r="Q67">
        <f ca="1">IFERROR(__xludf.DUMMYFUNCTION("""COMPUTED_VALUE"""),0)</f>
        <v>0</v>
      </c>
      <c r="R67" t="str">
        <f ca="1">IFERROR(__xludf.DUMMYFUNCTION("""COMPUTED_VALUE"""),"Female")</f>
        <v>Female</v>
      </c>
    </row>
    <row r="68" spans="1:18" ht="12.3">
      <c r="A68">
        <f ca="1">IFERROR(__xludf.DUMMYFUNCTION("""COMPUTED_VALUE"""),56)</f>
        <v>56</v>
      </c>
      <c r="B68" t="str">
        <f ca="1">IFERROR(__xludf.DUMMYFUNCTION("""COMPUTED_VALUE"""),"Edwards et al. (2004)")</f>
        <v>Edwards et al. (2004)</v>
      </c>
      <c r="C68">
        <f ca="1">IFERROR(__xludf.DUMMYFUNCTION("""COMPUTED_VALUE"""),2)</f>
        <v>2</v>
      </c>
      <c r="D68" t="str">
        <f ca="1">IFERROR(__xludf.DUMMYFUNCTION("""COMPUTED_VALUE"""),"Father-child")</f>
        <v>Father-child</v>
      </c>
      <c r="E68" t="str">
        <f ca="1">IFERROR(__xludf.DUMMYFUNCTION("""COMPUTED_VALUE"""),"Infancy - Infancy")</f>
        <v>Infancy - Infancy</v>
      </c>
      <c r="F68" s="125">
        <f ca="1">IFERROR(__xludf.DUMMYFUNCTION("""COMPUTED_VALUE"""),208)</f>
        <v>208</v>
      </c>
      <c r="G68" s="119">
        <f ca="1">IFERROR(__xludf.DUMMYFUNCTION("""COMPUTED_VALUE"""),0.198126097989459)</f>
        <v>0.19812609798945899</v>
      </c>
      <c r="H68" s="122">
        <f ca="1">IFERROR(__xludf.DUMMYFUNCTION("""COMPUTED_VALUE"""),0.620192307692307)</f>
        <v>0.62019230769230704</v>
      </c>
      <c r="I68">
        <f ca="1">IFERROR(__xludf.DUMMYFUNCTION("""COMPUTED_VALUE"""),2004)</f>
        <v>2004</v>
      </c>
      <c r="J68" t="str">
        <f ca="1">IFERROR(__xludf.DUMMYFUNCTION("""COMPUTED_VALUE"""),"USA")</f>
        <v>USA</v>
      </c>
      <c r="K68" t="str">
        <f ca="1">IFERROR(__xludf.DUMMYFUNCTION("""COMPUTED_VALUE"""),"Ainsworth/Ainsworth")</f>
        <v>Ainsworth/Ainsworth</v>
      </c>
      <c r="L68">
        <f ca="1">IFERROR(__xludf.DUMMYFUNCTION("""COMPUTED_VALUE"""),1)</f>
        <v>1</v>
      </c>
      <c r="M68">
        <f ca="1">IFERROR(__xludf.DUMMYFUNCTION("""COMPUTED_VALUE"""),1)</f>
        <v>1</v>
      </c>
      <c r="N68">
        <f ca="1">IFERROR(__xludf.DUMMYFUNCTION("""COMPUTED_VALUE"""),0)</f>
        <v>0</v>
      </c>
      <c r="O68">
        <f ca="1">IFERROR(__xludf.DUMMYFUNCTION("""COMPUTED_VALUE"""),1)</f>
        <v>1</v>
      </c>
      <c r="P68">
        <f ca="1">IFERROR(__xludf.DUMMYFUNCTION("""COMPUTED_VALUE"""),0.89)</f>
        <v>0.89</v>
      </c>
      <c r="Q68">
        <f ca="1">IFERROR(__xludf.DUMMYFUNCTION("""COMPUTED_VALUE"""),0)</f>
        <v>0</v>
      </c>
      <c r="R68" t="str">
        <f ca="1">IFERROR(__xludf.DUMMYFUNCTION("""COMPUTED_VALUE"""),"Male")</f>
        <v>Male</v>
      </c>
    </row>
    <row r="69" spans="1:18" ht="12.3">
      <c r="A69">
        <f ca="1">IFERROR(__xludf.DUMMYFUNCTION("""COMPUTED_VALUE"""),57)</f>
        <v>57</v>
      </c>
      <c r="B69" t="str">
        <f ca="1">IFERROR(__xludf.DUMMYFUNCTION("""COMPUTED_VALUE"""),"Ahnert et al. (2004)")</f>
        <v>Ahnert et al. (2004)</v>
      </c>
      <c r="C69">
        <f ca="1">IFERROR(__xludf.DUMMYFUNCTION("""COMPUTED_VALUE"""),1)</f>
        <v>1</v>
      </c>
      <c r="D69" t="str">
        <f ca="1">IFERROR(__xludf.DUMMYFUNCTION("""COMPUTED_VALUE"""),"Mother-child")</f>
        <v>Mother-child</v>
      </c>
      <c r="E69" t="str">
        <f ca="1">IFERROR(__xludf.DUMMYFUNCTION("""COMPUTED_VALUE"""),"Infancy - Infancy")</f>
        <v>Infancy - Infancy</v>
      </c>
      <c r="F69" s="125">
        <f ca="1">IFERROR(__xludf.DUMMYFUNCTION("""COMPUTED_VALUE"""),56)</f>
        <v>56</v>
      </c>
      <c r="G69" s="119">
        <f ca="1">IFERROR(__xludf.DUMMYFUNCTION("""COMPUTED_VALUE"""),0.178571428571428)</f>
        <v>0.17857142857142799</v>
      </c>
      <c r="H69" s="122">
        <f ca="1">IFERROR(__xludf.DUMMYFUNCTION("""COMPUTED_VALUE"""),0.589285714285714)</f>
        <v>0.58928571428571397</v>
      </c>
      <c r="I69">
        <f ca="1">IFERROR(__xludf.DUMMYFUNCTION("""COMPUTED_VALUE"""),2004)</f>
        <v>2004</v>
      </c>
      <c r="J69" t="str">
        <f ca="1">IFERROR(__xludf.DUMMYFUNCTION("""COMPUTED_VALUE"""),"Non-USA")</f>
        <v>Non-USA</v>
      </c>
      <c r="K69" t="str">
        <f ca="1">IFERROR(__xludf.DUMMYFUNCTION("""COMPUTED_VALUE"""),"Ainsworth/Ainsworth")</f>
        <v>Ainsworth/Ainsworth</v>
      </c>
      <c r="L69">
        <f ca="1">IFERROR(__xludf.DUMMYFUNCTION("""COMPUTED_VALUE"""),1)</f>
        <v>1</v>
      </c>
      <c r="M69">
        <f ca="1">IFERROR(__xludf.DUMMYFUNCTION("""COMPUTED_VALUE"""),0)</f>
        <v>0</v>
      </c>
      <c r="N69">
        <f ca="1">IFERROR(__xludf.DUMMYFUNCTION("""COMPUTED_VALUE"""),0)</f>
        <v>0</v>
      </c>
      <c r="O69">
        <f ca="1">IFERROR(__xludf.DUMMYFUNCTION("""COMPUTED_VALUE"""),1)</f>
        <v>1</v>
      </c>
      <c r="P69">
        <f ca="1">IFERROR(__xludf.DUMMYFUNCTION("""COMPUTED_VALUE"""),0.89)</f>
        <v>0.89</v>
      </c>
      <c r="Q69">
        <f ca="1">IFERROR(__xludf.DUMMYFUNCTION("""COMPUTED_VALUE"""),0)</f>
        <v>0</v>
      </c>
      <c r="R69" t="str">
        <f ca="1">IFERROR(__xludf.DUMMYFUNCTION("""COMPUTED_VALUE"""),"Female")</f>
        <v>Female</v>
      </c>
    </row>
    <row r="70" spans="1:18" ht="12.3">
      <c r="A70">
        <f ca="1">IFERROR(__xludf.DUMMYFUNCTION("""COMPUTED_VALUE"""),58)</f>
        <v>58</v>
      </c>
      <c r="B70" t="str">
        <f ca="1">IFERROR(__xludf.DUMMYFUNCTION("""COMPUTED_VALUE"""),"Connell (1977)")</f>
        <v>Connell (1977)</v>
      </c>
      <c r="C70">
        <f ca="1">IFERROR(__xludf.DUMMYFUNCTION("""COMPUTED_VALUE"""),1)</f>
        <v>1</v>
      </c>
      <c r="D70" t="str">
        <f ca="1">IFERROR(__xludf.DUMMYFUNCTION("""COMPUTED_VALUE"""),"Mother-child")</f>
        <v>Mother-child</v>
      </c>
      <c r="E70" t="str">
        <f ca="1">IFERROR(__xludf.DUMMYFUNCTION("""COMPUTED_VALUE"""),"Infancy - Infancy")</f>
        <v>Infancy - Infancy</v>
      </c>
      <c r="F70" s="125">
        <f ca="1">IFERROR(__xludf.DUMMYFUNCTION("""COMPUTED_VALUE"""),47)</f>
        <v>47</v>
      </c>
      <c r="G70" s="119">
        <f ca="1">IFERROR(__xludf.DUMMYFUNCTION("""COMPUTED_VALUE"""),0.579940417080436)</f>
        <v>0.57994041708043598</v>
      </c>
      <c r="H70" s="122">
        <f ca="1">IFERROR(__xludf.DUMMYFUNCTION("""COMPUTED_VALUE"""),0.808510638297872)</f>
        <v>0.80851063829787195</v>
      </c>
      <c r="I70">
        <f ca="1">IFERROR(__xludf.DUMMYFUNCTION("""COMPUTED_VALUE"""),1976)</f>
        <v>1976</v>
      </c>
      <c r="J70" t="str">
        <f ca="1">IFERROR(__xludf.DUMMYFUNCTION("""COMPUTED_VALUE"""),"USA")</f>
        <v>USA</v>
      </c>
      <c r="K70" t="str">
        <f ca="1">IFERROR(__xludf.DUMMYFUNCTION("""COMPUTED_VALUE"""),"Ainsworth/Ainsworth")</f>
        <v>Ainsworth/Ainsworth</v>
      </c>
      <c r="L70">
        <f ca="1">IFERROR(__xludf.DUMMYFUNCTION("""COMPUTED_VALUE"""),1)</f>
        <v>1</v>
      </c>
      <c r="M70">
        <f ca="1">IFERROR(__xludf.DUMMYFUNCTION("""COMPUTED_VALUE"""),0)</f>
        <v>0</v>
      </c>
      <c r="N70">
        <f ca="1">IFERROR(__xludf.DUMMYFUNCTION("""COMPUTED_VALUE"""),0)</f>
        <v>0</v>
      </c>
      <c r="O70">
        <f ca="1">IFERROR(__xludf.DUMMYFUNCTION("""COMPUTED_VALUE"""),0)</f>
        <v>0</v>
      </c>
      <c r="P70">
        <f ca="1">IFERROR(__xludf.DUMMYFUNCTION("""COMPUTED_VALUE"""),0.939735174287007)</f>
        <v>0.93973517428700704</v>
      </c>
      <c r="Q70">
        <f ca="1">IFERROR(__xludf.DUMMYFUNCTION("""COMPUTED_VALUE"""),0)</f>
        <v>0</v>
      </c>
      <c r="R70" t="str">
        <f ca="1">IFERROR(__xludf.DUMMYFUNCTION("""COMPUTED_VALUE"""),"Female")</f>
        <v>Female</v>
      </c>
    </row>
    <row r="71" spans="1:18" ht="12.3">
      <c r="A71">
        <f ca="1">IFERROR(__xludf.DUMMYFUNCTION("""COMPUTED_VALUE"""),60)</f>
        <v>60</v>
      </c>
      <c r="B71" t="str">
        <f ca="1">IFERROR(__xludf.DUMMYFUNCTION("""COMPUTED_VALUE"""),"Ainsworthet al. (1978)")</f>
        <v>Ainsworthet al. (1978)</v>
      </c>
      <c r="C71">
        <f ca="1">IFERROR(__xludf.DUMMYFUNCTION("""COMPUTED_VALUE"""),1)</f>
        <v>1</v>
      </c>
      <c r="D71" t="str">
        <f ca="1">IFERROR(__xludf.DUMMYFUNCTION("""COMPUTED_VALUE"""),"Mother-child")</f>
        <v>Mother-child</v>
      </c>
      <c r="E71" t="str">
        <f ca="1">IFERROR(__xludf.DUMMYFUNCTION("""COMPUTED_VALUE"""),"Infancy - Infancy")</f>
        <v>Infancy - Infancy</v>
      </c>
      <c r="F71" s="125">
        <f ca="1">IFERROR(__xludf.DUMMYFUNCTION("""COMPUTED_VALUE"""),23)</f>
        <v>23</v>
      </c>
      <c r="G71" s="119">
        <f ca="1">IFERROR(__xludf.DUMMYFUNCTION("""COMPUTED_VALUE"""),-0.0360360360360361)</f>
        <v>-3.6036036036036098E-2</v>
      </c>
      <c r="H71" s="122">
        <f ca="1">IFERROR(__xludf.DUMMYFUNCTION("""COMPUTED_VALUE"""),0.565217391304347)</f>
        <v>0.56521739130434701</v>
      </c>
      <c r="I71">
        <f ca="1">IFERROR(__xludf.DUMMYFUNCTION("""COMPUTED_VALUE"""),1978)</f>
        <v>1978</v>
      </c>
      <c r="J71" t="str">
        <f ca="1">IFERROR(__xludf.DUMMYFUNCTION("""COMPUTED_VALUE"""),"USA")</f>
        <v>USA</v>
      </c>
      <c r="K71" t="str">
        <f ca="1">IFERROR(__xludf.DUMMYFUNCTION("""COMPUTED_VALUE"""),"Ainsworth/Ainsworth")</f>
        <v>Ainsworth/Ainsworth</v>
      </c>
      <c r="L71">
        <f ca="1">IFERROR(__xludf.DUMMYFUNCTION("""COMPUTED_VALUE"""),1)</f>
        <v>1</v>
      </c>
      <c r="M71">
        <f ca="1">IFERROR(__xludf.DUMMYFUNCTION("""COMPUTED_VALUE"""),0)</f>
        <v>0</v>
      </c>
      <c r="N71">
        <f ca="1">IFERROR(__xludf.DUMMYFUNCTION("""COMPUTED_VALUE"""),0)</f>
        <v>0</v>
      </c>
      <c r="O71">
        <f ca="1">IFERROR(__xludf.DUMMYFUNCTION("""COMPUTED_VALUE"""),1)</f>
        <v>1</v>
      </c>
      <c r="P71" t="str">
        <f ca="1">IFERROR(__xludf.DUMMYFUNCTION("""COMPUTED_VALUE"""),"")</f>
        <v/>
      </c>
      <c r="Q71">
        <f ca="1">IFERROR(__xludf.DUMMYFUNCTION("""COMPUTED_VALUE"""),0)</f>
        <v>0</v>
      </c>
      <c r="R71" t="str">
        <f ca="1">IFERROR(__xludf.DUMMYFUNCTION("""COMPUTED_VALUE"""),"Female")</f>
        <v>Female</v>
      </c>
    </row>
    <row r="72" spans="1:18" ht="12.3">
      <c r="A72">
        <f ca="1">IFERROR(__xludf.DUMMYFUNCTION("""COMPUTED_VALUE"""),61)</f>
        <v>61</v>
      </c>
      <c r="B72" t="str">
        <f ca="1">IFERROR(__xludf.DUMMYFUNCTION("""COMPUTED_VALUE"""),"Cassidy (1988)")</f>
        <v>Cassidy (1988)</v>
      </c>
      <c r="C72">
        <f ca="1">IFERROR(__xludf.DUMMYFUNCTION("""COMPUTED_VALUE"""),1)</f>
        <v>1</v>
      </c>
      <c r="D72" t="str">
        <f ca="1">IFERROR(__xludf.DUMMYFUNCTION("""COMPUTED_VALUE"""),"Mother-child")</f>
        <v>Mother-child</v>
      </c>
      <c r="E72" t="str">
        <f ca="1">IFERROR(__xludf.DUMMYFUNCTION("""COMPUTED_VALUE"""),"Preschool - Preschool")</f>
        <v>Preschool - Preschool</v>
      </c>
      <c r="F72" s="125">
        <f ca="1">IFERROR(__xludf.DUMMYFUNCTION("""COMPUTED_VALUE"""),50)</f>
        <v>50</v>
      </c>
      <c r="G72" s="119">
        <f ca="1">IFERROR(__xludf.DUMMYFUNCTION("""COMPUTED_VALUE"""),0.720893141945773)</f>
        <v>0.72089314194577303</v>
      </c>
      <c r="H72" s="122">
        <f ca="1">IFERROR(__xludf.DUMMYFUNCTION("""COMPUTED_VALUE"""),0.86)</f>
        <v>0.86</v>
      </c>
      <c r="I72">
        <f ca="1">IFERROR(__xludf.DUMMYFUNCTION("""COMPUTED_VALUE"""),1988)</f>
        <v>1988</v>
      </c>
      <c r="J72" t="str">
        <f ca="1">IFERROR(__xludf.DUMMYFUNCTION("""COMPUTED_VALUE"""),"USA")</f>
        <v>USA</v>
      </c>
      <c r="K72" t="str">
        <f ca="1">IFERROR(__xludf.DUMMYFUNCTION("""COMPUTED_VALUE"""),"Main-Cassidy/Main-Cassidy")</f>
        <v>Main-Cassidy/Main-Cassidy</v>
      </c>
      <c r="L72">
        <f ca="1">IFERROR(__xludf.DUMMYFUNCTION("""COMPUTED_VALUE"""),1)</f>
        <v>1</v>
      </c>
      <c r="M72">
        <f ca="1">IFERROR(__xludf.DUMMYFUNCTION("""COMPUTED_VALUE"""),0)</f>
        <v>0</v>
      </c>
      <c r="N72">
        <f ca="1">IFERROR(__xludf.DUMMYFUNCTION("""COMPUTED_VALUE"""),0)</f>
        <v>0</v>
      </c>
      <c r="O72">
        <f ca="1">IFERROR(__xludf.DUMMYFUNCTION("""COMPUTED_VALUE"""),1)</f>
        <v>1</v>
      </c>
      <c r="P72">
        <f ca="1">IFERROR(__xludf.DUMMYFUNCTION("""COMPUTED_VALUE"""),0.84)</f>
        <v>0.84</v>
      </c>
      <c r="Q72">
        <f ca="1">IFERROR(__xludf.DUMMYFUNCTION("""COMPUTED_VALUE"""),0)</f>
        <v>0</v>
      </c>
      <c r="R72" t="str">
        <f ca="1">IFERROR(__xludf.DUMMYFUNCTION("""COMPUTED_VALUE"""),"Female")</f>
        <v>Female</v>
      </c>
    </row>
    <row r="73" spans="1:18" ht="12.3">
      <c r="A73">
        <f ca="1">IFERROR(__xludf.DUMMYFUNCTION("""COMPUTED_VALUE"""),62)</f>
        <v>62</v>
      </c>
      <c r="B73" t="str">
        <f ca="1">IFERROR(__xludf.DUMMYFUNCTION("""COMPUTED_VALUE"""),"Goossens et al. (1986)")</f>
        <v>Goossens et al. (1986)</v>
      </c>
      <c r="C73">
        <f ca="1">IFERROR(__xludf.DUMMYFUNCTION("""COMPUTED_VALUE"""),1)</f>
        <v>1</v>
      </c>
      <c r="D73" t="str">
        <f ca="1">IFERROR(__xludf.DUMMYFUNCTION("""COMPUTED_VALUE"""),"Mother-child")</f>
        <v>Mother-child</v>
      </c>
      <c r="E73" t="str">
        <f ca="1">IFERROR(__xludf.DUMMYFUNCTION("""COMPUTED_VALUE"""),"Infancy - Infancy")</f>
        <v>Infancy - Infancy</v>
      </c>
      <c r="F73" s="125">
        <f ca="1">IFERROR(__xludf.DUMMYFUNCTION("""COMPUTED_VALUE"""),9)</f>
        <v>9</v>
      </c>
      <c r="G73" s="119">
        <f ca="1">IFERROR(__xludf.DUMMYFUNCTION("""COMPUTED_VALUE"""),1)</f>
        <v>1</v>
      </c>
      <c r="H73" s="122">
        <f ca="1">IFERROR(__xludf.DUMMYFUNCTION("""COMPUTED_VALUE"""),1)</f>
        <v>1</v>
      </c>
      <c r="I73">
        <f ca="1">IFERROR(__xludf.DUMMYFUNCTION("""COMPUTED_VALUE"""),1986)</f>
        <v>1986</v>
      </c>
      <c r="J73" t="str">
        <f ca="1">IFERROR(__xludf.DUMMYFUNCTION("""COMPUTED_VALUE"""),"Non-USA")</f>
        <v>Non-USA</v>
      </c>
      <c r="K73" t="str">
        <f ca="1">IFERROR(__xludf.DUMMYFUNCTION("""COMPUTED_VALUE"""),"Ainsworth/Ainsworth")</f>
        <v>Ainsworth/Ainsworth</v>
      </c>
      <c r="L73">
        <f ca="1">IFERROR(__xludf.DUMMYFUNCTION("""COMPUTED_VALUE"""),1)</f>
        <v>1</v>
      </c>
      <c r="M73">
        <f ca="1">IFERROR(__xludf.DUMMYFUNCTION("""COMPUTED_VALUE"""),0)</f>
        <v>0</v>
      </c>
      <c r="N73">
        <f ca="1">IFERROR(__xludf.DUMMYFUNCTION("""COMPUTED_VALUE"""),0)</f>
        <v>0</v>
      </c>
      <c r="O73">
        <f ca="1">IFERROR(__xludf.DUMMYFUNCTION("""COMPUTED_VALUE"""),1)</f>
        <v>1</v>
      </c>
      <c r="P73">
        <f ca="1">IFERROR(__xludf.DUMMYFUNCTION("""COMPUTED_VALUE"""),0.94)</f>
        <v>0.94</v>
      </c>
      <c r="Q73">
        <f ca="1">IFERROR(__xludf.DUMMYFUNCTION("""COMPUTED_VALUE"""),0)</f>
        <v>0</v>
      </c>
      <c r="R73" t="str">
        <f ca="1">IFERROR(__xludf.DUMMYFUNCTION("""COMPUTED_VALUE"""),"Female")</f>
        <v>Female</v>
      </c>
    </row>
    <row r="74" spans="1:18" ht="12.3">
      <c r="A74">
        <f ca="1">IFERROR(__xludf.DUMMYFUNCTION("""COMPUTED_VALUE"""),63)</f>
        <v>63</v>
      </c>
      <c r="B74" t="str">
        <f ca="1">IFERROR(__xludf.DUMMYFUNCTION("""COMPUTED_VALUE"""),"Vondra, Hommerding, &amp; Shaw (1999)")</f>
        <v>Vondra, Hommerding, &amp; Shaw (1999)</v>
      </c>
      <c r="C74">
        <f ca="1">IFERROR(__xludf.DUMMYFUNCTION("""COMPUTED_VALUE"""),1)</f>
        <v>1</v>
      </c>
      <c r="D74" t="str">
        <f ca="1">IFERROR(__xludf.DUMMYFUNCTION("""COMPUTED_VALUE"""),"Mother-child")</f>
        <v>Mother-child</v>
      </c>
      <c r="E74" t="str">
        <f ca="1">IFERROR(__xludf.DUMMYFUNCTION("""COMPUTED_VALUE"""),"Infancy - Infancy")</f>
        <v>Infancy - Infancy</v>
      </c>
      <c r="F74" s="125">
        <f ca="1">IFERROR(__xludf.DUMMYFUNCTION("""COMPUTED_VALUE"""),90)</f>
        <v>90</v>
      </c>
      <c r="G74" s="119">
        <f ca="1">IFERROR(__xludf.DUMMYFUNCTION("""COMPUTED_VALUE"""),0.311111111111111)</f>
        <v>0.31111111111111101</v>
      </c>
      <c r="H74" s="122">
        <f ca="1">IFERROR(__xludf.DUMMYFUNCTION("""COMPUTED_VALUE"""),0.655555555555555)</f>
        <v>0.655555555555555</v>
      </c>
      <c r="I74">
        <f ca="1">IFERROR(__xludf.DUMMYFUNCTION("""COMPUTED_VALUE"""),1999)</f>
        <v>1999</v>
      </c>
      <c r="J74" t="str">
        <f ca="1">IFERROR(__xludf.DUMMYFUNCTION("""COMPUTED_VALUE"""),"USA")</f>
        <v>USA</v>
      </c>
      <c r="K74" t="str">
        <f ca="1">IFERROR(__xludf.DUMMYFUNCTION("""COMPUTED_VALUE"""),"Ainsworth/Ainsworth")</f>
        <v>Ainsworth/Ainsworth</v>
      </c>
      <c r="L74">
        <f ca="1">IFERROR(__xludf.DUMMYFUNCTION("""COMPUTED_VALUE"""),0)</f>
        <v>0</v>
      </c>
      <c r="M74">
        <f ca="1">IFERROR(__xludf.DUMMYFUNCTION("""COMPUTED_VALUE"""),1)</f>
        <v>1</v>
      </c>
      <c r="N74">
        <f ca="1">IFERROR(__xludf.DUMMYFUNCTION("""COMPUTED_VALUE"""),0)</f>
        <v>0</v>
      </c>
      <c r="O74">
        <f ca="1">IFERROR(__xludf.DUMMYFUNCTION("""COMPUTED_VALUE"""),1)</f>
        <v>1</v>
      </c>
      <c r="P74">
        <f ca="1">IFERROR(__xludf.DUMMYFUNCTION("""COMPUTED_VALUE"""),0.8)</f>
        <v>0.8</v>
      </c>
      <c r="Q74">
        <f ca="1">IFERROR(__xludf.DUMMYFUNCTION("""COMPUTED_VALUE"""),0)</f>
        <v>0</v>
      </c>
      <c r="R74" t="str">
        <f ca="1">IFERROR(__xludf.DUMMYFUNCTION("""COMPUTED_VALUE"""),"Female")</f>
        <v>Female</v>
      </c>
    </row>
    <row r="75" spans="1:18" ht="12.3">
      <c r="A75">
        <f ca="1">IFERROR(__xludf.DUMMYFUNCTION("""COMPUTED_VALUE"""),64)</f>
        <v>64</v>
      </c>
      <c r="B75" t="str">
        <f ca="1">IFERROR(__xludf.DUMMYFUNCTION("""COMPUTED_VALUE"""),"Vaughn et al. (1979)")</f>
        <v>Vaughn et al. (1979)</v>
      </c>
      <c r="C75">
        <f ca="1">IFERROR(__xludf.DUMMYFUNCTION("""COMPUTED_VALUE"""),1)</f>
        <v>1</v>
      </c>
      <c r="D75" t="str">
        <f ca="1">IFERROR(__xludf.DUMMYFUNCTION("""COMPUTED_VALUE"""),"Mother-child")</f>
        <v>Mother-child</v>
      </c>
      <c r="E75" t="str">
        <f ca="1">IFERROR(__xludf.DUMMYFUNCTION("""COMPUTED_VALUE"""),"Infancy - Infancy")</f>
        <v>Infancy - Infancy</v>
      </c>
      <c r="F75" s="125">
        <f ca="1">IFERROR(__xludf.DUMMYFUNCTION("""COMPUTED_VALUE"""),100)</f>
        <v>100</v>
      </c>
      <c r="G75" s="119">
        <f ca="1">IFERROR(__xludf.DUMMYFUNCTION("""COMPUTED_VALUE"""),0.359504132231404)</f>
        <v>0.35950413223140398</v>
      </c>
      <c r="H75" s="122">
        <f ca="1">IFERROR(__xludf.DUMMYFUNCTION("""COMPUTED_VALUE"""),0.69)</f>
        <v>0.69</v>
      </c>
      <c r="I75">
        <f ca="1">IFERROR(__xludf.DUMMYFUNCTION("""COMPUTED_VALUE"""),1979)</f>
        <v>1979</v>
      </c>
      <c r="J75" t="str">
        <f ca="1">IFERROR(__xludf.DUMMYFUNCTION("""COMPUTED_VALUE"""),"USA")</f>
        <v>USA</v>
      </c>
      <c r="K75" t="str">
        <f ca="1">IFERROR(__xludf.DUMMYFUNCTION("""COMPUTED_VALUE"""),"Ainsworth/Ainsworth")</f>
        <v>Ainsworth/Ainsworth</v>
      </c>
      <c r="L75">
        <f ca="1">IFERROR(__xludf.DUMMYFUNCTION("""COMPUTED_VALUE"""),1)</f>
        <v>1</v>
      </c>
      <c r="M75">
        <f ca="1">IFERROR(__xludf.DUMMYFUNCTION("""COMPUTED_VALUE"""),1)</f>
        <v>1</v>
      </c>
      <c r="N75">
        <f ca="1">IFERROR(__xludf.DUMMYFUNCTION("""COMPUTED_VALUE"""),0)</f>
        <v>0</v>
      </c>
      <c r="O75">
        <f ca="1">IFERROR(__xludf.DUMMYFUNCTION("""COMPUTED_VALUE"""),1)</f>
        <v>1</v>
      </c>
      <c r="P75">
        <f ca="1">IFERROR(__xludf.DUMMYFUNCTION("""COMPUTED_VALUE"""),0.905)</f>
        <v>0.90500000000000003</v>
      </c>
      <c r="Q75">
        <f ca="1">IFERROR(__xludf.DUMMYFUNCTION("""COMPUTED_VALUE"""),0)</f>
        <v>0</v>
      </c>
      <c r="R75" t="str">
        <f ca="1">IFERROR(__xludf.DUMMYFUNCTION("""COMPUTED_VALUE"""),"Female")</f>
        <v>Female</v>
      </c>
    </row>
    <row r="76" spans="1:18" ht="12.3">
      <c r="A76">
        <f ca="1">IFERROR(__xludf.DUMMYFUNCTION("""COMPUTED_VALUE"""),65)</f>
        <v>65</v>
      </c>
      <c r="B76" t="str">
        <f ca="1">IFERROR(__xludf.DUMMYFUNCTION("""COMPUTED_VALUE"""),"Schneider-Rosen et al. (1985) ")</f>
        <v xml:space="preserve">Schneider-Rosen et al. (1985) </v>
      </c>
      <c r="C76">
        <f ca="1">IFERROR(__xludf.DUMMYFUNCTION("""COMPUTED_VALUE"""),1)</f>
        <v>1</v>
      </c>
      <c r="D76" t="str">
        <f ca="1">IFERROR(__xludf.DUMMYFUNCTION("""COMPUTED_VALUE"""),"Comparison (12-18 mo.)")</f>
        <v>Comparison (12-18 mo.)</v>
      </c>
      <c r="E76" t="str">
        <f ca="1">IFERROR(__xludf.DUMMYFUNCTION("""COMPUTED_VALUE"""),"Infancy - Infancy")</f>
        <v>Infancy - Infancy</v>
      </c>
      <c r="F76" s="125">
        <f ca="1">IFERROR(__xludf.DUMMYFUNCTION("""COMPUTED_VALUE"""),17)</f>
        <v>17</v>
      </c>
      <c r="G76" s="119">
        <f ca="1">IFERROR(__xludf.DUMMYFUNCTION("""COMPUTED_VALUE"""),0.484848484848484)</f>
        <v>0.48484848484848397</v>
      </c>
      <c r="H76" s="122">
        <f ca="1">IFERROR(__xludf.DUMMYFUNCTION("""COMPUTED_VALUE"""),0.764705882352941)</f>
        <v>0.76470588235294101</v>
      </c>
      <c r="I76">
        <f ca="1">IFERROR(__xludf.DUMMYFUNCTION("""COMPUTED_VALUE"""),1985)</f>
        <v>1985</v>
      </c>
      <c r="J76" t="str">
        <f ca="1">IFERROR(__xludf.DUMMYFUNCTION("""COMPUTED_VALUE"""),"USA")</f>
        <v>USA</v>
      </c>
      <c r="K76" t="str">
        <f ca="1">IFERROR(__xludf.DUMMYFUNCTION("""COMPUTED_VALUE"""),"Ainsworth/Ainsworth")</f>
        <v>Ainsworth/Ainsworth</v>
      </c>
      <c r="L76">
        <f ca="1">IFERROR(__xludf.DUMMYFUNCTION("""COMPUTED_VALUE"""),1)</f>
        <v>1</v>
      </c>
      <c r="M76">
        <f ca="1">IFERROR(__xludf.DUMMYFUNCTION("""COMPUTED_VALUE"""),0)</f>
        <v>0</v>
      </c>
      <c r="N76">
        <f ca="1">IFERROR(__xludf.DUMMYFUNCTION("""COMPUTED_VALUE"""),0)</f>
        <v>0</v>
      </c>
      <c r="O76">
        <f ca="1">IFERROR(__xludf.DUMMYFUNCTION("""COMPUTED_VALUE"""),1)</f>
        <v>1</v>
      </c>
      <c r="P76">
        <f ca="1">IFERROR(__xludf.DUMMYFUNCTION("""COMPUTED_VALUE"""),0.895)</f>
        <v>0.89500000000000002</v>
      </c>
      <c r="Q76">
        <f ca="1">IFERROR(__xludf.DUMMYFUNCTION("""COMPUTED_VALUE"""),0)</f>
        <v>0</v>
      </c>
      <c r="R76" t="str">
        <f ca="1">IFERROR(__xludf.DUMMYFUNCTION("""COMPUTED_VALUE"""),"Mixed")</f>
        <v>Mixed</v>
      </c>
    </row>
    <row r="77" spans="1:18" ht="12.3">
      <c r="A77">
        <f ca="1">IFERROR(__xludf.DUMMYFUNCTION("""COMPUTED_VALUE"""),65)</f>
        <v>65</v>
      </c>
      <c r="B77" t="str">
        <f ca="1">IFERROR(__xludf.DUMMYFUNCTION("""COMPUTED_VALUE"""),"Schneider-Rosen et al. (1985) ")</f>
        <v xml:space="preserve">Schneider-Rosen et al. (1985) </v>
      </c>
      <c r="C77">
        <f ca="1">IFERROR(__xludf.DUMMYFUNCTION("""COMPUTED_VALUE"""),2)</f>
        <v>2</v>
      </c>
      <c r="D77" t="str">
        <f ca="1">IFERROR(__xludf.DUMMYFUNCTION("""COMPUTED_VALUE"""),"Comparison (18-24 mo.)")</f>
        <v>Comparison (18-24 mo.)</v>
      </c>
      <c r="E77" t="str">
        <f ca="1">IFERROR(__xludf.DUMMYFUNCTION("""COMPUTED_VALUE"""),"Infancy - Infancy")</f>
        <v>Infancy - Infancy</v>
      </c>
      <c r="F77" s="125">
        <f ca="1">IFERROR(__xludf.DUMMYFUNCTION("""COMPUTED_VALUE"""),23)</f>
        <v>23</v>
      </c>
      <c r="G77" s="119">
        <f ca="1">IFERROR(__xludf.DUMMYFUNCTION("""COMPUTED_VALUE"""),0.348178137651821)</f>
        <v>0.34817813765182098</v>
      </c>
      <c r="H77" s="122">
        <f ca="1">IFERROR(__xludf.DUMMYFUNCTION("""COMPUTED_VALUE"""),0.695652173913043)</f>
        <v>0.69565217391304301</v>
      </c>
      <c r="I77">
        <f ca="1">IFERROR(__xludf.DUMMYFUNCTION("""COMPUTED_VALUE"""),1985)</f>
        <v>1985</v>
      </c>
      <c r="J77" t="str">
        <f ca="1">IFERROR(__xludf.DUMMYFUNCTION("""COMPUTED_VALUE"""),"USA")</f>
        <v>USA</v>
      </c>
      <c r="K77" t="str">
        <f ca="1">IFERROR(__xludf.DUMMYFUNCTION("""COMPUTED_VALUE"""),"Ainsworth/Ainsworth")</f>
        <v>Ainsworth/Ainsworth</v>
      </c>
      <c r="L77">
        <f ca="1">IFERROR(__xludf.DUMMYFUNCTION("""COMPUTED_VALUE"""),1)</f>
        <v>1</v>
      </c>
      <c r="M77">
        <f ca="1">IFERROR(__xludf.DUMMYFUNCTION("""COMPUTED_VALUE"""),0)</f>
        <v>0</v>
      </c>
      <c r="N77">
        <f ca="1">IFERROR(__xludf.DUMMYFUNCTION("""COMPUTED_VALUE"""),0)</f>
        <v>0</v>
      </c>
      <c r="O77">
        <f ca="1">IFERROR(__xludf.DUMMYFUNCTION("""COMPUTED_VALUE"""),1)</f>
        <v>1</v>
      </c>
      <c r="P77">
        <f ca="1">IFERROR(__xludf.DUMMYFUNCTION("""COMPUTED_VALUE"""),0.91)</f>
        <v>0.91</v>
      </c>
      <c r="Q77">
        <f ca="1">IFERROR(__xludf.DUMMYFUNCTION("""COMPUTED_VALUE"""),0)</f>
        <v>0</v>
      </c>
      <c r="R77" t="str">
        <f ca="1">IFERROR(__xludf.DUMMYFUNCTION("""COMPUTED_VALUE"""),"Mixed")</f>
        <v>Mixed</v>
      </c>
    </row>
    <row r="78" spans="1:18" ht="12.3">
      <c r="A78">
        <f ca="1">IFERROR(__xludf.DUMMYFUNCTION("""COMPUTED_VALUE"""),66)</f>
        <v>66</v>
      </c>
      <c r="B78" t="str">
        <f ca="1">IFERROR(__xludf.DUMMYFUNCTION("""COMPUTED_VALUE"""),"Schneider-Rosen et al. (1985) ")</f>
        <v xml:space="preserve">Schneider-Rosen et al. (1985) </v>
      </c>
      <c r="C78">
        <f ca="1">IFERROR(__xludf.DUMMYFUNCTION("""COMPUTED_VALUE"""),1)</f>
        <v>1</v>
      </c>
      <c r="D78" t="str">
        <f ca="1">IFERROR(__xludf.DUMMYFUNCTION("""COMPUTED_VALUE"""),"Maltreated (12-18 mo.)")</f>
        <v>Maltreated (12-18 mo.)</v>
      </c>
      <c r="E78" t="str">
        <f ca="1">IFERROR(__xludf.DUMMYFUNCTION("""COMPUTED_VALUE"""),"Infancy - Infancy")</f>
        <v>Infancy - Infancy</v>
      </c>
      <c r="F78" s="125">
        <f ca="1">IFERROR(__xludf.DUMMYFUNCTION("""COMPUTED_VALUE"""),12)</f>
        <v>12</v>
      </c>
      <c r="G78" s="119">
        <f ca="1">IFERROR(__xludf.DUMMYFUNCTION("""COMPUTED_VALUE"""),0.0625)</f>
        <v>6.25E-2</v>
      </c>
      <c r="H78" s="122">
        <f ca="1">IFERROR(__xludf.DUMMYFUNCTION("""COMPUTED_VALUE"""),0.583333333333333)</f>
        <v>0.58333333333333304</v>
      </c>
      <c r="I78">
        <f ca="1">IFERROR(__xludf.DUMMYFUNCTION("""COMPUTED_VALUE"""),1985)</f>
        <v>1985</v>
      </c>
      <c r="J78" t="str">
        <f ca="1">IFERROR(__xludf.DUMMYFUNCTION("""COMPUTED_VALUE"""),"USA")</f>
        <v>USA</v>
      </c>
      <c r="K78" t="str">
        <f ca="1">IFERROR(__xludf.DUMMYFUNCTION("""COMPUTED_VALUE"""),"Ainsworth/Ainsworth")</f>
        <v>Ainsworth/Ainsworth</v>
      </c>
      <c r="L78">
        <f ca="1">IFERROR(__xludf.DUMMYFUNCTION("""COMPUTED_VALUE"""),1)</f>
        <v>1</v>
      </c>
      <c r="M78">
        <f ca="1">IFERROR(__xludf.DUMMYFUNCTION("""COMPUTED_VALUE"""),1)</f>
        <v>1</v>
      </c>
      <c r="N78">
        <f ca="1">IFERROR(__xludf.DUMMYFUNCTION("""COMPUTED_VALUE"""),0)</f>
        <v>0</v>
      </c>
      <c r="O78">
        <f ca="1">IFERROR(__xludf.DUMMYFUNCTION("""COMPUTED_VALUE"""),1)</f>
        <v>1</v>
      </c>
      <c r="P78">
        <f ca="1">IFERROR(__xludf.DUMMYFUNCTION("""COMPUTED_VALUE"""),0.895)</f>
        <v>0.89500000000000002</v>
      </c>
      <c r="Q78">
        <f ca="1">IFERROR(__xludf.DUMMYFUNCTION("""COMPUTED_VALUE"""),0)</f>
        <v>0</v>
      </c>
      <c r="R78" t="str">
        <f ca="1">IFERROR(__xludf.DUMMYFUNCTION("""COMPUTED_VALUE"""),"Mixed")</f>
        <v>Mixed</v>
      </c>
    </row>
    <row r="79" spans="1:18" ht="12.3">
      <c r="A79">
        <f ca="1">IFERROR(__xludf.DUMMYFUNCTION("""COMPUTED_VALUE"""),66)</f>
        <v>66</v>
      </c>
      <c r="B79" t="str">
        <f ca="1">IFERROR(__xludf.DUMMYFUNCTION("""COMPUTED_VALUE"""),"Schneider-Rosen et al. (1985) ")</f>
        <v xml:space="preserve">Schneider-Rosen et al. (1985) </v>
      </c>
      <c r="C79">
        <f ca="1">IFERROR(__xludf.DUMMYFUNCTION("""COMPUTED_VALUE"""),2)</f>
        <v>2</v>
      </c>
      <c r="D79" t="str">
        <f ca="1">IFERROR(__xludf.DUMMYFUNCTION("""COMPUTED_VALUE"""),"Maltreated (18-24 mo.)")</f>
        <v>Maltreated (18-24 mo.)</v>
      </c>
      <c r="E79" t="str">
        <f ca="1">IFERROR(__xludf.DUMMYFUNCTION("""COMPUTED_VALUE"""),"Infancy - Infancy")</f>
        <v>Infancy - Infancy</v>
      </c>
      <c r="F79" s="125">
        <f ca="1">IFERROR(__xludf.DUMMYFUNCTION("""COMPUTED_VALUE"""),19)</f>
        <v>19</v>
      </c>
      <c r="G79" s="119">
        <f ca="1">IFERROR(__xludf.DUMMYFUNCTION("""COMPUTED_VALUE"""),0.128440366972476)</f>
        <v>0.12844036697247599</v>
      </c>
      <c r="H79" s="122">
        <f ca="1">IFERROR(__xludf.DUMMYFUNCTION("""COMPUTED_VALUE"""),0.736842105263157)</f>
        <v>0.73684210526315697</v>
      </c>
      <c r="I79">
        <f ca="1">IFERROR(__xludf.DUMMYFUNCTION("""COMPUTED_VALUE"""),1985)</f>
        <v>1985</v>
      </c>
      <c r="J79" t="str">
        <f ca="1">IFERROR(__xludf.DUMMYFUNCTION("""COMPUTED_VALUE"""),"USA")</f>
        <v>USA</v>
      </c>
      <c r="K79" t="str">
        <f ca="1">IFERROR(__xludf.DUMMYFUNCTION("""COMPUTED_VALUE"""),"Ainsworth/Ainsworth")</f>
        <v>Ainsworth/Ainsworth</v>
      </c>
      <c r="L79">
        <f ca="1">IFERROR(__xludf.DUMMYFUNCTION("""COMPUTED_VALUE"""),1)</f>
        <v>1</v>
      </c>
      <c r="M79">
        <f ca="1">IFERROR(__xludf.DUMMYFUNCTION("""COMPUTED_VALUE"""),1)</f>
        <v>1</v>
      </c>
      <c r="N79">
        <f ca="1">IFERROR(__xludf.DUMMYFUNCTION("""COMPUTED_VALUE"""),0)</f>
        <v>0</v>
      </c>
      <c r="O79">
        <f ca="1">IFERROR(__xludf.DUMMYFUNCTION("""COMPUTED_VALUE"""),1)</f>
        <v>1</v>
      </c>
      <c r="P79">
        <f ca="1">IFERROR(__xludf.DUMMYFUNCTION("""COMPUTED_VALUE"""),0.91)</f>
        <v>0.91</v>
      </c>
      <c r="Q79">
        <f ca="1">IFERROR(__xludf.DUMMYFUNCTION("""COMPUTED_VALUE"""),0)</f>
        <v>0</v>
      </c>
      <c r="R79" t="str">
        <f ca="1">IFERROR(__xludf.DUMMYFUNCTION("""COMPUTED_VALUE"""),"Mixed")</f>
        <v>Mixed</v>
      </c>
    </row>
    <row r="80" spans="1:18" ht="12.3">
      <c r="A80">
        <f ca="1">IFERROR(__xludf.DUMMYFUNCTION("""COMPUTED_VALUE"""),67)</f>
        <v>67</v>
      </c>
      <c r="B80" t="str">
        <f ca="1">IFERROR(__xludf.DUMMYFUNCTION("""COMPUTED_VALUE"""),"Mangelsdorf et al. (1996)")</f>
        <v>Mangelsdorf et al. (1996)</v>
      </c>
      <c r="C80">
        <f ca="1">IFERROR(__xludf.DUMMYFUNCTION("""COMPUTED_VALUE"""),1)</f>
        <v>1</v>
      </c>
      <c r="D80" t="str">
        <f ca="1">IFERROR(__xludf.DUMMYFUNCTION("""COMPUTED_VALUE"""),"Full-term births")</f>
        <v>Full-term births</v>
      </c>
      <c r="E80" t="str">
        <f ca="1">IFERROR(__xludf.DUMMYFUNCTION("""COMPUTED_VALUE"""),"Infancy - Infancy")</f>
        <v>Infancy - Infancy</v>
      </c>
      <c r="F80" s="125">
        <f ca="1">IFERROR(__xludf.DUMMYFUNCTION("""COMPUTED_VALUE"""),39)</f>
        <v>39</v>
      </c>
      <c r="G80" s="119">
        <f ca="1">IFERROR(__xludf.DUMMYFUNCTION("""COMPUTED_VALUE"""),0.0714285714285715)</f>
        <v>7.1428571428571494E-2</v>
      </c>
      <c r="H80" s="122">
        <f ca="1">IFERROR(__xludf.DUMMYFUNCTION("""COMPUTED_VALUE"""),0.641025641025641)</f>
        <v>0.64102564102564097</v>
      </c>
      <c r="I80">
        <f ca="1">IFERROR(__xludf.DUMMYFUNCTION("""COMPUTED_VALUE"""),1996)</f>
        <v>1996</v>
      </c>
      <c r="J80" t="str">
        <f ca="1">IFERROR(__xludf.DUMMYFUNCTION("""COMPUTED_VALUE"""),"USA")</f>
        <v>USA</v>
      </c>
      <c r="K80" t="str">
        <f ca="1">IFERROR(__xludf.DUMMYFUNCTION("""COMPUTED_VALUE"""),"Ainsworth/Ainsworth")</f>
        <v>Ainsworth/Ainsworth</v>
      </c>
      <c r="L80">
        <f ca="1">IFERROR(__xludf.DUMMYFUNCTION("""COMPUTED_VALUE"""),1)</f>
        <v>1</v>
      </c>
      <c r="M80">
        <f ca="1">IFERROR(__xludf.DUMMYFUNCTION("""COMPUTED_VALUE"""),0)</f>
        <v>0</v>
      </c>
      <c r="N80">
        <f ca="1">IFERROR(__xludf.DUMMYFUNCTION("""COMPUTED_VALUE"""),0)</f>
        <v>0</v>
      </c>
      <c r="O80">
        <f ca="1">IFERROR(__xludf.DUMMYFUNCTION("""COMPUTED_VALUE"""),1)</f>
        <v>1</v>
      </c>
      <c r="P80">
        <f ca="1">IFERROR(__xludf.DUMMYFUNCTION("""COMPUTED_VALUE"""),0.9)</f>
        <v>0.9</v>
      </c>
      <c r="Q80">
        <f ca="1">IFERROR(__xludf.DUMMYFUNCTION("""COMPUTED_VALUE"""),0)</f>
        <v>0</v>
      </c>
      <c r="R80" t="str">
        <f ca="1">IFERROR(__xludf.DUMMYFUNCTION("""COMPUTED_VALUE"""),"Female")</f>
        <v>Female</v>
      </c>
    </row>
    <row r="81" spans="1:18" ht="12.3">
      <c r="A81">
        <f ca="1">IFERROR(__xludf.DUMMYFUNCTION("""COMPUTED_VALUE"""),68)</f>
        <v>68</v>
      </c>
      <c r="B81" t="str">
        <f ca="1">IFERROR(__xludf.DUMMYFUNCTION("""COMPUTED_VALUE"""),"Mangelsdorf et al. (1996)")</f>
        <v>Mangelsdorf et al. (1996)</v>
      </c>
      <c r="C81">
        <f ca="1">IFERROR(__xludf.DUMMYFUNCTION("""COMPUTED_VALUE"""),1)</f>
        <v>1</v>
      </c>
      <c r="D81" t="str">
        <f ca="1">IFERROR(__xludf.DUMMYFUNCTION("""COMPUTED_VALUE"""),"Low birth weight")</f>
        <v>Low birth weight</v>
      </c>
      <c r="E81" t="str">
        <f ca="1">IFERROR(__xludf.DUMMYFUNCTION("""COMPUTED_VALUE"""),"Infancy - Infancy")</f>
        <v>Infancy - Infancy</v>
      </c>
      <c r="F81" s="125">
        <f ca="1">IFERROR(__xludf.DUMMYFUNCTION("""COMPUTED_VALUE"""),31)</f>
        <v>31</v>
      </c>
      <c r="G81" s="119">
        <f ca="1">IFERROR(__xludf.DUMMYFUNCTION("""COMPUTED_VALUE"""),0.155136268343815)</f>
        <v>0.155136268343815</v>
      </c>
      <c r="H81" s="122">
        <f ca="1">IFERROR(__xludf.DUMMYFUNCTION("""COMPUTED_VALUE"""),0.580645161290322)</f>
        <v>0.58064516129032195</v>
      </c>
      <c r="I81">
        <f ca="1">IFERROR(__xludf.DUMMYFUNCTION("""COMPUTED_VALUE"""),1996)</f>
        <v>1996</v>
      </c>
      <c r="J81" t="str">
        <f ca="1">IFERROR(__xludf.DUMMYFUNCTION("""COMPUTED_VALUE"""),"USA")</f>
        <v>USA</v>
      </c>
      <c r="K81" t="str">
        <f ca="1">IFERROR(__xludf.DUMMYFUNCTION("""COMPUTED_VALUE"""),"Ainsworth/Ainsworth")</f>
        <v>Ainsworth/Ainsworth</v>
      </c>
      <c r="L81">
        <f ca="1">IFERROR(__xludf.DUMMYFUNCTION("""COMPUTED_VALUE"""),1)</f>
        <v>1</v>
      </c>
      <c r="M81">
        <f ca="1">IFERROR(__xludf.DUMMYFUNCTION("""COMPUTED_VALUE"""),0)</f>
        <v>0</v>
      </c>
      <c r="N81">
        <f ca="1">IFERROR(__xludf.DUMMYFUNCTION("""COMPUTED_VALUE"""),1)</f>
        <v>1</v>
      </c>
      <c r="O81">
        <f ca="1">IFERROR(__xludf.DUMMYFUNCTION("""COMPUTED_VALUE"""),1)</f>
        <v>1</v>
      </c>
      <c r="P81">
        <f ca="1">IFERROR(__xludf.DUMMYFUNCTION("""COMPUTED_VALUE"""),0.9)</f>
        <v>0.9</v>
      </c>
      <c r="Q81">
        <f ca="1">IFERROR(__xludf.DUMMYFUNCTION("""COMPUTED_VALUE"""),0)</f>
        <v>0</v>
      </c>
      <c r="R81" t="str">
        <f ca="1">IFERROR(__xludf.DUMMYFUNCTION("""COMPUTED_VALUE"""),"Female")</f>
        <v>Female</v>
      </c>
    </row>
    <row r="82" spans="1:18" ht="12.3">
      <c r="A82">
        <f ca="1">IFERROR(__xludf.DUMMYFUNCTION("""COMPUTED_VALUE"""),70)</f>
        <v>70</v>
      </c>
      <c r="B82" t="str">
        <f ca="1">IFERROR(__xludf.DUMMYFUNCTION("""COMPUTED_VALUE"""),"Touris, Krimelow, &amp; Harding (1995)")</f>
        <v>Touris, Krimelow, &amp; Harding (1995)</v>
      </c>
      <c r="C82">
        <f ca="1">IFERROR(__xludf.DUMMYFUNCTION("""COMPUTED_VALUE"""),1)</f>
        <v>1</v>
      </c>
      <c r="D82" t="str">
        <f ca="1">IFERROR(__xludf.DUMMYFUNCTION("""COMPUTED_VALUE"""),"At-risk")</f>
        <v>At-risk</v>
      </c>
      <c r="E82" t="str">
        <f ca="1">IFERROR(__xludf.DUMMYFUNCTION("""COMPUTED_VALUE"""),"Toddlerhood - Toddlerhood")</f>
        <v>Toddlerhood - Toddlerhood</v>
      </c>
      <c r="F82" s="125">
        <f ca="1">IFERROR(__xludf.DUMMYFUNCTION("""COMPUTED_VALUE"""),20)</f>
        <v>20</v>
      </c>
      <c r="G82" s="119">
        <f ca="1">IFERROR(__xludf.DUMMYFUNCTION("""COMPUTED_VALUE"""),-0.170212765957446)</f>
        <v>-0.170212765957446</v>
      </c>
      <c r="H82" s="122">
        <f ca="1">IFERROR(__xludf.DUMMYFUNCTION("""COMPUTED_VALUE"""),0.45)</f>
        <v>0.45</v>
      </c>
      <c r="I82">
        <f ca="1">IFERROR(__xludf.DUMMYFUNCTION("""COMPUTED_VALUE"""),1995)</f>
        <v>1995</v>
      </c>
      <c r="J82" t="str">
        <f ca="1">IFERROR(__xludf.DUMMYFUNCTION("""COMPUTED_VALUE"""),"USA")</f>
        <v>USA</v>
      </c>
      <c r="K82" t="str">
        <f ca="1">IFERROR(__xludf.DUMMYFUNCTION("""COMPUTED_VALUE"""),"Ainsworth/Ainsworth")</f>
        <v>Ainsworth/Ainsworth</v>
      </c>
      <c r="L82">
        <f ca="1">IFERROR(__xludf.DUMMYFUNCTION("""COMPUTED_VALUE"""),1)</f>
        <v>1</v>
      </c>
      <c r="M82">
        <f ca="1">IFERROR(__xludf.DUMMYFUNCTION("""COMPUTED_VALUE"""),1)</f>
        <v>1</v>
      </c>
      <c r="N82">
        <f ca="1">IFERROR(__xludf.DUMMYFUNCTION("""COMPUTED_VALUE"""),0)</f>
        <v>0</v>
      </c>
      <c r="O82">
        <f ca="1">IFERROR(__xludf.DUMMYFUNCTION("""COMPUTED_VALUE"""),1)</f>
        <v>1</v>
      </c>
      <c r="P82">
        <f ca="1">IFERROR(__xludf.DUMMYFUNCTION("""COMPUTED_VALUE"""),0.82)</f>
        <v>0.82</v>
      </c>
      <c r="Q82">
        <f ca="1">IFERROR(__xludf.DUMMYFUNCTION("""COMPUTED_VALUE"""),0)</f>
        <v>0</v>
      </c>
      <c r="R82" t="str">
        <f ca="1">IFERROR(__xludf.DUMMYFUNCTION("""COMPUTED_VALUE"""),"Female")</f>
        <v>Female</v>
      </c>
    </row>
    <row r="83" spans="1:18" ht="12.3">
      <c r="A83">
        <f ca="1">IFERROR(__xludf.DUMMYFUNCTION("""COMPUTED_VALUE"""),71)</f>
        <v>71</v>
      </c>
      <c r="B83" t="str">
        <f ca="1">IFERROR(__xludf.DUMMYFUNCTION("""COMPUTED_VALUE"""),"Touris, Krimelow, &amp; Harding (1995)")</f>
        <v>Touris, Krimelow, &amp; Harding (1995)</v>
      </c>
      <c r="C83">
        <f ca="1">IFERROR(__xludf.DUMMYFUNCTION("""COMPUTED_VALUE"""),2)</f>
        <v>2</v>
      </c>
      <c r="D83" t="str">
        <f ca="1">IFERROR(__xludf.DUMMYFUNCTION("""COMPUTED_VALUE"""),"Comparison")</f>
        <v>Comparison</v>
      </c>
      <c r="E83" t="str">
        <f ca="1">IFERROR(__xludf.DUMMYFUNCTION("""COMPUTED_VALUE"""),"Toddlerhood - Toddlerhood")</f>
        <v>Toddlerhood - Toddlerhood</v>
      </c>
      <c r="F83" s="125">
        <f ca="1">IFERROR(__xludf.DUMMYFUNCTION("""COMPUTED_VALUE"""),20)</f>
        <v>20</v>
      </c>
      <c r="G83" s="119">
        <f ca="1">IFERROR(__xludf.DUMMYFUNCTION("""COMPUTED_VALUE"""),0.215686274509804)</f>
        <v>0.21568627450980399</v>
      </c>
      <c r="H83" s="122">
        <f ca="1">IFERROR(__xludf.DUMMYFUNCTION("""COMPUTED_VALUE"""),0.8)</f>
        <v>0.8</v>
      </c>
      <c r="I83">
        <f ca="1">IFERROR(__xludf.DUMMYFUNCTION("""COMPUTED_VALUE"""),1995)</f>
        <v>1995</v>
      </c>
      <c r="J83" t="str">
        <f ca="1">IFERROR(__xludf.DUMMYFUNCTION("""COMPUTED_VALUE"""),"USA")</f>
        <v>USA</v>
      </c>
      <c r="K83" t="str">
        <f ca="1">IFERROR(__xludf.DUMMYFUNCTION("""COMPUTED_VALUE"""),"Ainsworth/Ainsworth")</f>
        <v>Ainsworth/Ainsworth</v>
      </c>
      <c r="L83">
        <f ca="1">IFERROR(__xludf.DUMMYFUNCTION("""COMPUTED_VALUE"""),1)</f>
        <v>1</v>
      </c>
      <c r="M83">
        <f ca="1">IFERROR(__xludf.DUMMYFUNCTION("""COMPUTED_VALUE"""),0)</f>
        <v>0</v>
      </c>
      <c r="N83">
        <f ca="1">IFERROR(__xludf.DUMMYFUNCTION("""COMPUTED_VALUE"""),0)</f>
        <v>0</v>
      </c>
      <c r="O83">
        <f ca="1">IFERROR(__xludf.DUMMYFUNCTION("""COMPUTED_VALUE"""),1)</f>
        <v>1</v>
      </c>
      <c r="P83">
        <f ca="1">IFERROR(__xludf.DUMMYFUNCTION("""COMPUTED_VALUE"""),0.82)</f>
        <v>0.82</v>
      </c>
      <c r="Q83">
        <f ca="1">IFERROR(__xludf.DUMMYFUNCTION("""COMPUTED_VALUE"""),0)</f>
        <v>0</v>
      </c>
      <c r="R83" t="str">
        <f ca="1">IFERROR(__xludf.DUMMYFUNCTION("""COMPUTED_VALUE"""),"Female")</f>
        <v>Female</v>
      </c>
    </row>
    <row r="84" spans="1:18" ht="12.3">
      <c r="A84">
        <f ca="1">IFERROR(__xludf.DUMMYFUNCTION("""COMPUTED_VALUE"""),72)</f>
        <v>72</v>
      </c>
      <c r="B84" t="str">
        <f ca="1">IFERROR(__xludf.DUMMYFUNCTION("""COMPUTED_VALUE"""),"Egeland &amp; Farber (1984)")</f>
        <v>Egeland &amp; Farber (1984)</v>
      </c>
      <c r="C84">
        <f ca="1">IFERROR(__xludf.DUMMYFUNCTION("""COMPUTED_VALUE"""),1)</f>
        <v>1</v>
      </c>
      <c r="D84" t="str">
        <f ca="1">IFERROR(__xludf.DUMMYFUNCTION("""COMPUTED_VALUE"""),"Mother-child")</f>
        <v>Mother-child</v>
      </c>
      <c r="E84" t="str">
        <f ca="1">IFERROR(__xludf.DUMMYFUNCTION("""COMPUTED_VALUE"""),"Infancy - Infancy")</f>
        <v>Infancy - Infancy</v>
      </c>
      <c r="F84" s="125">
        <f ca="1">IFERROR(__xludf.DUMMYFUNCTION("""COMPUTED_VALUE"""),189)</f>
        <v>189</v>
      </c>
      <c r="G84" s="119">
        <f ca="1">IFERROR(__xludf.DUMMYFUNCTION("""COMPUTED_VALUE"""),0.314626144016577)</f>
        <v>0.31462614401657701</v>
      </c>
      <c r="H84" s="122">
        <f ca="1">IFERROR(__xludf.DUMMYFUNCTION("""COMPUTED_VALUE"""),0.666666666666666)</f>
        <v>0.66666666666666596</v>
      </c>
      <c r="I84">
        <f ca="1">IFERROR(__xludf.DUMMYFUNCTION("""COMPUTED_VALUE"""),1984)</f>
        <v>1984</v>
      </c>
      <c r="J84" t="str">
        <f ca="1">IFERROR(__xludf.DUMMYFUNCTION("""COMPUTED_VALUE"""),"USA")</f>
        <v>USA</v>
      </c>
      <c r="K84" t="str">
        <f ca="1">IFERROR(__xludf.DUMMYFUNCTION("""COMPUTED_VALUE"""),"Ainsworth/Ainsworth")</f>
        <v>Ainsworth/Ainsworth</v>
      </c>
      <c r="L84">
        <f ca="1">IFERROR(__xludf.DUMMYFUNCTION("""COMPUTED_VALUE"""),1)</f>
        <v>1</v>
      </c>
      <c r="M84">
        <f ca="1">IFERROR(__xludf.DUMMYFUNCTION("""COMPUTED_VALUE"""),1)</f>
        <v>1</v>
      </c>
      <c r="N84">
        <f ca="1">IFERROR(__xludf.DUMMYFUNCTION("""COMPUTED_VALUE"""),0)</f>
        <v>0</v>
      </c>
      <c r="O84">
        <f ca="1">IFERROR(__xludf.DUMMYFUNCTION("""COMPUTED_VALUE"""),1)</f>
        <v>1</v>
      </c>
      <c r="P84">
        <f ca="1">IFERROR(__xludf.DUMMYFUNCTION("""COMPUTED_VALUE"""),0.91)</f>
        <v>0.91</v>
      </c>
      <c r="Q84">
        <f ca="1">IFERROR(__xludf.DUMMYFUNCTION("""COMPUTED_VALUE"""),0)</f>
        <v>0</v>
      </c>
      <c r="R84" t="str">
        <f ca="1">IFERROR(__xludf.DUMMYFUNCTION("""COMPUTED_VALUE"""),"Female")</f>
        <v>Female</v>
      </c>
    </row>
    <row r="85" spans="1:18" ht="12.3">
      <c r="A85">
        <f ca="1">IFERROR(__xludf.DUMMYFUNCTION("""COMPUTED_VALUE"""),73)</f>
        <v>73</v>
      </c>
      <c r="B85" t="str">
        <f ca="1">IFERROR(__xludf.DUMMYFUNCTION("""COMPUTED_VALUE"""),"Egeland &amp; Sroufe (1981)")</f>
        <v>Egeland &amp; Sroufe (1981)</v>
      </c>
      <c r="C85">
        <f ca="1">IFERROR(__xludf.DUMMYFUNCTION("""COMPUTED_VALUE"""),1)</f>
        <v>1</v>
      </c>
      <c r="D85" t="str">
        <f ca="1">IFERROR(__xludf.DUMMYFUNCTION("""COMPUTED_VALUE"""),"Maltreated")</f>
        <v>Maltreated</v>
      </c>
      <c r="E85" t="str">
        <f ca="1">IFERROR(__xludf.DUMMYFUNCTION("""COMPUTED_VALUE"""),"Infancy - Infancy")</f>
        <v>Infancy - Infancy</v>
      </c>
      <c r="F85" s="125">
        <f ca="1">IFERROR(__xludf.DUMMYFUNCTION("""COMPUTED_VALUE"""),25)</f>
        <v>25</v>
      </c>
      <c r="G85" s="119">
        <f ca="1">IFERROR(__xludf.DUMMYFUNCTION("""COMPUTED_VALUE"""),0.303405572755417)</f>
        <v>0.30340557275541702</v>
      </c>
      <c r="H85" s="122">
        <f ca="1">IFERROR(__xludf.DUMMYFUNCTION("""COMPUTED_VALUE"""),0.64)</f>
        <v>0.64</v>
      </c>
      <c r="I85">
        <f ca="1">IFERROR(__xludf.DUMMYFUNCTION("""COMPUTED_VALUE"""),1981)</f>
        <v>1981</v>
      </c>
      <c r="J85" t="str">
        <f ca="1">IFERROR(__xludf.DUMMYFUNCTION("""COMPUTED_VALUE"""),"USA")</f>
        <v>USA</v>
      </c>
      <c r="K85" t="str">
        <f ca="1">IFERROR(__xludf.DUMMYFUNCTION("""COMPUTED_VALUE"""),"Ainsworth/Ainsworth")</f>
        <v>Ainsworth/Ainsworth</v>
      </c>
      <c r="L85">
        <f ca="1">IFERROR(__xludf.DUMMYFUNCTION("""COMPUTED_VALUE"""),1)</f>
        <v>1</v>
      </c>
      <c r="M85">
        <f ca="1">IFERROR(__xludf.DUMMYFUNCTION("""COMPUTED_VALUE"""),1)</f>
        <v>1</v>
      </c>
      <c r="N85">
        <f ca="1">IFERROR(__xludf.DUMMYFUNCTION("""COMPUTED_VALUE"""),0)</f>
        <v>0</v>
      </c>
      <c r="O85">
        <f ca="1">IFERROR(__xludf.DUMMYFUNCTION("""COMPUTED_VALUE"""),1)</f>
        <v>1</v>
      </c>
      <c r="P85">
        <f ca="1">IFERROR(__xludf.DUMMYFUNCTION("""COMPUTED_VALUE"""),0.91)</f>
        <v>0.91</v>
      </c>
      <c r="Q85">
        <f ca="1">IFERROR(__xludf.DUMMYFUNCTION("""COMPUTED_VALUE"""),0)</f>
        <v>0</v>
      </c>
      <c r="R85" t="str">
        <f ca="1">IFERROR(__xludf.DUMMYFUNCTION("""COMPUTED_VALUE"""),"Female")</f>
        <v>Female</v>
      </c>
    </row>
    <row r="86" spans="1:18" ht="12.3">
      <c r="A86">
        <f ca="1">IFERROR(__xludf.DUMMYFUNCTION("""COMPUTED_VALUE"""),74)</f>
        <v>74</v>
      </c>
      <c r="B86" t="str">
        <f ca="1">IFERROR(__xludf.DUMMYFUNCTION("""COMPUTED_VALUE"""),"Egeland &amp; Sroufe (1981)")</f>
        <v>Egeland &amp; Sroufe (1981)</v>
      </c>
      <c r="C86">
        <f ca="1">IFERROR(__xludf.DUMMYFUNCTION("""COMPUTED_VALUE"""),1)</f>
        <v>1</v>
      </c>
      <c r="D86" t="str">
        <f ca="1">IFERROR(__xludf.DUMMYFUNCTION("""COMPUTED_VALUE"""),"Comparison")</f>
        <v>Comparison</v>
      </c>
      <c r="E86" t="str">
        <f ca="1">IFERROR(__xludf.DUMMYFUNCTION("""COMPUTED_VALUE"""),"Infancy - Infancy")</f>
        <v>Infancy - Infancy</v>
      </c>
      <c r="F86" s="125">
        <f ca="1">IFERROR(__xludf.DUMMYFUNCTION("""COMPUTED_VALUE"""),32)</f>
        <v>32</v>
      </c>
      <c r="G86" s="119">
        <f ca="1">IFERROR(__xludf.DUMMYFUNCTION("""COMPUTED_VALUE"""),0.666666666666666)</f>
        <v>0.66666666666666596</v>
      </c>
      <c r="H86" s="122">
        <f ca="1">IFERROR(__xludf.DUMMYFUNCTION("""COMPUTED_VALUE"""),0.875)</f>
        <v>0.875</v>
      </c>
      <c r="I86">
        <f ca="1">IFERROR(__xludf.DUMMYFUNCTION("""COMPUTED_VALUE"""),1981)</f>
        <v>1981</v>
      </c>
      <c r="J86" t="str">
        <f ca="1">IFERROR(__xludf.DUMMYFUNCTION("""COMPUTED_VALUE"""),"USA")</f>
        <v>USA</v>
      </c>
      <c r="K86" t="str">
        <f ca="1">IFERROR(__xludf.DUMMYFUNCTION("""COMPUTED_VALUE"""),"Ainsworth/Ainsworth")</f>
        <v>Ainsworth/Ainsworth</v>
      </c>
      <c r="L86">
        <f ca="1">IFERROR(__xludf.DUMMYFUNCTION("""COMPUTED_VALUE"""),1)</f>
        <v>1</v>
      </c>
      <c r="M86">
        <f ca="1">IFERROR(__xludf.DUMMYFUNCTION("""COMPUTED_VALUE"""),0)</f>
        <v>0</v>
      </c>
      <c r="N86">
        <f ca="1">IFERROR(__xludf.DUMMYFUNCTION("""COMPUTED_VALUE"""),0)</f>
        <v>0</v>
      </c>
      <c r="O86">
        <f ca="1">IFERROR(__xludf.DUMMYFUNCTION("""COMPUTED_VALUE"""),1)</f>
        <v>1</v>
      </c>
      <c r="P86">
        <f ca="1">IFERROR(__xludf.DUMMYFUNCTION("""COMPUTED_VALUE"""),0.91)</f>
        <v>0.91</v>
      </c>
      <c r="Q86">
        <f ca="1">IFERROR(__xludf.DUMMYFUNCTION("""COMPUTED_VALUE"""),0)</f>
        <v>0</v>
      </c>
      <c r="R86" t="str">
        <f ca="1">IFERROR(__xludf.DUMMYFUNCTION("""COMPUTED_VALUE"""),"Female")</f>
        <v>Female</v>
      </c>
    </row>
    <row r="87" spans="1:18" ht="12.3">
      <c r="A87">
        <f ca="1">IFERROR(__xludf.DUMMYFUNCTION("""COMPUTED_VALUE"""),75)</f>
        <v>75</v>
      </c>
      <c r="B87" t="str">
        <f ca="1">IFERROR(__xludf.DUMMYFUNCTION("""COMPUTED_VALUE"""),"Vaughn, Gove, &amp; Egeland (1980) ")</f>
        <v xml:space="preserve">Vaughn, Gove, &amp; Egeland (1980) </v>
      </c>
      <c r="C87">
        <f ca="1">IFERROR(__xludf.DUMMYFUNCTION("""COMPUTED_VALUE"""),1)</f>
        <v>1</v>
      </c>
      <c r="D87" t="str">
        <f ca="1">IFERROR(__xludf.DUMMYFUNCTION("""COMPUTED_VALUE"""),"Early return to work")</f>
        <v>Early return to work</v>
      </c>
      <c r="E87" t="str">
        <f ca="1">IFERROR(__xludf.DUMMYFUNCTION("""COMPUTED_VALUE"""),"Infancy - Infancy")</f>
        <v>Infancy - Infancy</v>
      </c>
      <c r="F87" s="125">
        <f ca="1">IFERROR(__xludf.DUMMYFUNCTION("""COMPUTED_VALUE"""),34)</f>
        <v>34</v>
      </c>
      <c r="G87" s="119">
        <f ca="1">IFERROR(__xludf.DUMMYFUNCTION("""COMPUTED_VALUE"""),0.588235294117647)</f>
        <v>0.58823529411764697</v>
      </c>
      <c r="H87" s="122">
        <f ca="1">IFERROR(__xludf.DUMMYFUNCTION("""COMPUTED_VALUE"""),0.794117647058823)</f>
        <v>0.79411764705882304</v>
      </c>
      <c r="I87">
        <f ca="1">IFERROR(__xludf.DUMMYFUNCTION("""COMPUTED_VALUE"""),1980)</f>
        <v>1980</v>
      </c>
      <c r="J87" t="str">
        <f ca="1">IFERROR(__xludf.DUMMYFUNCTION("""COMPUTED_VALUE"""),"USA")</f>
        <v>USA</v>
      </c>
      <c r="K87" t="str">
        <f ca="1">IFERROR(__xludf.DUMMYFUNCTION("""COMPUTED_VALUE"""),"Ainsworth/Ainsworth")</f>
        <v>Ainsworth/Ainsworth</v>
      </c>
      <c r="L87">
        <f ca="1">IFERROR(__xludf.DUMMYFUNCTION("""COMPUTED_VALUE"""),0)</f>
        <v>0</v>
      </c>
      <c r="M87">
        <f ca="1">IFERROR(__xludf.DUMMYFUNCTION("""COMPUTED_VALUE"""),1)</f>
        <v>1</v>
      </c>
      <c r="N87">
        <f ca="1">IFERROR(__xludf.DUMMYFUNCTION("""COMPUTED_VALUE"""),0)</f>
        <v>0</v>
      </c>
      <c r="O87">
        <f ca="1">IFERROR(__xludf.DUMMYFUNCTION("""COMPUTED_VALUE"""),1)</f>
        <v>1</v>
      </c>
      <c r="P87">
        <f ca="1">IFERROR(__xludf.DUMMYFUNCTION("""COMPUTED_VALUE"""),0.915)</f>
        <v>0.91500000000000004</v>
      </c>
      <c r="Q87">
        <f ca="1">IFERROR(__xludf.DUMMYFUNCTION("""COMPUTED_VALUE"""),0)</f>
        <v>0</v>
      </c>
      <c r="R87" t="str">
        <f ca="1">IFERROR(__xludf.DUMMYFUNCTION("""COMPUTED_VALUE"""),"Female")</f>
        <v>Female</v>
      </c>
    </row>
    <row r="88" spans="1:18" ht="12.3">
      <c r="A88">
        <f ca="1">IFERROR(__xludf.DUMMYFUNCTION("""COMPUTED_VALUE"""),76)</f>
        <v>76</v>
      </c>
      <c r="B88" t="str">
        <f ca="1">IFERROR(__xludf.DUMMYFUNCTION("""COMPUTED_VALUE"""),"Vaughn, Gove, &amp; Egeland (1980) ")</f>
        <v xml:space="preserve">Vaughn, Gove, &amp; Egeland (1980) </v>
      </c>
      <c r="C88">
        <f ca="1">IFERROR(__xludf.DUMMYFUNCTION("""COMPUTED_VALUE"""),1)</f>
        <v>1</v>
      </c>
      <c r="D88" t="str">
        <f ca="1">IFERROR(__xludf.DUMMYFUNCTION("""COMPUTED_VALUE"""),"Late return to work")</f>
        <v>Late return to work</v>
      </c>
      <c r="E88" t="str">
        <f ca="1">IFERROR(__xludf.DUMMYFUNCTION("""COMPUTED_VALUE"""),"Infancy - Infancy")</f>
        <v>Infancy - Infancy</v>
      </c>
      <c r="F88" s="125">
        <f ca="1">IFERROR(__xludf.DUMMYFUNCTION("""COMPUTED_VALUE"""),18)</f>
        <v>18</v>
      </c>
      <c r="G88" s="119">
        <f ca="1">IFERROR(__xludf.DUMMYFUNCTION("""COMPUTED_VALUE"""),0.111111111111111)</f>
        <v>0.11111111111111099</v>
      </c>
      <c r="H88" s="122">
        <f ca="1">IFERROR(__xludf.DUMMYFUNCTION("""COMPUTED_VALUE"""),0.555555555555555)</f>
        <v>0.55555555555555503</v>
      </c>
      <c r="I88">
        <f ca="1">IFERROR(__xludf.DUMMYFUNCTION("""COMPUTED_VALUE"""),1980)</f>
        <v>1980</v>
      </c>
      <c r="J88" t="str">
        <f ca="1">IFERROR(__xludf.DUMMYFUNCTION("""COMPUTED_VALUE"""),"USA")</f>
        <v>USA</v>
      </c>
      <c r="K88" t="str">
        <f ca="1">IFERROR(__xludf.DUMMYFUNCTION("""COMPUTED_VALUE"""),"Ainsworth/Ainsworth")</f>
        <v>Ainsworth/Ainsworth</v>
      </c>
      <c r="L88">
        <f ca="1">IFERROR(__xludf.DUMMYFUNCTION("""COMPUTED_VALUE"""),0)</f>
        <v>0</v>
      </c>
      <c r="M88">
        <f ca="1">IFERROR(__xludf.DUMMYFUNCTION("""COMPUTED_VALUE"""),1)</f>
        <v>1</v>
      </c>
      <c r="N88">
        <f ca="1">IFERROR(__xludf.DUMMYFUNCTION("""COMPUTED_VALUE"""),0)</f>
        <v>0</v>
      </c>
      <c r="O88">
        <f ca="1">IFERROR(__xludf.DUMMYFUNCTION("""COMPUTED_VALUE"""),1)</f>
        <v>1</v>
      </c>
      <c r="P88">
        <f ca="1">IFERROR(__xludf.DUMMYFUNCTION("""COMPUTED_VALUE"""),0.915)</f>
        <v>0.91500000000000004</v>
      </c>
      <c r="Q88">
        <f ca="1">IFERROR(__xludf.DUMMYFUNCTION("""COMPUTED_VALUE"""),0)</f>
        <v>0</v>
      </c>
      <c r="R88" t="str">
        <f ca="1">IFERROR(__xludf.DUMMYFUNCTION("""COMPUTED_VALUE"""),"Female")</f>
        <v>Female</v>
      </c>
    </row>
    <row r="89" spans="1:18" ht="12.3">
      <c r="A89">
        <f ca="1">IFERROR(__xludf.DUMMYFUNCTION("""COMPUTED_VALUE"""),77)</f>
        <v>77</v>
      </c>
      <c r="B89" t="str">
        <f ca="1">IFERROR(__xludf.DUMMYFUNCTION("""COMPUTED_VALUE"""),"Vaughn, Gove, &amp; Egeland (1980) ")</f>
        <v xml:space="preserve">Vaughn, Gove, &amp; Egeland (1980) </v>
      </c>
      <c r="C89">
        <f ca="1">IFERROR(__xludf.DUMMYFUNCTION("""COMPUTED_VALUE"""),1)</f>
        <v>1</v>
      </c>
      <c r="D89" t="str">
        <f ca="1">IFERROR(__xludf.DUMMYFUNCTION("""COMPUTED_VALUE"""),"Did not return")</f>
        <v>Did not return</v>
      </c>
      <c r="E89" t="str">
        <f ca="1">IFERROR(__xludf.DUMMYFUNCTION("""COMPUTED_VALUE"""),"Infancy - Infancy")</f>
        <v>Infancy - Infancy</v>
      </c>
      <c r="F89" s="125">
        <f ca="1">IFERROR(__xludf.DUMMYFUNCTION("""COMPUTED_VALUE"""),52)</f>
        <v>52</v>
      </c>
      <c r="G89" s="119">
        <f ca="1">IFERROR(__xludf.DUMMYFUNCTION("""COMPUTED_VALUE"""),0.289389067524115)</f>
        <v>0.28938906752411497</v>
      </c>
      <c r="H89" s="122">
        <f ca="1">IFERROR(__xludf.DUMMYFUNCTION("""COMPUTED_VALUE"""),0.673076923076923)</f>
        <v>0.67307692307692302</v>
      </c>
      <c r="I89">
        <f ca="1">IFERROR(__xludf.DUMMYFUNCTION("""COMPUTED_VALUE"""),1980)</f>
        <v>1980</v>
      </c>
      <c r="J89" t="str">
        <f ca="1">IFERROR(__xludf.DUMMYFUNCTION("""COMPUTED_VALUE"""),"USA")</f>
        <v>USA</v>
      </c>
      <c r="K89" t="str">
        <f ca="1">IFERROR(__xludf.DUMMYFUNCTION("""COMPUTED_VALUE"""),"Ainsworth/Ainsworth")</f>
        <v>Ainsworth/Ainsworth</v>
      </c>
      <c r="L89">
        <f ca="1">IFERROR(__xludf.DUMMYFUNCTION("""COMPUTED_VALUE"""),0)</f>
        <v>0</v>
      </c>
      <c r="M89">
        <f ca="1">IFERROR(__xludf.DUMMYFUNCTION("""COMPUTED_VALUE"""),1)</f>
        <v>1</v>
      </c>
      <c r="N89">
        <f ca="1">IFERROR(__xludf.DUMMYFUNCTION("""COMPUTED_VALUE"""),0)</f>
        <v>0</v>
      </c>
      <c r="O89">
        <f ca="1">IFERROR(__xludf.DUMMYFUNCTION("""COMPUTED_VALUE"""),1)</f>
        <v>1</v>
      </c>
      <c r="P89">
        <f ca="1">IFERROR(__xludf.DUMMYFUNCTION("""COMPUTED_VALUE"""),0.915)</f>
        <v>0.91500000000000004</v>
      </c>
      <c r="Q89">
        <f ca="1">IFERROR(__xludf.DUMMYFUNCTION("""COMPUTED_VALUE"""),0)</f>
        <v>0</v>
      </c>
      <c r="R89" t="str">
        <f ca="1">IFERROR(__xludf.DUMMYFUNCTION("""COMPUTED_VALUE"""),"Female")</f>
        <v>Female</v>
      </c>
    </row>
    <row r="90" spans="1:18" ht="12.3">
      <c r="A90">
        <f ca="1">IFERROR(__xludf.DUMMYFUNCTION("""COMPUTED_VALUE"""),78)</f>
        <v>78</v>
      </c>
      <c r="B90" t="str">
        <f ca="1">IFERROR(__xludf.DUMMYFUNCTION("""COMPUTED_VALUE"""),"Wijnroks (1994) ")</f>
        <v xml:space="preserve">Wijnroks (1994) </v>
      </c>
      <c r="C90">
        <f ca="1">IFERROR(__xludf.DUMMYFUNCTION("""COMPUTED_VALUE"""),1)</f>
        <v>1</v>
      </c>
      <c r="D90" t="str">
        <f ca="1">IFERROR(__xludf.DUMMYFUNCTION("""COMPUTED_VALUE"""),"Mother-child")</f>
        <v>Mother-child</v>
      </c>
      <c r="E90" t="str">
        <f ca="1">IFERROR(__xludf.DUMMYFUNCTION("""COMPUTED_VALUE"""),"Infancy - Infancy")</f>
        <v>Infancy - Infancy</v>
      </c>
      <c r="F90" s="125">
        <f ca="1">IFERROR(__xludf.DUMMYFUNCTION("""COMPUTED_VALUE"""),35)</f>
        <v>35</v>
      </c>
      <c r="G90" s="119">
        <f ca="1">IFERROR(__xludf.DUMMYFUNCTION("""COMPUTED_VALUE"""),0.111675126903553)</f>
        <v>0.111675126903553</v>
      </c>
      <c r="H90" s="122">
        <f ca="1">IFERROR(__xludf.DUMMYFUNCTION("""COMPUTED_VALUE"""),0.714285714285714)</f>
        <v>0.71428571428571397</v>
      </c>
      <c r="I90">
        <f ca="1">IFERROR(__xludf.DUMMYFUNCTION("""COMPUTED_VALUE"""),1994)</f>
        <v>1994</v>
      </c>
      <c r="J90" t="str">
        <f ca="1">IFERROR(__xludf.DUMMYFUNCTION("""COMPUTED_VALUE"""),"Non-USA")</f>
        <v>Non-USA</v>
      </c>
      <c r="K90" t="str">
        <f ca="1">IFERROR(__xludf.DUMMYFUNCTION("""COMPUTED_VALUE"""),"Ainsworth/Ainsworth")</f>
        <v>Ainsworth/Ainsworth</v>
      </c>
      <c r="L90">
        <f ca="1">IFERROR(__xludf.DUMMYFUNCTION("""COMPUTED_VALUE"""),1)</f>
        <v>1</v>
      </c>
      <c r="M90">
        <f ca="1">IFERROR(__xludf.DUMMYFUNCTION("""COMPUTED_VALUE"""),0)</f>
        <v>0</v>
      </c>
      <c r="N90">
        <f ca="1">IFERROR(__xludf.DUMMYFUNCTION("""COMPUTED_VALUE"""),1)</f>
        <v>1</v>
      </c>
      <c r="O90">
        <f ca="1">IFERROR(__xludf.DUMMYFUNCTION("""COMPUTED_VALUE"""),0)</f>
        <v>0</v>
      </c>
      <c r="P90">
        <f ca="1">IFERROR(__xludf.DUMMYFUNCTION("""COMPUTED_VALUE"""),0.9)</f>
        <v>0.9</v>
      </c>
      <c r="Q90">
        <f ca="1">IFERROR(__xludf.DUMMYFUNCTION("""COMPUTED_VALUE"""),0)</f>
        <v>0</v>
      </c>
      <c r="R90" t="str">
        <f ca="1">IFERROR(__xludf.DUMMYFUNCTION("""COMPUTED_VALUE"""),"Female")</f>
        <v>Female</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34"/>
  <sheetViews>
    <sheetView workbookViewId="0"/>
  </sheetViews>
  <sheetFormatPr defaultColWidth="14.44140625" defaultRowHeight="15.75" customHeight="1"/>
  <cols>
    <col min="1" max="1" width="7.71875" customWidth="1"/>
    <col min="2" max="2" width="45.27734375" customWidth="1"/>
    <col min="3" max="3" width="12.27734375" customWidth="1"/>
    <col min="4" max="4" width="19.27734375" customWidth="1"/>
    <col min="5" max="5" width="20.27734375" customWidth="1"/>
    <col min="6" max="6" width="17.44140625" customWidth="1"/>
    <col min="7" max="7" width="18.5546875" customWidth="1"/>
    <col min="8" max="8" width="16.27734375" customWidth="1"/>
    <col min="9" max="9" width="8.27734375" customWidth="1"/>
    <col min="10" max="10" width="26" customWidth="1"/>
    <col min="11" max="11" width="10.109375" customWidth="1"/>
    <col min="12" max="12" width="11.44140625" customWidth="1"/>
    <col min="13" max="13" width="9.109375" customWidth="1"/>
    <col min="14" max="14" width="19.44140625" customWidth="1"/>
  </cols>
  <sheetData>
    <row r="1" spans="1:26" ht="15.75" customHeight="1">
      <c r="A1" s="109" t="str">
        <f ca="1">IFERROR(__xludf.DUMMYFUNCTION("QUERY(Processed!A1:BP150,""SELECT A, B, C, D, E, Z, AE, AA, BG, BH, BI, BJ, BK, BL, BM, BN, BO, BP WHERE W = TRUE"",1)"),"Study ID")</f>
        <v>Study ID</v>
      </c>
      <c r="B1" s="109" t="str">
        <f ca="1">IFERROR(__xludf.DUMMYFUNCTION("""COMPUTED_VALUE"""),"Authors")</f>
        <v>Authors</v>
      </c>
      <c r="C1" s="109" t="str">
        <f ca="1">IFERROR(__xludf.DUMMYFUNCTION("""COMPUTED_VALUE"""),"Subsample ID")</f>
        <v>Subsample ID</v>
      </c>
      <c r="D1" s="109" t="str">
        <f ca="1">IFERROR(__xludf.DUMMYFUNCTION("""COMPUTED_VALUE"""),"Subsample Desciption")</f>
        <v>Subsample Desciption</v>
      </c>
      <c r="E1" s="109" t="str">
        <f ca="1">IFERROR(__xludf.DUMMYFUNCTION("""COMPUTED_VALUE"""),"Interval")</f>
        <v>Interval</v>
      </c>
      <c r="F1" s="109" t="str">
        <f ca="1">IFERROR(__xludf.DUMMYFUNCTION("""COMPUTED_VALUE"""),"3-way n - Final")</f>
        <v>3-way n - Final</v>
      </c>
      <c r="G1" s="109" t="str">
        <f ca="1">IFERROR(__xludf.DUMMYFUNCTION("""COMPUTED_VALUE"""),"3-way k - Final")</f>
        <v>3-way k - Final</v>
      </c>
      <c r="H1" s="109" t="str">
        <f ca="1">IFERROR(__xludf.DUMMYFUNCTION("""COMPUTED_VALUE"""),"3-way PA - Calculated")</f>
        <v>3-way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14" t="str">
        <f ca="1">IFERROR(__xludf.DUMMYFUNCTION("""COMPUTED_VALUE"""),"Gender")</f>
        <v>Gender</v>
      </c>
      <c r="S1" s="114"/>
      <c r="T1" s="114"/>
      <c r="U1" s="114"/>
      <c r="V1" s="114"/>
      <c r="W1" s="114"/>
      <c r="X1" s="114"/>
      <c r="Y1" s="114"/>
      <c r="Z1" s="114"/>
    </row>
    <row r="2" spans="1:26" ht="15.75" customHeight="1">
      <c r="A2" s="56">
        <f ca="1">IFERROR(__xludf.DUMMYFUNCTION("""COMPUTED_VALUE"""),2)</f>
        <v>2</v>
      </c>
      <c r="B2" s="56" t="str">
        <f ca="1">IFERROR(__xludf.DUMMYFUNCTION("""COMPUTED_VALUE"""),"Ammaniti, Speranza, &amp; Fedele (2005)")</f>
        <v>Ammaniti, Speranza, &amp; Fedele (2005)</v>
      </c>
      <c r="C2" s="56">
        <f ca="1">IFERROR(__xludf.DUMMYFUNCTION("""COMPUTED_VALUE"""),1)</f>
        <v>1</v>
      </c>
      <c r="D2" s="56" t="str">
        <f ca="1">IFERROR(__xludf.DUMMYFUNCTION("""COMPUTED_VALUE"""),"51 month interval")</f>
        <v>51 month interval</v>
      </c>
      <c r="E2" s="56" t="str">
        <f ca="1">IFERROR(__xludf.DUMMYFUNCTION("""COMPUTED_VALUE"""),"Infancy - Preschool")</f>
        <v>Infancy - Preschool</v>
      </c>
      <c r="F2" s="56" t="str">
        <f ca="1">IFERROR(__xludf.DUMMYFUNCTION("""COMPUTED_VALUE"""),"35")</f>
        <v>35</v>
      </c>
      <c r="G2" s="56" t="str">
        <f ca="1">IFERROR(__xludf.DUMMYFUNCTION("""COMPUTED_VALUE"""),"0.4852941176")</f>
        <v>0.4852941176</v>
      </c>
      <c r="H2" s="56" t="str">
        <f ca="1">IFERROR(__xludf.DUMMYFUNCTION("""COMPUTED_VALUE"""),"0.7142857143")</f>
        <v>0.7142857143</v>
      </c>
      <c r="I2" s="56">
        <f ca="1">IFERROR(__xludf.DUMMYFUNCTION("""COMPUTED_VALUE"""),2005)</f>
        <v>2005</v>
      </c>
      <c r="J2" s="56" t="str">
        <f ca="1">IFERROR(__xludf.DUMMYFUNCTION("""COMPUTED_VALUE"""),"Non-USA")</f>
        <v>Non-USA</v>
      </c>
      <c r="K2" s="56" t="str">
        <f ca="1">IFERROR(__xludf.DUMMYFUNCTION("""COMPUTED_VALUE"""),"Ainsworth/Cassidy-Marvin")</f>
        <v>Ainsworth/Cassidy-Marvin</v>
      </c>
      <c r="L2" s="56">
        <f ca="1">IFERROR(__xludf.DUMMYFUNCTION("""COMPUTED_VALUE"""),1)</f>
        <v>1</v>
      </c>
      <c r="M2" s="56">
        <f ca="1">IFERROR(__xludf.DUMMYFUNCTION("""COMPUTED_VALUE"""),0)</f>
        <v>0</v>
      </c>
      <c r="N2" s="56">
        <f ca="1">IFERROR(__xludf.DUMMYFUNCTION("""COMPUTED_VALUE"""),0)</f>
        <v>0</v>
      </c>
      <c r="O2" s="56">
        <f ca="1">IFERROR(__xludf.DUMMYFUNCTION("""COMPUTED_VALUE"""),1)</f>
        <v>1</v>
      </c>
      <c r="P2" s="56" t="str">
        <f ca="1">IFERROR(__xludf.DUMMYFUNCTION("""COMPUTED_VALUE"""),"")</f>
        <v/>
      </c>
      <c r="Q2" s="56">
        <f ca="1">IFERROR(__xludf.DUMMYFUNCTION("""COMPUTED_VALUE"""),0)</f>
        <v>0</v>
      </c>
      <c r="R2" t="str">
        <f ca="1">IFERROR(__xludf.DUMMYFUNCTION("""COMPUTED_VALUE"""),"Female")</f>
        <v>Female</v>
      </c>
    </row>
    <row r="3" spans="1:26" ht="15.75" customHeight="1">
      <c r="A3" s="56">
        <f ca="1">IFERROR(__xludf.DUMMYFUNCTION("""COMPUTED_VALUE"""),4)</f>
        <v>4</v>
      </c>
      <c r="B3" s="56" t="str">
        <f ca="1">IFERROR(__xludf.DUMMYFUNCTION("""COMPUTED_VALUE"""),"Bar-Haim et al. (2000) ")</f>
        <v xml:space="preserve">Bar-Haim et al. (2000) </v>
      </c>
      <c r="C3" s="56">
        <f ca="1">IFERROR(__xludf.DUMMYFUNCTION("""COMPUTED_VALUE"""),1)</f>
        <v>1</v>
      </c>
      <c r="D3" s="56" t="str">
        <f ca="1">IFERROR(__xludf.DUMMYFUNCTION("""COMPUTED_VALUE"""),"10 month interval")</f>
        <v>10 month interval</v>
      </c>
      <c r="E3" s="56" t="str">
        <f ca="1">IFERROR(__xludf.DUMMYFUNCTION("""COMPUTED_VALUE"""),"Infancy - Toddlerhood")</f>
        <v>Infancy - Toddlerhood</v>
      </c>
      <c r="F3" s="56" t="str">
        <f ca="1">IFERROR(__xludf.DUMMYFUNCTION("""COMPUTED_VALUE"""),"42")</f>
        <v>42</v>
      </c>
      <c r="G3" s="56" t="str">
        <f ca="1">IFERROR(__xludf.DUMMYFUNCTION("""COMPUTED_VALUE"""),"0.2873303167")</f>
        <v>0.2873303167</v>
      </c>
      <c r="H3" s="56" t="str">
        <f ca="1">IFERROR(__xludf.DUMMYFUNCTION("""COMPUTED_VALUE"""),"0.6428571429")</f>
        <v>0.6428571429</v>
      </c>
      <c r="I3" s="56">
        <f ca="1">IFERROR(__xludf.DUMMYFUNCTION("""COMPUTED_VALUE"""),2000)</f>
        <v>2000</v>
      </c>
      <c r="J3" s="56" t="str">
        <f ca="1">IFERROR(__xludf.DUMMYFUNCTION("""COMPUTED_VALUE"""),"USA")</f>
        <v>USA</v>
      </c>
      <c r="K3" s="56" t="str">
        <f ca="1">IFERROR(__xludf.DUMMYFUNCTION("""COMPUTED_VALUE"""),"Ainsworth/Ainsworth")</f>
        <v>Ainsworth/Ainsworth</v>
      </c>
      <c r="L3" s="56">
        <f ca="1">IFERROR(__xludf.DUMMYFUNCTION("""COMPUTED_VALUE"""),1)</f>
        <v>1</v>
      </c>
      <c r="M3" s="56">
        <f ca="1">IFERROR(__xludf.DUMMYFUNCTION("""COMPUTED_VALUE"""),0)</f>
        <v>0</v>
      </c>
      <c r="N3" s="56">
        <f ca="1">IFERROR(__xludf.DUMMYFUNCTION("""COMPUTED_VALUE"""),0)</f>
        <v>0</v>
      </c>
      <c r="O3" s="56">
        <f ca="1">IFERROR(__xludf.DUMMYFUNCTION("""COMPUTED_VALUE"""),1)</f>
        <v>1</v>
      </c>
      <c r="P3" s="56">
        <f ca="1">IFERROR(__xludf.DUMMYFUNCTION("""COMPUTED_VALUE"""),0.82)</f>
        <v>0.82</v>
      </c>
      <c r="Q3" s="56">
        <f ca="1">IFERROR(__xludf.DUMMYFUNCTION("""COMPUTED_VALUE"""),0)</f>
        <v>0</v>
      </c>
      <c r="R3" t="str">
        <f ca="1">IFERROR(__xludf.DUMMYFUNCTION("""COMPUTED_VALUE"""),"Female")</f>
        <v>Female</v>
      </c>
    </row>
    <row r="4" spans="1:26" ht="15.75" customHeight="1">
      <c r="A4" s="56">
        <f ca="1">IFERROR(__xludf.DUMMYFUNCTION("""COMPUTED_VALUE"""),4)</f>
        <v>4</v>
      </c>
      <c r="B4" s="56" t="str">
        <f ca="1">IFERROR(__xludf.DUMMYFUNCTION("""COMPUTED_VALUE"""),"Bar-Haim et al. (2000) ")</f>
        <v xml:space="preserve">Bar-Haim et al. (2000) </v>
      </c>
      <c r="C4" s="56">
        <f ca="1">IFERROR(__xludf.DUMMYFUNCTION("""COMPUTED_VALUE"""),2)</f>
        <v>2</v>
      </c>
      <c r="D4" s="56" t="str">
        <f ca="1">IFERROR(__xludf.DUMMYFUNCTION("""COMPUTED_VALUE"""),"34 month interval")</f>
        <v>34 month interval</v>
      </c>
      <c r="E4" s="56" t="str">
        <f ca="1">IFERROR(__xludf.DUMMYFUNCTION("""COMPUTED_VALUE"""),"Toddlerhood - Preschool")</f>
        <v>Toddlerhood - Preschool</v>
      </c>
      <c r="F4" s="56" t="str">
        <f ca="1">IFERROR(__xludf.DUMMYFUNCTION("""COMPUTED_VALUE"""),"45")</f>
        <v>45</v>
      </c>
      <c r="G4" s="56" t="str">
        <f ca="1">IFERROR(__xludf.DUMMYFUNCTION("""COMPUTED_VALUE"""),"-0.1591536339")</f>
        <v>-0.1591536339</v>
      </c>
      <c r="H4" s="56" t="str">
        <f ca="1">IFERROR(__xludf.DUMMYFUNCTION("""COMPUTED_VALUE"""),"0.3777777778")</f>
        <v>0.3777777778</v>
      </c>
      <c r="I4" s="56">
        <f ca="1">IFERROR(__xludf.DUMMYFUNCTION("""COMPUTED_VALUE"""),2000)</f>
        <v>2000</v>
      </c>
      <c r="J4" s="56" t="str">
        <f ca="1">IFERROR(__xludf.DUMMYFUNCTION("""COMPUTED_VALUE"""),"USA")</f>
        <v>USA</v>
      </c>
      <c r="K4" s="56" t="str">
        <f ca="1">IFERROR(__xludf.DUMMYFUNCTION("""COMPUTED_VALUE"""),"Ainsworth/Cassidy-Marvin")</f>
        <v>Ainsworth/Cassidy-Marvin</v>
      </c>
      <c r="L4" s="56">
        <f ca="1">IFERROR(__xludf.DUMMYFUNCTION("""COMPUTED_VALUE"""),1)</f>
        <v>1</v>
      </c>
      <c r="M4" s="56">
        <f ca="1">IFERROR(__xludf.DUMMYFUNCTION("""COMPUTED_VALUE"""),0)</f>
        <v>0</v>
      </c>
      <c r="N4" s="56">
        <f ca="1">IFERROR(__xludf.DUMMYFUNCTION("""COMPUTED_VALUE"""),0)</f>
        <v>0</v>
      </c>
      <c r="O4" s="56">
        <f ca="1">IFERROR(__xludf.DUMMYFUNCTION("""COMPUTED_VALUE"""),1)</f>
        <v>1</v>
      </c>
      <c r="P4" s="56">
        <f ca="1">IFERROR(__xludf.DUMMYFUNCTION("""COMPUTED_VALUE"""),0.82)</f>
        <v>0.82</v>
      </c>
      <c r="Q4" s="56">
        <f ca="1">IFERROR(__xludf.DUMMYFUNCTION("""COMPUTED_VALUE"""),0)</f>
        <v>0</v>
      </c>
      <c r="R4" t="str">
        <f ca="1">IFERROR(__xludf.DUMMYFUNCTION("""COMPUTED_VALUE"""),"Female")</f>
        <v>Female</v>
      </c>
    </row>
    <row r="5" spans="1:26" ht="15.75" customHeight="1">
      <c r="A5" s="56">
        <f ca="1">IFERROR(__xludf.DUMMYFUNCTION("""COMPUTED_VALUE"""),4)</f>
        <v>4</v>
      </c>
      <c r="B5" s="56" t="str">
        <f ca="1">IFERROR(__xludf.DUMMYFUNCTION("""COMPUTED_VALUE"""),"Bar-Haimet al. (2000) ")</f>
        <v xml:space="preserve">Bar-Haimet al. (2000) </v>
      </c>
      <c r="C5" s="56">
        <f ca="1">IFERROR(__xludf.DUMMYFUNCTION("""COMPUTED_VALUE"""),3)</f>
        <v>3</v>
      </c>
      <c r="D5" s="56" t="str">
        <f ca="1">IFERROR(__xludf.DUMMYFUNCTION("""COMPUTED_VALUE"""),"44 month interval")</f>
        <v>44 month interval</v>
      </c>
      <c r="E5" s="56" t="str">
        <f ca="1">IFERROR(__xludf.DUMMYFUNCTION("""COMPUTED_VALUE"""),"Infancy - Preschool")</f>
        <v>Infancy - Preschool</v>
      </c>
      <c r="F5" s="56" t="str">
        <f ca="1">IFERROR(__xludf.DUMMYFUNCTION("""COMPUTED_VALUE"""),"43")</f>
        <v>43</v>
      </c>
      <c r="G5" s="56" t="str">
        <f ca="1">IFERROR(__xludf.DUMMYFUNCTION("""COMPUTED_VALUE"""),"-0.07715430862")</f>
        <v>-0.07715430862</v>
      </c>
      <c r="H5" s="56" t="str">
        <f ca="1">IFERROR(__xludf.DUMMYFUNCTION("""COMPUTED_VALUE"""),"0.4186046512")</f>
        <v>0.4186046512</v>
      </c>
      <c r="I5" s="56">
        <f ca="1">IFERROR(__xludf.DUMMYFUNCTION("""COMPUTED_VALUE"""),2000)</f>
        <v>2000</v>
      </c>
      <c r="J5" s="56" t="str">
        <f ca="1">IFERROR(__xludf.DUMMYFUNCTION("""COMPUTED_VALUE"""),"USA")</f>
        <v>USA</v>
      </c>
      <c r="K5" s="56" t="str">
        <f ca="1">IFERROR(__xludf.DUMMYFUNCTION("""COMPUTED_VALUE"""),"Ainsworth/Cassidy-Marvin")</f>
        <v>Ainsworth/Cassidy-Marvin</v>
      </c>
      <c r="L5" s="56">
        <f ca="1">IFERROR(__xludf.DUMMYFUNCTION("""COMPUTED_VALUE"""),1)</f>
        <v>1</v>
      </c>
      <c r="M5" s="56">
        <f ca="1">IFERROR(__xludf.DUMMYFUNCTION("""COMPUTED_VALUE"""),0)</f>
        <v>0</v>
      </c>
      <c r="N5" s="56">
        <f ca="1">IFERROR(__xludf.DUMMYFUNCTION("""COMPUTED_VALUE"""),0)</f>
        <v>0</v>
      </c>
      <c r="O5" s="56">
        <f ca="1">IFERROR(__xludf.DUMMYFUNCTION("""COMPUTED_VALUE"""),1)</f>
        <v>1</v>
      </c>
      <c r="P5" s="56">
        <f ca="1">IFERROR(__xludf.DUMMYFUNCTION("""COMPUTED_VALUE"""),0.82)</f>
        <v>0.82</v>
      </c>
      <c r="Q5" s="56">
        <f ca="1">IFERROR(__xludf.DUMMYFUNCTION("""COMPUTED_VALUE"""),0)</f>
        <v>0</v>
      </c>
      <c r="R5" t="str">
        <f ca="1">IFERROR(__xludf.DUMMYFUNCTION("""COMPUTED_VALUE"""),"Female")</f>
        <v>Female</v>
      </c>
    </row>
    <row r="6" spans="1:26" ht="15.75" customHeight="1">
      <c r="A6" s="56">
        <f ca="1">IFERROR(__xludf.DUMMYFUNCTION("""COMPUTED_VALUE"""),15)</f>
        <v>15</v>
      </c>
      <c r="B6" s="56" t="str">
        <f ca="1">IFERROR(__xludf.DUMMYFUNCTION("""COMPUTED_VALUE"""),"Hautamaki et al. (2010)")</f>
        <v>Hautamaki et al. (2010)</v>
      </c>
      <c r="C6" s="56">
        <f ca="1">IFERROR(__xludf.DUMMYFUNCTION("""COMPUTED_VALUE"""),1)</f>
        <v>1</v>
      </c>
      <c r="D6" s="56" t="str">
        <f ca="1">IFERROR(__xludf.DUMMYFUNCTION("""COMPUTED_VALUE"""),"Mother-child")</f>
        <v>Mother-child</v>
      </c>
      <c r="E6" s="56" t="str">
        <f ca="1">IFERROR(__xludf.DUMMYFUNCTION("""COMPUTED_VALUE"""),"Infancy - Toddlerhood")</f>
        <v>Infancy - Toddlerhood</v>
      </c>
      <c r="F6" s="56" t="str">
        <f ca="1">IFERROR(__xludf.DUMMYFUNCTION("""COMPUTED_VALUE"""),"33")</f>
        <v>33</v>
      </c>
      <c r="G6" s="56" t="str">
        <f ca="1">IFERROR(__xludf.DUMMYFUNCTION("""COMPUTED_VALUE"""),"0.3940677966")</f>
        <v>0.3940677966</v>
      </c>
      <c r="H6" s="56" t="str">
        <f ca="1">IFERROR(__xludf.DUMMYFUNCTION("""COMPUTED_VALUE"""),"0.6060606061")</f>
        <v>0.6060606061</v>
      </c>
      <c r="I6" s="56">
        <f ca="1">IFERROR(__xludf.DUMMYFUNCTION("""COMPUTED_VALUE"""),2010)</f>
        <v>2010</v>
      </c>
      <c r="J6" s="56" t="str">
        <f ca="1">IFERROR(__xludf.DUMMYFUNCTION("""COMPUTED_VALUE"""),"Non-USA")</f>
        <v>Non-USA</v>
      </c>
      <c r="K6" s="56" t="str">
        <f ca="1">IFERROR(__xludf.DUMMYFUNCTION("""COMPUTED_VALUE"""),"Ainsworth/Crittenden")</f>
        <v>Ainsworth/Crittenden</v>
      </c>
      <c r="L6" s="56">
        <f ca="1">IFERROR(__xludf.DUMMYFUNCTION("""COMPUTED_VALUE"""),1)</f>
        <v>1</v>
      </c>
      <c r="M6" s="56">
        <f ca="1">IFERROR(__xludf.DUMMYFUNCTION("""COMPUTED_VALUE"""),0)</f>
        <v>0</v>
      </c>
      <c r="N6" s="56">
        <f ca="1">IFERROR(__xludf.DUMMYFUNCTION("""COMPUTED_VALUE"""),0)</f>
        <v>0</v>
      </c>
      <c r="O6" s="56">
        <f ca="1">IFERROR(__xludf.DUMMYFUNCTION("""COMPUTED_VALUE"""),1)</f>
        <v>1</v>
      </c>
      <c r="P6" s="56">
        <f ca="1">IFERROR(__xludf.DUMMYFUNCTION("""COMPUTED_VALUE"""),0.975)</f>
        <v>0.97499999999999998</v>
      </c>
      <c r="Q6" s="56">
        <f ca="1">IFERROR(__xludf.DUMMYFUNCTION("""COMPUTED_VALUE"""),0)</f>
        <v>0</v>
      </c>
      <c r="R6" t="str">
        <f ca="1">IFERROR(__xludf.DUMMYFUNCTION("""COMPUTED_VALUE"""),"Mixed")</f>
        <v>Mixed</v>
      </c>
    </row>
    <row r="7" spans="1:26" ht="15.75" customHeight="1">
      <c r="A7" s="56">
        <f ca="1">IFERROR(__xludf.DUMMYFUNCTION("""COMPUTED_VALUE"""),16)</f>
        <v>16</v>
      </c>
      <c r="B7" s="56" t="str">
        <f ca="1">IFERROR(__xludf.DUMMYFUNCTION("""COMPUTED_VALUE"""),"Howes &amp; Hamilton (1992)")</f>
        <v>Howes &amp; Hamilton (1992)</v>
      </c>
      <c r="C7" s="56">
        <f ca="1">IFERROR(__xludf.DUMMYFUNCTION("""COMPUTED_VALUE"""),1)</f>
        <v>1</v>
      </c>
      <c r="D7" s="56" t="str">
        <f ca="1">IFERROR(__xludf.DUMMYFUNCTION("""COMPUTED_VALUE"""),"Sample 2")</f>
        <v>Sample 2</v>
      </c>
      <c r="E7" s="56" t="str">
        <f ca="1">IFERROR(__xludf.DUMMYFUNCTION("""COMPUTED_VALUE"""),"Infancy - Preschool")</f>
        <v>Infancy - Preschool</v>
      </c>
      <c r="F7" s="56" t="str">
        <f ca="1">IFERROR(__xludf.DUMMYFUNCTION("""COMPUTED_VALUE"""),"89")</f>
        <v>89</v>
      </c>
      <c r="G7" s="56" t="str">
        <f ca="1">IFERROR(__xludf.DUMMYFUNCTION("""COMPUTED_VALUE"""),"0.4025303382")</f>
        <v>0.4025303382</v>
      </c>
      <c r="H7" s="56" t="str">
        <f ca="1">IFERROR(__xludf.DUMMYFUNCTION("""COMPUTED_VALUE"""),"0.7078651685")</f>
        <v>0.7078651685</v>
      </c>
      <c r="I7" s="56">
        <f ca="1">IFERROR(__xludf.DUMMYFUNCTION("""COMPUTED_VALUE"""),1992)</f>
        <v>1992</v>
      </c>
      <c r="J7" s="56" t="str">
        <f ca="1">IFERROR(__xludf.DUMMYFUNCTION("""COMPUTED_VALUE"""),"USA")</f>
        <v>USA</v>
      </c>
      <c r="K7" s="56" t="str">
        <f ca="1">IFERROR(__xludf.DUMMYFUNCTION("""COMPUTED_VALUE"""),"Ainsworth/Cassidy-Marvin")</f>
        <v>Ainsworth/Cassidy-Marvin</v>
      </c>
      <c r="L7" s="56">
        <f ca="1">IFERROR(__xludf.DUMMYFUNCTION("""COMPUTED_VALUE"""),1)</f>
        <v>1</v>
      </c>
      <c r="M7" s="56">
        <f ca="1">IFERROR(__xludf.DUMMYFUNCTION("""COMPUTED_VALUE"""),0)</f>
        <v>0</v>
      </c>
      <c r="N7" s="56">
        <f ca="1">IFERROR(__xludf.DUMMYFUNCTION("""COMPUTED_VALUE"""),0)</f>
        <v>0</v>
      </c>
      <c r="O7" s="56">
        <f ca="1">IFERROR(__xludf.DUMMYFUNCTION("""COMPUTED_VALUE"""),1)</f>
        <v>1</v>
      </c>
      <c r="P7" s="56" t="str">
        <f ca="1">IFERROR(__xludf.DUMMYFUNCTION("""COMPUTED_VALUE"""),"")</f>
        <v/>
      </c>
      <c r="Q7" s="56">
        <f ca="1">IFERROR(__xludf.DUMMYFUNCTION("""COMPUTED_VALUE"""),0)</f>
        <v>0</v>
      </c>
      <c r="R7" t="str">
        <f ca="1">IFERROR(__xludf.DUMMYFUNCTION("""COMPUTED_VALUE"""),"Female")</f>
        <v>Female</v>
      </c>
    </row>
    <row r="8" spans="1:26" ht="15.75" customHeight="1">
      <c r="A8" s="56">
        <f ca="1">IFERROR(__xludf.DUMMYFUNCTION("""COMPUTED_VALUE"""),35)</f>
        <v>35</v>
      </c>
      <c r="B8" s="56" t="str">
        <f ca="1">IFERROR(__xludf.DUMMYFUNCTION("""COMPUTED_VALUE"""),"Wartner et al. (1994) ")</f>
        <v xml:space="preserve">Wartner et al. (1994) </v>
      </c>
      <c r="C8" s="56">
        <f ca="1">IFERROR(__xludf.DUMMYFUNCTION("""COMPUTED_VALUE"""),1)</f>
        <v>1</v>
      </c>
      <c r="D8" s="56" t="str">
        <f ca="1">IFERROR(__xludf.DUMMYFUNCTION("""COMPUTED_VALUE"""),"Single sample")</f>
        <v>Single sample</v>
      </c>
      <c r="E8" s="56" t="str">
        <f ca="1">IFERROR(__xludf.DUMMYFUNCTION("""COMPUTED_VALUE"""),"Infancy - Preschool")</f>
        <v>Infancy - Preschool</v>
      </c>
      <c r="F8" s="56" t="str">
        <f ca="1">IFERROR(__xludf.DUMMYFUNCTION("""COMPUTED_VALUE"""),"40")</f>
        <v>40</v>
      </c>
      <c r="G8" s="56" t="str">
        <f ca="1">IFERROR(__xludf.DUMMYFUNCTION("""COMPUTED_VALUE"""),"0.7350993377")</f>
        <v>0.7350993377</v>
      </c>
      <c r="H8" s="56" t="str">
        <f ca="1">IFERROR(__xludf.DUMMYFUNCTION("""COMPUTED_VALUE"""),"0.875")</f>
        <v>0.875</v>
      </c>
      <c r="I8" s="56">
        <f ca="1">IFERROR(__xludf.DUMMYFUNCTION("""COMPUTED_VALUE"""),1994)</f>
        <v>1994</v>
      </c>
      <c r="J8" s="56" t="str">
        <f ca="1">IFERROR(__xludf.DUMMYFUNCTION("""COMPUTED_VALUE"""),"Non-USA")</f>
        <v>Non-USA</v>
      </c>
      <c r="K8" s="56" t="str">
        <f ca="1">IFERROR(__xludf.DUMMYFUNCTION("""COMPUTED_VALUE"""),"Ainsworth/Main-Cassidy")</f>
        <v>Ainsworth/Main-Cassidy</v>
      </c>
      <c r="L8" s="56">
        <f ca="1">IFERROR(__xludf.DUMMYFUNCTION("""COMPUTED_VALUE"""),0)</f>
        <v>0</v>
      </c>
      <c r="M8" s="56">
        <f ca="1">IFERROR(__xludf.DUMMYFUNCTION("""COMPUTED_VALUE"""),0)</f>
        <v>0</v>
      </c>
      <c r="N8" s="56">
        <f ca="1">IFERROR(__xludf.DUMMYFUNCTION("""COMPUTED_VALUE"""),0)</f>
        <v>0</v>
      </c>
      <c r="O8" s="56">
        <f ca="1">IFERROR(__xludf.DUMMYFUNCTION("""COMPUTED_VALUE"""),1)</f>
        <v>1</v>
      </c>
      <c r="P8" s="56">
        <f ca="1">IFERROR(__xludf.DUMMYFUNCTION("""COMPUTED_VALUE"""),0.97)</f>
        <v>0.97</v>
      </c>
      <c r="Q8" s="56">
        <f ca="1">IFERROR(__xludf.DUMMYFUNCTION("""COMPUTED_VALUE"""),1)</f>
        <v>1</v>
      </c>
      <c r="R8" t="str">
        <f ca="1">IFERROR(__xludf.DUMMYFUNCTION("""COMPUTED_VALUE"""),"Female")</f>
        <v>Female</v>
      </c>
    </row>
    <row r="9" spans="1:26" ht="15.75" customHeight="1">
      <c r="A9" s="56">
        <f ca="1">IFERROR(__xludf.DUMMYFUNCTION("""COMPUTED_VALUE"""),40)</f>
        <v>40</v>
      </c>
      <c r="B9" s="56" t="str">
        <f ca="1">IFERROR(__xludf.DUMMYFUNCTION("""COMPUTED_VALUE"""),"Fargot &amp; Pears (1996)")</f>
        <v>Fargot &amp; Pears (1996)</v>
      </c>
      <c r="C9" s="56">
        <f ca="1">IFERROR(__xludf.DUMMYFUNCTION("""COMPUTED_VALUE"""),1)</f>
        <v>1</v>
      </c>
      <c r="D9" s="56" t="str">
        <f ca="1">IFERROR(__xludf.DUMMYFUNCTION("""COMPUTED_VALUE"""),"Single sample")</f>
        <v>Single sample</v>
      </c>
      <c r="E9" s="56" t="str">
        <f ca="1">IFERROR(__xludf.DUMMYFUNCTION("""COMPUTED_VALUE"""),"Infancy - Toddlerhood")</f>
        <v>Infancy - Toddlerhood</v>
      </c>
      <c r="F9" s="56" t="str">
        <f ca="1">IFERROR(__xludf.DUMMYFUNCTION("""COMPUTED_VALUE"""),"96")</f>
        <v>96</v>
      </c>
      <c r="G9" s="56" t="str">
        <f ca="1">IFERROR(__xludf.DUMMYFUNCTION("""COMPUTED_VALUE"""),"0.4861313869")</f>
        <v>0.4861313869</v>
      </c>
      <c r="H9" s="56" t="str">
        <f ca="1">IFERROR(__xludf.DUMMYFUNCTION("""COMPUTED_VALUE"""),"0.65625")</f>
        <v>0.65625</v>
      </c>
      <c r="I9" s="56">
        <f ca="1">IFERROR(__xludf.DUMMYFUNCTION("""COMPUTED_VALUE"""),1996)</f>
        <v>1996</v>
      </c>
      <c r="J9" s="56" t="str">
        <f ca="1">IFERROR(__xludf.DUMMYFUNCTION("""COMPUTED_VALUE"""),"USA")</f>
        <v>USA</v>
      </c>
      <c r="K9" s="56" t="str">
        <f ca="1">IFERROR(__xludf.DUMMYFUNCTION("""COMPUTED_VALUE"""),"Ainsworth/Crittenden")</f>
        <v>Ainsworth/Crittenden</v>
      </c>
      <c r="L9" s="56">
        <f ca="1">IFERROR(__xludf.DUMMYFUNCTION("""COMPUTED_VALUE"""),1)</f>
        <v>1</v>
      </c>
      <c r="M9" s="56">
        <f ca="1">IFERROR(__xludf.DUMMYFUNCTION("""COMPUTED_VALUE"""),0)</f>
        <v>0</v>
      </c>
      <c r="N9" s="56">
        <f ca="1">IFERROR(__xludf.DUMMYFUNCTION("""COMPUTED_VALUE"""),0)</f>
        <v>0</v>
      </c>
      <c r="O9" s="56">
        <f ca="1">IFERROR(__xludf.DUMMYFUNCTION("""COMPUTED_VALUE"""),1)</f>
        <v>1</v>
      </c>
      <c r="P9" s="56">
        <f ca="1">IFERROR(__xludf.DUMMYFUNCTION("""COMPUTED_VALUE"""),0.832763671875)</f>
        <v>0.832763671875</v>
      </c>
      <c r="Q9" s="56">
        <f ca="1">IFERROR(__xludf.DUMMYFUNCTION("""COMPUTED_VALUE"""),0)</f>
        <v>0</v>
      </c>
      <c r="R9" t="str">
        <f ca="1">IFERROR(__xludf.DUMMYFUNCTION("""COMPUTED_VALUE"""),"Female")</f>
        <v>Female</v>
      </c>
    </row>
    <row r="10" spans="1:26" ht="15.75" customHeight="1">
      <c r="A10" s="56">
        <f ca="1">IFERROR(__xludf.DUMMYFUNCTION("""COMPUTED_VALUE"""),45)</f>
        <v>45</v>
      </c>
      <c r="B10" s="56" t="str">
        <f ca="1">IFERROR(__xludf.DUMMYFUNCTION("""COMPUTED_VALUE"""),"Nakano (1984)")</f>
        <v>Nakano (1984)</v>
      </c>
      <c r="C10" s="56">
        <f ca="1">IFERROR(__xludf.DUMMYFUNCTION("""COMPUTED_VALUE"""),1)</f>
        <v>1</v>
      </c>
      <c r="D10" s="56" t="str">
        <f ca="1">IFERROR(__xludf.DUMMYFUNCTION("""COMPUTED_VALUE"""),"Female children only")</f>
        <v>Female children only</v>
      </c>
      <c r="E10" s="56" t="str">
        <f ca="1">IFERROR(__xludf.DUMMYFUNCTION("""COMPUTED_VALUE"""),"Infancy - Toddlerhood")</f>
        <v>Infancy - Toddlerhood</v>
      </c>
      <c r="F10" s="56" t="str">
        <f ca="1">IFERROR(__xludf.DUMMYFUNCTION("""COMPUTED_VALUE"""),"7")</f>
        <v>7</v>
      </c>
      <c r="G10" s="56" t="str">
        <f ca="1">IFERROR(__xludf.DUMMYFUNCTION("""COMPUTED_VALUE"""),"0.16")</f>
        <v>0.16</v>
      </c>
      <c r="H10" s="56" t="str">
        <f ca="1">IFERROR(__xludf.DUMMYFUNCTION("""COMPUTED_VALUE"""),"0.5714285714")</f>
        <v>0.5714285714</v>
      </c>
      <c r="I10" s="56">
        <f ca="1">IFERROR(__xludf.DUMMYFUNCTION("""COMPUTED_VALUE"""),1984)</f>
        <v>1984</v>
      </c>
      <c r="J10" s="56" t="str">
        <f ca="1">IFERROR(__xludf.DUMMYFUNCTION("""COMPUTED_VALUE"""),"Non-USA")</f>
        <v>Non-USA</v>
      </c>
      <c r="K10" s="56" t="str">
        <f ca="1">IFERROR(__xludf.DUMMYFUNCTION("""COMPUTED_VALUE"""),"Ainsworth/Ainsworth")</f>
        <v>Ainsworth/Ainsworth</v>
      </c>
      <c r="L10" s="56">
        <f ca="1">IFERROR(__xludf.DUMMYFUNCTION("""COMPUTED_VALUE"""),0)</f>
        <v>0</v>
      </c>
      <c r="M10" s="56">
        <f ca="1">IFERROR(__xludf.DUMMYFUNCTION("""COMPUTED_VALUE"""),0)</f>
        <v>0</v>
      </c>
      <c r="N10" s="56">
        <f ca="1">IFERROR(__xludf.DUMMYFUNCTION("""COMPUTED_VALUE"""),0)</f>
        <v>0</v>
      </c>
      <c r="O10" s="56">
        <f ca="1">IFERROR(__xludf.DUMMYFUNCTION("""COMPUTED_VALUE"""),0)</f>
        <v>0</v>
      </c>
      <c r="P10" s="56" t="str">
        <f ca="1">IFERROR(__xludf.DUMMYFUNCTION("""COMPUTED_VALUE"""),"")</f>
        <v/>
      </c>
      <c r="Q10" s="56">
        <f ca="1">IFERROR(__xludf.DUMMYFUNCTION("""COMPUTED_VALUE"""),0)</f>
        <v>0</v>
      </c>
      <c r="R10" t="str">
        <f ca="1">IFERROR(__xludf.DUMMYFUNCTION("""COMPUTED_VALUE"""),"Female")</f>
        <v>Female</v>
      </c>
    </row>
    <row r="11" spans="1:26" ht="15.75" customHeight="1">
      <c r="A11" s="56">
        <f ca="1">IFERROR(__xludf.DUMMYFUNCTION("""COMPUTED_VALUE"""),46)</f>
        <v>46</v>
      </c>
      <c r="B11" s="56" t="str">
        <f ca="1">IFERROR(__xludf.DUMMYFUNCTION("""COMPUTED_VALUE"""),"Frodi, Grolnick &amp; Bridges (1985)")</f>
        <v>Frodi, Grolnick &amp; Bridges (1985)</v>
      </c>
      <c r="C11" s="56">
        <f ca="1">IFERROR(__xludf.DUMMYFUNCTION("""COMPUTED_VALUE"""),1)</f>
        <v>1</v>
      </c>
      <c r="D11" s="56" t="str">
        <f ca="1">IFERROR(__xludf.DUMMYFUNCTION("""COMPUTED_VALUE"""),"Single sample")</f>
        <v>Single sample</v>
      </c>
      <c r="E11" s="56" t="str">
        <f ca="1">IFERROR(__xludf.DUMMYFUNCTION("""COMPUTED_VALUE"""),"Infancy - Toddlerhood")</f>
        <v>Infancy - Toddlerhood</v>
      </c>
      <c r="F11" s="56" t="str">
        <f ca="1">IFERROR(__xludf.DUMMYFUNCTION("""COMPUTED_VALUE"""),"38")</f>
        <v>38</v>
      </c>
      <c r="G11" s="56" t="str">
        <f ca="1">IFERROR(__xludf.DUMMYFUNCTION("""COMPUTED_VALUE"""),"0.1272084806")</f>
        <v>0.1272084806</v>
      </c>
      <c r="H11" s="56" t="str">
        <f ca="1">IFERROR(__xludf.DUMMYFUNCTION("""COMPUTED_VALUE"""),"0.6578947368")</f>
        <v>0.6578947368</v>
      </c>
      <c r="I11" s="56">
        <f ca="1">IFERROR(__xludf.DUMMYFUNCTION("""COMPUTED_VALUE"""),1985)</f>
        <v>1985</v>
      </c>
      <c r="J11" s="56" t="str">
        <f ca="1">IFERROR(__xludf.DUMMYFUNCTION("""COMPUTED_VALUE"""),"USA")</f>
        <v>USA</v>
      </c>
      <c r="K11" s="56" t="str">
        <f ca="1">IFERROR(__xludf.DUMMYFUNCTION("""COMPUTED_VALUE"""),"Ainsworth/Ainsworth")</f>
        <v>Ainsworth/Ainsworth</v>
      </c>
      <c r="L11" s="56">
        <f ca="1">IFERROR(__xludf.DUMMYFUNCTION("""COMPUTED_VALUE"""),1)</f>
        <v>1</v>
      </c>
      <c r="M11" s="56">
        <f ca="1">IFERROR(__xludf.DUMMYFUNCTION("""COMPUTED_VALUE"""),0)</f>
        <v>0</v>
      </c>
      <c r="N11" s="56">
        <f ca="1">IFERROR(__xludf.DUMMYFUNCTION("""COMPUTED_VALUE"""),0)</f>
        <v>0</v>
      </c>
      <c r="O11" s="56">
        <f ca="1">IFERROR(__xludf.DUMMYFUNCTION("""COMPUTED_VALUE"""),1)</f>
        <v>1</v>
      </c>
      <c r="P11" s="56">
        <f ca="1">IFERROR(__xludf.DUMMYFUNCTION("""COMPUTED_VALUE"""),0.79)</f>
        <v>0.79</v>
      </c>
      <c r="Q11" s="56">
        <f ca="1">IFERROR(__xludf.DUMMYFUNCTION("""COMPUTED_VALUE"""),0)</f>
        <v>0</v>
      </c>
      <c r="R11" t="str">
        <f ca="1">IFERROR(__xludf.DUMMYFUNCTION("""COMPUTED_VALUE"""),"Female")</f>
        <v>Female</v>
      </c>
    </row>
    <row r="12" spans="1:26" ht="15.75" customHeight="1">
      <c r="A12" s="56">
        <f ca="1">IFERROR(__xludf.DUMMYFUNCTION("""COMPUTED_VALUE"""),47)</f>
        <v>47</v>
      </c>
      <c r="B12" s="56" t="str">
        <f ca="1">IFERROR(__xludf.DUMMYFUNCTION("""COMPUTED_VALUE"""),"Thompson, Lamb &amp; Estes (1982)")</f>
        <v>Thompson, Lamb &amp; Estes (1982)</v>
      </c>
      <c r="C12" s="56">
        <f ca="1">IFERROR(__xludf.DUMMYFUNCTION("""COMPUTED_VALUE"""),1)</f>
        <v>1</v>
      </c>
      <c r="D12" s="56" t="str">
        <f ca="1">IFERROR(__xludf.DUMMYFUNCTION("""COMPUTED_VALUE"""),"Single sample")</f>
        <v>Single sample</v>
      </c>
      <c r="E12" s="56" t="str">
        <f ca="1">IFERROR(__xludf.DUMMYFUNCTION("""COMPUTED_VALUE"""),"Infancy - Toddlerhood")</f>
        <v>Infancy - Toddlerhood</v>
      </c>
      <c r="F12" s="56" t="str">
        <f ca="1">IFERROR(__xludf.DUMMYFUNCTION("""COMPUTED_VALUE"""),"43")</f>
        <v>43</v>
      </c>
      <c r="G12" s="56" t="str">
        <f ca="1">IFERROR(__xludf.DUMMYFUNCTION("""COMPUTED_VALUE"""),"0.03262092238")</f>
        <v>0.03262092238</v>
      </c>
      <c r="H12" s="56" t="str">
        <f ca="1">IFERROR(__xludf.DUMMYFUNCTION("""COMPUTED_VALUE"""),"0.5348837209")</f>
        <v>0.5348837209</v>
      </c>
      <c r="I12" s="56">
        <f ca="1">IFERROR(__xludf.DUMMYFUNCTION("""COMPUTED_VALUE"""),1982)</f>
        <v>1982</v>
      </c>
      <c r="J12" s="56" t="str">
        <f ca="1">IFERROR(__xludf.DUMMYFUNCTION("""COMPUTED_VALUE"""),"USA")</f>
        <v>USA</v>
      </c>
      <c r="K12" s="56" t="str">
        <f ca="1">IFERROR(__xludf.DUMMYFUNCTION("""COMPUTED_VALUE"""),"Ainsworth/Ainsworth")</f>
        <v>Ainsworth/Ainsworth</v>
      </c>
      <c r="L12" s="56">
        <f ca="1">IFERROR(__xludf.DUMMYFUNCTION("""COMPUTED_VALUE"""),1)</f>
        <v>1</v>
      </c>
      <c r="M12" s="56">
        <f ca="1">IFERROR(__xludf.DUMMYFUNCTION("""COMPUTED_VALUE"""),0)</f>
        <v>0</v>
      </c>
      <c r="N12" s="56">
        <f ca="1">IFERROR(__xludf.DUMMYFUNCTION("""COMPUTED_VALUE"""),0)</f>
        <v>0</v>
      </c>
      <c r="O12" s="56">
        <f ca="1">IFERROR(__xludf.DUMMYFUNCTION("""COMPUTED_VALUE"""),1)</f>
        <v>1</v>
      </c>
      <c r="P12" s="56">
        <f ca="1">IFERROR(__xludf.DUMMYFUNCTION("""COMPUTED_VALUE"""),0.94)</f>
        <v>0.94</v>
      </c>
      <c r="Q12" s="56">
        <f ca="1">IFERROR(__xludf.DUMMYFUNCTION("""COMPUTED_VALUE"""),0)</f>
        <v>0</v>
      </c>
      <c r="R12" t="str">
        <f ca="1">IFERROR(__xludf.DUMMYFUNCTION("""COMPUTED_VALUE"""),"Female")</f>
        <v>Female</v>
      </c>
    </row>
    <row r="13" spans="1:26" ht="15.75" customHeight="1">
      <c r="A13" s="56">
        <f ca="1">IFERROR(__xludf.DUMMYFUNCTION("""COMPUTED_VALUE"""),48)</f>
        <v>48</v>
      </c>
      <c r="B13" s="56" t="str">
        <f ca="1">IFERROR(__xludf.DUMMYFUNCTION("""COMPUTED_VALUE"""),"Owen et al. (1984)")</f>
        <v>Owen et al. (1984)</v>
      </c>
      <c r="C13" s="56">
        <f ca="1">IFERROR(__xludf.DUMMYFUNCTION("""COMPUTED_VALUE"""),1)</f>
        <v>1</v>
      </c>
      <c r="D13" s="56" t="str">
        <f ca="1">IFERROR(__xludf.DUMMYFUNCTION("""COMPUTED_VALUE"""),"Mother-child")</f>
        <v>Mother-child</v>
      </c>
      <c r="E13" s="56" t="str">
        <f ca="1">IFERROR(__xludf.DUMMYFUNCTION("""COMPUTED_VALUE"""),"Infancy - Toddlerhood")</f>
        <v>Infancy - Toddlerhood</v>
      </c>
      <c r="F13" s="56" t="str">
        <f ca="1">IFERROR(__xludf.DUMMYFUNCTION("""COMPUTED_VALUE"""),"59")</f>
        <v>59</v>
      </c>
      <c r="G13" s="56" t="str">
        <f ca="1">IFERROR(__xludf.DUMMYFUNCTION("""COMPUTED_VALUE"""),"0.1449275362")</f>
        <v>0.1449275362</v>
      </c>
      <c r="H13" s="56" t="str">
        <f ca="1">IFERROR(__xludf.DUMMYFUNCTION("""COMPUTED_VALUE"""),"0.7796610169")</f>
        <v>0.7796610169</v>
      </c>
      <c r="I13" s="56">
        <f ca="1">IFERROR(__xludf.DUMMYFUNCTION("""COMPUTED_VALUE"""),1984)</f>
        <v>1984</v>
      </c>
      <c r="J13" s="56" t="str">
        <f ca="1">IFERROR(__xludf.DUMMYFUNCTION("""COMPUTED_VALUE"""),"USA")</f>
        <v>USA</v>
      </c>
      <c r="K13" s="56" t="str">
        <f ca="1">IFERROR(__xludf.DUMMYFUNCTION("""COMPUTED_VALUE"""),"Ainsworth/Ainsworth")</f>
        <v>Ainsworth/Ainsworth</v>
      </c>
      <c r="L13" s="56">
        <f ca="1">IFERROR(__xludf.DUMMYFUNCTION("""COMPUTED_VALUE"""),1)</f>
        <v>1</v>
      </c>
      <c r="M13" s="56">
        <f ca="1">IFERROR(__xludf.DUMMYFUNCTION("""COMPUTED_VALUE"""),0)</f>
        <v>0</v>
      </c>
      <c r="N13" s="56">
        <f ca="1">IFERROR(__xludf.DUMMYFUNCTION("""COMPUTED_VALUE"""),0)</f>
        <v>0</v>
      </c>
      <c r="O13" s="56">
        <f ca="1">IFERROR(__xludf.DUMMYFUNCTION("""COMPUTED_VALUE"""),1)</f>
        <v>1</v>
      </c>
      <c r="P13" s="56">
        <f ca="1">IFERROR(__xludf.DUMMYFUNCTION("""COMPUTED_VALUE"""),0.945)</f>
        <v>0.94499999999999995</v>
      </c>
      <c r="Q13" s="56">
        <f ca="1">IFERROR(__xludf.DUMMYFUNCTION("""COMPUTED_VALUE"""),0)</f>
        <v>0</v>
      </c>
      <c r="R13" t="str">
        <f ca="1">IFERROR(__xludf.DUMMYFUNCTION("""COMPUTED_VALUE"""),"Female")</f>
        <v>Female</v>
      </c>
    </row>
    <row r="14" spans="1:26" ht="15.75" customHeight="1">
      <c r="A14" s="56">
        <f ca="1">IFERROR(__xludf.DUMMYFUNCTION("""COMPUTED_VALUE"""),48)</f>
        <v>48</v>
      </c>
      <c r="B14" s="56" t="str">
        <f ca="1">IFERROR(__xludf.DUMMYFUNCTION("""COMPUTED_VALUE"""),"Owen et al. (1984)")</f>
        <v>Owen et al. (1984)</v>
      </c>
      <c r="C14" s="56">
        <f ca="1">IFERROR(__xludf.DUMMYFUNCTION("""COMPUTED_VALUE"""),2)</f>
        <v>2</v>
      </c>
      <c r="D14" s="56" t="str">
        <f ca="1">IFERROR(__xludf.DUMMYFUNCTION("""COMPUTED_VALUE"""),"Father-child")</f>
        <v>Father-child</v>
      </c>
      <c r="E14" s="56" t="str">
        <f ca="1">IFERROR(__xludf.DUMMYFUNCTION("""COMPUTED_VALUE"""),"Infancy - Toddlerhood")</f>
        <v>Infancy - Toddlerhood</v>
      </c>
      <c r="F14" s="56" t="str">
        <f ca="1">IFERROR(__xludf.DUMMYFUNCTION("""COMPUTED_VALUE"""),"53")</f>
        <v>53</v>
      </c>
      <c r="G14" s="56" t="str">
        <f ca="1">IFERROR(__xludf.DUMMYFUNCTION("""COMPUTED_VALUE"""),"0.1613924051")</f>
        <v>0.1613924051</v>
      </c>
      <c r="H14" s="56" t="str">
        <f ca="1">IFERROR(__xludf.DUMMYFUNCTION("""COMPUTED_VALUE"""),"0.6226415094")</f>
        <v>0.6226415094</v>
      </c>
      <c r="I14" s="56">
        <f ca="1">IFERROR(__xludf.DUMMYFUNCTION("""COMPUTED_VALUE"""),1984)</f>
        <v>1984</v>
      </c>
      <c r="J14" s="56" t="str">
        <f ca="1">IFERROR(__xludf.DUMMYFUNCTION("""COMPUTED_VALUE"""),"USA")</f>
        <v>USA</v>
      </c>
      <c r="K14" s="56" t="str">
        <f ca="1">IFERROR(__xludf.DUMMYFUNCTION("""COMPUTED_VALUE"""),"Ainsworth/Ainsworth")</f>
        <v>Ainsworth/Ainsworth</v>
      </c>
      <c r="L14" s="56">
        <f ca="1">IFERROR(__xludf.DUMMYFUNCTION("""COMPUTED_VALUE"""),1)</f>
        <v>1</v>
      </c>
      <c r="M14" s="56">
        <f ca="1">IFERROR(__xludf.DUMMYFUNCTION("""COMPUTED_VALUE"""),0)</f>
        <v>0</v>
      </c>
      <c r="N14" s="56">
        <f ca="1">IFERROR(__xludf.DUMMYFUNCTION("""COMPUTED_VALUE"""),0)</f>
        <v>0</v>
      </c>
      <c r="O14" s="56">
        <f ca="1">IFERROR(__xludf.DUMMYFUNCTION("""COMPUTED_VALUE"""),1)</f>
        <v>1</v>
      </c>
      <c r="P14" s="56">
        <f ca="1">IFERROR(__xludf.DUMMYFUNCTION("""COMPUTED_VALUE"""),0.945)</f>
        <v>0.94499999999999995</v>
      </c>
      <c r="Q14" s="56">
        <f ca="1">IFERROR(__xludf.DUMMYFUNCTION("""COMPUTED_VALUE"""),0)</f>
        <v>0</v>
      </c>
      <c r="R14" t="str">
        <f ca="1">IFERROR(__xludf.DUMMYFUNCTION("""COMPUTED_VALUE"""),"Male")</f>
        <v>Male</v>
      </c>
    </row>
    <row r="15" spans="1:26" ht="15.75" customHeight="1">
      <c r="A15" s="56">
        <f ca="1">IFERROR(__xludf.DUMMYFUNCTION("""COMPUTED_VALUE"""),49)</f>
        <v>49</v>
      </c>
      <c r="B15" s="56" t="str">
        <f ca="1">IFERROR(__xludf.DUMMYFUNCTION("""COMPUTED_VALUE"""),"Belsky et al. (1996)")</f>
        <v>Belsky et al. (1996)</v>
      </c>
      <c r="C15" s="56">
        <f ca="1">IFERROR(__xludf.DUMMYFUNCTION("""COMPUTED_VALUE"""),1)</f>
        <v>1</v>
      </c>
      <c r="D15" s="56" t="str">
        <f ca="1">IFERROR(__xludf.DUMMYFUNCTION("""COMPUTED_VALUE"""),"Father-son (Penn. State)")</f>
        <v>Father-son (Penn. State)</v>
      </c>
      <c r="E15" s="56" t="str">
        <f ca="1">IFERROR(__xludf.DUMMYFUNCTION("""COMPUTED_VALUE"""),"Infancy - Toddlerhood")</f>
        <v>Infancy - Toddlerhood</v>
      </c>
      <c r="F15" s="56" t="str">
        <f ca="1">IFERROR(__xludf.DUMMYFUNCTION("""COMPUTED_VALUE"""),"120")</f>
        <v>120</v>
      </c>
      <c r="G15" s="56" t="str">
        <f ca="1">IFERROR(__xludf.DUMMYFUNCTION("""COMPUTED_VALUE"""),"0.005736137667")</f>
        <v>0.005736137667</v>
      </c>
      <c r="H15" s="56" t="str">
        <f ca="1">IFERROR(__xludf.DUMMYFUNCTION("""COMPUTED_VALUE"""),"0.4583333333")</f>
        <v>0.4583333333</v>
      </c>
      <c r="I15" s="56">
        <f ca="1">IFERROR(__xludf.DUMMYFUNCTION("""COMPUTED_VALUE"""),1996)</f>
        <v>1996</v>
      </c>
      <c r="J15" s="56" t="str">
        <f ca="1">IFERROR(__xludf.DUMMYFUNCTION("""COMPUTED_VALUE"""),"USA")</f>
        <v>USA</v>
      </c>
      <c r="K15" s="56" t="str">
        <f ca="1">IFERROR(__xludf.DUMMYFUNCTION("""COMPUTED_VALUE"""),"Ainsworth/Ainsworth")</f>
        <v>Ainsworth/Ainsworth</v>
      </c>
      <c r="L15" s="56">
        <f ca="1">IFERROR(__xludf.DUMMYFUNCTION("""COMPUTED_VALUE"""),1)</f>
        <v>1</v>
      </c>
      <c r="M15" s="56">
        <f ca="1">IFERROR(__xludf.DUMMYFUNCTION("""COMPUTED_VALUE"""),0)</f>
        <v>0</v>
      </c>
      <c r="N15" s="56">
        <f ca="1">IFERROR(__xludf.DUMMYFUNCTION("""COMPUTED_VALUE"""),0)</f>
        <v>0</v>
      </c>
      <c r="O15" s="56">
        <f ca="1">IFERROR(__xludf.DUMMYFUNCTION("""COMPUTED_VALUE"""),1)</f>
        <v>1</v>
      </c>
      <c r="P15" s="56">
        <f ca="1">IFERROR(__xludf.DUMMYFUNCTION("""COMPUTED_VALUE"""),0.929177083333333)</f>
        <v>0.92917708333333304</v>
      </c>
      <c r="Q15" s="56">
        <f ca="1">IFERROR(__xludf.DUMMYFUNCTION("""COMPUTED_VALUE"""),0)</f>
        <v>0</v>
      </c>
      <c r="R15" t="str">
        <f ca="1">IFERROR(__xludf.DUMMYFUNCTION("""COMPUTED_VALUE"""),"Male")</f>
        <v>Male</v>
      </c>
    </row>
    <row r="16" spans="1:26" ht="15.75" customHeight="1">
      <c r="A16">
        <f ca="1">IFERROR(__xludf.DUMMYFUNCTION("""COMPUTED_VALUE"""),49)</f>
        <v>49</v>
      </c>
      <c r="B16" t="str">
        <f ca="1">IFERROR(__xludf.DUMMYFUNCTION("""COMPUTED_VALUE"""),"Belsky et al. (1996)")</f>
        <v>Belsky et al. (1996)</v>
      </c>
      <c r="C16">
        <f ca="1">IFERROR(__xludf.DUMMYFUNCTION("""COMPUTED_VALUE"""),2)</f>
        <v>2</v>
      </c>
      <c r="D16" t="str">
        <f ca="1">IFERROR(__xludf.DUMMYFUNCTION("""COMPUTED_VALUE"""),"Mother-son (Penn. State)")</f>
        <v>Mother-son (Penn. State)</v>
      </c>
      <c r="E16" t="str">
        <f ca="1">IFERROR(__xludf.DUMMYFUNCTION("""COMPUTED_VALUE"""),"Infancy - Infancy")</f>
        <v>Infancy - Infancy</v>
      </c>
      <c r="F16" t="str">
        <f ca="1">IFERROR(__xludf.DUMMYFUNCTION("""COMPUTED_VALUE"""),"125")</f>
        <v>125</v>
      </c>
      <c r="G16" t="str">
        <f ca="1">IFERROR(__xludf.DUMMYFUNCTION("""COMPUTED_VALUE"""),"0.09790714458")</f>
        <v>0.09790714458</v>
      </c>
      <c r="H16" t="str">
        <f ca="1">IFERROR(__xludf.DUMMYFUNCTION("""COMPUTED_VALUE"""),"0.52")</f>
        <v>0.52</v>
      </c>
      <c r="I16">
        <f ca="1">IFERROR(__xludf.DUMMYFUNCTION("""COMPUTED_VALUE"""),1996)</f>
        <v>1996</v>
      </c>
      <c r="J16" t="str">
        <f ca="1">IFERROR(__xludf.DUMMYFUNCTION("""COMPUTED_VALUE"""),"USA")</f>
        <v>USA</v>
      </c>
      <c r="K16" t="str">
        <f ca="1">IFERROR(__xludf.DUMMYFUNCTION("""COMPUTED_VALUE"""),"Ainsworth/Ainsworth")</f>
        <v>Ainsworth/Ainsworth</v>
      </c>
      <c r="L16">
        <f ca="1">IFERROR(__xludf.DUMMYFUNCTION("""COMPUTED_VALUE"""),1)</f>
        <v>1</v>
      </c>
      <c r="M16">
        <f ca="1">IFERROR(__xludf.DUMMYFUNCTION("""COMPUTED_VALUE"""),0)</f>
        <v>0</v>
      </c>
      <c r="N16">
        <f ca="1">IFERROR(__xludf.DUMMYFUNCTION("""COMPUTED_VALUE"""),0)</f>
        <v>0</v>
      </c>
      <c r="O16">
        <f ca="1">IFERROR(__xludf.DUMMYFUNCTION("""COMPUTED_VALUE"""),1)</f>
        <v>1</v>
      </c>
      <c r="P16">
        <f ca="1">IFERROR(__xludf.DUMMYFUNCTION("""COMPUTED_VALUE"""),0.93082752)</f>
        <v>0.93082752000000002</v>
      </c>
      <c r="Q16">
        <f ca="1">IFERROR(__xludf.DUMMYFUNCTION("""COMPUTED_VALUE"""),0)</f>
        <v>0</v>
      </c>
      <c r="R16" t="str">
        <f ca="1">IFERROR(__xludf.DUMMYFUNCTION("""COMPUTED_VALUE"""),"Female")</f>
        <v>Female</v>
      </c>
    </row>
    <row r="17" spans="1:18" ht="15.75" customHeight="1">
      <c r="A17">
        <f ca="1">IFERROR(__xludf.DUMMYFUNCTION("""COMPUTED_VALUE"""),50)</f>
        <v>50</v>
      </c>
      <c r="B17" t="str">
        <f ca="1">IFERROR(__xludf.DUMMYFUNCTION("""COMPUTED_VALUE"""),"Belsky et al. (1996)")</f>
        <v>Belsky et al. (1996)</v>
      </c>
      <c r="C17">
        <f ca="1">IFERROR(__xludf.DUMMYFUNCTION("""COMPUTED_VALUE"""),1)</f>
        <v>1</v>
      </c>
      <c r="D17" t="str">
        <f ca="1">IFERROR(__xludf.DUMMYFUNCTION("""COMPUTED_VALUE"""),"Mother-child (Univ. Pitt.)")</f>
        <v>Mother-child (Univ. Pitt.)</v>
      </c>
      <c r="E17" t="str">
        <f ca="1">IFERROR(__xludf.DUMMYFUNCTION("""COMPUTED_VALUE"""),"Infancy - Infancy")</f>
        <v>Infancy - Infancy</v>
      </c>
      <c r="F17" t="str">
        <f ca="1">IFERROR(__xludf.DUMMYFUNCTION("""COMPUTED_VALUE"""),"90")</f>
        <v>90</v>
      </c>
      <c r="G17" t="str">
        <f ca="1">IFERROR(__xludf.DUMMYFUNCTION("""COMPUTED_VALUE"""),"-0.005930656934")</f>
        <v>-0.005930656934</v>
      </c>
      <c r="H17" t="str">
        <f ca="1">IFERROR(__xludf.DUMMYFUNCTION("""COMPUTED_VALUE"""),"0.4555555556")</f>
        <v>0.4555555556</v>
      </c>
      <c r="I17">
        <f ca="1">IFERROR(__xludf.DUMMYFUNCTION("""COMPUTED_VALUE"""),1996)</f>
        <v>1996</v>
      </c>
      <c r="J17" t="str">
        <f ca="1">IFERROR(__xludf.DUMMYFUNCTION("""COMPUTED_VALUE"""),"USA")</f>
        <v>USA</v>
      </c>
      <c r="K17" t="str">
        <f ca="1">IFERROR(__xludf.DUMMYFUNCTION("""COMPUTED_VALUE"""),"Ainsworth/Ainsworth")</f>
        <v>Ainsworth/Ainsworth</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IFERROR(__xludf.DUMMYFUNCTION("""COMPUTED_VALUE"""),0.956701234567901)</f>
        <v>0.95670123456790102</v>
      </c>
      <c r="Q17">
        <f ca="1">IFERROR(__xludf.DUMMYFUNCTION("""COMPUTED_VALUE"""),0)</f>
        <v>0</v>
      </c>
      <c r="R17" t="str">
        <f ca="1">IFERROR(__xludf.DUMMYFUNCTION("""COMPUTED_VALUE"""),"Female")</f>
        <v>Female</v>
      </c>
    </row>
    <row r="18" spans="1:18" ht="15.75" customHeight="1">
      <c r="A18">
        <f ca="1">IFERROR(__xludf.DUMMYFUNCTION("""COMPUTED_VALUE"""),53)</f>
        <v>53</v>
      </c>
      <c r="B18" t="str">
        <f ca="1">IFERROR(__xludf.DUMMYFUNCTION("""COMPUTED_VALUE"""),"Waters (1978)")</f>
        <v>Waters (1978)</v>
      </c>
      <c r="C18">
        <f ca="1">IFERROR(__xludf.DUMMYFUNCTION("""COMPUTED_VALUE"""),1)</f>
        <v>1</v>
      </c>
      <c r="D18" t="str">
        <f ca="1">IFERROR(__xludf.DUMMYFUNCTION("""COMPUTED_VALUE"""),"Mother-child")</f>
        <v>Mother-child</v>
      </c>
      <c r="E18" t="str">
        <f ca="1">IFERROR(__xludf.DUMMYFUNCTION("""COMPUTED_VALUE"""),"Infancy - Infancy")</f>
        <v>Infancy - Infancy</v>
      </c>
      <c r="F18" t="str">
        <f ca="1">IFERROR(__xludf.DUMMYFUNCTION("""COMPUTED_VALUE"""),"50")</f>
        <v>50</v>
      </c>
      <c r="G18" t="str">
        <f ca="1">IFERROR(__xludf.DUMMYFUNCTION("""COMPUTED_VALUE"""),"0.9264705882")</f>
        <v>0.9264705882</v>
      </c>
      <c r="H18" t="str">
        <f ca="1">IFERROR(__xludf.DUMMYFUNCTION("""COMPUTED_VALUE"""),"0.96")</f>
        <v>0.96</v>
      </c>
      <c r="I18">
        <f ca="1">IFERROR(__xludf.DUMMYFUNCTION("""COMPUTED_VALUE"""),1978)</f>
        <v>1978</v>
      </c>
      <c r="J18" t="str">
        <f ca="1">IFERROR(__xludf.DUMMYFUNCTION("""COMPUTED_VALUE"""),"USA")</f>
        <v>USA</v>
      </c>
      <c r="K18" t="str">
        <f ca="1">IFERROR(__xludf.DUMMYFUNCTION("""COMPUTED_VALUE"""),"Ainsworth/Ainsworth")</f>
        <v>Ainsworth/Ainsworth</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IFERROR(__xludf.DUMMYFUNCTION("""COMPUTED_VALUE"""),0.92)</f>
        <v>0.92</v>
      </c>
      <c r="Q18">
        <f ca="1">IFERROR(__xludf.DUMMYFUNCTION("""COMPUTED_VALUE"""),0)</f>
        <v>0</v>
      </c>
      <c r="R18" t="str">
        <f ca="1">IFERROR(__xludf.DUMMYFUNCTION("""COMPUTED_VALUE"""),"Female")</f>
        <v>Female</v>
      </c>
    </row>
    <row r="19" spans="1:18" ht="15.75" customHeight="1">
      <c r="A19">
        <f ca="1">IFERROR(__xludf.DUMMYFUNCTION("""COMPUTED_VALUE"""),58)</f>
        <v>58</v>
      </c>
      <c r="B19" t="str">
        <f ca="1">IFERROR(__xludf.DUMMYFUNCTION("""COMPUTED_VALUE"""),"Connell (1977)")</f>
        <v>Connell (1977)</v>
      </c>
      <c r="C19">
        <f ca="1">IFERROR(__xludf.DUMMYFUNCTION("""COMPUTED_VALUE"""),1)</f>
        <v>1</v>
      </c>
      <c r="D19" t="str">
        <f ca="1">IFERROR(__xludf.DUMMYFUNCTION("""COMPUTED_VALUE"""),"Mother-child")</f>
        <v>Mother-child</v>
      </c>
      <c r="E19" t="str">
        <f ca="1">IFERROR(__xludf.DUMMYFUNCTION("""COMPUTED_VALUE"""),"Infancy - Infancy")</f>
        <v>Infancy - Infancy</v>
      </c>
      <c r="F19" t="str">
        <f ca="1">IFERROR(__xludf.DUMMYFUNCTION("""COMPUTED_VALUE"""),"47")</f>
        <v>47</v>
      </c>
      <c r="G19" t="str">
        <f ca="1">IFERROR(__xludf.DUMMYFUNCTION("""COMPUTED_VALUE"""),"0.6028169014")</f>
        <v>0.6028169014</v>
      </c>
      <c r="H19" t="str">
        <f ca="1">IFERROR(__xludf.DUMMYFUNCTION("""COMPUTED_VALUE"""),"0.8085106383")</f>
        <v>0.8085106383</v>
      </c>
      <c r="I19">
        <f ca="1">IFERROR(__xludf.DUMMYFUNCTION("""COMPUTED_VALUE"""),1976)</f>
        <v>1976</v>
      </c>
      <c r="J19" t="str">
        <f ca="1">IFERROR(__xludf.DUMMYFUNCTION("""COMPUTED_VALUE"""),"USA")</f>
        <v>USA</v>
      </c>
      <c r="K19" t="str">
        <f ca="1">IFERROR(__xludf.DUMMYFUNCTION("""COMPUTED_VALUE"""),"Ainsworth/Ainsworth")</f>
        <v>Ainsworth/Ainsworth</v>
      </c>
      <c r="L19">
        <f ca="1">IFERROR(__xludf.DUMMYFUNCTION("""COMPUTED_VALUE"""),1)</f>
        <v>1</v>
      </c>
      <c r="M19">
        <f ca="1">IFERROR(__xludf.DUMMYFUNCTION("""COMPUTED_VALUE"""),0)</f>
        <v>0</v>
      </c>
      <c r="N19">
        <f ca="1">IFERROR(__xludf.DUMMYFUNCTION("""COMPUTED_VALUE"""),0)</f>
        <v>0</v>
      </c>
      <c r="O19">
        <f ca="1">IFERROR(__xludf.DUMMYFUNCTION("""COMPUTED_VALUE"""),0)</f>
        <v>0</v>
      </c>
      <c r="P19">
        <f ca="1">IFERROR(__xludf.DUMMYFUNCTION("""COMPUTED_VALUE"""),0.939735174287007)</f>
        <v>0.93973517428700704</v>
      </c>
      <c r="Q19">
        <f ca="1">IFERROR(__xludf.DUMMYFUNCTION("""COMPUTED_VALUE"""),0)</f>
        <v>0</v>
      </c>
      <c r="R19" t="str">
        <f ca="1">IFERROR(__xludf.DUMMYFUNCTION("""COMPUTED_VALUE"""),"Female")</f>
        <v>Female</v>
      </c>
    </row>
    <row r="20" spans="1:18" ht="15.75" customHeight="1">
      <c r="A20">
        <f ca="1">IFERROR(__xludf.DUMMYFUNCTION("""COMPUTED_VALUE"""),60)</f>
        <v>60</v>
      </c>
      <c r="B20" t="str">
        <f ca="1">IFERROR(__xludf.DUMMYFUNCTION("""COMPUTED_VALUE"""),"Ainsworthet al. (1978)")</f>
        <v>Ainsworthet al. (1978)</v>
      </c>
      <c r="C20">
        <f ca="1">IFERROR(__xludf.DUMMYFUNCTION("""COMPUTED_VALUE"""),1)</f>
        <v>1</v>
      </c>
      <c r="D20" t="str">
        <f ca="1">IFERROR(__xludf.DUMMYFUNCTION("""COMPUTED_VALUE"""),"Mother-child")</f>
        <v>Mother-child</v>
      </c>
      <c r="E20" t="str">
        <f ca="1">IFERROR(__xludf.DUMMYFUNCTION("""COMPUTED_VALUE"""),"Infancy - Infancy")</f>
        <v>Infancy - Infancy</v>
      </c>
      <c r="F20" t="str">
        <f ca="1">IFERROR(__xludf.DUMMYFUNCTION("""COMPUTED_VALUE"""),"23")</f>
        <v>23</v>
      </c>
      <c r="G20" t="str">
        <f ca="1">IFERROR(__xludf.DUMMYFUNCTION("""COMPUTED_VALUE"""),"0.05349794239")</f>
        <v>0.05349794239</v>
      </c>
      <c r="H20" t="str">
        <f ca="1">IFERROR(__xludf.DUMMYFUNCTION("""COMPUTED_VALUE"""),"0.5652173913")</f>
        <v>0.5652173913</v>
      </c>
      <c r="I20">
        <f ca="1">IFERROR(__xludf.DUMMYFUNCTION("""COMPUTED_VALUE"""),1978)</f>
        <v>1978</v>
      </c>
      <c r="J20" t="str">
        <f ca="1">IFERROR(__xludf.DUMMYFUNCTION("""COMPUTED_VALUE"""),"USA")</f>
        <v>USA</v>
      </c>
      <c r="K20" t="str">
        <f ca="1">IFERROR(__xludf.DUMMYFUNCTION("""COMPUTED_VALUE"""),"Ainsworth/Ainsworth")</f>
        <v>Ainsworth/Ainsworth</v>
      </c>
      <c r="L20">
        <f ca="1">IFERROR(__xludf.DUMMYFUNCTION("""COMPUTED_VALUE"""),1)</f>
        <v>1</v>
      </c>
      <c r="M20">
        <f ca="1">IFERROR(__xludf.DUMMYFUNCTION("""COMPUTED_VALUE"""),0)</f>
        <v>0</v>
      </c>
      <c r="N20">
        <f ca="1">IFERROR(__xludf.DUMMYFUNCTION("""COMPUTED_VALUE"""),0)</f>
        <v>0</v>
      </c>
      <c r="O20">
        <f ca="1">IFERROR(__xludf.DUMMYFUNCTION("""COMPUTED_VALUE"""),1)</f>
        <v>1</v>
      </c>
      <c r="P20" t="str">
        <f ca="1">IFERROR(__xludf.DUMMYFUNCTION("""COMPUTED_VALUE"""),"")</f>
        <v/>
      </c>
      <c r="Q20">
        <f ca="1">IFERROR(__xludf.DUMMYFUNCTION("""COMPUTED_VALUE"""),0)</f>
        <v>0</v>
      </c>
      <c r="R20" t="str">
        <f ca="1">IFERROR(__xludf.DUMMYFUNCTION("""COMPUTED_VALUE"""),"Female")</f>
        <v>Female</v>
      </c>
    </row>
    <row r="21" spans="1:18" ht="15.75" customHeight="1">
      <c r="A21">
        <f ca="1">IFERROR(__xludf.DUMMYFUNCTION("""COMPUTED_VALUE"""),61)</f>
        <v>61</v>
      </c>
      <c r="B21" t="str">
        <f ca="1">IFERROR(__xludf.DUMMYFUNCTION("""COMPUTED_VALUE"""),"Cassidy (1988)")</f>
        <v>Cassidy (1988)</v>
      </c>
      <c r="C21">
        <f ca="1">IFERROR(__xludf.DUMMYFUNCTION("""COMPUTED_VALUE"""),1)</f>
        <v>1</v>
      </c>
      <c r="D21" t="str">
        <f ca="1">IFERROR(__xludf.DUMMYFUNCTION("""COMPUTED_VALUE"""),"Mother-child")</f>
        <v>Mother-child</v>
      </c>
      <c r="E21" t="str">
        <f ca="1">IFERROR(__xludf.DUMMYFUNCTION("""COMPUTED_VALUE"""),"Preschool - Preschool")</f>
        <v>Preschool - Preschool</v>
      </c>
      <c r="F21" t="str">
        <f ca="1">IFERROR(__xludf.DUMMYFUNCTION("""COMPUTED_VALUE"""),"50")</f>
        <v>50</v>
      </c>
      <c r="G21" t="str">
        <f ca="1">IFERROR(__xludf.DUMMYFUNCTION("""COMPUTED_VALUE"""),"0.7435897436")</f>
        <v>0.7435897436</v>
      </c>
      <c r="H21" t="str">
        <f ca="1">IFERROR(__xludf.DUMMYFUNCTION("""COMPUTED_VALUE"""),"0.84")</f>
        <v>0.84</v>
      </c>
      <c r="I21">
        <f ca="1">IFERROR(__xludf.DUMMYFUNCTION("""COMPUTED_VALUE"""),1988)</f>
        <v>1988</v>
      </c>
      <c r="J21" t="str">
        <f ca="1">IFERROR(__xludf.DUMMYFUNCTION("""COMPUTED_VALUE"""),"USA")</f>
        <v>USA</v>
      </c>
      <c r="K21" t="str">
        <f ca="1">IFERROR(__xludf.DUMMYFUNCTION("""COMPUTED_VALUE"""),"Main-Cassidy/Main-Cassidy")</f>
        <v>Main-Cassidy/Main-Cassidy</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IFERROR(__xludf.DUMMYFUNCTION("""COMPUTED_VALUE"""),0.84)</f>
        <v>0.84</v>
      </c>
      <c r="Q21">
        <f ca="1">IFERROR(__xludf.DUMMYFUNCTION("""COMPUTED_VALUE"""),0)</f>
        <v>0</v>
      </c>
      <c r="R21" t="str">
        <f ca="1">IFERROR(__xludf.DUMMYFUNCTION("""COMPUTED_VALUE"""),"Female")</f>
        <v>Female</v>
      </c>
    </row>
    <row r="22" spans="1:18" ht="15.75" customHeight="1">
      <c r="A22">
        <f ca="1">IFERROR(__xludf.DUMMYFUNCTION("""COMPUTED_VALUE"""),62)</f>
        <v>62</v>
      </c>
      <c r="B22" t="str">
        <f ca="1">IFERROR(__xludf.DUMMYFUNCTION("""COMPUTED_VALUE"""),"Goossens et al. (1986)")</f>
        <v>Goossens et al. (1986)</v>
      </c>
      <c r="C22">
        <f ca="1">IFERROR(__xludf.DUMMYFUNCTION("""COMPUTED_VALUE"""),1)</f>
        <v>1</v>
      </c>
      <c r="D22" t="str">
        <f ca="1">IFERROR(__xludf.DUMMYFUNCTION("""COMPUTED_VALUE"""),"Mother-child")</f>
        <v>Mother-child</v>
      </c>
      <c r="E22" t="str">
        <f ca="1">IFERROR(__xludf.DUMMYFUNCTION("""COMPUTED_VALUE"""),"Infancy - Infancy")</f>
        <v>Infancy - Infancy</v>
      </c>
      <c r="F22" t="str">
        <f ca="1">IFERROR(__xludf.DUMMYFUNCTION("""COMPUTED_VALUE"""),"9")</f>
        <v>9</v>
      </c>
      <c r="G22" t="str">
        <f ca="1">IFERROR(__xludf.DUMMYFUNCTION("""COMPUTED_VALUE"""),"1")</f>
        <v>1</v>
      </c>
      <c r="H22" t="str">
        <f ca="1">IFERROR(__xludf.DUMMYFUNCTION("""COMPUTED_VALUE"""),"1")</f>
        <v>1</v>
      </c>
      <c r="I22">
        <f ca="1">IFERROR(__xludf.DUMMYFUNCTION("""COMPUTED_VALUE"""),1986)</f>
        <v>1986</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IFERROR(__xludf.DUMMYFUNCTION("""COMPUTED_VALUE"""),0)</f>
        <v>0</v>
      </c>
      <c r="R22" t="str">
        <f ca="1">IFERROR(__xludf.DUMMYFUNCTION("""COMPUTED_VALUE"""),"Female")</f>
        <v>Female</v>
      </c>
    </row>
    <row r="23" spans="1:18" ht="15.75" customHeight="1">
      <c r="A23">
        <f ca="1">IFERROR(__xludf.DUMMYFUNCTION("""COMPUTED_VALUE"""),64)</f>
        <v>64</v>
      </c>
      <c r="B23" t="str">
        <f ca="1">IFERROR(__xludf.DUMMYFUNCTION("""COMPUTED_VALUE"""),"Vaughn et al. (1979)")</f>
        <v>Vaughn et al. (1979)</v>
      </c>
      <c r="C23">
        <f ca="1">IFERROR(__xludf.DUMMYFUNCTION("""COMPUTED_VALUE"""),1)</f>
        <v>1</v>
      </c>
      <c r="D23" t="str">
        <f ca="1">IFERROR(__xludf.DUMMYFUNCTION("""COMPUTED_VALUE"""),"Mother-child")</f>
        <v>Mother-child</v>
      </c>
      <c r="E23" t="str">
        <f ca="1">IFERROR(__xludf.DUMMYFUNCTION("""COMPUTED_VALUE"""),"Infancy - Infancy")</f>
        <v>Infancy - Infancy</v>
      </c>
      <c r="F23" t="str">
        <f ca="1">IFERROR(__xludf.DUMMYFUNCTION("""COMPUTED_VALUE"""),"100")</f>
        <v>100</v>
      </c>
      <c r="G23" t="str">
        <f ca="1">IFERROR(__xludf.DUMMYFUNCTION("""COMPUTED_VALUE"""),"0.3213073763")</f>
        <v>0.3213073763</v>
      </c>
      <c r="H23" t="str">
        <f ca="1">IFERROR(__xludf.DUMMYFUNCTION("""COMPUTED_VALUE"""),"0.62")</f>
        <v>0.62</v>
      </c>
      <c r="I23">
        <f ca="1">IFERROR(__xludf.DUMMYFUNCTION("""COMPUTED_VALUE"""),1979)</f>
        <v>1979</v>
      </c>
      <c r="J23" t="str">
        <f ca="1">IFERROR(__xludf.DUMMYFUNCTION("""COMPUTED_VALUE"""),"USA")</f>
        <v>USA</v>
      </c>
      <c r="K23" t="str">
        <f ca="1">IFERROR(__xludf.DUMMYFUNCTION("""COMPUTED_VALUE"""),"Ainsworth/Ainsworth")</f>
        <v>Ainsworth/Ainsworth</v>
      </c>
      <c r="L23">
        <f ca="1">IFERROR(__xludf.DUMMYFUNCTION("""COMPUTED_VALUE"""),1)</f>
        <v>1</v>
      </c>
      <c r="M23">
        <f ca="1">IFERROR(__xludf.DUMMYFUNCTION("""COMPUTED_VALUE"""),1)</f>
        <v>1</v>
      </c>
      <c r="N23">
        <f ca="1">IFERROR(__xludf.DUMMYFUNCTION("""COMPUTED_VALUE"""),0)</f>
        <v>0</v>
      </c>
      <c r="O23">
        <f ca="1">IFERROR(__xludf.DUMMYFUNCTION("""COMPUTED_VALUE"""),1)</f>
        <v>1</v>
      </c>
      <c r="P23">
        <f ca="1">IFERROR(__xludf.DUMMYFUNCTION("""COMPUTED_VALUE"""),0.905)</f>
        <v>0.90500000000000003</v>
      </c>
      <c r="Q23">
        <f ca="1">IFERROR(__xludf.DUMMYFUNCTION("""COMPUTED_VALUE"""),0)</f>
        <v>0</v>
      </c>
      <c r="R23" t="str">
        <f ca="1">IFERROR(__xludf.DUMMYFUNCTION("""COMPUTED_VALUE"""),"Female")</f>
        <v>Female</v>
      </c>
    </row>
    <row r="24" spans="1:18" ht="15.75" customHeight="1">
      <c r="A24">
        <f ca="1">IFERROR(__xludf.DUMMYFUNCTION("""COMPUTED_VALUE"""),65)</f>
        <v>65</v>
      </c>
      <c r="B24" t="str">
        <f ca="1">IFERROR(__xludf.DUMMYFUNCTION("""COMPUTED_VALUE"""),"Schneider-Rosen et al. (1985) ")</f>
        <v xml:space="preserve">Schneider-Rosen et al. (1985) </v>
      </c>
      <c r="C24">
        <f ca="1">IFERROR(__xludf.DUMMYFUNCTION("""COMPUTED_VALUE"""),1)</f>
        <v>1</v>
      </c>
      <c r="D24" t="str">
        <f ca="1">IFERROR(__xludf.DUMMYFUNCTION("""COMPUTED_VALUE"""),"Comparison (12-18 mo.)")</f>
        <v>Comparison (12-18 mo.)</v>
      </c>
      <c r="E24" t="str">
        <f ca="1">IFERROR(__xludf.DUMMYFUNCTION("""COMPUTED_VALUE"""),"Infancy - Infancy")</f>
        <v>Infancy - Infancy</v>
      </c>
      <c r="F24" t="str">
        <f ca="1">IFERROR(__xludf.DUMMYFUNCTION("""COMPUTED_VALUE"""),"17")</f>
        <v>17</v>
      </c>
      <c r="G24" t="str">
        <f ca="1">IFERROR(__xludf.DUMMYFUNCTION("""COMPUTED_VALUE"""),"0.5277777778")</f>
        <v>0.5277777778</v>
      </c>
      <c r="H24" t="str">
        <f ca="1">IFERROR(__xludf.DUMMYFUNCTION("""COMPUTED_VALUE"""),"0.7647058824")</f>
        <v>0.7647058824</v>
      </c>
      <c r="I24">
        <f ca="1">IFERROR(__xludf.DUMMYFUNCTION("""COMPUTED_VALUE"""),1985)</f>
        <v>1985</v>
      </c>
      <c r="J24" t="str">
        <f ca="1">IFERROR(__xludf.DUMMYFUNCTION("""COMPUTED_VALUE"""),"USA")</f>
        <v>USA</v>
      </c>
      <c r="K24" t="str">
        <f ca="1">IFERROR(__xludf.DUMMYFUNCTION("""COMPUTED_VALUE"""),"Ainsworth/Ainsworth")</f>
        <v>Ainsworth/Ainsworth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IFERROR(__xludf.DUMMYFUNCTION("""COMPUTED_VALUE"""),0.895)</f>
        <v>0.89500000000000002</v>
      </c>
      <c r="Q24">
        <f ca="1">IFERROR(__xludf.DUMMYFUNCTION("""COMPUTED_VALUE"""),0)</f>
        <v>0</v>
      </c>
      <c r="R24" t="str">
        <f ca="1">IFERROR(__xludf.DUMMYFUNCTION("""COMPUTED_VALUE"""),"Mixed")</f>
        <v>Mixed</v>
      </c>
    </row>
    <row r="25" spans="1:18" ht="15.75" customHeight="1">
      <c r="A25">
        <f ca="1">IFERROR(__xludf.DUMMYFUNCTION("""COMPUTED_VALUE"""),65)</f>
        <v>65</v>
      </c>
      <c r="B25" t="str">
        <f ca="1">IFERROR(__xludf.DUMMYFUNCTION("""COMPUTED_VALUE"""),"Schneider-Rosen et al. (1985) ")</f>
        <v xml:space="preserve">Schneider-Rosen et al. (1985) </v>
      </c>
      <c r="C25">
        <f ca="1">IFERROR(__xludf.DUMMYFUNCTION("""COMPUTED_VALUE"""),2)</f>
        <v>2</v>
      </c>
      <c r="D25" t="str">
        <f ca="1">IFERROR(__xludf.DUMMYFUNCTION("""COMPUTED_VALUE"""),"Comparison (18-24 mo.)")</f>
        <v>Comparison (18-24 mo.)</v>
      </c>
      <c r="E25" t="str">
        <f ca="1">IFERROR(__xludf.DUMMYFUNCTION("""COMPUTED_VALUE"""),"Infancy - Infancy")</f>
        <v>Infancy - Infancy</v>
      </c>
      <c r="F25" t="str">
        <f ca="1">IFERROR(__xludf.DUMMYFUNCTION("""COMPUTED_VALUE"""),"23")</f>
        <v>23</v>
      </c>
      <c r="G25" t="str">
        <f ca="1">IFERROR(__xludf.DUMMYFUNCTION("""COMPUTED_VALUE"""),"0.3992537313")</f>
        <v>0.3992537313</v>
      </c>
      <c r="H25" t="str">
        <f ca="1">IFERROR(__xludf.DUMMYFUNCTION("""COMPUTED_VALUE"""),"0.6956521739")</f>
        <v>0.6956521739</v>
      </c>
      <c r="I25">
        <f ca="1">IFERROR(__xludf.DUMMYFUNCTION("""COMPUTED_VALUE"""),1985)</f>
        <v>1985</v>
      </c>
      <c r="J25" t="str">
        <f ca="1">IFERROR(__xludf.DUMMYFUNCTION("""COMPUTED_VALUE"""),"USA")</f>
        <v>USA</v>
      </c>
      <c r="K25" t="str">
        <f ca="1">IFERROR(__xludf.DUMMYFUNCTION("""COMPUTED_VALUE"""),"Ainsworth/Ainsworth")</f>
        <v>Ainsworth/Ainsworth</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IFERROR(__xludf.DUMMYFUNCTION("""COMPUTED_VALUE"""),0.91)</f>
        <v>0.91</v>
      </c>
      <c r="Q25">
        <f ca="1">IFERROR(__xludf.DUMMYFUNCTION("""COMPUTED_VALUE"""),0)</f>
        <v>0</v>
      </c>
      <c r="R25" t="str">
        <f ca="1">IFERROR(__xludf.DUMMYFUNCTION("""COMPUTED_VALUE"""),"Mixed")</f>
        <v>Mixed</v>
      </c>
    </row>
    <row r="26" spans="1:18" ht="15.75" customHeight="1">
      <c r="A26">
        <f ca="1">IFERROR(__xludf.DUMMYFUNCTION("""COMPUTED_VALUE"""),66)</f>
        <v>66</v>
      </c>
      <c r="B26" t="str">
        <f ca="1">IFERROR(__xludf.DUMMYFUNCTION("""COMPUTED_VALUE"""),"Schneider-Rosen et al. (1985) ")</f>
        <v xml:space="preserve">Schneider-Rosen et al. (1985) </v>
      </c>
      <c r="C26">
        <f ca="1">IFERROR(__xludf.DUMMYFUNCTION("""COMPUTED_VALUE"""),1)</f>
        <v>1</v>
      </c>
      <c r="D26" t="str">
        <f ca="1">IFERROR(__xludf.DUMMYFUNCTION("""COMPUTED_VALUE"""),"Maltreated (12-18 mo.)")</f>
        <v>Maltreated (12-18 mo.)</v>
      </c>
      <c r="E26" t="str">
        <f ca="1">IFERROR(__xludf.DUMMYFUNCTION("""COMPUTED_VALUE"""),"Infancy - Infancy")</f>
        <v>Infancy - Infancy</v>
      </c>
      <c r="F26" t="str">
        <f ca="1">IFERROR(__xludf.DUMMYFUNCTION("""COMPUTED_VALUE"""),"12")</f>
        <v>12</v>
      </c>
      <c r="G26" t="str">
        <f ca="1">IFERROR(__xludf.DUMMYFUNCTION("""COMPUTED_VALUE"""),"0.1515151515")</f>
        <v>0.1515151515</v>
      </c>
      <c r="H26" t="str">
        <f ca="1">IFERROR(__xludf.DUMMYFUNCTION("""COMPUTED_VALUE"""),"0.4166666667")</f>
        <v>0.4166666667</v>
      </c>
      <c r="I26">
        <f ca="1">IFERROR(__xludf.DUMMYFUNCTION("""COMPUTED_VALUE"""),1985)</f>
        <v>1985</v>
      </c>
      <c r="J26" t="str">
        <f ca="1">IFERROR(__xludf.DUMMYFUNCTION("""COMPUTED_VALUE"""),"USA")</f>
        <v>USA</v>
      </c>
      <c r="K26" t="str">
        <f ca="1">IFERROR(__xludf.DUMMYFUNCTION("""COMPUTED_VALUE"""),"Ainsworth/Ainsworth")</f>
        <v>Ainsworth/Ainsworth</v>
      </c>
      <c r="L26">
        <f ca="1">IFERROR(__xludf.DUMMYFUNCTION("""COMPUTED_VALUE"""),1)</f>
        <v>1</v>
      </c>
      <c r="M26">
        <f ca="1">IFERROR(__xludf.DUMMYFUNCTION("""COMPUTED_VALUE"""),1)</f>
        <v>1</v>
      </c>
      <c r="N26">
        <f ca="1">IFERROR(__xludf.DUMMYFUNCTION("""COMPUTED_VALUE"""),0)</f>
        <v>0</v>
      </c>
      <c r="O26">
        <f ca="1">IFERROR(__xludf.DUMMYFUNCTION("""COMPUTED_VALUE"""),1)</f>
        <v>1</v>
      </c>
      <c r="P26">
        <f ca="1">IFERROR(__xludf.DUMMYFUNCTION("""COMPUTED_VALUE"""),0.895)</f>
        <v>0.89500000000000002</v>
      </c>
      <c r="Q26">
        <f ca="1">IFERROR(__xludf.DUMMYFUNCTION("""COMPUTED_VALUE"""),0)</f>
        <v>0</v>
      </c>
      <c r="R26" t="str">
        <f ca="1">IFERROR(__xludf.DUMMYFUNCTION("""COMPUTED_VALUE"""),"Mixed")</f>
        <v>Mixed</v>
      </c>
    </row>
    <row r="27" spans="1:18" ht="12.3">
      <c r="A27">
        <f ca="1">IFERROR(__xludf.DUMMYFUNCTION("""COMPUTED_VALUE"""),66)</f>
        <v>66</v>
      </c>
      <c r="B27" t="str">
        <f ca="1">IFERROR(__xludf.DUMMYFUNCTION("""COMPUTED_VALUE"""),"Schneider-Rosen et al. (1985) ")</f>
        <v xml:space="preserve">Schneider-Rosen et al. (1985) </v>
      </c>
      <c r="C27">
        <f ca="1">IFERROR(__xludf.DUMMYFUNCTION("""COMPUTED_VALUE"""),2)</f>
        <v>2</v>
      </c>
      <c r="D27" t="str">
        <f ca="1">IFERROR(__xludf.DUMMYFUNCTION("""COMPUTED_VALUE"""),"Maltreated (18-24 mo.)")</f>
        <v>Maltreated (18-24 mo.)</v>
      </c>
      <c r="E27" t="str">
        <f ca="1">IFERROR(__xludf.DUMMYFUNCTION("""COMPUTED_VALUE"""),"Infancy - Infancy")</f>
        <v>Infancy - Infancy</v>
      </c>
      <c r="F27" t="str">
        <f ca="1">IFERROR(__xludf.DUMMYFUNCTION("""COMPUTED_VALUE"""),"19")</f>
        <v>19</v>
      </c>
      <c r="G27" t="str">
        <f ca="1">IFERROR(__xludf.DUMMYFUNCTION("""COMPUTED_VALUE"""),"0.2227272727")</f>
        <v>0.2227272727</v>
      </c>
      <c r="H27" t="str">
        <f ca="1">IFERROR(__xludf.DUMMYFUNCTION("""COMPUTED_VALUE"""),"0.5263157895")</f>
        <v>0.5263157895</v>
      </c>
      <c r="I27">
        <f ca="1">IFERROR(__xludf.DUMMYFUNCTION("""COMPUTED_VALUE"""),1985)</f>
        <v>1985</v>
      </c>
      <c r="J27" t="str">
        <f ca="1">IFERROR(__xludf.DUMMYFUNCTION("""COMPUTED_VALUE"""),"USA")</f>
        <v>USA</v>
      </c>
      <c r="K27" t="str">
        <f ca="1">IFERROR(__xludf.DUMMYFUNCTION("""COMPUTED_VALUE"""),"Ainsworth/Ainsworth")</f>
        <v>Ainsworth/Ainsworth</v>
      </c>
      <c r="L27">
        <f ca="1">IFERROR(__xludf.DUMMYFUNCTION("""COMPUTED_VALUE"""),1)</f>
        <v>1</v>
      </c>
      <c r="M27">
        <f ca="1">IFERROR(__xludf.DUMMYFUNCTION("""COMPUTED_VALUE"""),1)</f>
        <v>1</v>
      </c>
      <c r="N27">
        <f ca="1">IFERROR(__xludf.DUMMYFUNCTION("""COMPUTED_VALUE"""),0)</f>
        <v>0</v>
      </c>
      <c r="O27">
        <f ca="1">IFERROR(__xludf.DUMMYFUNCTION("""COMPUTED_VALUE"""),1)</f>
        <v>1</v>
      </c>
      <c r="P27">
        <f ca="1">IFERROR(__xludf.DUMMYFUNCTION("""COMPUTED_VALUE"""),0.91)</f>
        <v>0.91</v>
      </c>
      <c r="Q27">
        <f ca="1">IFERROR(__xludf.DUMMYFUNCTION("""COMPUTED_VALUE"""),0)</f>
        <v>0</v>
      </c>
      <c r="R27" t="str">
        <f ca="1">IFERROR(__xludf.DUMMYFUNCTION("""COMPUTED_VALUE"""),"Mixed")</f>
        <v>Mixed</v>
      </c>
    </row>
    <row r="28" spans="1:18" ht="12.3">
      <c r="A28">
        <f ca="1">IFERROR(__xludf.DUMMYFUNCTION("""COMPUTED_VALUE"""),72)</f>
        <v>72</v>
      </c>
      <c r="B28" t="str">
        <f ca="1">IFERROR(__xludf.DUMMYFUNCTION("""COMPUTED_VALUE"""),"Egeland &amp; Farber (1984)")</f>
        <v>Egeland &amp; Farber (1984)</v>
      </c>
      <c r="C28">
        <f ca="1">IFERROR(__xludf.DUMMYFUNCTION("""COMPUTED_VALUE"""),1)</f>
        <v>1</v>
      </c>
      <c r="D28" t="str">
        <f ca="1">IFERROR(__xludf.DUMMYFUNCTION("""COMPUTED_VALUE"""),"Mother-child")</f>
        <v>Mother-child</v>
      </c>
      <c r="E28" t="str">
        <f ca="1">IFERROR(__xludf.DUMMYFUNCTION("""COMPUTED_VALUE"""),"Infancy - Infancy")</f>
        <v>Infancy - Infancy</v>
      </c>
      <c r="F28" t="str">
        <f ca="1">IFERROR(__xludf.DUMMYFUNCTION("""COMPUTED_VALUE"""),"189")</f>
        <v>189</v>
      </c>
      <c r="G28" t="str">
        <f ca="1">IFERROR(__xludf.DUMMYFUNCTION("""COMPUTED_VALUE"""),"0.2963997061")</f>
        <v>0.2963997061</v>
      </c>
      <c r="H28" t="str">
        <f ca="1">IFERROR(__xludf.DUMMYFUNCTION("""COMPUTED_VALUE"""),"0.5978835979")</f>
        <v>0.5978835979</v>
      </c>
      <c r="I28">
        <f ca="1">IFERROR(__xludf.DUMMYFUNCTION("""COMPUTED_VALUE"""),1984)</f>
        <v>1984</v>
      </c>
      <c r="J28" t="str">
        <f ca="1">IFERROR(__xludf.DUMMYFUNCTION("""COMPUTED_VALUE"""),"USA")</f>
        <v>USA</v>
      </c>
      <c r="K28" t="str">
        <f ca="1">IFERROR(__xludf.DUMMYFUNCTION("""COMPUTED_VALUE"""),"Ainsworth/Ainsworth")</f>
        <v>Ainsworth/Ainsworth</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IFERROR(__xludf.DUMMYFUNCTION("""COMPUTED_VALUE"""),0.91)</f>
        <v>0.91</v>
      </c>
      <c r="Q28">
        <f ca="1">IFERROR(__xludf.DUMMYFUNCTION("""COMPUTED_VALUE"""),0)</f>
        <v>0</v>
      </c>
      <c r="R28" t="str">
        <f ca="1">IFERROR(__xludf.DUMMYFUNCTION("""COMPUTED_VALUE"""),"Female")</f>
        <v>Female</v>
      </c>
    </row>
    <row r="29" spans="1:18" ht="12.3">
      <c r="A29">
        <f ca="1">IFERROR(__xludf.DUMMYFUNCTION("""COMPUTED_VALUE"""),73)</f>
        <v>73</v>
      </c>
      <c r="B29" t="str">
        <f ca="1">IFERROR(__xludf.DUMMYFUNCTION("""COMPUTED_VALUE"""),"Egeland &amp; Sroufe (1981)")</f>
        <v>Egeland &amp; Sroufe (1981)</v>
      </c>
      <c r="C29">
        <f ca="1">IFERROR(__xludf.DUMMYFUNCTION("""COMPUTED_VALUE"""),1)</f>
        <v>1</v>
      </c>
      <c r="D29" t="str">
        <f ca="1">IFERROR(__xludf.DUMMYFUNCTION("""COMPUTED_VALUE"""),"Maltreated")</f>
        <v>Maltreated</v>
      </c>
      <c r="E29" t="str">
        <f ca="1">IFERROR(__xludf.DUMMYFUNCTION("""COMPUTED_VALUE"""),"Infancy - Infancy")</f>
        <v>Infancy - Infancy</v>
      </c>
      <c r="F29" t="str">
        <f ca="1">IFERROR(__xludf.DUMMYFUNCTION("""COMPUTED_VALUE"""),"25")</f>
        <v>25</v>
      </c>
      <c r="G29" t="str">
        <f ca="1">IFERROR(__xludf.DUMMYFUNCTION("""COMPUTED_VALUE"""),"0.2224880383")</f>
        <v>0.2224880383</v>
      </c>
      <c r="H29" t="str">
        <f ca="1">IFERROR(__xludf.DUMMYFUNCTION("""COMPUTED_VALUE"""),"0.48")</f>
        <v>0.48</v>
      </c>
      <c r="I29">
        <f ca="1">IFERROR(__xludf.DUMMYFUNCTION("""COMPUTED_VALUE"""),1981)</f>
        <v>1981</v>
      </c>
      <c r="J29" t="str">
        <f ca="1">IFERROR(__xludf.DUMMYFUNCTION("""COMPUTED_VALUE"""),"USA")</f>
        <v>USA</v>
      </c>
      <c r="K29" t="str">
        <f ca="1">IFERROR(__xludf.DUMMYFUNCTION("""COMPUTED_VALUE"""),"Ainsworth/Ainsworth")</f>
        <v>Ainsworth/Ainsworth</v>
      </c>
      <c r="L29">
        <f ca="1">IFERROR(__xludf.DUMMYFUNCTION("""COMPUTED_VALUE"""),1)</f>
        <v>1</v>
      </c>
      <c r="M29">
        <f ca="1">IFERROR(__xludf.DUMMYFUNCTION("""COMPUTED_VALUE"""),1)</f>
        <v>1</v>
      </c>
      <c r="N29">
        <f ca="1">IFERROR(__xludf.DUMMYFUNCTION("""COMPUTED_VALUE"""),0)</f>
        <v>0</v>
      </c>
      <c r="O29">
        <f ca="1">IFERROR(__xludf.DUMMYFUNCTION("""COMPUTED_VALUE"""),1)</f>
        <v>1</v>
      </c>
      <c r="P29">
        <f ca="1">IFERROR(__xludf.DUMMYFUNCTION("""COMPUTED_VALUE"""),0.91)</f>
        <v>0.91</v>
      </c>
      <c r="Q29">
        <f ca="1">IFERROR(__xludf.DUMMYFUNCTION("""COMPUTED_VALUE"""),0)</f>
        <v>0</v>
      </c>
      <c r="R29" t="str">
        <f ca="1">IFERROR(__xludf.DUMMYFUNCTION("""COMPUTED_VALUE"""),"Female")</f>
        <v>Female</v>
      </c>
    </row>
    <row r="30" spans="1:18" ht="12.3">
      <c r="A30">
        <f ca="1">IFERROR(__xludf.DUMMYFUNCTION("""COMPUTED_VALUE"""),74)</f>
        <v>74</v>
      </c>
      <c r="B30" t="str">
        <f ca="1">IFERROR(__xludf.DUMMYFUNCTION("""COMPUTED_VALUE"""),"Egeland &amp; Sroufe (1981)")</f>
        <v>Egeland &amp; Sroufe (1981)</v>
      </c>
      <c r="C30">
        <f ca="1">IFERROR(__xludf.DUMMYFUNCTION("""COMPUTED_VALUE"""),1)</f>
        <v>1</v>
      </c>
      <c r="D30" t="str">
        <f ca="1">IFERROR(__xludf.DUMMYFUNCTION("""COMPUTED_VALUE"""),"Comparison")</f>
        <v>Comparison</v>
      </c>
      <c r="E30" t="str">
        <f ca="1">IFERROR(__xludf.DUMMYFUNCTION("""COMPUTED_VALUE"""),"Infancy - Infancy")</f>
        <v>Infancy - Infancy</v>
      </c>
      <c r="F30" t="str">
        <f ca="1">IFERROR(__xludf.DUMMYFUNCTION("""COMPUTED_VALUE"""),"32")</f>
        <v>32</v>
      </c>
      <c r="G30" t="str">
        <f ca="1">IFERROR(__xludf.DUMMYFUNCTION("""COMPUTED_VALUE"""),"0.5339805825")</f>
        <v>0.5339805825</v>
      </c>
      <c r="H30" t="str">
        <f ca="1">IFERROR(__xludf.DUMMYFUNCTION("""COMPUTED_VALUE"""),"0.8125")</f>
        <v>0.8125</v>
      </c>
      <c r="I30">
        <f ca="1">IFERROR(__xludf.DUMMYFUNCTION("""COMPUTED_VALUE"""),1981)</f>
        <v>1981</v>
      </c>
      <c r="J30" t="str">
        <f ca="1">IFERROR(__xludf.DUMMYFUNCTION("""COMPUTED_VALUE"""),"USA")</f>
        <v>USA</v>
      </c>
      <c r="K30" t="str">
        <f ca="1">IFERROR(__xludf.DUMMYFUNCTION("""COMPUTED_VALUE"""),"Ainsworth/Ainsworth")</f>
        <v>Ainsworth/Ainsworth</v>
      </c>
      <c r="L30">
        <f ca="1">IFERROR(__xludf.DUMMYFUNCTION("""COMPUTED_VALUE"""),1)</f>
        <v>1</v>
      </c>
      <c r="M30">
        <f ca="1">IFERROR(__xludf.DUMMYFUNCTION("""COMPUTED_VALUE"""),0)</f>
        <v>0</v>
      </c>
      <c r="N30">
        <f ca="1">IFERROR(__xludf.DUMMYFUNCTION("""COMPUTED_VALUE"""),0)</f>
        <v>0</v>
      </c>
      <c r="O30">
        <f ca="1">IFERROR(__xludf.DUMMYFUNCTION("""COMPUTED_VALUE"""),1)</f>
        <v>1</v>
      </c>
      <c r="P30">
        <f ca="1">IFERROR(__xludf.DUMMYFUNCTION("""COMPUTED_VALUE"""),0.91)</f>
        <v>0.91</v>
      </c>
      <c r="Q30">
        <f ca="1">IFERROR(__xludf.DUMMYFUNCTION("""COMPUTED_VALUE"""),0)</f>
        <v>0</v>
      </c>
      <c r="R30" t="str">
        <f ca="1">IFERROR(__xludf.DUMMYFUNCTION("""COMPUTED_VALUE"""),"Female")</f>
        <v>Female</v>
      </c>
    </row>
    <row r="31" spans="1:18" ht="12.3">
      <c r="A31">
        <f ca="1">IFERROR(__xludf.DUMMYFUNCTION("""COMPUTED_VALUE"""),75)</f>
        <v>75</v>
      </c>
      <c r="B31" t="str">
        <f ca="1">IFERROR(__xludf.DUMMYFUNCTION("""COMPUTED_VALUE"""),"Vaughn, Gove, &amp; Egeland (1980) ")</f>
        <v xml:space="preserve">Vaughn, Gove, &amp; Egeland (1980) </v>
      </c>
      <c r="C31">
        <f ca="1">IFERROR(__xludf.DUMMYFUNCTION("""COMPUTED_VALUE"""),1)</f>
        <v>1</v>
      </c>
      <c r="D31" t="str">
        <f ca="1">IFERROR(__xludf.DUMMYFUNCTION("""COMPUTED_VALUE"""),"Early return to work")</f>
        <v>Early return to work</v>
      </c>
      <c r="E31" t="str">
        <f ca="1">IFERROR(__xludf.DUMMYFUNCTION("""COMPUTED_VALUE"""),"Infancy - Infancy")</f>
        <v>Infancy - Infancy</v>
      </c>
      <c r="F31" t="str">
        <f ca="1">IFERROR(__xludf.DUMMYFUNCTION("""COMPUTED_VALUE"""),"34")</f>
        <v>34</v>
      </c>
      <c r="G31" t="str">
        <f ca="1">IFERROR(__xludf.DUMMYFUNCTION("""COMPUTED_VALUE"""),"0.5111821086")</f>
        <v>0.5111821086</v>
      </c>
      <c r="H31" t="str">
        <f ca="1">IFERROR(__xludf.DUMMYFUNCTION("""COMPUTED_VALUE"""),"0.7352941176")</f>
        <v>0.7352941176</v>
      </c>
      <c r="I31">
        <f ca="1">IFERROR(__xludf.DUMMYFUNCTION("""COMPUTED_VALUE"""),1980)</f>
        <v>1980</v>
      </c>
      <c r="J31" t="str">
        <f ca="1">IFERROR(__xludf.DUMMYFUNCTION("""COMPUTED_VALUE"""),"USA")</f>
        <v>USA</v>
      </c>
      <c r="K31" t="str">
        <f ca="1">IFERROR(__xludf.DUMMYFUNCTION("""COMPUTED_VALUE"""),"Ainsworth/Ainsworth")</f>
        <v>Ainsworth/Ainsworth</v>
      </c>
      <c r="L31">
        <f ca="1">IFERROR(__xludf.DUMMYFUNCTION("""COMPUTED_VALUE"""),0)</f>
        <v>0</v>
      </c>
      <c r="M31">
        <f ca="1">IFERROR(__xludf.DUMMYFUNCTION("""COMPUTED_VALUE"""),1)</f>
        <v>1</v>
      </c>
      <c r="N31">
        <f ca="1">IFERROR(__xludf.DUMMYFUNCTION("""COMPUTED_VALUE"""),0)</f>
        <v>0</v>
      </c>
      <c r="O31">
        <f ca="1">IFERROR(__xludf.DUMMYFUNCTION("""COMPUTED_VALUE"""),1)</f>
        <v>1</v>
      </c>
      <c r="P31">
        <f ca="1">IFERROR(__xludf.DUMMYFUNCTION("""COMPUTED_VALUE"""),0.915)</f>
        <v>0.91500000000000004</v>
      </c>
      <c r="Q31">
        <f ca="1">IFERROR(__xludf.DUMMYFUNCTION("""COMPUTED_VALUE"""),0)</f>
        <v>0</v>
      </c>
      <c r="R31" t="str">
        <f ca="1">IFERROR(__xludf.DUMMYFUNCTION("""COMPUTED_VALUE"""),"Female")</f>
        <v>Female</v>
      </c>
    </row>
    <row r="32" spans="1:18" ht="12.3">
      <c r="A32">
        <f ca="1">IFERROR(__xludf.DUMMYFUNCTION("""COMPUTED_VALUE"""),76)</f>
        <v>76</v>
      </c>
      <c r="B32" t="str">
        <f ca="1">IFERROR(__xludf.DUMMYFUNCTION("""COMPUTED_VALUE"""),"Vaughn, Gove, &amp; Egeland (1980) ")</f>
        <v xml:space="preserve">Vaughn, Gove, &amp; Egeland (1980) </v>
      </c>
      <c r="C32">
        <f ca="1">IFERROR(__xludf.DUMMYFUNCTION("""COMPUTED_VALUE"""),1)</f>
        <v>1</v>
      </c>
      <c r="D32" t="str">
        <f ca="1">IFERROR(__xludf.DUMMYFUNCTION("""COMPUTED_VALUE"""),"Late return to work")</f>
        <v>Late return to work</v>
      </c>
      <c r="E32" t="str">
        <f ca="1">IFERROR(__xludf.DUMMYFUNCTION("""COMPUTED_VALUE"""),"Infancy - Infancy")</f>
        <v>Infancy - Infancy</v>
      </c>
      <c r="F32" t="str">
        <f ca="1">IFERROR(__xludf.DUMMYFUNCTION("""COMPUTED_VALUE"""),"18")</f>
        <v>18</v>
      </c>
      <c r="G32" t="str">
        <f ca="1">IFERROR(__xludf.DUMMYFUNCTION("""COMPUTED_VALUE"""),"0.2285714286")</f>
        <v>0.2285714286</v>
      </c>
      <c r="H32" t="str">
        <f ca="1">IFERROR(__xludf.DUMMYFUNCTION("""COMPUTED_VALUE"""),"0.5")</f>
        <v>0.5</v>
      </c>
      <c r="I32">
        <f ca="1">IFERROR(__xludf.DUMMYFUNCTION("""COMPUTED_VALUE"""),1980)</f>
        <v>1980</v>
      </c>
      <c r="J32" t="str">
        <f ca="1">IFERROR(__xludf.DUMMYFUNCTION("""COMPUTED_VALUE"""),"USA")</f>
        <v>USA</v>
      </c>
      <c r="K32" t="str">
        <f ca="1">IFERROR(__xludf.DUMMYFUNCTION("""COMPUTED_VALUE"""),"Ainsworth/Ainsworth")</f>
        <v>Ainsworth/Ainsworth</v>
      </c>
      <c r="L32">
        <f ca="1">IFERROR(__xludf.DUMMYFUNCTION("""COMPUTED_VALUE"""),0)</f>
        <v>0</v>
      </c>
      <c r="M32">
        <f ca="1">IFERROR(__xludf.DUMMYFUNCTION("""COMPUTED_VALUE"""),1)</f>
        <v>1</v>
      </c>
      <c r="N32">
        <f ca="1">IFERROR(__xludf.DUMMYFUNCTION("""COMPUTED_VALUE"""),0)</f>
        <v>0</v>
      </c>
      <c r="O32">
        <f ca="1">IFERROR(__xludf.DUMMYFUNCTION("""COMPUTED_VALUE"""),1)</f>
        <v>1</v>
      </c>
      <c r="P32">
        <f ca="1">IFERROR(__xludf.DUMMYFUNCTION("""COMPUTED_VALUE"""),0.915)</f>
        <v>0.91500000000000004</v>
      </c>
      <c r="Q32">
        <f ca="1">IFERROR(__xludf.DUMMYFUNCTION("""COMPUTED_VALUE"""),0)</f>
        <v>0</v>
      </c>
      <c r="R32" t="str">
        <f ca="1">IFERROR(__xludf.DUMMYFUNCTION("""COMPUTED_VALUE"""),"Female")</f>
        <v>Female</v>
      </c>
    </row>
    <row r="33" spans="1:18" ht="12.3">
      <c r="A33">
        <f ca="1">IFERROR(__xludf.DUMMYFUNCTION("""COMPUTED_VALUE"""),77)</f>
        <v>77</v>
      </c>
      <c r="B33" t="str">
        <f ca="1">IFERROR(__xludf.DUMMYFUNCTION("""COMPUTED_VALUE"""),"Vaughn, Gove, &amp; Egeland (1980) ")</f>
        <v xml:space="preserve">Vaughn, Gove, &amp; Egeland (1980) </v>
      </c>
      <c r="C33">
        <f ca="1">IFERROR(__xludf.DUMMYFUNCTION("""COMPUTED_VALUE"""),1)</f>
        <v>1</v>
      </c>
      <c r="D33" t="str">
        <f ca="1">IFERROR(__xludf.DUMMYFUNCTION("""COMPUTED_VALUE"""),"Did not return")</f>
        <v>Did not return</v>
      </c>
      <c r="E33" t="str">
        <f ca="1">IFERROR(__xludf.DUMMYFUNCTION("""COMPUTED_VALUE"""),"Infancy - Infancy")</f>
        <v>Infancy - Infancy</v>
      </c>
      <c r="F33" t="str">
        <f ca="1">IFERROR(__xludf.DUMMYFUNCTION("""COMPUTED_VALUE"""),"52")</f>
        <v>52</v>
      </c>
      <c r="G33" t="str">
        <f ca="1">IFERROR(__xludf.DUMMYFUNCTION("""COMPUTED_VALUE"""),"0.1909476662")</f>
        <v>0.1909476662</v>
      </c>
      <c r="H33" t="str">
        <f ca="1">IFERROR(__xludf.DUMMYFUNCTION("""COMPUTED_VALUE"""),"0.5769230769")</f>
        <v>0.5769230769</v>
      </c>
      <c r="I33">
        <f ca="1">IFERROR(__xludf.DUMMYFUNCTION("""COMPUTED_VALUE"""),1980)</f>
        <v>1980</v>
      </c>
      <c r="J33" t="str">
        <f ca="1">IFERROR(__xludf.DUMMYFUNCTION("""COMPUTED_VALUE"""),"USA")</f>
        <v>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IFERROR(__xludf.DUMMYFUNCTION("""COMPUTED_VALUE"""),0.915)</f>
        <v>0.91500000000000004</v>
      </c>
      <c r="Q33">
        <f ca="1">IFERROR(__xludf.DUMMYFUNCTION("""COMPUTED_VALUE"""),0)</f>
        <v>0</v>
      </c>
      <c r="R33" t="str">
        <f ca="1">IFERROR(__xludf.DUMMYFUNCTION("""COMPUTED_VALUE"""),"Female")</f>
        <v>Female</v>
      </c>
    </row>
    <row r="34" spans="1:18" ht="12.3">
      <c r="A34">
        <f ca="1">IFERROR(__xludf.DUMMYFUNCTION("""COMPUTED_VALUE"""),78)</f>
        <v>78</v>
      </c>
      <c r="B34" t="str">
        <f ca="1">IFERROR(__xludf.DUMMYFUNCTION("""COMPUTED_VALUE"""),"Wijnroks (1994) ")</f>
        <v xml:space="preserve">Wijnroks (1994) </v>
      </c>
      <c r="C34">
        <f ca="1">IFERROR(__xludf.DUMMYFUNCTION("""COMPUTED_VALUE"""),1)</f>
        <v>1</v>
      </c>
      <c r="D34" t="str">
        <f ca="1">IFERROR(__xludf.DUMMYFUNCTION("""COMPUTED_VALUE"""),"Mother-child")</f>
        <v>Mother-child</v>
      </c>
      <c r="E34" t="str">
        <f ca="1">IFERROR(__xludf.DUMMYFUNCTION("""COMPUTED_VALUE"""),"Infancy - Infancy")</f>
        <v>Infancy - Infancy</v>
      </c>
      <c r="F34" t="str">
        <f ca="1">IFERROR(__xludf.DUMMYFUNCTION("""COMPUTED_VALUE"""),"35")</f>
        <v>35</v>
      </c>
      <c r="G34" t="str">
        <f ca="1">IFERROR(__xludf.DUMMYFUNCTION("""COMPUTED_VALUE"""),"0.125")</f>
        <v>0.125</v>
      </c>
      <c r="H34" t="str">
        <f ca="1">IFERROR(__xludf.DUMMYFUNCTION("""COMPUTED_VALUE"""),"0.7142857143")</f>
        <v>0.7142857143</v>
      </c>
      <c r="I34">
        <f ca="1">IFERROR(__xludf.DUMMYFUNCTION("""COMPUTED_VALUE"""),1994)</f>
        <v>1994</v>
      </c>
      <c r="J34" t="str">
        <f ca="1">IFERROR(__xludf.DUMMYFUNCTION("""COMPUTED_VALUE"""),"Non-USA")</f>
        <v>Non-USA</v>
      </c>
      <c r="K34" t="str">
        <f ca="1">IFERROR(__xludf.DUMMYFUNCTION("""COMPUTED_VALUE"""),"Ainsworth/Ainsworth")</f>
        <v>Ainsworth/Ainsworth</v>
      </c>
      <c r="L34">
        <f ca="1">IFERROR(__xludf.DUMMYFUNCTION("""COMPUTED_VALUE"""),1)</f>
        <v>1</v>
      </c>
      <c r="M34">
        <f ca="1">IFERROR(__xludf.DUMMYFUNCTION("""COMPUTED_VALUE"""),0)</f>
        <v>0</v>
      </c>
      <c r="N34">
        <f ca="1">IFERROR(__xludf.DUMMYFUNCTION("""COMPUTED_VALUE"""),1)</f>
        <v>1</v>
      </c>
      <c r="O34">
        <f ca="1">IFERROR(__xludf.DUMMYFUNCTION("""COMPUTED_VALUE"""),0)</f>
        <v>0</v>
      </c>
      <c r="P34">
        <f ca="1">IFERROR(__xludf.DUMMYFUNCTION("""COMPUTED_VALUE"""),0.9)</f>
        <v>0.9</v>
      </c>
      <c r="Q34">
        <f ca="1">IFERROR(__xludf.DUMMYFUNCTION("""COMPUTED_VALUE"""),0)</f>
        <v>0</v>
      </c>
      <c r="R34" t="str">
        <f ca="1">IFERROR(__xludf.DUMMYFUNCTION("""COMPUTED_VALUE"""),"Female")</f>
        <v>Female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N47"/>
  <sheetViews>
    <sheetView topLeftCell="W1" workbookViewId="0">
      <pane ySplit="1" topLeftCell="A6" activePane="bottomLeft" state="frozen"/>
      <selection pane="bottomLeft" activeCell="A21" sqref="A21:XFD21"/>
    </sheetView>
  </sheetViews>
  <sheetFormatPr defaultColWidth="14.44140625" defaultRowHeight="15.75" customHeight="1"/>
  <cols>
    <col min="1" max="1" width="8.71875" customWidth="1"/>
    <col min="2" max="2" width="47.5546875" customWidth="1"/>
    <col min="3" max="3" width="13.5546875" customWidth="1"/>
    <col min="4" max="4" width="28.44140625" customWidth="1"/>
    <col min="5" max="5" width="21.27734375" customWidth="1"/>
    <col min="6" max="6" width="19" customWidth="1"/>
    <col min="7" max="7" width="18.83203125" customWidth="1"/>
    <col min="8" max="8" width="20.27734375" customWidth="1"/>
    <col min="9" max="9" width="15" customWidth="1"/>
    <col min="10" max="10" width="8.71875" customWidth="1"/>
    <col min="11" max="11" width="27.44140625" customWidth="1"/>
    <col min="12" max="12" width="28.71875" customWidth="1"/>
    <col min="13" max="13" width="11.109375" customWidth="1"/>
    <col min="14" max="14" width="12.44140625" customWidth="1"/>
    <col min="15" max="15" width="10.109375" customWidth="1"/>
    <col min="16" max="16" width="21.27734375" customWidth="1"/>
    <col min="17" max="17" width="28.71875" customWidth="1"/>
  </cols>
  <sheetData>
    <row r="1" spans="1:40" ht="15.75" customHeight="1">
      <c r="A1" s="126" t="str">
        <f ca="1">IFERROR(__xludf.DUMMYFUNCTION("QUERY(Processed!A1:DC150,""SELECT A, B, C, D, E, AJ, AO, AK, BG, BH, BI, BJ, BK, BL, BM, BN, BO, BP, CL, CM, CN, CO, CP, CQ, CR, CS, CT, CU, CV, CW, CX, CY, CZ, DA, DB, DC WHERE AG = TRUE"",1)"),"Study ID")</f>
        <v>Study ID</v>
      </c>
      <c r="B1" s="109" t="str">
        <f ca="1">IFERROR(__xludf.DUMMYFUNCTION("""COMPUTED_VALUE"""),"Authors")</f>
        <v>Authors</v>
      </c>
      <c r="C1" s="109" t="str">
        <f ca="1">IFERROR(__xludf.DUMMYFUNCTION("""COMPUTED_VALUE"""),"Subsample ID")</f>
        <v>Subsample ID</v>
      </c>
      <c r="D1" s="109" t="str">
        <f ca="1">IFERROR(__xludf.DUMMYFUNCTION("""COMPUTED_VALUE"""),"Subsample Desciption")</f>
        <v>Subsample Desciption</v>
      </c>
      <c r="E1" s="109" t="str">
        <f ca="1">IFERROR(__xludf.DUMMYFUNCTION("""COMPUTED_VALUE"""),"Interval")</f>
        <v>Interval</v>
      </c>
      <c r="F1" s="109" t="str">
        <f ca="1">IFERROR(__xludf.DUMMYFUNCTION("""COMPUTED_VALUE"""),"4-way n - Final")</f>
        <v>4-way n - Final</v>
      </c>
      <c r="G1" s="109" t="str">
        <f ca="1">IFERROR(__xludf.DUMMYFUNCTION("""COMPUTED_VALUE"""),"4-way k - Final")</f>
        <v>4-way k - Final</v>
      </c>
      <c r="H1" s="109" t="str">
        <f ca="1">IFERROR(__xludf.DUMMYFUNCTION("""COMPUTED_VALUE"""),"4-way PA - Calculated")</f>
        <v>4-way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09" t="str">
        <f ca="1">IFERROR(__xludf.DUMMYFUNCTION("""COMPUTED_VALUE"""),"Gender")</f>
        <v>Gender</v>
      </c>
      <c r="S1" s="109" t="str">
        <f ca="1">IFERROR(__xludf.DUMMYFUNCTION("""COMPUTED_VALUE"""),"AA Proportion")</f>
        <v>AA Proportion</v>
      </c>
      <c r="T1" s="109" t="str">
        <f ca="1">IFERROR(__xludf.DUMMYFUNCTION("""COMPUTED_VALUE"""),"BB Proportion")</f>
        <v>BB Proportion</v>
      </c>
      <c r="U1" s="109" t="str">
        <f ca="1">IFERROR(__xludf.DUMMYFUNCTION("""COMPUTED_VALUE"""),"CC Proportion")</f>
        <v>CC Proportion</v>
      </c>
      <c r="V1" s="109" t="str">
        <f ca="1">IFERROR(__xludf.DUMMYFUNCTION("""COMPUTED_VALUE"""),"DD Proportion")</f>
        <v>DD Proportion</v>
      </c>
      <c r="W1" s="109" t="str">
        <f ca="1">IFERROR(__xludf.DUMMYFUNCTION("""COMPUTED_VALUE"""),"ISIS Proportion")</f>
        <v>ISIS Proportion</v>
      </c>
      <c r="X1" s="109" t="str">
        <f ca="1">IFERROR(__xludf.DUMMYFUNCTION("""COMPUTED_VALUE"""),"OO Proportion")</f>
        <v>OO Proportion</v>
      </c>
      <c r="Y1" s="109" t="str">
        <f ca="1">IFERROR(__xludf.DUMMYFUNCTION("""COMPUTED_VALUE"""),"AA n")</f>
        <v>AA n</v>
      </c>
      <c r="Z1" s="109" t="str">
        <f ca="1">IFERROR(__xludf.DUMMYFUNCTION("""COMPUTED_VALUE"""),"BB n")</f>
        <v>BB n</v>
      </c>
      <c r="AA1" s="109" t="str">
        <f ca="1">IFERROR(__xludf.DUMMYFUNCTION("""COMPUTED_VALUE"""),"CC n")</f>
        <v>CC n</v>
      </c>
      <c r="AB1" s="109" t="str">
        <f ca="1">IFERROR(__xludf.DUMMYFUNCTION("""COMPUTED_VALUE"""),"DD n")</f>
        <v>DD n</v>
      </c>
      <c r="AC1" s="109" t="str">
        <f ca="1">IFERROR(__xludf.DUMMYFUNCTION("""COMPUTED_VALUE"""),"ISIS n")</f>
        <v>ISIS n</v>
      </c>
      <c r="AD1" s="109" t="str">
        <f ca="1">IFERROR(__xludf.DUMMYFUNCTION("""COMPUTED_VALUE"""),"OO n")</f>
        <v>OO n</v>
      </c>
      <c r="AE1" s="109" t="str">
        <f ca="1">IFERROR(__xludf.DUMMYFUNCTION("""COMPUTED_VALUE"""),"AA expected proportion")</f>
        <v>AA expected proportion</v>
      </c>
      <c r="AF1" s="109" t="str">
        <f ca="1">IFERROR(__xludf.DUMMYFUNCTION("""COMPUTED_VALUE"""),"BB expected proportion")</f>
        <v>BB expected proportion</v>
      </c>
      <c r="AG1" s="109" t="str">
        <f ca="1">IFERROR(__xludf.DUMMYFUNCTION("""COMPUTED_VALUE"""),"CC expected proportion")</f>
        <v>CC expected proportion</v>
      </c>
      <c r="AH1" s="109" t="str">
        <f ca="1">IFERROR(__xludf.DUMMYFUNCTION("""COMPUTED_VALUE"""),"DD expected proportion")</f>
        <v>DD expected proportion</v>
      </c>
      <c r="AI1" s="109" t="str">
        <f ca="1">IFERROR(__xludf.DUMMYFUNCTION("""COMPUTED_VALUE"""),"ISIS expected proportion")</f>
        <v>ISIS expected proportion</v>
      </c>
      <c r="AJ1" s="109" t="str">
        <f ca="1">IFERROR(__xludf.DUMMYFUNCTION("""COMPUTED_VALUE"""),"OO expected proportion")</f>
        <v>OO expected proportion</v>
      </c>
      <c r="AK1" s="114"/>
      <c r="AL1" s="114"/>
      <c r="AM1" s="114"/>
      <c r="AN1" s="114"/>
    </row>
    <row r="2" spans="1:40" ht="15.75" customHeight="1">
      <c r="A2" s="56">
        <f ca="1">IFERROR(__xludf.DUMMYFUNCTION("""COMPUTED_VALUE"""),6)</f>
        <v>6</v>
      </c>
      <c r="B2" s="56" t="str">
        <f ca="1">IFERROR(__xludf.DUMMYFUNCTION("""COMPUTED_VALUE"""),"Barnett, Ganiban &amp; Cicchetti (1999)")</f>
        <v>Barnett, Ganiban &amp; Cicchetti (1999)</v>
      </c>
      <c r="C2" s="56">
        <f ca="1">IFERROR(__xludf.DUMMYFUNCTION("""COMPUTED_VALUE"""),1)</f>
        <v>1</v>
      </c>
      <c r="D2" s="56" t="str">
        <f ca="1">IFERROR(__xludf.DUMMYFUNCTION("""COMPUTED_VALUE"""),"Comparison")</f>
        <v>Comparison</v>
      </c>
      <c r="E2" s="56" t="str">
        <f ca="1">IFERROR(__xludf.DUMMYFUNCTION("""COMPUTED_VALUE"""),"Infancy - Toddlerhood")</f>
        <v>Infancy - Toddlerhood</v>
      </c>
      <c r="F2" s="123">
        <f ca="1">IFERROR(__xludf.DUMMYFUNCTION("""COMPUTED_VALUE"""),20)</f>
        <v>20</v>
      </c>
      <c r="G2" s="56" t="str">
        <f ca="1">IFERROR(__xludf.DUMMYFUNCTION("""COMPUTED_VALUE"""),"0.3258426966")</f>
        <v>0.3258426966</v>
      </c>
      <c r="H2" s="56" t="str">
        <f ca="1">IFERROR(__xludf.DUMMYFUNCTION("""COMPUTED_VALUE"""),"0.55")</f>
        <v>0.55</v>
      </c>
      <c r="I2" s="56">
        <f ca="1">IFERROR(__xludf.DUMMYFUNCTION("""COMPUTED_VALUE"""),1999)</f>
        <v>1999</v>
      </c>
      <c r="J2" s="56" t="str">
        <f ca="1">IFERROR(__xludf.DUMMYFUNCTION("""COMPUTED_VALUE"""),"USA")</f>
        <v>USA</v>
      </c>
      <c r="K2" s="56" t="str">
        <f ca="1">IFERROR(__xludf.DUMMYFUNCTION("""COMPUTED_VALUE"""),"Ainsworth/Ainsworth")</f>
        <v>Ainsworth/Ainsworth</v>
      </c>
      <c r="L2" s="56">
        <f ca="1">IFERROR(__xludf.DUMMYFUNCTION("""COMPUTED_VALUE"""),1)</f>
        <v>1</v>
      </c>
      <c r="M2" s="56">
        <f ca="1">IFERROR(__xludf.DUMMYFUNCTION("""COMPUTED_VALUE"""),0)</f>
        <v>0</v>
      </c>
      <c r="N2" s="56">
        <f ca="1">IFERROR(__xludf.DUMMYFUNCTION("""COMPUTED_VALUE"""),0)</f>
        <v>0</v>
      </c>
      <c r="O2" s="56">
        <f ca="1">IFERROR(__xludf.DUMMYFUNCTION("""COMPUTED_VALUE"""),1)</f>
        <v>1</v>
      </c>
      <c r="P2" s="56">
        <f ca="1">IFERROR(__xludf.DUMMYFUNCTION("""COMPUTED_VALUE"""),0.895)</f>
        <v>0.89500000000000002</v>
      </c>
      <c r="Q2" s="56">
        <f ca="1">IFERROR(__xludf.DUMMYFUNCTION("""COMPUTED_VALUE"""),0)</f>
        <v>0</v>
      </c>
      <c r="R2" s="56" t="str">
        <f ca="1">IFERROR(__xludf.DUMMYFUNCTION("""COMPUTED_VALUE"""),"Female")</f>
        <v>Female</v>
      </c>
      <c r="S2" s="56" t="str">
        <f ca="1">IFERROR(__xludf.DUMMYFUNCTION("""COMPUTED_VALUE"""),"0")</f>
        <v>0</v>
      </c>
      <c r="T2" s="56" t="str">
        <f ca="1">IFERROR(__xludf.DUMMYFUNCTION("""COMPUTED_VALUE"""),"0.75")</f>
        <v>0.75</v>
      </c>
      <c r="U2" s="56" t="str">
        <f ca="1">IFERROR(__xludf.DUMMYFUNCTION("""COMPUTED_VALUE"""),"0.3333333333")</f>
        <v>0.3333333333</v>
      </c>
      <c r="V2" s="56" t="str">
        <f ca="1">IFERROR(__xludf.DUMMYFUNCTION("""COMPUTED_VALUE"""),"0.6666666667")</f>
        <v>0.6666666667</v>
      </c>
      <c r="W2" s="56" t="str">
        <f ca="1">IFERROR(__xludf.DUMMYFUNCTION("""COMPUTED_VALUE"""),"0.5833333333")</f>
        <v>0.5833333333</v>
      </c>
      <c r="X2" s="56" t="str">
        <f ca="1">IFERROR(__xludf.DUMMYFUNCTION("""COMPUTED_VALUE"""),"0.9230769231")</f>
        <v>0.9230769231</v>
      </c>
      <c r="Y2" s="56" t="str">
        <f ca="1">IFERROR(__xludf.DUMMYFUNCTION("""COMPUTED_VALUE"""),"3")</f>
        <v>3</v>
      </c>
      <c r="Z2" s="56" t="str">
        <f ca="1">IFERROR(__xludf.DUMMYFUNCTION("""COMPUTED_VALUE"""),"8")</f>
        <v>8</v>
      </c>
      <c r="AA2" s="56" t="str">
        <f ca="1">IFERROR(__xludf.DUMMYFUNCTION("""COMPUTED_VALUE"""),"3")</f>
        <v>3</v>
      </c>
      <c r="AB2" s="56" t="str">
        <f ca="1">IFERROR(__xludf.DUMMYFUNCTION("""COMPUTED_VALUE"""),"6")</f>
        <v>6</v>
      </c>
      <c r="AC2" s="56" t="str">
        <f ca="1">IFERROR(__xludf.DUMMYFUNCTION("""COMPUTED_VALUE"""),"12")</f>
        <v>12</v>
      </c>
      <c r="AD2" s="56" t="str">
        <f ca="1">IFERROR(__xludf.DUMMYFUNCTION("""COMPUTED_VALUE"""),"13")</f>
        <v>13</v>
      </c>
      <c r="AE2" s="56" t="str">
        <f ca="1">IFERROR(__xludf.DUMMYFUNCTION("""COMPUTED_VALUE"""),"0.05")</f>
        <v>0.05</v>
      </c>
      <c r="AF2" s="56" t="str">
        <f ca="1">IFERROR(__xludf.DUMMYFUNCTION("""COMPUTED_VALUE"""),"0.55")</f>
        <v>0.55</v>
      </c>
      <c r="AG2" s="56" t="str">
        <f ca="1">IFERROR(__xludf.DUMMYFUNCTION("""COMPUTED_VALUE"""),"0.1")</f>
        <v>0.1</v>
      </c>
      <c r="AH2" s="56" t="str">
        <f ca="1">IFERROR(__xludf.DUMMYFUNCTION("""COMPUTED_VALUE"""),"0.3")</f>
        <v>0.3</v>
      </c>
      <c r="AI2" s="56" t="str">
        <f ca="1">IFERROR(__xludf.DUMMYFUNCTION("""COMPUTED_VALUE"""),"0.45")</f>
        <v>0.45</v>
      </c>
      <c r="AJ2" s="56" t="str">
        <f ca="1">IFERROR(__xludf.DUMMYFUNCTION("""COMPUTED_VALUE"""),"0.7")</f>
        <v>0.7</v>
      </c>
    </row>
    <row r="3" spans="1:40" ht="15.75" customHeight="1">
      <c r="A3" s="56">
        <f ca="1">IFERROR(__xludf.DUMMYFUNCTION("""COMPUTED_VALUE"""),6)</f>
        <v>6</v>
      </c>
      <c r="B3" s="56" t="str">
        <f ca="1">IFERROR(__xludf.DUMMYFUNCTION("""COMPUTED_VALUE"""),"Barnett, Ganiban &amp; Cicchetti (1999)")</f>
        <v>Barnett, Ganiban &amp; Cicchetti (1999)</v>
      </c>
      <c r="C3" s="56">
        <f ca="1">IFERROR(__xludf.DUMMYFUNCTION("""COMPUTED_VALUE"""),2)</f>
        <v>2</v>
      </c>
      <c r="D3" s="56" t="str">
        <f ca="1">IFERROR(__xludf.DUMMYFUNCTION("""COMPUTED_VALUE"""),"Comparison")</f>
        <v>Comparison</v>
      </c>
      <c r="E3" s="56" t="str">
        <f ca="1">IFERROR(__xludf.DUMMYFUNCTION("""COMPUTED_VALUE"""),"Infancy - Infancy")</f>
        <v>Infancy - Infancy</v>
      </c>
      <c r="F3" s="123">
        <f ca="1">IFERROR(__xludf.DUMMYFUNCTION("""COMPUTED_VALUE"""),21)</f>
        <v>21</v>
      </c>
      <c r="G3" s="56" t="str">
        <f ca="1">IFERROR(__xludf.DUMMYFUNCTION("""COMPUTED_VALUE"""),"0.4285714286")</f>
        <v>0.4285714286</v>
      </c>
      <c r="H3" s="56" t="str">
        <f ca="1">IFERROR(__xludf.DUMMYFUNCTION("""COMPUTED_VALUE"""),"0.619047619")</f>
        <v>0.619047619</v>
      </c>
      <c r="I3" s="56">
        <f ca="1">IFERROR(__xludf.DUMMYFUNCTION("""COMPUTED_VALUE"""),1999)</f>
        <v>1999</v>
      </c>
      <c r="J3" s="56" t="str">
        <f ca="1">IFERROR(__xludf.DUMMYFUNCTION("""COMPUTED_VALUE"""),"USA")</f>
        <v>USA</v>
      </c>
      <c r="K3" s="56" t="str">
        <f ca="1">IFERROR(__xludf.DUMMYFUNCTION("""COMPUTED_VALUE"""),"Ainsworth/Ainsworth")</f>
        <v>Ainsworth/Ainsworth</v>
      </c>
      <c r="L3" s="56">
        <f ca="1">IFERROR(__xludf.DUMMYFUNCTION("""COMPUTED_VALUE"""),1)</f>
        <v>1</v>
      </c>
      <c r="M3" s="56">
        <f ca="1">IFERROR(__xludf.DUMMYFUNCTION("""COMPUTED_VALUE"""),0)</f>
        <v>0</v>
      </c>
      <c r="N3" s="56">
        <f ca="1">IFERROR(__xludf.DUMMYFUNCTION("""COMPUTED_VALUE"""),0)</f>
        <v>0</v>
      </c>
      <c r="O3" s="56">
        <f ca="1">IFERROR(__xludf.DUMMYFUNCTION("""COMPUTED_VALUE"""),1)</f>
        <v>1</v>
      </c>
      <c r="P3" s="56">
        <f ca="1">IFERROR(__xludf.DUMMYFUNCTION("""COMPUTED_VALUE"""),0.865)</f>
        <v>0.86499999999999999</v>
      </c>
      <c r="Q3" s="56">
        <f ca="1">IFERROR(__xludf.DUMMYFUNCTION("""COMPUTED_VALUE"""),0)</f>
        <v>0</v>
      </c>
      <c r="R3" s="56" t="str">
        <f ca="1">IFERROR(__xludf.DUMMYFUNCTION("""COMPUTED_VALUE"""),"Female")</f>
        <v>Female</v>
      </c>
      <c r="S3" s="56" t="str">
        <f ca="1">IFERROR(__xludf.DUMMYFUNCTION("""COMPUTED_VALUE"""),"0")</f>
        <v>0</v>
      </c>
      <c r="T3" s="56" t="str">
        <f ca="1">IFERROR(__xludf.DUMMYFUNCTION("""COMPUTED_VALUE"""),"0.7777777778")</f>
        <v>0.7777777778</v>
      </c>
      <c r="U3" s="56" t="str">
        <f ca="1">IFERROR(__xludf.DUMMYFUNCTION("""COMPUTED_VALUE"""),"0.6666666667")</f>
        <v>0.6666666667</v>
      </c>
      <c r="V3" s="56" t="str">
        <f ca="1">IFERROR(__xludf.DUMMYFUNCTION("""COMPUTED_VALUE"""),"0.6666666667")</f>
        <v>0.6666666667</v>
      </c>
      <c r="W3" s="56" t="str">
        <f ca="1">IFERROR(__xludf.DUMMYFUNCTION("""COMPUTED_VALUE"""),"0.6666666667")</f>
        <v>0.6666666667</v>
      </c>
      <c r="X3" s="56" t="str">
        <f ca="1">IFERROR(__xludf.DUMMYFUNCTION("""COMPUTED_VALUE"""),"0.9285714286")</f>
        <v>0.9285714286</v>
      </c>
      <c r="Y3" s="56" t="str">
        <f ca="1">IFERROR(__xludf.DUMMYFUNCTION("""COMPUTED_VALUE"""),"3")</f>
        <v>3</v>
      </c>
      <c r="Z3" s="56" t="str">
        <f ca="1">IFERROR(__xludf.DUMMYFUNCTION("""COMPUTED_VALUE"""),"9")</f>
        <v>9</v>
      </c>
      <c r="AA3" s="56" t="str">
        <f ca="1">IFERROR(__xludf.DUMMYFUNCTION("""COMPUTED_VALUE"""),"3")</f>
        <v>3</v>
      </c>
      <c r="AB3" s="56" t="str">
        <f ca="1">IFERROR(__xludf.DUMMYFUNCTION("""COMPUTED_VALUE"""),"6")</f>
        <v>6</v>
      </c>
      <c r="AC3" s="56" t="str">
        <f ca="1">IFERROR(__xludf.DUMMYFUNCTION("""COMPUTED_VALUE"""),"12")</f>
        <v>12</v>
      </c>
      <c r="AD3" s="56" t="str">
        <f ca="1">IFERROR(__xludf.DUMMYFUNCTION("""COMPUTED_VALUE"""),"14")</f>
        <v>14</v>
      </c>
      <c r="AE3" s="56" t="str">
        <f ca="1">IFERROR(__xludf.DUMMYFUNCTION("""COMPUTED_VALUE"""),"0.04761904762")</f>
        <v>0.04761904762</v>
      </c>
      <c r="AF3" s="56" t="str">
        <f ca="1">IFERROR(__xludf.DUMMYFUNCTION("""COMPUTED_VALUE"""),"0.5238095238")</f>
        <v>0.5238095238</v>
      </c>
      <c r="AG3" s="56" t="str">
        <f ca="1">IFERROR(__xludf.DUMMYFUNCTION("""COMPUTED_VALUE"""),"0.1428571429")</f>
        <v>0.1428571429</v>
      </c>
      <c r="AH3" s="56" t="str">
        <f ca="1">IFERROR(__xludf.DUMMYFUNCTION("""COMPUTED_VALUE"""),"0.2857142857")</f>
        <v>0.2857142857</v>
      </c>
      <c r="AI3" s="56" t="str">
        <f ca="1">IFERROR(__xludf.DUMMYFUNCTION("""COMPUTED_VALUE"""),"0.4761904762")</f>
        <v>0.4761904762</v>
      </c>
      <c r="AJ3" s="56" t="str">
        <f ca="1">IFERROR(__xludf.DUMMYFUNCTION("""COMPUTED_VALUE"""),"0.7142857143")</f>
        <v>0.7142857143</v>
      </c>
    </row>
    <row r="4" spans="1:40" ht="15.75" customHeight="1">
      <c r="A4" s="56">
        <f ca="1">IFERROR(__xludf.DUMMYFUNCTION("""COMPUTED_VALUE"""),6)</f>
        <v>6</v>
      </c>
      <c r="B4" s="56" t="str">
        <f ca="1">IFERROR(__xludf.DUMMYFUNCTION("""COMPUTED_VALUE"""),"Barnett, Ganiban &amp; Cicchetti (1999)")</f>
        <v>Barnett, Ganiban &amp; Cicchetti (1999)</v>
      </c>
      <c r="C4" s="56">
        <f ca="1">IFERROR(__xludf.DUMMYFUNCTION("""COMPUTED_VALUE"""),3)</f>
        <v>3</v>
      </c>
      <c r="D4" s="56" t="str">
        <f ca="1">IFERROR(__xludf.DUMMYFUNCTION("""COMPUTED_VALUE"""),"Comparison")</f>
        <v>Comparison</v>
      </c>
      <c r="E4" s="56" t="str">
        <f ca="1">IFERROR(__xludf.DUMMYFUNCTION("""COMPUTED_VALUE"""),"Infancy - Toddlerhood")</f>
        <v>Infancy - Toddlerhood</v>
      </c>
      <c r="F4" s="123">
        <f ca="1">IFERROR(__xludf.DUMMYFUNCTION("""COMPUTED_VALUE"""),20)</f>
        <v>20</v>
      </c>
      <c r="G4" s="56" t="str">
        <f ca="1">IFERROR(__xludf.DUMMYFUNCTION("""COMPUTED_VALUE"""),"0.5141700405")</f>
        <v>0.5141700405</v>
      </c>
      <c r="H4" s="56" t="str">
        <f ca="1">IFERROR(__xludf.DUMMYFUNCTION("""COMPUTED_VALUE"""),"0.7")</f>
        <v>0.7</v>
      </c>
      <c r="I4" s="56">
        <f ca="1">IFERROR(__xludf.DUMMYFUNCTION("""COMPUTED_VALUE"""),1999)</f>
        <v>1999</v>
      </c>
      <c r="J4" s="56" t="str">
        <f ca="1">IFERROR(__xludf.DUMMYFUNCTION("""COMPUTED_VALUE"""),"USA")</f>
        <v>USA</v>
      </c>
      <c r="K4" s="56" t="str">
        <f ca="1">IFERROR(__xludf.DUMMYFUNCTION("""COMPUTED_VALUE"""),"Ainsworth/Ainsworth")</f>
        <v>Ainsworth/Ainsworth</v>
      </c>
      <c r="L4" s="56">
        <f ca="1">IFERROR(__xludf.DUMMYFUNCTION("""COMPUTED_VALUE"""),1)</f>
        <v>1</v>
      </c>
      <c r="M4" s="56">
        <f ca="1">IFERROR(__xludf.DUMMYFUNCTION("""COMPUTED_VALUE"""),0)</f>
        <v>0</v>
      </c>
      <c r="N4" s="56">
        <f ca="1">IFERROR(__xludf.DUMMYFUNCTION("""COMPUTED_VALUE"""),0)</f>
        <v>0</v>
      </c>
      <c r="O4" s="56">
        <f ca="1">IFERROR(__xludf.DUMMYFUNCTION("""COMPUTED_VALUE"""),1)</f>
        <v>1</v>
      </c>
      <c r="P4" s="56">
        <f ca="1">IFERROR(__xludf.DUMMYFUNCTION("""COMPUTED_VALUE"""),0.88)</f>
        <v>0.88</v>
      </c>
      <c r="Q4" s="56">
        <f ca="1">IFERROR(__xludf.DUMMYFUNCTION("""COMPUTED_VALUE"""),0)</f>
        <v>0</v>
      </c>
      <c r="R4" s="56" t="str">
        <f ca="1">IFERROR(__xludf.DUMMYFUNCTION("""COMPUTED_VALUE"""),"Female")</f>
        <v>Female</v>
      </c>
      <c r="S4" s="56" t="str">
        <f ca="1">IFERROR(__xludf.DUMMYFUNCTION("""COMPUTED_VALUE"""),"1")</f>
        <v>1</v>
      </c>
      <c r="T4" s="56" t="str">
        <f ca="1">IFERROR(__xludf.DUMMYFUNCTION("""COMPUTED_VALUE"""),"0.8")</f>
        <v>0.8</v>
      </c>
      <c r="U4" s="56" t="str">
        <f ca="1">IFERROR(__xludf.DUMMYFUNCTION("""COMPUTED_VALUE"""),"0.3333333333")</f>
        <v>0.3333333333</v>
      </c>
      <c r="V4" s="56" t="str">
        <f ca="1">IFERROR(__xludf.DUMMYFUNCTION("""COMPUTED_VALUE"""),"0.6666666667")</f>
        <v>0.6666666667</v>
      </c>
      <c r="W4" s="56" t="str">
        <f ca="1">IFERROR(__xludf.DUMMYFUNCTION("""COMPUTED_VALUE"""),"0.7")</f>
        <v>0.7</v>
      </c>
      <c r="X4" s="56" t="str">
        <f ca="1">IFERROR(__xludf.DUMMYFUNCTION("""COMPUTED_VALUE"""),"0.9230769231")</f>
        <v>0.9230769231</v>
      </c>
      <c r="Y4" s="56" t="str">
        <f ca="1">IFERROR(__xludf.DUMMYFUNCTION("""COMPUTED_VALUE"""),"1")</f>
        <v>1</v>
      </c>
      <c r="Z4" s="56" t="str">
        <f ca="1">IFERROR(__xludf.DUMMYFUNCTION("""COMPUTED_VALUE"""),"10")</f>
        <v>10</v>
      </c>
      <c r="AA4" s="56" t="str">
        <f ca="1">IFERROR(__xludf.DUMMYFUNCTION("""COMPUTED_VALUE"""),"3")</f>
        <v>3</v>
      </c>
      <c r="AB4" s="56" t="str">
        <f ca="1">IFERROR(__xludf.DUMMYFUNCTION("""COMPUTED_VALUE"""),"6")</f>
        <v>6</v>
      </c>
      <c r="AC4" s="56" t="str">
        <f ca="1">IFERROR(__xludf.DUMMYFUNCTION("""COMPUTED_VALUE"""),"10")</f>
        <v>10</v>
      </c>
      <c r="AD4" s="56" t="str">
        <f ca="1">IFERROR(__xludf.DUMMYFUNCTION("""COMPUTED_VALUE"""),"13")</f>
        <v>13</v>
      </c>
      <c r="AE4" s="56" t="str">
        <f ca="1">IFERROR(__xludf.DUMMYFUNCTION("""COMPUTED_VALUE"""),"0.05")</f>
        <v>0.05</v>
      </c>
      <c r="AF4" s="56" t="str">
        <f ca="1">IFERROR(__xludf.DUMMYFUNCTION("""COMPUTED_VALUE"""),"0.55")</f>
        <v>0.55</v>
      </c>
      <c r="AG4" s="56" t="str">
        <f ca="1">IFERROR(__xludf.DUMMYFUNCTION("""COMPUTED_VALUE"""),"0.1")</f>
        <v>0.1</v>
      </c>
      <c r="AH4" s="56" t="str">
        <f ca="1">IFERROR(__xludf.DUMMYFUNCTION("""COMPUTED_VALUE"""),"0.3")</f>
        <v>0.3</v>
      </c>
      <c r="AI4" s="56" t="str">
        <f ca="1">IFERROR(__xludf.DUMMYFUNCTION("""COMPUTED_VALUE"""),"0.45")</f>
        <v>0.45</v>
      </c>
      <c r="AJ4" s="56" t="str">
        <f ca="1">IFERROR(__xludf.DUMMYFUNCTION("""COMPUTED_VALUE"""),"0.7")</f>
        <v>0.7</v>
      </c>
    </row>
    <row r="5" spans="1:40" ht="15.75" customHeight="1">
      <c r="A5" s="56">
        <f ca="1">IFERROR(__xludf.DUMMYFUNCTION("""COMPUTED_VALUE"""),7)</f>
        <v>7</v>
      </c>
      <c r="B5" s="56" t="str">
        <f ca="1">IFERROR(__xludf.DUMMYFUNCTION("""COMPUTED_VALUE"""),"Barnett, Ganiban &amp; Cicchetti (1999)")</f>
        <v>Barnett, Ganiban &amp; Cicchetti (1999)</v>
      </c>
      <c r="C5" s="56">
        <f ca="1">IFERROR(__xludf.DUMMYFUNCTION("""COMPUTED_VALUE"""),1)</f>
        <v>1</v>
      </c>
      <c r="D5" s="56" t="str">
        <f ca="1">IFERROR(__xludf.DUMMYFUNCTION("""COMPUTED_VALUE"""),"Maltreated")</f>
        <v>Maltreated</v>
      </c>
      <c r="E5" s="56" t="str">
        <f ca="1">IFERROR(__xludf.DUMMYFUNCTION("""COMPUTED_VALUE"""),"Infancy - Toddlerhood")</f>
        <v>Infancy - Toddlerhood</v>
      </c>
      <c r="F5" s="123">
        <f ca="1">IFERROR(__xludf.DUMMYFUNCTION("""COMPUTED_VALUE"""),16)</f>
        <v>16</v>
      </c>
      <c r="G5" s="56" t="str">
        <f ca="1">IFERROR(__xludf.DUMMYFUNCTION("""COMPUTED_VALUE"""),"0.619047619")</f>
        <v>0.619047619</v>
      </c>
      <c r="H5" s="56" t="str">
        <f ca="1">IFERROR(__xludf.DUMMYFUNCTION("""COMPUTED_VALUE"""),"0.875")</f>
        <v>0.875</v>
      </c>
      <c r="I5" s="56">
        <f ca="1">IFERROR(__xludf.DUMMYFUNCTION("""COMPUTED_VALUE"""),1999)</f>
        <v>1999</v>
      </c>
      <c r="J5" s="56" t="str">
        <f ca="1">IFERROR(__xludf.DUMMYFUNCTION("""COMPUTED_VALUE"""),"USA")</f>
        <v>USA</v>
      </c>
      <c r="K5" s="56" t="str">
        <f ca="1">IFERROR(__xludf.DUMMYFUNCTION("""COMPUTED_VALUE"""),"Ainsworth/Ainsworth")</f>
        <v>Ainsworth/Ainsworth</v>
      </c>
      <c r="L5" s="56">
        <f ca="1">IFERROR(__xludf.DUMMYFUNCTION("""COMPUTED_VALUE"""),1)</f>
        <v>1</v>
      </c>
      <c r="M5" s="56">
        <f ca="1">IFERROR(__xludf.DUMMYFUNCTION("""COMPUTED_VALUE"""),1)</f>
        <v>1</v>
      </c>
      <c r="N5" s="56">
        <f ca="1">IFERROR(__xludf.DUMMYFUNCTION("""COMPUTED_VALUE"""),0)</f>
        <v>0</v>
      </c>
      <c r="O5" s="56">
        <f ca="1">IFERROR(__xludf.DUMMYFUNCTION("""COMPUTED_VALUE"""),1)</f>
        <v>1</v>
      </c>
      <c r="P5" s="56">
        <f ca="1">IFERROR(__xludf.DUMMYFUNCTION("""COMPUTED_VALUE"""),0.895)</f>
        <v>0.89500000000000002</v>
      </c>
      <c r="Q5" s="56">
        <f ca="1">IFERROR(__xludf.DUMMYFUNCTION("""COMPUTED_VALUE"""),0)</f>
        <v>0</v>
      </c>
      <c r="R5" s="56" t="str">
        <f ca="1">IFERROR(__xludf.DUMMYFUNCTION("""COMPUTED_VALUE"""),"Female")</f>
        <v>Female</v>
      </c>
      <c r="S5" s="56" t="str">
        <f ca="1">IFERROR(__xludf.DUMMYFUNCTION("""COMPUTED_VALUE"""),"0")</f>
        <v>0</v>
      </c>
      <c r="T5" s="56" t="str">
        <f ca="1">IFERROR(__xludf.DUMMYFUNCTION("""COMPUTED_VALUE"""),"1")</f>
        <v>1</v>
      </c>
      <c r="U5" s="56" t="str">
        <f ca="1">IFERROR(__xludf.DUMMYFUNCTION("""COMPUTED_VALUE"""),"0")</f>
        <v>0</v>
      </c>
      <c r="V5" s="56" t="str">
        <f ca="1">IFERROR(__xludf.DUMMYFUNCTION("""COMPUTED_VALUE"""),"0.8571428571")</f>
        <v>0.8571428571</v>
      </c>
      <c r="W5" s="56" t="str">
        <f ca="1">IFERROR(__xludf.DUMMYFUNCTION("""COMPUTED_VALUE"""),"1")</f>
        <v>1</v>
      </c>
      <c r="X5" s="56" t="str">
        <f ca="1">IFERROR(__xludf.DUMMYFUNCTION("""COMPUTED_VALUE"""),"1")</f>
        <v>1</v>
      </c>
      <c r="Y5" s="56" t="str">
        <f ca="1">IFERROR(__xludf.DUMMYFUNCTION("""COMPUTED_VALUE"""),"0")</f>
        <v>0</v>
      </c>
      <c r="Z5" s="56" t="str">
        <f ca="1">IFERROR(__xludf.DUMMYFUNCTION("""COMPUTED_VALUE"""),"2")</f>
        <v>2</v>
      </c>
      <c r="AA5" s="56" t="str">
        <f ca="1">IFERROR(__xludf.DUMMYFUNCTION("""COMPUTED_VALUE"""),"0")</f>
        <v>0</v>
      </c>
      <c r="AB5" s="56" t="str">
        <f ca="1">IFERROR(__xludf.DUMMYFUNCTION("""COMPUTED_VALUE"""),"14")</f>
        <v>14</v>
      </c>
      <c r="AC5" s="56" t="str">
        <f ca="1">IFERROR(__xludf.DUMMYFUNCTION("""COMPUTED_VALUE"""),"14")</f>
        <v>14</v>
      </c>
      <c r="AD5" s="56" t="str">
        <f ca="1">IFERROR(__xludf.DUMMYFUNCTION("""COMPUTED_VALUE"""),"2")</f>
        <v>2</v>
      </c>
      <c r="AE5" s="56" t="str">
        <f ca="1">IFERROR(__xludf.DUMMYFUNCTION("""COMPUTED_VALUE"""),"0")</f>
        <v>0</v>
      </c>
      <c r="AF5" s="56" t="str">
        <f ca="1">IFERROR(__xludf.DUMMYFUNCTION("""COMPUTED_VALUE"""),"0.125")</f>
        <v>0.125</v>
      </c>
      <c r="AG5" s="56" t="str">
        <f ca="1">IFERROR(__xludf.DUMMYFUNCTION("""COMPUTED_VALUE"""),"0")</f>
        <v>0</v>
      </c>
      <c r="AH5" s="56" t="str">
        <f ca="1">IFERROR(__xludf.DUMMYFUNCTION("""COMPUTED_VALUE"""),"0.75")</f>
        <v>0.75</v>
      </c>
      <c r="AI5" s="56" t="str">
        <f ca="1">IFERROR(__xludf.DUMMYFUNCTION("""COMPUTED_VALUE"""),"0.875")</f>
        <v>0.875</v>
      </c>
      <c r="AJ5" s="56" t="str">
        <f ca="1">IFERROR(__xludf.DUMMYFUNCTION("""COMPUTED_VALUE"""),"0.25")</f>
        <v>0.25</v>
      </c>
    </row>
    <row r="6" spans="1:40" ht="15.75" customHeight="1">
      <c r="A6" s="56">
        <f ca="1">IFERROR(__xludf.DUMMYFUNCTION("""COMPUTED_VALUE"""),7)</f>
        <v>7</v>
      </c>
      <c r="B6" s="56" t="str">
        <f ca="1">IFERROR(__xludf.DUMMYFUNCTION("""COMPUTED_VALUE"""),"Barnett, Ganiban &amp; Cicchetti (1999)")</f>
        <v>Barnett, Ganiban &amp; Cicchetti (1999)</v>
      </c>
      <c r="C6" s="56">
        <f ca="1">IFERROR(__xludf.DUMMYFUNCTION("""COMPUTED_VALUE"""),2)</f>
        <v>2</v>
      </c>
      <c r="D6" s="56" t="str">
        <f ca="1">IFERROR(__xludf.DUMMYFUNCTION("""COMPUTED_VALUE"""),"Maltreated")</f>
        <v>Maltreated</v>
      </c>
      <c r="E6" s="56" t="str">
        <f ca="1">IFERROR(__xludf.DUMMYFUNCTION("""COMPUTED_VALUE"""),"Infancy - Infancy")</f>
        <v>Infancy - Infancy</v>
      </c>
      <c r="F6" s="123">
        <f ca="1">IFERROR(__xludf.DUMMYFUNCTION("""COMPUTED_VALUE"""),18)</f>
        <v>18</v>
      </c>
      <c r="G6" s="56" t="str">
        <f ca="1">IFERROR(__xludf.DUMMYFUNCTION("""COMPUTED_VALUE"""),"0.2653061224")</f>
        <v>0.2653061224</v>
      </c>
      <c r="H6" s="56" t="str">
        <f ca="1">IFERROR(__xludf.DUMMYFUNCTION("""COMPUTED_VALUE"""),"0.6666666667")</f>
        <v>0.6666666667</v>
      </c>
      <c r="I6" s="56">
        <f ca="1">IFERROR(__xludf.DUMMYFUNCTION("""COMPUTED_VALUE"""),1999)</f>
        <v>1999</v>
      </c>
      <c r="J6" s="56" t="str">
        <f ca="1">IFERROR(__xludf.DUMMYFUNCTION("""COMPUTED_VALUE"""),"USA")</f>
        <v>USA</v>
      </c>
      <c r="K6" s="56" t="str">
        <f ca="1">IFERROR(__xludf.DUMMYFUNCTION("""COMPUTED_VALUE"""),"Ainsworth/Ainsworth")</f>
        <v>Ainsworth/Ainsworth</v>
      </c>
      <c r="L6" s="56">
        <f ca="1">IFERROR(__xludf.DUMMYFUNCTION("""COMPUTED_VALUE"""),1)</f>
        <v>1</v>
      </c>
      <c r="M6" s="56">
        <f ca="1">IFERROR(__xludf.DUMMYFUNCTION("""COMPUTED_VALUE"""),1)</f>
        <v>1</v>
      </c>
      <c r="N6" s="56">
        <f ca="1">IFERROR(__xludf.DUMMYFUNCTION("""COMPUTED_VALUE"""),0)</f>
        <v>0</v>
      </c>
      <c r="O6" s="56">
        <f ca="1">IFERROR(__xludf.DUMMYFUNCTION("""COMPUTED_VALUE"""),1)</f>
        <v>1</v>
      </c>
      <c r="P6" s="56">
        <f ca="1">IFERROR(__xludf.DUMMYFUNCTION("""COMPUTED_VALUE"""),0.865)</f>
        <v>0.86499999999999999</v>
      </c>
      <c r="Q6" s="56">
        <f ca="1">IFERROR(__xludf.DUMMYFUNCTION("""COMPUTED_VALUE"""),0)</f>
        <v>0</v>
      </c>
      <c r="R6" s="56" t="str">
        <f ca="1">IFERROR(__xludf.DUMMYFUNCTION("""COMPUTED_VALUE"""),"Female")</f>
        <v>Female</v>
      </c>
      <c r="S6" s="56" t="str">
        <f ca="1">IFERROR(__xludf.DUMMYFUNCTION("""COMPUTED_VALUE"""),"0")</f>
        <v>0</v>
      </c>
      <c r="T6" s="56" t="str">
        <f ca="1">IFERROR(__xludf.DUMMYFUNCTION("""COMPUTED_VALUE"""),"0.6666666667")</f>
        <v>0.6666666667</v>
      </c>
      <c r="U6" s="56" t="str">
        <f ca="1">IFERROR(__xludf.DUMMYFUNCTION("""COMPUTED_VALUE"""),"0")</f>
        <v>0</v>
      </c>
      <c r="V6" s="56" t="str">
        <f ca="1">IFERROR(__xludf.DUMMYFUNCTION("""COMPUTED_VALUE"""),"0.6666666667")</f>
        <v>0.6666666667</v>
      </c>
      <c r="W6" s="56" t="str">
        <f ca="1">IFERROR(__xludf.DUMMYFUNCTION("""COMPUTED_VALUE"""),"0.8666666667")</f>
        <v>0.8666666667</v>
      </c>
      <c r="X6" s="56" t="str">
        <f ca="1">IFERROR(__xludf.DUMMYFUNCTION("""COMPUTED_VALUE"""),"0.6666666667")</f>
        <v>0.6666666667</v>
      </c>
      <c r="Y6" s="56" t="str">
        <f ca="1">IFERROR(__xludf.DUMMYFUNCTION("""COMPUTED_VALUE"""),"0")</f>
        <v>0</v>
      </c>
      <c r="Z6" s="56" t="str">
        <f ca="1">IFERROR(__xludf.DUMMYFUNCTION("""COMPUTED_VALUE"""),"3")</f>
        <v>3</v>
      </c>
      <c r="AA6" s="56" t="str">
        <f ca="1">IFERROR(__xludf.DUMMYFUNCTION("""COMPUTED_VALUE"""),"0")</f>
        <v>0</v>
      </c>
      <c r="AB6" s="56" t="str">
        <f ca="1">IFERROR(__xludf.DUMMYFUNCTION("""COMPUTED_VALUE"""),"15")</f>
        <v>15</v>
      </c>
      <c r="AC6" s="56" t="str">
        <f ca="1">IFERROR(__xludf.DUMMYFUNCTION("""COMPUTED_VALUE"""),"15")</f>
        <v>15</v>
      </c>
      <c r="AD6" s="56" t="str">
        <f ca="1">IFERROR(__xludf.DUMMYFUNCTION("""COMPUTED_VALUE"""),"3")</f>
        <v>3</v>
      </c>
      <c r="AE6" s="56" t="str">
        <f ca="1">IFERROR(__xludf.DUMMYFUNCTION("""COMPUTED_VALUE"""),"0")</f>
        <v>0</v>
      </c>
      <c r="AF6" s="56" t="str">
        <f ca="1">IFERROR(__xludf.DUMMYFUNCTION("""COMPUTED_VALUE"""),"0.2222222222")</f>
        <v>0.2222222222</v>
      </c>
      <c r="AG6" s="56" t="str">
        <f ca="1">IFERROR(__xludf.DUMMYFUNCTION("""COMPUTED_VALUE"""),"0")</f>
        <v>0</v>
      </c>
      <c r="AH6" s="56" t="str">
        <f ca="1">IFERROR(__xludf.DUMMYFUNCTION("""COMPUTED_VALUE"""),"0.6111111111")</f>
        <v>0.6111111111</v>
      </c>
      <c r="AI6" s="56" t="str">
        <f ca="1">IFERROR(__xludf.DUMMYFUNCTION("""COMPUTED_VALUE"""),"0.7777777778")</f>
        <v>0.7777777778</v>
      </c>
      <c r="AJ6" s="56" t="str">
        <f ca="1">IFERROR(__xludf.DUMMYFUNCTION("""COMPUTED_VALUE"""),"0.3888888889")</f>
        <v>0.3888888889</v>
      </c>
    </row>
    <row r="7" spans="1:40" ht="15.75" customHeight="1">
      <c r="A7" s="56">
        <f ca="1">IFERROR(__xludf.DUMMYFUNCTION("""COMPUTED_VALUE"""),7)</f>
        <v>7</v>
      </c>
      <c r="B7" s="56" t="str">
        <f ca="1">IFERROR(__xludf.DUMMYFUNCTION("""COMPUTED_VALUE"""),"Barnett, Ganiban &amp; Cicchetti (1999)")</f>
        <v>Barnett, Ganiban &amp; Cicchetti (1999)</v>
      </c>
      <c r="C7" s="56">
        <f ca="1">IFERROR(__xludf.DUMMYFUNCTION("""COMPUTED_VALUE"""),3)</f>
        <v>3</v>
      </c>
      <c r="D7" s="56" t="str">
        <f ca="1">IFERROR(__xludf.DUMMYFUNCTION("""COMPUTED_VALUE"""),"Maltreated")</f>
        <v>Maltreated</v>
      </c>
      <c r="E7" s="56" t="str">
        <f ca="1">IFERROR(__xludf.DUMMYFUNCTION("""COMPUTED_VALUE"""),"Infancy - Toddlerhood")</f>
        <v>Infancy - Toddlerhood</v>
      </c>
      <c r="F7" s="123">
        <f ca="1">IFERROR(__xludf.DUMMYFUNCTION("""COMPUTED_VALUE"""),16)</f>
        <v>16</v>
      </c>
      <c r="G7" s="56" t="str">
        <f ca="1">IFERROR(__xludf.DUMMYFUNCTION("""COMPUTED_VALUE"""),"0.3700787402")</f>
        <v>0.3700787402</v>
      </c>
      <c r="H7" s="56" t="str">
        <f ca="1">IFERROR(__xludf.DUMMYFUNCTION("""COMPUTED_VALUE"""),"0.6875")</f>
        <v>0.6875</v>
      </c>
      <c r="I7" s="56">
        <f ca="1">IFERROR(__xludf.DUMMYFUNCTION("""COMPUTED_VALUE"""),1999)</f>
        <v>1999</v>
      </c>
      <c r="J7" s="56" t="str">
        <f ca="1">IFERROR(__xludf.DUMMYFUNCTION("""COMPUTED_VALUE"""),"USA")</f>
        <v>USA</v>
      </c>
      <c r="K7" s="56" t="str">
        <f ca="1">IFERROR(__xludf.DUMMYFUNCTION("""COMPUTED_VALUE"""),"Ainsworth/Ainsworth")</f>
        <v>Ainsworth/Ainsworth</v>
      </c>
      <c r="L7" s="56">
        <f ca="1">IFERROR(__xludf.DUMMYFUNCTION("""COMPUTED_VALUE"""),1)</f>
        <v>1</v>
      </c>
      <c r="M7" s="56">
        <f ca="1">IFERROR(__xludf.DUMMYFUNCTION("""COMPUTED_VALUE"""),1)</f>
        <v>1</v>
      </c>
      <c r="N7" s="56">
        <f ca="1">IFERROR(__xludf.DUMMYFUNCTION("""COMPUTED_VALUE"""),0)</f>
        <v>0</v>
      </c>
      <c r="O7" s="56">
        <f ca="1">IFERROR(__xludf.DUMMYFUNCTION("""COMPUTED_VALUE"""),1)</f>
        <v>1</v>
      </c>
      <c r="P7" s="56">
        <f ca="1">IFERROR(__xludf.DUMMYFUNCTION("""COMPUTED_VALUE"""),0.88)</f>
        <v>0.88</v>
      </c>
      <c r="Q7" s="56">
        <f ca="1">IFERROR(__xludf.DUMMYFUNCTION("""COMPUTED_VALUE"""),0)</f>
        <v>0</v>
      </c>
      <c r="R7" s="56" t="str">
        <f ca="1">IFERROR(__xludf.DUMMYFUNCTION("""COMPUTED_VALUE"""),"Female")</f>
        <v>Female</v>
      </c>
      <c r="S7" s="56" t="str">
        <f ca="1">IFERROR(__xludf.DUMMYFUNCTION("""COMPUTED_VALUE"""),"0")</f>
        <v>0</v>
      </c>
      <c r="T7" s="56" t="str">
        <f ca="1">IFERROR(__xludf.DUMMYFUNCTION("""COMPUTED_VALUE"""),"0.3333333333")</f>
        <v>0.3333333333</v>
      </c>
      <c r="U7" s="56" t="str">
        <f ca="1">IFERROR(__xludf.DUMMYFUNCTION("""COMPUTED_VALUE"""),"0.5")</f>
        <v>0.5</v>
      </c>
      <c r="V7" s="56" t="str">
        <f ca="1">IFERROR(__xludf.DUMMYFUNCTION("""COMPUTED_VALUE"""),"0.9")</f>
        <v>0.9</v>
      </c>
      <c r="W7" s="56" t="str">
        <f ca="1">IFERROR(__xludf.DUMMYFUNCTION("""COMPUTED_VALUE"""),"0.9230769231")</f>
        <v>0.9230769231</v>
      </c>
      <c r="X7" s="56" t="str">
        <f ca="1">IFERROR(__xludf.DUMMYFUNCTION("""COMPUTED_VALUE"""),"0.6")</f>
        <v>0.6</v>
      </c>
      <c r="Y7" s="56" t="str">
        <f ca="1">IFERROR(__xludf.DUMMYFUNCTION("""COMPUTED_VALUE"""),"1")</f>
        <v>1</v>
      </c>
      <c r="Z7" s="56" t="str">
        <f ca="1">IFERROR(__xludf.DUMMYFUNCTION("""COMPUTED_VALUE"""),"3")</f>
        <v>3</v>
      </c>
      <c r="AA7" s="56" t="str">
        <f ca="1">IFERROR(__xludf.DUMMYFUNCTION("""COMPUTED_VALUE"""),"2")</f>
        <v>2</v>
      </c>
      <c r="AB7" s="56" t="str">
        <f ca="1">IFERROR(__xludf.DUMMYFUNCTION("""COMPUTED_VALUE"""),"10")</f>
        <v>10</v>
      </c>
      <c r="AC7" s="56" t="str">
        <f ca="1">IFERROR(__xludf.DUMMYFUNCTION("""COMPUTED_VALUE"""),"13")</f>
        <v>13</v>
      </c>
      <c r="AD7" s="56" t="str">
        <f ca="1">IFERROR(__xludf.DUMMYFUNCTION("""COMPUTED_VALUE"""),"5")</f>
        <v>5</v>
      </c>
      <c r="AE7" s="56" t="str">
        <f ca="1">IFERROR(__xludf.DUMMYFUNCTION("""COMPUTED_VALUE"""),"0.0625")</f>
        <v>0.0625</v>
      </c>
      <c r="AF7" s="56" t="str">
        <f ca="1">IFERROR(__xludf.DUMMYFUNCTION("""COMPUTED_VALUE"""),"0.125")</f>
        <v>0.125</v>
      </c>
      <c r="AG7" s="56" t="str">
        <f ca="1">IFERROR(__xludf.DUMMYFUNCTION("""COMPUTED_VALUE"""),"0.0625")</f>
        <v>0.0625</v>
      </c>
      <c r="AH7" s="56" t="str">
        <f ca="1">IFERROR(__xludf.DUMMYFUNCTION("""COMPUTED_VALUE"""),"0.75")</f>
        <v>0.75</v>
      </c>
      <c r="AI7" s="56" t="str">
        <f ca="1">IFERROR(__xludf.DUMMYFUNCTION("""COMPUTED_VALUE"""),"0.875")</f>
        <v>0.875</v>
      </c>
      <c r="AJ7" s="56" t="str">
        <f ca="1">IFERROR(__xludf.DUMMYFUNCTION("""COMPUTED_VALUE"""),"0.25")</f>
        <v>0.25</v>
      </c>
    </row>
    <row r="8" spans="1:40" ht="15.75" customHeight="1">
      <c r="A8" s="56">
        <f ca="1">IFERROR(__xludf.DUMMYFUNCTION("""COMPUTED_VALUE"""),8)</f>
        <v>8</v>
      </c>
      <c r="B8" s="56" t="str">
        <f ca="1">IFERROR(__xludf.DUMMYFUNCTION("""COMPUTED_VALUE"""),"Cicchetti &amp; Barnett (1991)")</f>
        <v>Cicchetti &amp; Barnett (1991)</v>
      </c>
      <c r="C8" s="56">
        <f ca="1">IFERROR(__xludf.DUMMYFUNCTION("""COMPUTED_VALUE"""),1)</f>
        <v>1</v>
      </c>
      <c r="D8" s="56" t="str">
        <f ca="1">IFERROR(__xludf.DUMMYFUNCTION("""COMPUTED_VALUE"""),"Maltreated, 18 month interval")</f>
        <v>Maltreated, 18 month interval</v>
      </c>
      <c r="E8" s="56" t="str">
        <f ca="1">IFERROR(__xludf.DUMMYFUNCTION("""COMPUTED_VALUE"""),"Toddlerhood - Preschool")</f>
        <v>Toddlerhood - Preschool</v>
      </c>
      <c r="F8" s="123">
        <f ca="1">IFERROR(__xludf.DUMMYFUNCTION("""COMPUTED_VALUE"""),18)</f>
        <v>18</v>
      </c>
      <c r="G8" s="56" t="str">
        <f ca="1">IFERROR(__xludf.DUMMYFUNCTION("""COMPUTED_VALUE"""),"0.4615384615")</f>
        <v>0.4615384615</v>
      </c>
      <c r="H8" s="56" t="str">
        <f ca="1">IFERROR(__xludf.DUMMYFUNCTION("""COMPUTED_VALUE"""),"0.6111111111")</f>
        <v>0.6111111111</v>
      </c>
      <c r="I8" s="56">
        <f ca="1">IFERROR(__xludf.DUMMYFUNCTION("""COMPUTED_VALUE"""),1991)</f>
        <v>1991</v>
      </c>
      <c r="J8" s="56" t="str">
        <f ca="1">IFERROR(__xludf.DUMMYFUNCTION("""COMPUTED_VALUE"""),"USA")</f>
        <v>USA</v>
      </c>
      <c r="K8" s="56" t="str">
        <f ca="1">IFERROR(__xludf.DUMMYFUNCTION("""COMPUTED_VALUE"""),"Cassidy-Marvin/Cassidy-Marvin")</f>
        <v>Cassidy-Marvin/Cassidy-Marvin</v>
      </c>
      <c r="L8" s="56">
        <f ca="1">IFERROR(__xludf.DUMMYFUNCTION("""COMPUTED_VALUE"""),1)</f>
        <v>1</v>
      </c>
      <c r="M8" s="56">
        <f ca="1">IFERROR(__xludf.DUMMYFUNCTION("""COMPUTED_VALUE"""),1)</f>
        <v>1</v>
      </c>
      <c r="N8" s="56">
        <f ca="1">IFERROR(__xludf.DUMMYFUNCTION("""COMPUTED_VALUE"""),0)</f>
        <v>0</v>
      </c>
      <c r="O8" s="56">
        <f ca="1">IFERROR(__xludf.DUMMYFUNCTION("""COMPUTED_VALUE"""),1)</f>
        <v>1</v>
      </c>
      <c r="P8" s="56">
        <f ca="1">IFERROR(__xludf.DUMMYFUNCTION("""COMPUTED_VALUE"""),0.75)</f>
        <v>0.75</v>
      </c>
      <c r="Q8" s="56">
        <f ca="1">IFERROR(__xludf.DUMMYFUNCTION("""COMPUTED_VALUE"""),0)</f>
        <v>0</v>
      </c>
      <c r="R8" s="56" t="str">
        <f ca="1">IFERROR(__xludf.DUMMYFUNCTION("""COMPUTED_VALUE"""),"Mixed")</f>
        <v>Mixed</v>
      </c>
      <c r="S8" s="56" t="str">
        <f ca="1">IFERROR(__xludf.DUMMYFUNCTION("""COMPUTED_VALUE"""),"0.75")</f>
        <v>0.75</v>
      </c>
      <c r="T8" s="56" t="str">
        <f ca="1">IFERROR(__xludf.DUMMYFUNCTION("""COMPUTED_VALUE"""),"0.5")</f>
        <v>0.5</v>
      </c>
      <c r="U8" s="56" t="str">
        <f ca="1">IFERROR(__xludf.DUMMYFUNCTION("""COMPUTED_VALUE"""),"0.6666666667")</f>
        <v>0.6666666667</v>
      </c>
      <c r="V8" s="56" t="str">
        <f ca="1">IFERROR(__xludf.DUMMYFUNCTION("""COMPUTED_VALUE"""),"0.5714285714")</f>
        <v>0.5714285714</v>
      </c>
      <c r="W8" s="56" t="str">
        <f ca="1">IFERROR(__xludf.DUMMYFUNCTION("""COMPUTED_VALUE"""),"0.9285714286")</f>
        <v>0.9285714286</v>
      </c>
      <c r="X8" s="56" t="str">
        <f ca="1">IFERROR(__xludf.DUMMYFUNCTION("""COMPUTED_VALUE"""),"0.7272727273")</f>
        <v>0.7272727273</v>
      </c>
      <c r="Y8" s="56" t="str">
        <f ca="1">IFERROR(__xludf.DUMMYFUNCTION("""COMPUTED_VALUE"""),"4")</f>
        <v>4</v>
      </c>
      <c r="Z8" s="56" t="str">
        <f ca="1">IFERROR(__xludf.DUMMYFUNCTION("""COMPUTED_VALUE"""),"4")</f>
        <v>4</v>
      </c>
      <c r="AA8" s="56" t="str">
        <f ca="1">IFERROR(__xludf.DUMMYFUNCTION("""COMPUTED_VALUE"""),"3")</f>
        <v>3</v>
      </c>
      <c r="AB8" s="56" t="str">
        <f ca="1">IFERROR(__xludf.DUMMYFUNCTION("""COMPUTED_VALUE"""),"7")</f>
        <v>7</v>
      </c>
      <c r="AC8" s="56" t="str">
        <f ca="1">IFERROR(__xludf.DUMMYFUNCTION("""COMPUTED_VALUE"""),"14")</f>
        <v>14</v>
      </c>
      <c r="AD8" s="56" t="str">
        <f ca="1">IFERROR(__xludf.DUMMYFUNCTION("""COMPUTED_VALUE"""),"11")</f>
        <v>11</v>
      </c>
      <c r="AE8" s="56" t="str">
        <f ca="1">IFERROR(__xludf.DUMMYFUNCTION("""COMPUTED_VALUE"""),"0.2777777778")</f>
        <v>0.2777777778</v>
      </c>
      <c r="AF8" s="56" t="str">
        <f ca="1">IFERROR(__xludf.DUMMYFUNCTION("""COMPUTED_VALUE"""),"0.1666666667")</f>
        <v>0.1666666667</v>
      </c>
      <c r="AG8" s="56" t="str">
        <f ca="1">IFERROR(__xludf.DUMMYFUNCTION("""COMPUTED_VALUE"""),"0.1666666667")</f>
        <v>0.1666666667</v>
      </c>
      <c r="AH8" s="56" t="str">
        <f ca="1">IFERROR(__xludf.DUMMYFUNCTION("""COMPUTED_VALUE"""),"0.3888888889")</f>
        <v>0.3888888889</v>
      </c>
      <c r="AI8" s="56" t="str">
        <f ca="1">IFERROR(__xludf.DUMMYFUNCTION("""COMPUTED_VALUE"""),"0.8333333333")</f>
        <v>0.8333333333</v>
      </c>
      <c r="AJ8" s="56" t="str">
        <f ca="1">IFERROR(__xludf.DUMMYFUNCTION("""COMPUTED_VALUE"""),"0.6111111111")</f>
        <v>0.6111111111</v>
      </c>
    </row>
    <row r="9" spans="1:40" ht="15.75" customHeight="1">
      <c r="A9" s="56">
        <f ca="1">IFERROR(__xludf.DUMMYFUNCTION("""COMPUTED_VALUE"""),8)</f>
        <v>8</v>
      </c>
      <c r="B9" s="56" t="str">
        <f ca="1">IFERROR(__xludf.DUMMYFUNCTION("""COMPUTED_VALUE"""),"Cicchetti &amp; Barnett (1991)")</f>
        <v>Cicchetti &amp; Barnett (1991)</v>
      </c>
      <c r="C9" s="56">
        <f ca="1">IFERROR(__xludf.DUMMYFUNCTION("""COMPUTED_VALUE"""),2)</f>
        <v>2</v>
      </c>
      <c r="D9" s="56" t="str">
        <f ca="1">IFERROR(__xludf.DUMMYFUNCTION("""COMPUTED_VALUE"""),"Maltreated, 12 month interval")</f>
        <v>Maltreated, 12 month interval</v>
      </c>
      <c r="E9" s="56" t="str">
        <f ca="1">IFERROR(__xludf.DUMMYFUNCTION("""COMPUTED_VALUE"""),"Toddlerhood - Preschool")</f>
        <v>Toddlerhood - Preschool</v>
      </c>
      <c r="F9" s="123">
        <f ca="1">IFERROR(__xludf.DUMMYFUNCTION("""COMPUTED_VALUE"""),25)</f>
        <v>25</v>
      </c>
      <c r="G9" s="56" t="str">
        <f ca="1">IFERROR(__xludf.DUMMYFUNCTION("""COMPUTED_VALUE"""),"0.2903930131")</f>
        <v>0.2903930131</v>
      </c>
      <c r="H9" s="56" t="str">
        <f ca="1">IFERROR(__xludf.DUMMYFUNCTION("""COMPUTED_VALUE"""),"0.48")</f>
        <v>0.48</v>
      </c>
      <c r="I9" s="56">
        <f ca="1">IFERROR(__xludf.DUMMYFUNCTION("""COMPUTED_VALUE"""),1991)</f>
        <v>1991</v>
      </c>
      <c r="J9" s="56" t="str">
        <f ca="1">IFERROR(__xludf.DUMMYFUNCTION("""COMPUTED_VALUE"""),"USA")</f>
        <v>USA</v>
      </c>
      <c r="K9" s="56" t="str">
        <f ca="1">IFERROR(__xludf.DUMMYFUNCTION("""COMPUTED_VALUE"""),"Cassidy-Marvin/Cassidy-Marvin")</f>
        <v>Cassidy-Marvin/Cassidy-Marvin</v>
      </c>
      <c r="L9" s="56">
        <f ca="1">IFERROR(__xludf.DUMMYFUNCTION("""COMPUTED_VALUE"""),1)</f>
        <v>1</v>
      </c>
      <c r="M9" s="56">
        <f ca="1">IFERROR(__xludf.DUMMYFUNCTION("""COMPUTED_VALUE"""),1)</f>
        <v>1</v>
      </c>
      <c r="N9" s="56">
        <f ca="1">IFERROR(__xludf.DUMMYFUNCTION("""COMPUTED_VALUE"""),0)</f>
        <v>0</v>
      </c>
      <c r="O9" s="56">
        <f ca="1">IFERROR(__xludf.DUMMYFUNCTION("""COMPUTED_VALUE"""),1)</f>
        <v>1</v>
      </c>
      <c r="P9" s="56">
        <f ca="1">IFERROR(__xludf.DUMMYFUNCTION("""COMPUTED_VALUE"""),0.75)</f>
        <v>0.75</v>
      </c>
      <c r="Q9" s="56">
        <f ca="1">IFERROR(__xludf.DUMMYFUNCTION("""COMPUTED_VALUE"""),0)</f>
        <v>0</v>
      </c>
      <c r="R9" s="56" t="str">
        <f ca="1">IFERROR(__xludf.DUMMYFUNCTION("""COMPUTED_VALUE"""),"Mixed")</f>
        <v>Mixed</v>
      </c>
      <c r="S9" s="56" t="str">
        <f ca="1">IFERROR(__xludf.DUMMYFUNCTION("""COMPUTED_VALUE"""),"0.5714285714")</f>
        <v>0.5714285714</v>
      </c>
      <c r="T9" s="56" t="str">
        <f ca="1">IFERROR(__xludf.DUMMYFUNCTION("""COMPUTED_VALUE"""),"0.3333333333")</f>
        <v>0.3333333333</v>
      </c>
      <c r="U9" s="56" t="str">
        <f ca="1">IFERROR(__xludf.DUMMYFUNCTION("""COMPUTED_VALUE"""),"1")</f>
        <v>1</v>
      </c>
      <c r="V9" s="56" t="str">
        <f ca="1">IFERROR(__xludf.DUMMYFUNCTION("""COMPUTED_VALUE"""),"0.3333333333")</f>
        <v>0.3333333333</v>
      </c>
      <c r="W9" s="56" t="str">
        <f ca="1">IFERROR(__xludf.DUMMYFUNCTION("""COMPUTED_VALUE"""),"0.7894736842")</f>
        <v>0.7894736842</v>
      </c>
      <c r="X9" s="56" t="str">
        <f ca="1">IFERROR(__xludf.DUMMYFUNCTION("""COMPUTED_VALUE"""),"0.75")</f>
        <v>0.75</v>
      </c>
      <c r="Y9" s="56" t="str">
        <f ca="1">IFERROR(__xludf.DUMMYFUNCTION("""COMPUTED_VALUE"""),"7")</f>
        <v>7</v>
      </c>
      <c r="Z9" s="56" t="str">
        <f ca="1">IFERROR(__xludf.DUMMYFUNCTION("""COMPUTED_VALUE"""),"6")</f>
        <v>6</v>
      </c>
      <c r="AA9" s="56" t="str">
        <f ca="1">IFERROR(__xludf.DUMMYFUNCTION("""COMPUTED_VALUE"""),"3")</f>
        <v>3</v>
      </c>
      <c r="AB9" s="56" t="str">
        <f ca="1">IFERROR(__xludf.DUMMYFUNCTION("""COMPUTED_VALUE"""),"9")</f>
        <v>9</v>
      </c>
      <c r="AC9" s="56" t="str">
        <f ca="1">IFERROR(__xludf.DUMMYFUNCTION("""COMPUTED_VALUE"""),"19")</f>
        <v>19</v>
      </c>
      <c r="AD9" s="56" t="str">
        <f ca="1">IFERROR(__xludf.DUMMYFUNCTION("""COMPUTED_VALUE"""),"16")</f>
        <v>16</v>
      </c>
      <c r="AE9" s="56" t="str">
        <f ca="1">IFERROR(__xludf.DUMMYFUNCTION("""COMPUTED_VALUE"""),"0.32")</f>
        <v>0.32</v>
      </c>
      <c r="AF9" s="56" t="str">
        <f ca="1">IFERROR(__xludf.DUMMYFUNCTION("""COMPUTED_VALUE"""),"0.24")</f>
        <v>0.24</v>
      </c>
      <c r="AG9" s="56" t="str">
        <f ca="1">IFERROR(__xludf.DUMMYFUNCTION("""COMPUTED_VALUE"""),"0.16")</f>
        <v>0.16</v>
      </c>
      <c r="AH9" s="56" t="str">
        <f ca="1">IFERROR(__xludf.DUMMYFUNCTION("""COMPUTED_VALUE"""),"0.28")</f>
        <v>0.28</v>
      </c>
      <c r="AI9" s="56" t="str">
        <f ca="1">IFERROR(__xludf.DUMMYFUNCTION("""COMPUTED_VALUE"""),"0.76")</f>
        <v>0.76</v>
      </c>
      <c r="AJ9" s="56" t="str">
        <f ca="1">IFERROR(__xludf.DUMMYFUNCTION("""COMPUTED_VALUE"""),"0.72")</f>
        <v>0.72</v>
      </c>
    </row>
    <row r="10" spans="1:40" ht="15.75" customHeight="1">
      <c r="A10" s="56">
        <f ca="1">IFERROR(__xludf.DUMMYFUNCTION("""COMPUTED_VALUE"""),9)</f>
        <v>9</v>
      </c>
      <c r="B10" s="56" t="str">
        <f ca="1">IFERROR(__xludf.DUMMYFUNCTION("""COMPUTED_VALUE"""),"Cicchetti &amp; Barnett (1991)")</f>
        <v>Cicchetti &amp; Barnett (1991)</v>
      </c>
      <c r="C10" s="56">
        <f ca="1">IFERROR(__xludf.DUMMYFUNCTION("""COMPUTED_VALUE"""),1)</f>
        <v>1</v>
      </c>
      <c r="D10" s="56" t="str">
        <f ca="1">IFERROR(__xludf.DUMMYFUNCTION("""COMPUTED_VALUE"""),"Comparison, 18 month interval")</f>
        <v>Comparison, 18 month interval</v>
      </c>
      <c r="E10" s="56" t="str">
        <f ca="1">IFERROR(__xludf.DUMMYFUNCTION("""COMPUTED_VALUE"""),"Toddlerhood - Preschool")</f>
        <v>Toddlerhood - Preschool</v>
      </c>
      <c r="F10" s="123">
        <f ca="1">IFERROR(__xludf.DUMMYFUNCTION("""COMPUTED_VALUE"""),15)</f>
        <v>15</v>
      </c>
      <c r="G10" s="56" t="str">
        <f ca="1">IFERROR(__xludf.DUMMYFUNCTION("""COMPUTED_VALUE"""),"0.09090909091")</f>
        <v>0.09090909091</v>
      </c>
      <c r="H10" s="56" t="str">
        <f ca="1">IFERROR(__xludf.DUMMYFUNCTION("""COMPUTED_VALUE"""),"0.6")</f>
        <v>0.6</v>
      </c>
      <c r="I10" s="56">
        <f ca="1">IFERROR(__xludf.DUMMYFUNCTION("""COMPUTED_VALUE"""),1991)</f>
        <v>1991</v>
      </c>
      <c r="J10" s="56" t="str">
        <f ca="1">IFERROR(__xludf.DUMMYFUNCTION("""COMPUTED_VALUE"""),"USA")</f>
        <v>USA</v>
      </c>
      <c r="K10" s="56" t="str">
        <f ca="1">IFERROR(__xludf.DUMMYFUNCTION("""COMPUTED_VALUE"""),"Cassidy-Marvin/Cassidy-Marvin")</f>
        <v>Cassidy-Marvin/Cassidy-Marvin</v>
      </c>
      <c r="L10" s="56">
        <f ca="1">IFERROR(__xludf.DUMMYFUNCTION("""COMPUTED_VALUE"""),1)</f>
        <v>1</v>
      </c>
      <c r="M10" s="56">
        <f ca="1">IFERROR(__xludf.DUMMYFUNCTION("""COMPUTED_VALUE"""),1)</f>
        <v>1</v>
      </c>
      <c r="N10" s="56">
        <f ca="1">IFERROR(__xludf.DUMMYFUNCTION("""COMPUTED_VALUE"""),0)</f>
        <v>0</v>
      </c>
      <c r="O10" s="56">
        <f ca="1">IFERROR(__xludf.DUMMYFUNCTION("""COMPUTED_VALUE"""),1)</f>
        <v>1</v>
      </c>
      <c r="P10" s="56">
        <f ca="1">IFERROR(__xludf.DUMMYFUNCTION("""COMPUTED_VALUE"""),0.75)</f>
        <v>0.75</v>
      </c>
      <c r="Q10" s="56">
        <f ca="1">IFERROR(__xludf.DUMMYFUNCTION("""COMPUTED_VALUE"""),0)</f>
        <v>0</v>
      </c>
      <c r="R10" s="56" t="str">
        <f ca="1">IFERROR(__xludf.DUMMYFUNCTION("""COMPUTED_VALUE"""),"Mixed")</f>
        <v>Mixed</v>
      </c>
      <c r="S10" s="56" t="str">
        <f ca="1">IFERROR(__xludf.DUMMYFUNCTION("""COMPUTED_VALUE"""),"0")</f>
        <v>0</v>
      </c>
      <c r="T10" s="56" t="str">
        <f ca="1">IFERROR(__xludf.DUMMYFUNCTION("""COMPUTED_VALUE"""),"0.9")</f>
        <v>0.9</v>
      </c>
      <c r="U10" s="56" t="str">
        <f ca="1">IFERROR(__xludf.DUMMYFUNCTION("""COMPUTED_VALUE"""),"0")</f>
        <v>0</v>
      </c>
      <c r="V10" s="56" t="str">
        <f ca="1">IFERROR(__xludf.DUMMYFUNCTION("""COMPUTED_VALUE"""),"0")</f>
        <v>0</v>
      </c>
      <c r="W10" s="56" t="str">
        <f ca="1">IFERROR(__xludf.DUMMYFUNCTION("""COMPUTED_VALUE"""),"0.4")</f>
        <v>0.4</v>
      </c>
      <c r="X10" s="56" t="str">
        <f ca="1">IFERROR(__xludf.DUMMYFUNCTION("""COMPUTED_VALUE"""),"0.9166666667")</f>
        <v>0.9166666667</v>
      </c>
      <c r="Y10" s="56" t="str">
        <f ca="1">IFERROR(__xludf.DUMMYFUNCTION("""COMPUTED_VALUE"""),"2")</f>
        <v>2</v>
      </c>
      <c r="Z10" s="56" t="str">
        <f ca="1">IFERROR(__xludf.DUMMYFUNCTION("""COMPUTED_VALUE"""),"10")</f>
        <v>10</v>
      </c>
      <c r="AA10" s="56" t="str">
        <f ca="1">IFERROR(__xludf.DUMMYFUNCTION("""COMPUTED_VALUE"""),"1")</f>
        <v>1</v>
      </c>
      <c r="AB10" s="56" t="str">
        <f ca="1">IFERROR(__xludf.DUMMYFUNCTION("""COMPUTED_VALUE"""),"2")</f>
        <v>2</v>
      </c>
      <c r="AC10" s="56" t="str">
        <f ca="1">IFERROR(__xludf.DUMMYFUNCTION("""COMPUTED_VALUE"""),"5")</f>
        <v>5</v>
      </c>
      <c r="AD10" s="56" t="str">
        <f ca="1">IFERROR(__xludf.DUMMYFUNCTION("""COMPUTED_VALUE"""),"12")</f>
        <v>12</v>
      </c>
      <c r="AE10" s="56" t="str">
        <f ca="1">IFERROR(__xludf.DUMMYFUNCTION("""COMPUTED_VALUE"""),"0.06666666667")</f>
        <v>0.06666666667</v>
      </c>
      <c r="AF10" s="56" t="str">
        <f ca="1">IFERROR(__xludf.DUMMYFUNCTION("""COMPUTED_VALUE"""),"0.8")</f>
        <v>0.8</v>
      </c>
      <c r="AG10" s="56" t="str">
        <f ca="1">IFERROR(__xludf.DUMMYFUNCTION("""COMPUTED_VALUE"""),"0")</f>
        <v>0</v>
      </c>
      <c r="AH10" s="56" t="str">
        <f ca="1">IFERROR(__xludf.DUMMYFUNCTION("""COMPUTED_VALUE"""),"0.1333333333")</f>
        <v>0.1333333333</v>
      </c>
      <c r="AI10" s="56" t="str">
        <f ca="1">IFERROR(__xludf.DUMMYFUNCTION("""COMPUTED_VALUE"""),"0.2")</f>
        <v>0.2</v>
      </c>
      <c r="AJ10" s="56" t="str">
        <f ca="1">IFERROR(__xludf.DUMMYFUNCTION("""COMPUTED_VALUE"""),"0.8666666667")</f>
        <v>0.8666666667</v>
      </c>
    </row>
    <row r="11" spans="1:40" ht="15.75" customHeight="1">
      <c r="A11" s="56">
        <f ca="1">IFERROR(__xludf.DUMMYFUNCTION("""COMPUTED_VALUE"""),9)</f>
        <v>9</v>
      </c>
      <c r="B11" s="56" t="str">
        <f ca="1">IFERROR(__xludf.DUMMYFUNCTION("""COMPUTED_VALUE"""),"Cicchetti &amp; Barnett (1991)")</f>
        <v>Cicchetti &amp; Barnett (1991)</v>
      </c>
      <c r="C11" s="56">
        <f ca="1">IFERROR(__xludf.DUMMYFUNCTION("""COMPUTED_VALUE"""),2)</f>
        <v>2</v>
      </c>
      <c r="D11" s="56" t="str">
        <f ca="1">IFERROR(__xludf.DUMMYFUNCTION("""COMPUTED_VALUE"""),"Comparison, 12 month interval")</f>
        <v>Comparison, 12 month interval</v>
      </c>
      <c r="E11" s="56" t="str">
        <f ca="1">IFERROR(__xludf.DUMMYFUNCTION("""COMPUTED_VALUE"""),"Toddlerhood - Preschool")</f>
        <v>Toddlerhood - Preschool</v>
      </c>
      <c r="F11" s="123">
        <f ca="1">IFERROR(__xludf.DUMMYFUNCTION("""COMPUTED_VALUE"""),20)</f>
        <v>20</v>
      </c>
      <c r="G11" s="56" t="str">
        <f ca="1">IFERROR(__xludf.DUMMYFUNCTION("""COMPUTED_VALUE"""),"0.3902439024")</f>
        <v>0.3902439024</v>
      </c>
      <c r="H11" s="56" t="str">
        <f ca="1">IFERROR(__xludf.DUMMYFUNCTION("""COMPUTED_VALUE"""),"0.75")</f>
        <v>0.75</v>
      </c>
      <c r="I11" s="56">
        <f ca="1">IFERROR(__xludf.DUMMYFUNCTION("""COMPUTED_VALUE"""),1991)</f>
        <v>1991</v>
      </c>
      <c r="J11" s="56" t="str">
        <f ca="1">IFERROR(__xludf.DUMMYFUNCTION("""COMPUTED_VALUE"""),"USA")</f>
        <v>USA</v>
      </c>
      <c r="K11" s="56" t="str">
        <f ca="1">IFERROR(__xludf.DUMMYFUNCTION("""COMPUTED_VALUE"""),"Cassidy-Marvin/Cassidy-Marvin")</f>
        <v>Cassidy-Marvin/Cassidy-Marvin</v>
      </c>
      <c r="L11" s="56">
        <f ca="1">IFERROR(__xludf.DUMMYFUNCTION("""COMPUTED_VALUE"""),1)</f>
        <v>1</v>
      </c>
      <c r="M11" s="56">
        <f ca="1">IFERROR(__xludf.DUMMYFUNCTION("""COMPUTED_VALUE"""),1)</f>
        <v>1</v>
      </c>
      <c r="N11" s="56">
        <f ca="1">IFERROR(__xludf.DUMMYFUNCTION("""COMPUTED_VALUE"""),0)</f>
        <v>0</v>
      </c>
      <c r="O11" s="56">
        <f ca="1">IFERROR(__xludf.DUMMYFUNCTION("""COMPUTED_VALUE"""),1)</f>
        <v>1</v>
      </c>
      <c r="P11" s="56">
        <f ca="1">IFERROR(__xludf.DUMMYFUNCTION("""COMPUTED_VALUE"""),0.75)</f>
        <v>0.75</v>
      </c>
      <c r="Q11" s="56">
        <f ca="1">IFERROR(__xludf.DUMMYFUNCTION("""COMPUTED_VALUE"""),0)</f>
        <v>0</v>
      </c>
      <c r="R11" s="56" t="str">
        <f ca="1">IFERROR(__xludf.DUMMYFUNCTION("""COMPUTED_VALUE"""),"Mixed")</f>
        <v>Mixed</v>
      </c>
      <c r="S11" s="56" t="str">
        <f ca="1">IFERROR(__xludf.DUMMYFUNCTION("""COMPUTED_VALUE"""),"0")</f>
        <v>0</v>
      </c>
      <c r="T11" s="56" t="str">
        <f ca="1">IFERROR(__xludf.DUMMYFUNCTION("""COMPUTED_VALUE"""),"0.9285714286")</f>
        <v>0.9285714286</v>
      </c>
      <c r="U11" s="56" t="str">
        <f ca="1">IFERROR(__xludf.DUMMYFUNCTION("""COMPUTED_VALUE"""),"0")</f>
        <v>0</v>
      </c>
      <c r="V11" s="56" t="str">
        <f ca="1">IFERROR(__xludf.DUMMYFUNCTION("""COMPUTED_VALUE"""),"0.3333333333")</f>
        <v>0.3333333333</v>
      </c>
      <c r="W11" s="56" t="str">
        <f ca="1">IFERROR(__xludf.DUMMYFUNCTION("""COMPUTED_VALUE"""),"0.5")</f>
        <v>0.5</v>
      </c>
      <c r="X11" s="56" t="str">
        <f ca="1">IFERROR(__xludf.DUMMYFUNCTION("""COMPUTED_VALUE"""),"1")</f>
        <v>1</v>
      </c>
      <c r="Y11" s="56" t="str">
        <f ca="1">IFERROR(__xludf.DUMMYFUNCTION("""COMPUTED_VALUE"""),"0")</f>
        <v>0</v>
      </c>
      <c r="Z11" s="56" t="str">
        <f ca="1">IFERROR(__xludf.DUMMYFUNCTION("""COMPUTED_VALUE"""),"14")</f>
        <v>14</v>
      </c>
      <c r="AA11" s="56" t="str">
        <f ca="1">IFERROR(__xludf.DUMMYFUNCTION("""COMPUTED_VALUE"""),"0")</f>
        <v>0</v>
      </c>
      <c r="AB11" s="56" t="str">
        <f ca="1">IFERROR(__xludf.DUMMYFUNCTION("""COMPUTED_VALUE"""),"6")</f>
        <v>6</v>
      </c>
      <c r="AC11" s="56" t="str">
        <f ca="1">IFERROR(__xludf.DUMMYFUNCTION("""COMPUTED_VALUE"""),"6")</f>
        <v>6</v>
      </c>
      <c r="AD11" s="56" t="str">
        <f ca="1">IFERROR(__xludf.DUMMYFUNCTION("""COMPUTED_VALUE"""),"14")</f>
        <v>14</v>
      </c>
      <c r="AE11" s="56" t="str">
        <f ca="1">IFERROR(__xludf.DUMMYFUNCTION("""COMPUTED_VALUE"""),"0")</f>
        <v>0</v>
      </c>
      <c r="AF11" s="56" t="str">
        <f ca="1">IFERROR(__xludf.DUMMYFUNCTION("""COMPUTED_VALUE"""),"0.8")</f>
        <v>0.8</v>
      </c>
      <c r="AG11" s="56" t="str">
        <f ca="1">IFERROR(__xludf.DUMMYFUNCTION("""COMPUTED_VALUE"""),"0")</f>
        <v>0</v>
      </c>
      <c r="AH11" s="56" t="str">
        <f ca="1">IFERROR(__xludf.DUMMYFUNCTION("""COMPUTED_VALUE"""),"0.1")</f>
        <v>0.1</v>
      </c>
      <c r="AI11" s="56" t="str">
        <f ca="1">IFERROR(__xludf.DUMMYFUNCTION("""COMPUTED_VALUE"""),"0.2")</f>
        <v>0.2</v>
      </c>
      <c r="AJ11" s="56" t="str">
        <f ca="1">IFERROR(__xludf.DUMMYFUNCTION("""COMPUTED_VALUE"""),"0.9")</f>
        <v>0.9</v>
      </c>
    </row>
    <row r="12" spans="1:40" ht="15.75" customHeight="1">
      <c r="A12" s="56">
        <f ca="1">IFERROR(__xludf.DUMMYFUNCTION("""COMPUTED_VALUE"""),10)</f>
        <v>10</v>
      </c>
      <c r="B12" s="56" t="str">
        <f ca="1">IFERROR(__xludf.DUMMYFUNCTION("""COMPUTED_VALUE"""),"Cicchetti, Rogosch &amp; Toth (2006)")</f>
        <v>Cicchetti, Rogosch &amp; Toth (2006)</v>
      </c>
      <c r="C12" s="56">
        <f ca="1">IFERROR(__xludf.DUMMYFUNCTION("""COMPUTED_VALUE"""),1)</f>
        <v>1</v>
      </c>
      <c r="D12" s="56" t="str">
        <f ca="1">IFERROR(__xludf.DUMMYFUNCTION("""COMPUTED_VALUE"""),"Maltreated")</f>
        <v>Maltreated</v>
      </c>
      <c r="E12" s="56" t="str">
        <f ca="1">IFERROR(__xludf.DUMMYFUNCTION("""COMPUTED_VALUE"""),"Infancy - Toddlerhood")</f>
        <v>Infancy - Toddlerhood</v>
      </c>
      <c r="F12" s="123">
        <f ca="1">IFERROR(__xludf.DUMMYFUNCTION("""COMPUTED_VALUE"""),54)</f>
        <v>54</v>
      </c>
      <c r="G12" s="56" t="str">
        <f ca="1">IFERROR(__xludf.DUMMYFUNCTION("""COMPUTED_VALUE"""),"0.215496368")</f>
        <v>0.215496368</v>
      </c>
      <c r="H12" s="56" t="str">
        <f ca="1">IFERROR(__xludf.DUMMYFUNCTION("""COMPUTED_VALUE"""),"0.7777777778")</f>
        <v>0.7777777778</v>
      </c>
      <c r="I12" s="56">
        <f ca="1">IFERROR(__xludf.DUMMYFUNCTION("""COMPUTED_VALUE"""),2006)</f>
        <v>2006</v>
      </c>
      <c r="J12" s="56" t="str">
        <f ca="1">IFERROR(__xludf.DUMMYFUNCTION("""COMPUTED_VALUE"""),"USA")</f>
        <v>USA</v>
      </c>
      <c r="K12" s="56" t="str">
        <f ca="1">IFERROR(__xludf.DUMMYFUNCTION("""COMPUTED_VALUE"""),"Ainsworth/Schneider-Rosen")</f>
        <v>Ainsworth/Schneider-Rosen</v>
      </c>
      <c r="L12" s="56">
        <f ca="1">IFERROR(__xludf.DUMMYFUNCTION("""COMPUTED_VALUE"""),1)</f>
        <v>1</v>
      </c>
      <c r="M12" s="56">
        <f ca="1">IFERROR(__xludf.DUMMYFUNCTION("""COMPUTED_VALUE"""),1)</f>
        <v>1</v>
      </c>
      <c r="N12" s="56">
        <f ca="1">IFERROR(__xludf.DUMMYFUNCTION("""COMPUTED_VALUE"""),0)</f>
        <v>0</v>
      </c>
      <c r="O12" s="56">
        <f ca="1">IFERROR(__xludf.DUMMYFUNCTION("""COMPUTED_VALUE"""),1)</f>
        <v>1</v>
      </c>
      <c r="P12" s="56">
        <f ca="1">IFERROR(__xludf.DUMMYFUNCTION("""COMPUTED_VALUE"""),0.88)</f>
        <v>0.88</v>
      </c>
      <c r="Q12" s="56">
        <f ca="1">IFERROR(__xludf.DUMMYFUNCTION("""COMPUTED_VALUE"""),0)</f>
        <v>0</v>
      </c>
      <c r="R12" s="56" t="str">
        <f ca="1">IFERROR(__xludf.DUMMYFUNCTION("""COMPUTED_VALUE"""),"Female")</f>
        <v>Female</v>
      </c>
      <c r="S12" s="56" t="str">
        <f ca="1">IFERROR(__xludf.DUMMYFUNCTION("""COMPUTED_VALUE"""),"0.6666666667")</f>
        <v>0.6666666667</v>
      </c>
      <c r="T12" s="56" t="str">
        <f ca="1">IFERROR(__xludf.DUMMYFUNCTION("""COMPUTED_VALUE"""),"0")</f>
        <v>0</v>
      </c>
      <c r="U12" s="56" t="str">
        <f ca="1">IFERROR(__xludf.DUMMYFUNCTION("""COMPUTED_VALUE"""),"0")</f>
        <v>0</v>
      </c>
      <c r="V12" s="56" t="str">
        <f ca="1">IFERROR(__xludf.DUMMYFUNCTION("""COMPUTED_VALUE"""),"0.8163265306")</f>
        <v>0.8163265306</v>
      </c>
      <c r="W12" s="56" t="str">
        <f ca="1">IFERROR(__xludf.DUMMYFUNCTION("""COMPUTED_VALUE"""),"0.9814814815")</f>
        <v>0.9814814815</v>
      </c>
      <c r="X12" s="56" t="str">
        <f ca="1">IFERROR(__xludf.DUMMYFUNCTION("""COMPUTED_VALUE"""),"0.75")</f>
        <v>0.75</v>
      </c>
      <c r="Y12" s="56" t="str">
        <f ca="1">IFERROR(__xludf.DUMMYFUNCTION("""COMPUTED_VALUE"""),"3")</f>
        <v>3</v>
      </c>
      <c r="Z12" s="56" t="str">
        <f ca="1">IFERROR(__xludf.DUMMYFUNCTION("""COMPUTED_VALUE"""),"0")</f>
        <v>0</v>
      </c>
      <c r="AA12" s="56" t="str">
        <f ca="1">IFERROR(__xludf.DUMMYFUNCTION("""COMPUTED_VALUE"""),"2")</f>
        <v>2</v>
      </c>
      <c r="AB12" s="56" t="str">
        <f ca="1">IFERROR(__xludf.DUMMYFUNCTION("""COMPUTED_VALUE"""),"49")</f>
        <v>49</v>
      </c>
      <c r="AC12" s="56" t="str">
        <f ca="1">IFERROR(__xludf.DUMMYFUNCTION("""COMPUTED_VALUE"""),"54")</f>
        <v>54</v>
      </c>
      <c r="AD12" s="56" t="str">
        <f ca="1">IFERROR(__xludf.DUMMYFUNCTION("""COMPUTED_VALUE"""),"4")</f>
        <v>4</v>
      </c>
      <c r="AE12" s="56" t="str">
        <f ca="1">IFERROR(__xludf.DUMMYFUNCTION("""COMPUTED_VALUE"""),"0.1851851852")</f>
        <v>0.1851851852</v>
      </c>
      <c r="AF12" s="56" t="str">
        <f ca="1">IFERROR(__xludf.DUMMYFUNCTION("""COMPUTED_VALUE"""),"0")</f>
        <v>0</v>
      </c>
      <c r="AG12" s="56" t="str">
        <f ca="1">IFERROR(__xludf.DUMMYFUNCTION("""COMPUTED_VALUE"""),"0.01851851852")</f>
        <v>0.01851851852</v>
      </c>
      <c r="AH12" s="56" t="str">
        <f ca="1">IFERROR(__xludf.DUMMYFUNCTION("""COMPUTED_VALUE"""),"0.7777777778")</f>
        <v>0.7777777778</v>
      </c>
      <c r="AI12" s="56" t="str">
        <f ca="1">IFERROR(__xludf.DUMMYFUNCTION("""COMPUTED_VALUE"""),"0.9814814815")</f>
        <v>0.9814814815</v>
      </c>
      <c r="AJ12" s="56" t="str">
        <f ca="1">IFERROR(__xludf.DUMMYFUNCTION("""COMPUTED_VALUE"""),"0.2222222222")</f>
        <v>0.2222222222</v>
      </c>
    </row>
    <row r="13" spans="1:40" ht="15.75" customHeight="1">
      <c r="A13" s="56">
        <f ca="1">IFERROR(__xludf.DUMMYFUNCTION("""COMPUTED_VALUE"""),11)</f>
        <v>11</v>
      </c>
      <c r="B13" s="56" t="str">
        <f ca="1">IFERROR(__xludf.DUMMYFUNCTION("""COMPUTED_VALUE"""),"Cicchetti, Rogosch &amp; Toth (2006)")</f>
        <v>Cicchetti, Rogosch &amp; Toth (2006)</v>
      </c>
      <c r="C13" s="56">
        <f ca="1">IFERROR(__xludf.DUMMYFUNCTION("""COMPUTED_VALUE"""),1)</f>
        <v>1</v>
      </c>
      <c r="D13" s="56" t="str">
        <f ca="1">IFERROR(__xludf.DUMMYFUNCTION("""COMPUTED_VALUE"""),"Comparison")</f>
        <v>Comparison</v>
      </c>
      <c r="E13" s="56" t="str">
        <f ca="1">IFERROR(__xludf.DUMMYFUNCTION("""COMPUTED_VALUE"""),"Infancy - Toddlerhood")</f>
        <v>Infancy - Toddlerhood</v>
      </c>
      <c r="F13" s="123">
        <f ca="1">IFERROR(__xludf.DUMMYFUNCTION("""COMPUTED_VALUE"""),44)</f>
        <v>44</v>
      </c>
      <c r="G13" s="56" t="str">
        <f ca="1">IFERROR(__xludf.DUMMYFUNCTION("""COMPUTED_VALUE"""),"0.2602081665")</f>
        <v>0.2602081665</v>
      </c>
      <c r="H13" s="56" t="str">
        <f ca="1">IFERROR(__xludf.DUMMYFUNCTION("""COMPUTED_VALUE"""),"0.5227272727")</f>
        <v>0.5227272727</v>
      </c>
      <c r="I13" s="56">
        <f ca="1">IFERROR(__xludf.DUMMYFUNCTION("""COMPUTED_VALUE"""),2006)</f>
        <v>2006</v>
      </c>
      <c r="J13" s="56" t="str">
        <f ca="1">IFERROR(__xludf.DUMMYFUNCTION("""COMPUTED_VALUE"""),"USA")</f>
        <v>USA</v>
      </c>
      <c r="K13" s="56" t="str">
        <f ca="1">IFERROR(__xludf.DUMMYFUNCTION("""COMPUTED_VALUE"""),"Ainsworth/Schneider-Rosen")</f>
        <v>Ainsworth/Schneider-Rosen</v>
      </c>
      <c r="L13" s="56">
        <f ca="1">IFERROR(__xludf.DUMMYFUNCTION("""COMPUTED_VALUE"""),1)</f>
        <v>1</v>
      </c>
      <c r="M13" s="56">
        <f ca="1">IFERROR(__xludf.DUMMYFUNCTION("""COMPUTED_VALUE"""),0)</f>
        <v>0</v>
      </c>
      <c r="N13" s="56">
        <f ca="1">IFERROR(__xludf.DUMMYFUNCTION("""COMPUTED_VALUE"""),0)</f>
        <v>0</v>
      </c>
      <c r="O13" s="56">
        <f ca="1">IFERROR(__xludf.DUMMYFUNCTION("""COMPUTED_VALUE"""),1)</f>
        <v>1</v>
      </c>
      <c r="P13" s="56">
        <f ca="1">IFERROR(__xludf.DUMMYFUNCTION("""COMPUTED_VALUE"""),0.88)</f>
        <v>0.88</v>
      </c>
      <c r="Q13" s="56">
        <f ca="1">IFERROR(__xludf.DUMMYFUNCTION("""COMPUTED_VALUE"""),0)</f>
        <v>0</v>
      </c>
      <c r="R13" s="56" t="str">
        <f ca="1">IFERROR(__xludf.DUMMYFUNCTION("""COMPUTED_VALUE"""),"Female")</f>
        <v>Female</v>
      </c>
      <c r="S13" s="56" t="str">
        <f ca="1">IFERROR(__xludf.DUMMYFUNCTION("""COMPUTED_VALUE"""),"1")</f>
        <v>1</v>
      </c>
      <c r="T13" s="56" t="str">
        <f ca="1">IFERROR(__xludf.DUMMYFUNCTION("""COMPUTED_VALUE"""),"0.5294117647")</f>
        <v>0.5294117647</v>
      </c>
      <c r="U13" s="56" t="str">
        <f ca="1">IFERROR(__xludf.DUMMYFUNCTION("""COMPUTED_VALUE"""),"0.1666666667")</f>
        <v>0.1666666667</v>
      </c>
      <c r="V13" s="56" t="str">
        <f ca="1">IFERROR(__xludf.DUMMYFUNCTION("""COMPUTED_VALUE"""),"0.6")</f>
        <v>0.6</v>
      </c>
      <c r="W13" s="56" t="str">
        <f ca="1">IFERROR(__xludf.DUMMYFUNCTION("""COMPUTED_VALUE"""),"0.7037037037")</f>
        <v>0.7037037037</v>
      </c>
      <c r="X13" s="56" t="str">
        <f ca="1">IFERROR(__xludf.DUMMYFUNCTION("""COMPUTED_VALUE"""),"0.7727272727")</f>
        <v>0.7727272727</v>
      </c>
      <c r="Y13" s="56" t="str">
        <f ca="1">IFERROR(__xludf.DUMMYFUNCTION("""COMPUTED_VALUE"""),"1")</f>
        <v>1</v>
      </c>
      <c r="Z13" s="56" t="str">
        <f ca="1">IFERROR(__xludf.DUMMYFUNCTION("""COMPUTED_VALUE"""),"17")</f>
        <v>17</v>
      </c>
      <c r="AA13" s="56" t="str">
        <f ca="1">IFERROR(__xludf.DUMMYFUNCTION("""COMPUTED_VALUE"""),"6")</f>
        <v>6</v>
      </c>
      <c r="AB13" s="56" t="str">
        <f ca="1">IFERROR(__xludf.DUMMYFUNCTION("""COMPUTED_VALUE"""),"20")</f>
        <v>20</v>
      </c>
      <c r="AC13" s="56" t="str">
        <f ca="1">IFERROR(__xludf.DUMMYFUNCTION("""COMPUTED_VALUE"""),"27")</f>
        <v>27</v>
      </c>
      <c r="AD13" s="56" t="str">
        <f ca="1">IFERROR(__xludf.DUMMYFUNCTION("""COMPUTED_VALUE"""),"22")</f>
        <v>22</v>
      </c>
      <c r="AE13" s="56" t="str">
        <f ca="1">IFERROR(__xludf.DUMMYFUNCTION("""COMPUTED_VALUE"""),"0.1363636364")</f>
        <v>0.1363636364</v>
      </c>
      <c r="AF13" s="56" t="str">
        <f ca="1">IFERROR(__xludf.DUMMYFUNCTION("""COMPUTED_VALUE"""),"0.3863636364")</f>
        <v>0.3863636364</v>
      </c>
      <c r="AG13" s="56" t="str">
        <f ca="1">IFERROR(__xludf.DUMMYFUNCTION("""COMPUTED_VALUE"""),"0.04545454545")</f>
        <v>0.04545454545</v>
      </c>
      <c r="AH13" s="56" t="str">
        <f ca="1">IFERROR(__xludf.DUMMYFUNCTION("""COMPUTED_VALUE"""),"0.4318181818")</f>
        <v>0.4318181818</v>
      </c>
      <c r="AI13" s="56" t="str">
        <f ca="1">IFERROR(__xludf.DUMMYFUNCTION("""COMPUTED_VALUE"""),"0.6136363636")</f>
        <v>0.6136363636</v>
      </c>
      <c r="AJ13" s="56" t="str">
        <f ca="1">IFERROR(__xludf.DUMMYFUNCTION("""COMPUTED_VALUE"""),"0.5681818182")</f>
        <v>0.5681818182</v>
      </c>
    </row>
    <row r="14" spans="1:40" ht="15.75" customHeight="1">
      <c r="A14" s="56">
        <f ca="1">IFERROR(__xludf.DUMMYFUNCTION("""COMPUTED_VALUE"""),13)</f>
        <v>13</v>
      </c>
      <c r="B14" s="56" t="str">
        <f ca="1">IFERROR(__xludf.DUMMYFUNCTION("""COMPUTED_VALUE"""),"Fish (2004)")</f>
        <v>Fish (2004)</v>
      </c>
      <c r="C14" s="56">
        <f ca="1">IFERROR(__xludf.DUMMYFUNCTION("""COMPUTED_VALUE"""),1)</f>
        <v>1</v>
      </c>
      <c r="D14" s="56" t="str">
        <f ca="1">IFERROR(__xludf.DUMMYFUNCTION("""COMPUTED_VALUE"""),"Single sample")</f>
        <v>Single sample</v>
      </c>
      <c r="E14" s="56" t="str">
        <f ca="1">IFERROR(__xludf.DUMMYFUNCTION("""COMPUTED_VALUE"""),"Infancy - Preschool")</f>
        <v>Infancy - Preschool</v>
      </c>
      <c r="F14" s="123">
        <f ca="1">IFERROR(__xludf.DUMMYFUNCTION("""COMPUTED_VALUE"""),82)</f>
        <v>82</v>
      </c>
      <c r="G14" s="56" t="str">
        <f ca="1">IFERROR(__xludf.DUMMYFUNCTION("""COMPUTED_VALUE"""),"0.0971372645")</f>
        <v>0.0971372645</v>
      </c>
      <c r="H14" s="56" t="str">
        <f ca="1">IFERROR(__xludf.DUMMYFUNCTION("""COMPUTED_VALUE"""),"0.4512195122")</f>
        <v>0.4512195122</v>
      </c>
      <c r="I14" s="56">
        <f ca="1">IFERROR(__xludf.DUMMYFUNCTION("""COMPUTED_VALUE"""),2004)</f>
        <v>2004</v>
      </c>
      <c r="J14" s="56" t="str">
        <f ca="1">IFERROR(__xludf.DUMMYFUNCTION("""COMPUTED_VALUE"""),"USA")</f>
        <v>USA</v>
      </c>
      <c r="K14" s="56" t="str">
        <f ca="1">IFERROR(__xludf.DUMMYFUNCTION("""COMPUTED_VALUE"""),"Ainsworth/Cassidy-Marvin")</f>
        <v>Ainsworth/Cassidy-Marvin</v>
      </c>
      <c r="L14" s="56">
        <f ca="1">IFERROR(__xludf.DUMMYFUNCTION("""COMPUTED_VALUE"""),1)</f>
        <v>1</v>
      </c>
      <c r="M14" s="56">
        <f ca="1">IFERROR(__xludf.DUMMYFUNCTION("""COMPUTED_VALUE"""),1)</f>
        <v>1</v>
      </c>
      <c r="N14" s="56">
        <f ca="1">IFERROR(__xludf.DUMMYFUNCTION("""COMPUTED_VALUE"""),0)</f>
        <v>0</v>
      </c>
      <c r="O14" s="56">
        <f ca="1">IFERROR(__xludf.DUMMYFUNCTION("""COMPUTED_VALUE"""),1)</f>
        <v>1</v>
      </c>
      <c r="P14" s="56">
        <f ca="1">IFERROR(__xludf.DUMMYFUNCTION("""COMPUTED_VALUE"""),0.769)</f>
        <v>0.76900000000000002</v>
      </c>
      <c r="Q14" s="56">
        <f ca="1">IFERROR(__xludf.DUMMYFUNCTION("""COMPUTED_VALUE"""),0)</f>
        <v>0</v>
      </c>
      <c r="R14" s="56" t="str">
        <f ca="1">IFERROR(__xludf.DUMMYFUNCTION("""COMPUTED_VALUE"""),"Female")</f>
        <v>Female</v>
      </c>
      <c r="S14" s="56" t="str">
        <f ca="1">IFERROR(__xludf.DUMMYFUNCTION("""COMPUTED_VALUE"""),"0.07142857143")</f>
        <v>0.07142857143</v>
      </c>
      <c r="T14" s="56" t="str">
        <f ca="1">IFERROR(__xludf.DUMMYFUNCTION("""COMPUTED_VALUE"""),"0.7209302326")</f>
        <v>0.7209302326</v>
      </c>
      <c r="U14" s="56" t="str">
        <f ca="1">IFERROR(__xludf.DUMMYFUNCTION("""COMPUTED_VALUE"""),"0.25")</f>
        <v>0.25</v>
      </c>
      <c r="V14" s="56" t="str">
        <f ca="1">IFERROR(__xludf.DUMMYFUNCTION("""COMPUTED_VALUE"""),"0.1904761905")</f>
        <v>0.1904761905</v>
      </c>
      <c r="W14" s="56" t="str">
        <f ca="1">IFERROR(__xludf.DUMMYFUNCTION("""COMPUTED_VALUE"""),"0.5128205128")</f>
        <v>0.5128205128</v>
      </c>
      <c r="X14" s="56" t="str">
        <f ca="1">IFERROR(__xludf.DUMMYFUNCTION("""COMPUTED_VALUE"""),"0.813559322")</f>
        <v>0.813559322</v>
      </c>
      <c r="Y14" s="56" t="str">
        <f ca="1">IFERROR(__xludf.DUMMYFUNCTION("""COMPUTED_VALUE"""),"14")</f>
        <v>14</v>
      </c>
      <c r="Z14" s="56" t="str">
        <f ca="1">IFERROR(__xludf.DUMMYFUNCTION("""COMPUTED_VALUE"""),"43")</f>
        <v>43</v>
      </c>
      <c r="AA14" s="56" t="str">
        <f ca="1">IFERROR(__xludf.DUMMYFUNCTION("""COMPUTED_VALUE"""),"4")</f>
        <v>4</v>
      </c>
      <c r="AB14" s="56" t="str">
        <f ca="1">IFERROR(__xludf.DUMMYFUNCTION("""COMPUTED_VALUE"""),"21")</f>
        <v>21</v>
      </c>
      <c r="AC14" s="56" t="str">
        <f ca="1">IFERROR(__xludf.DUMMYFUNCTION("""COMPUTED_VALUE"""),"39")</f>
        <v>39</v>
      </c>
      <c r="AD14" s="56" t="str">
        <f ca="1">IFERROR(__xludf.DUMMYFUNCTION("""COMPUTED_VALUE"""),"59")</f>
        <v>59</v>
      </c>
      <c r="AE14" s="56" t="str">
        <f ca="1">IFERROR(__xludf.DUMMYFUNCTION("""COMPUTED_VALUE"""),"0.08536585366")</f>
        <v>0.08536585366</v>
      </c>
      <c r="AF14" s="56" t="str">
        <f ca="1">IFERROR(__xludf.DUMMYFUNCTION("""COMPUTED_VALUE"""),"0.6097560976")</f>
        <v>0.6097560976</v>
      </c>
      <c r="AG14" s="56" t="str">
        <f ca="1">IFERROR(__xludf.DUMMYFUNCTION("""COMPUTED_VALUE"""),"0.09756097561")</f>
        <v>0.09756097561</v>
      </c>
      <c r="AH14" s="56" t="str">
        <f ca="1">IFERROR(__xludf.DUMMYFUNCTION("""COMPUTED_VALUE"""),"0.2073170732")</f>
        <v>0.2073170732</v>
      </c>
      <c r="AI14" s="56" t="str">
        <f ca="1">IFERROR(__xludf.DUMMYFUNCTION("""COMPUTED_VALUE"""),"0.3902439024")</f>
        <v>0.3902439024</v>
      </c>
      <c r="AJ14" s="56" t="str">
        <f ca="1">IFERROR(__xludf.DUMMYFUNCTION("""COMPUTED_VALUE"""),"0.7926829268")</f>
        <v>0.7926829268</v>
      </c>
    </row>
    <row r="15" spans="1:40" ht="15.75" customHeight="1">
      <c r="A15" s="56">
        <f ca="1">IFERROR(__xludf.DUMMYFUNCTION("""COMPUTED_VALUE"""),14)</f>
        <v>14</v>
      </c>
      <c r="B15" s="56" t="str">
        <f ca="1">IFERROR(__xludf.DUMMYFUNCTION("""COMPUTED_VALUE"""),"Ganiban, Barnett &amp; Cicchetti (2000)")</f>
        <v>Ganiban, Barnett &amp; Cicchetti (2000)</v>
      </c>
      <c r="C15" s="56">
        <f ca="1">IFERROR(__xludf.DUMMYFUNCTION("""COMPUTED_VALUE"""),1)</f>
        <v>1</v>
      </c>
      <c r="D15" s="56" t="str">
        <f ca="1">IFERROR(__xludf.DUMMYFUNCTION("""COMPUTED_VALUE"""),"Single sample")</f>
        <v>Single sample</v>
      </c>
      <c r="E15" s="56" t="str">
        <f ca="1">IFERROR(__xludf.DUMMYFUNCTION("""COMPUTED_VALUE"""),"Infancy - Toddlerhood")</f>
        <v>Infancy - Toddlerhood</v>
      </c>
      <c r="F15" s="123">
        <f ca="1">IFERROR(__xludf.DUMMYFUNCTION("""COMPUTED_VALUE"""),30)</f>
        <v>30</v>
      </c>
      <c r="G15" s="56" t="str">
        <f ca="1">IFERROR(__xludf.DUMMYFUNCTION("""COMPUTED_VALUE"""),"0.2549668874")</f>
        <v>0.2549668874</v>
      </c>
      <c r="H15" s="56" t="str">
        <f ca="1">IFERROR(__xludf.DUMMYFUNCTION("""COMPUTED_VALUE"""),"0.5")</f>
        <v>0.5</v>
      </c>
      <c r="I15" s="56">
        <f ca="1">IFERROR(__xludf.DUMMYFUNCTION("""COMPUTED_VALUE"""),2000)</f>
        <v>2000</v>
      </c>
      <c r="J15" s="56" t="str">
        <f ca="1">IFERROR(__xludf.DUMMYFUNCTION("""COMPUTED_VALUE"""),"USA")</f>
        <v>USA</v>
      </c>
      <c r="K15" s="56" t="str">
        <f ca="1">IFERROR(__xludf.DUMMYFUNCTION("""COMPUTED_VALUE"""),"Ainsworth/Ainsworth")</f>
        <v>Ainsworth/Ainsworth</v>
      </c>
      <c r="L15" s="56">
        <f ca="1">IFERROR(__xludf.DUMMYFUNCTION("""COMPUTED_VALUE"""),1)</f>
        <v>1</v>
      </c>
      <c r="M15" s="56">
        <f ca="1">IFERROR(__xludf.DUMMYFUNCTION("""COMPUTED_VALUE"""),0)</f>
        <v>0</v>
      </c>
      <c r="N15" s="56">
        <f ca="1">IFERROR(__xludf.DUMMYFUNCTION("""COMPUTED_VALUE"""),1)</f>
        <v>1</v>
      </c>
      <c r="O15" s="56">
        <f ca="1">IFERROR(__xludf.DUMMYFUNCTION("""COMPUTED_VALUE"""),1)</f>
        <v>1</v>
      </c>
      <c r="P15" s="56">
        <f ca="1">IFERROR(__xludf.DUMMYFUNCTION("""COMPUTED_VALUE"""),1)</f>
        <v>1</v>
      </c>
      <c r="Q15" s="56">
        <f ca="1">IFERROR(__xludf.DUMMYFUNCTION("""COMPUTED_VALUE"""),0)</f>
        <v>0</v>
      </c>
      <c r="R15" s="56" t="str">
        <f ca="1">IFERROR(__xludf.DUMMYFUNCTION("""COMPUTED_VALUE"""),"Female")</f>
        <v>Female</v>
      </c>
      <c r="S15" s="56" t="str">
        <f ca="1">IFERROR(__xludf.DUMMYFUNCTION("""COMPUTED_VALUE"""),"1")</f>
        <v>1</v>
      </c>
      <c r="T15" s="56" t="str">
        <f ca="1">IFERROR(__xludf.DUMMYFUNCTION("""COMPUTED_VALUE"""),"0.625")</f>
        <v>0.625</v>
      </c>
      <c r="U15" s="56" t="str">
        <f ca="1">IFERROR(__xludf.DUMMYFUNCTION("""COMPUTED_VALUE"""),"0")</f>
        <v>0</v>
      </c>
      <c r="V15" s="56" t="str">
        <f ca="1">IFERROR(__xludf.DUMMYFUNCTION("""COMPUTED_VALUE"""),"0.2857142857")</f>
        <v>0.2857142857</v>
      </c>
      <c r="W15" s="56" t="str">
        <f ca="1">IFERROR(__xludf.DUMMYFUNCTION("""COMPUTED_VALUE"""),"0.7857142857")</f>
        <v>0.7857142857</v>
      </c>
      <c r="X15" s="56" t="str">
        <f ca="1">IFERROR(__xludf.DUMMYFUNCTION("""COMPUTED_VALUE"""),"0.8")</f>
        <v>0.8</v>
      </c>
      <c r="Y15" s="56" t="str">
        <f ca="1">IFERROR(__xludf.DUMMYFUNCTION("""COMPUTED_VALUE"""),"3")</f>
        <v>3</v>
      </c>
      <c r="Z15" s="56" t="str">
        <f ca="1">IFERROR(__xludf.DUMMYFUNCTION("""COMPUTED_VALUE"""),"16")</f>
        <v>16</v>
      </c>
      <c r="AA15" s="56" t="str">
        <f ca="1">IFERROR(__xludf.DUMMYFUNCTION("""COMPUTED_VALUE"""),"4")</f>
        <v>4</v>
      </c>
      <c r="AB15" s="56" t="str">
        <f ca="1">IFERROR(__xludf.DUMMYFUNCTION("""COMPUTED_VALUE"""),"7")</f>
        <v>7</v>
      </c>
      <c r="AC15" s="56" t="str">
        <f ca="1">IFERROR(__xludf.DUMMYFUNCTION("""COMPUTED_VALUE"""),"14")</f>
        <v>14</v>
      </c>
      <c r="AD15" s="56" t="str">
        <f ca="1">IFERROR(__xludf.DUMMYFUNCTION("""COMPUTED_VALUE"""),"20")</f>
        <v>20</v>
      </c>
      <c r="AE15" s="56" t="str">
        <f ca="1">IFERROR(__xludf.DUMMYFUNCTION("""COMPUTED_VALUE"""),"0.2333333333")</f>
        <v>0.2333333333</v>
      </c>
      <c r="AF15" s="56" t="str">
        <f ca="1">IFERROR(__xludf.DUMMYFUNCTION("""COMPUTED_VALUE"""),"0.4333333333")</f>
        <v>0.4333333333</v>
      </c>
      <c r="AG15" s="56" t="str">
        <f ca="1">IFERROR(__xludf.DUMMYFUNCTION("""COMPUTED_VALUE"""),"0.03333333333")</f>
        <v>0.03333333333</v>
      </c>
      <c r="AH15" s="56" t="str">
        <f ca="1">IFERROR(__xludf.DUMMYFUNCTION("""COMPUTED_VALUE"""),"0.3")</f>
        <v>0.3</v>
      </c>
      <c r="AI15" s="56" t="str">
        <f ca="1">IFERROR(__xludf.DUMMYFUNCTION("""COMPUTED_VALUE"""),"0.5666666667")</f>
        <v>0.5666666667</v>
      </c>
      <c r="AJ15" s="56" t="str">
        <f ca="1">IFERROR(__xludf.DUMMYFUNCTION("""COMPUTED_VALUE"""),"0.7")</f>
        <v>0.7</v>
      </c>
    </row>
    <row r="16" spans="1:40" ht="15.75" customHeight="1">
      <c r="A16" s="56">
        <f ca="1">IFERROR(__xludf.DUMMYFUNCTION("""COMPUTED_VALUE"""),21)</f>
        <v>21</v>
      </c>
      <c r="B16" s="56" t="str">
        <f ca="1">IFERROR(__xludf.DUMMYFUNCTION("""COMPUTED_VALUE"""),"Levendosky et al. (2011)")</f>
        <v>Levendosky et al. (2011)</v>
      </c>
      <c r="C16" s="56">
        <f ca="1">IFERROR(__xludf.DUMMYFUNCTION("""COMPUTED_VALUE"""),1)</f>
        <v>1</v>
      </c>
      <c r="D16" s="56" t="str">
        <f ca="1">IFERROR(__xludf.DUMMYFUNCTION("""COMPUTED_VALUE"""),"Domestic violence dyads")</f>
        <v>Domestic violence dyads</v>
      </c>
      <c r="E16" s="56" t="str">
        <f ca="1">IFERROR(__xludf.DUMMYFUNCTION("""COMPUTED_VALUE"""),"Infancy - Preschool")</f>
        <v>Infancy - Preschool</v>
      </c>
      <c r="F16" s="123">
        <f ca="1">IFERROR(__xludf.DUMMYFUNCTION("""COMPUTED_VALUE"""),150)</f>
        <v>150</v>
      </c>
      <c r="G16" s="56" t="str">
        <f ca="1">IFERROR(__xludf.DUMMYFUNCTION("""COMPUTED_VALUE"""),"0.0718382131")</f>
        <v>0.0718382131</v>
      </c>
      <c r="H16" s="56" t="str">
        <f ca="1">IFERROR(__xludf.DUMMYFUNCTION("""COMPUTED_VALUE"""),"0.4533333333")</f>
        <v>0.4533333333</v>
      </c>
      <c r="I16" s="56">
        <f ca="1">IFERROR(__xludf.DUMMYFUNCTION("""COMPUTED_VALUE"""),2011)</f>
        <v>2011</v>
      </c>
      <c r="J16" s="56" t="str">
        <f ca="1">IFERROR(__xludf.DUMMYFUNCTION("""COMPUTED_VALUE"""),"USA")</f>
        <v>USA</v>
      </c>
      <c r="K16" s="56" t="str">
        <f ca="1">IFERROR(__xludf.DUMMYFUNCTION("""COMPUTED_VALUE"""),"Ainsworth/Cassidy-Marvin")</f>
        <v>Ainsworth/Cassidy-Marvin</v>
      </c>
      <c r="L16" s="56">
        <f ca="1">IFERROR(__xludf.DUMMYFUNCTION("""COMPUTED_VALUE"""),1)</f>
        <v>1</v>
      </c>
      <c r="M16" s="56">
        <f ca="1">IFERROR(__xludf.DUMMYFUNCTION("""COMPUTED_VALUE"""),1)</f>
        <v>1</v>
      </c>
      <c r="N16" s="56">
        <f ca="1">IFERROR(__xludf.DUMMYFUNCTION("""COMPUTED_VALUE"""),0)</f>
        <v>0</v>
      </c>
      <c r="O16" s="56">
        <f ca="1">IFERROR(__xludf.DUMMYFUNCTION("""COMPUTED_VALUE"""),1)</f>
        <v>1</v>
      </c>
      <c r="P16" s="56">
        <f ca="1">IFERROR(__xludf.DUMMYFUNCTION("""COMPUTED_VALUE"""),0.83)</f>
        <v>0.83</v>
      </c>
      <c r="Q16" s="56">
        <f ca="1">IFERROR(__xludf.DUMMYFUNCTION("""COMPUTED_VALUE"""),0)</f>
        <v>0</v>
      </c>
      <c r="R16" s="56" t="str">
        <f ca="1">IFERROR(__xludf.DUMMYFUNCTION("""COMPUTED_VALUE"""),"Female")</f>
        <v>Female</v>
      </c>
      <c r="S16" s="56" t="str">
        <f ca="1">IFERROR(__xludf.DUMMYFUNCTION("""COMPUTED_VALUE"""),"0.1923076923")</f>
        <v>0.1923076923</v>
      </c>
      <c r="T16" s="56" t="str">
        <f ca="1">IFERROR(__xludf.DUMMYFUNCTION("""COMPUTED_VALUE"""),"0.6904761905")</f>
        <v>0.6904761905</v>
      </c>
      <c r="U16" s="56" t="str">
        <f ca="1">IFERROR(__xludf.DUMMYFUNCTION("""COMPUTED_VALUE"""),"0.08333333333")</f>
        <v>0.08333333333</v>
      </c>
      <c r="V16" s="56" t="str">
        <f ca="1">IFERROR(__xludf.DUMMYFUNCTION("""COMPUTED_VALUE"""),"0.1875")</f>
        <v>0.1875</v>
      </c>
      <c r="W16" s="56" t="str">
        <f ca="1">IFERROR(__xludf.DUMMYFUNCTION("""COMPUTED_VALUE"""),"0.4242424242")</f>
        <v>0.4242424242</v>
      </c>
      <c r="X16" s="56" t="str">
        <f ca="1">IFERROR(__xludf.DUMMYFUNCTION("""COMPUTED_VALUE"""),"0.8721804511")</f>
        <v>0.8721804511</v>
      </c>
      <c r="Y16" s="56" t="str">
        <f ca="1">IFERROR(__xludf.DUMMYFUNCTION("""COMPUTED_VALUE"""),"26")</f>
        <v>26</v>
      </c>
      <c r="Z16" s="56" t="str">
        <f ca="1">IFERROR(__xludf.DUMMYFUNCTION("""COMPUTED_VALUE"""),"84")</f>
        <v>84</v>
      </c>
      <c r="AA16" s="56" t="str">
        <f ca="1">IFERROR(__xludf.DUMMYFUNCTION("""COMPUTED_VALUE"""),"24")</f>
        <v>24</v>
      </c>
      <c r="AB16" s="56" t="str">
        <f ca="1">IFERROR(__xludf.DUMMYFUNCTION("""COMPUTED_VALUE"""),"16")</f>
        <v>16</v>
      </c>
      <c r="AC16" s="56" t="str">
        <f ca="1">IFERROR(__xludf.DUMMYFUNCTION("""COMPUTED_VALUE"""),"66")</f>
        <v>66</v>
      </c>
      <c r="AD16" s="56" t="str">
        <f ca="1">IFERROR(__xludf.DUMMYFUNCTION("""COMPUTED_VALUE"""),"133")</f>
        <v>133</v>
      </c>
      <c r="AE16" s="56" t="str">
        <f ca="1">IFERROR(__xludf.DUMMYFUNCTION("""COMPUTED_VALUE"""),"0.1866666667")</f>
        <v>0.1866666667</v>
      </c>
      <c r="AF16" s="56" t="str">
        <f ca="1">IFERROR(__xludf.DUMMYFUNCTION("""COMPUTED_VALUE"""),"0.64")</f>
        <v>0.64</v>
      </c>
      <c r="AG16" s="56" t="str">
        <f ca="1">IFERROR(__xludf.DUMMYFUNCTION("""COMPUTED_VALUE"""),"0.03333333333")</f>
        <v>0.03333333333</v>
      </c>
      <c r="AH16" s="56" t="str">
        <f ca="1">IFERROR(__xludf.DUMMYFUNCTION("""COMPUTED_VALUE"""),"0.14")</f>
        <v>0.14</v>
      </c>
      <c r="AI16" s="56" t="str">
        <f ca="1">IFERROR(__xludf.DUMMYFUNCTION("""COMPUTED_VALUE"""),"0.36")</f>
        <v>0.36</v>
      </c>
      <c r="AJ16" s="56" t="str">
        <f ca="1">IFERROR(__xludf.DUMMYFUNCTION("""COMPUTED_VALUE"""),"0.86")</f>
        <v>0.86</v>
      </c>
    </row>
    <row r="17" spans="1:36" ht="15.75" customHeight="1">
      <c r="A17" s="56">
        <f ca="1">IFERROR(__xludf.DUMMYFUNCTION("""COMPUTED_VALUE"""),23)</f>
        <v>23</v>
      </c>
      <c r="B17" s="56" t="str">
        <f ca="1">IFERROR(__xludf.DUMMYFUNCTION("""COMPUTED_VALUE"""),"Main &amp; Cassidy (1988)")</f>
        <v>Main &amp; Cassidy (1988)</v>
      </c>
      <c r="C17" s="56">
        <f ca="1">IFERROR(__xludf.DUMMYFUNCTION("""COMPUTED_VALUE"""),1)</f>
        <v>1</v>
      </c>
      <c r="D17" s="56" t="str">
        <f ca="1">IFERROR(__xludf.DUMMYFUNCTION("""COMPUTED_VALUE"""),"Mother-child")</f>
        <v>Mother-child</v>
      </c>
      <c r="E17" s="56" t="str">
        <f ca="1">IFERROR(__xludf.DUMMYFUNCTION("""COMPUTED_VALUE"""),"Infancy - Preschool")</f>
        <v>Infancy - Preschool</v>
      </c>
      <c r="F17" s="123">
        <f ca="1">IFERROR(__xludf.DUMMYFUNCTION("""COMPUTED_VALUE"""),32)</f>
        <v>32</v>
      </c>
      <c r="G17" s="56" t="str">
        <f ca="1">IFERROR(__xludf.DUMMYFUNCTION("""COMPUTED_VALUE"""),"0.7604790419")</f>
        <v>0.7604790419</v>
      </c>
      <c r="H17" s="56" t="str">
        <f ca="1">IFERROR(__xludf.DUMMYFUNCTION("""COMPUTED_VALUE"""),"0.84375")</f>
        <v>0.84375</v>
      </c>
      <c r="I17" s="56">
        <f ca="1">IFERROR(__xludf.DUMMYFUNCTION("""COMPUTED_VALUE"""),1988)</f>
        <v>1988</v>
      </c>
      <c r="J17" s="56" t="str">
        <f ca="1">IFERROR(__xludf.DUMMYFUNCTION("""COMPUTED_VALUE"""),"USA")</f>
        <v>USA</v>
      </c>
      <c r="K17" s="56" t="str">
        <f ca="1">IFERROR(__xludf.DUMMYFUNCTION("""COMPUTED_VALUE"""),"Ainsworth/Main-Cassidy")</f>
        <v>Ainsworth/Main-Cassidy</v>
      </c>
      <c r="L17" s="56">
        <f ca="1">IFERROR(__xludf.DUMMYFUNCTION("""COMPUTED_VALUE"""),1)</f>
        <v>1</v>
      </c>
      <c r="M17" s="56">
        <f ca="1">IFERROR(__xludf.DUMMYFUNCTION("""COMPUTED_VALUE"""),0)</f>
        <v>0</v>
      </c>
      <c r="N17" s="56">
        <f ca="1">IFERROR(__xludf.DUMMYFUNCTION("""COMPUTED_VALUE"""),0)</f>
        <v>0</v>
      </c>
      <c r="O17" s="56">
        <f ca="1">IFERROR(__xludf.DUMMYFUNCTION("""COMPUTED_VALUE"""),1)</f>
        <v>1</v>
      </c>
      <c r="P17" s="56">
        <f ca="1">IFERROR(__xludf.DUMMYFUNCTION("""COMPUTED_VALUE"""),0.83)</f>
        <v>0.83</v>
      </c>
      <c r="Q17" s="56">
        <f ca="1">IFERROR(__xludf.DUMMYFUNCTION("""COMPUTED_VALUE"""),1)</f>
        <v>1</v>
      </c>
      <c r="R17" s="56" t="str">
        <f ca="1">IFERROR(__xludf.DUMMYFUNCTION("""COMPUTED_VALUE"""),"Female")</f>
        <v>Female</v>
      </c>
      <c r="S17" s="56" t="str">
        <f ca="1">IFERROR(__xludf.DUMMYFUNCTION("""COMPUTED_VALUE"""),"0.75")</f>
        <v>0.75</v>
      </c>
      <c r="T17" s="56" t="str">
        <f ca="1">IFERROR(__xludf.DUMMYFUNCTION("""COMPUTED_VALUE"""),"1")</f>
        <v>1</v>
      </c>
      <c r="U17" s="56" t="str">
        <f ca="1">IFERROR(__xludf.DUMMYFUNCTION("""COMPUTED_VALUE"""),"0")</f>
        <v>0</v>
      </c>
      <c r="V17" s="56" t="str">
        <f ca="1">IFERROR(__xludf.DUMMYFUNCTION("""COMPUTED_VALUE"""),"0.75")</f>
        <v>0.75</v>
      </c>
      <c r="W17" s="56" t="str">
        <f ca="1">IFERROR(__xludf.DUMMYFUNCTION("""COMPUTED_VALUE"""),"0.85")</f>
        <v>0.85</v>
      </c>
      <c r="X17" s="56" t="str">
        <f ca="1">IFERROR(__xludf.DUMMYFUNCTION("""COMPUTED_VALUE"""),"0.95")</f>
        <v>0.95</v>
      </c>
      <c r="Y17" s="56" t="str">
        <f ca="1">IFERROR(__xludf.DUMMYFUNCTION("""COMPUTED_VALUE"""),"8")</f>
        <v>8</v>
      </c>
      <c r="Z17" s="56" t="str">
        <f ca="1">IFERROR(__xludf.DUMMYFUNCTION("""COMPUTED_VALUE"""),"12")</f>
        <v>12</v>
      </c>
      <c r="AA17" s="56" t="str">
        <f ca="1">IFERROR(__xludf.DUMMYFUNCTION("""COMPUTED_VALUE"""),"0")</f>
        <v>0</v>
      </c>
      <c r="AB17" s="56" t="str">
        <f ca="1">IFERROR(__xludf.DUMMYFUNCTION("""COMPUTED_VALUE"""),"12")</f>
        <v>12</v>
      </c>
      <c r="AC17" s="56" t="str">
        <f ca="1">IFERROR(__xludf.DUMMYFUNCTION("""COMPUTED_VALUE"""),"20")</f>
        <v>20</v>
      </c>
      <c r="AD17" s="56" t="str">
        <f ca="1">IFERROR(__xludf.DUMMYFUNCTION("""COMPUTED_VALUE"""),"20")</f>
        <v>20</v>
      </c>
      <c r="AE17" s="56" t="str">
        <f ca="1">IFERROR(__xludf.DUMMYFUNCTION("""COMPUTED_VALUE"""),"0.21875")</f>
        <v>0.21875</v>
      </c>
      <c r="AF17" s="56" t="str">
        <f ca="1">IFERROR(__xludf.DUMMYFUNCTION("""COMPUTED_VALUE"""),"0.46875")</f>
        <v>0.46875</v>
      </c>
      <c r="AG17" s="56" t="str">
        <f ca="1">IFERROR(__xludf.DUMMYFUNCTION("""COMPUTED_VALUE"""),"0")</f>
        <v>0</v>
      </c>
      <c r="AH17" s="56" t="str">
        <f ca="1">IFERROR(__xludf.DUMMYFUNCTION("""COMPUTED_VALUE"""),"0.3125")</f>
        <v>0.3125</v>
      </c>
      <c r="AI17" s="56" t="str">
        <f ca="1">IFERROR(__xludf.DUMMYFUNCTION("""COMPUTED_VALUE"""),"0.53125")</f>
        <v>0.53125</v>
      </c>
      <c r="AJ17" s="56" t="str">
        <f ca="1">IFERROR(__xludf.DUMMYFUNCTION("""COMPUTED_VALUE"""),"0.6875")</f>
        <v>0.6875</v>
      </c>
    </row>
    <row r="18" spans="1:36" ht="15.75" customHeight="1">
      <c r="A18" s="56">
        <f ca="1">IFERROR(__xludf.DUMMYFUNCTION("""COMPUTED_VALUE"""),23)</f>
        <v>23</v>
      </c>
      <c r="B18" s="56" t="str">
        <f ca="1">IFERROR(__xludf.DUMMYFUNCTION("""COMPUTED_VALUE"""),"Main &amp; Cassidy (1988)")</f>
        <v>Main &amp; Cassidy (1988)</v>
      </c>
      <c r="C18" s="56">
        <f ca="1">IFERROR(__xludf.DUMMYFUNCTION("""COMPUTED_VALUE"""),2)</f>
        <v>2</v>
      </c>
      <c r="D18" s="56" t="str">
        <f ca="1">IFERROR(__xludf.DUMMYFUNCTION("""COMPUTED_VALUE"""),"Father-child")</f>
        <v>Father-child</v>
      </c>
      <c r="E18" s="56" t="str">
        <f ca="1">IFERROR(__xludf.DUMMYFUNCTION("""COMPUTED_VALUE"""),"Infancy - Preschool")</f>
        <v>Infancy - Preschool</v>
      </c>
      <c r="F18" s="123">
        <f ca="1">IFERROR(__xludf.DUMMYFUNCTION("""COMPUTED_VALUE"""),33)</f>
        <v>33</v>
      </c>
      <c r="G18" s="56" t="str">
        <f ca="1">IFERROR(__xludf.DUMMYFUNCTION("""COMPUTED_VALUE"""),"0.2765598651")</f>
        <v>0.2765598651</v>
      </c>
      <c r="H18" s="56" t="str">
        <f ca="1">IFERROR(__xludf.DUMMYFUNCTION("""COMPUTED_VALUE"""),"0.6060606061")</f>
        <v>0.6060606061</v>
      </c>
      <c r="I18" s="56">
        <f ca="1">IFERROR(__xludf.DUMMYFUNCTION("""COMPUTED_VALUE"""),1988)</f>
        <v>1988</v>
      </c>
      <c r="J18" s="56" t="str">
        <f ca="1">IFERROR(__xludf.DUMMYFUNCTION("""COMPUTED_VALUE"""),"USA")</f>
        <v>USA</v>
      </c>
      <c r="K18" s="56" t="str">
        <f ca="1">IFERROR(__xludf.DUMMYFUNCTION("""COMPUTED_VALUE"""),"Ainsworth/Main-Cassidy")</f>
        <v>Ainsworth/Main-Cassidy</v>
      </c>
      <c r="L18" s="56">
        <f ca="1">IFERROR(__xludf.DUMMYFUNCTION("""COMPUTED_VALUE"""),1)</f>
        <v>1</v>
      </c>
      <c r="M18" s="56">
        <f ca="1">IFERROR(__xludf.DUMMYFUNCTION("""COMPUTED_VALUE"""),0)</f>
        <v>0</v>
      </c>
      <c r="N18" s="56">
        <f ca="1">IFERROR(__xludf.DUMMYFUNCTION("""COMPUTED_VALUE"""),0)</f>
        <v>0</v>
      </c>
      <c r="O18" s="56">
        <f ca="1">IFERROR(__xludf.DUMMYFUNCTION("""COMPUTED_VALUE"""),1)</f>
        <v>1</v>
      </c>
      <c r="P18" s="56">
        <f ca="1">IFERROR(__xludf.DUMMYFUNCTION("""COMPUTED_VALUE"""),0.77)</f>
        <v>0.77</v>
      </c>
      <c r="Q18" s="56">
        <f ca="1">IFERROR(__xludf.DUMMYFUNCTION("""COMPUTED_VALUE"""),1)</f>
        <v>1</v>
      </c>
      <c r="R18" s="56" t="str">
        <f ca="1">IFERROR(__xludf.DUMMYFUNCTION("""COMPUTED_VALUE"""),"Male")</f>
        <v>Male</v>
      </c>
      <c r="S18" s="56" t="str">
        <f ca="1">IFERROR(__xludf.DUMMYFUNCTION("""COMPUTED_VALUE"""),"0.4444444444")</f>
        <v>0.4444444444</v>
      </c>
      <c r="T18" s="56" t="str">
        <f ca="1">IFERROR(__xludf.DUMMYFUNCTION("""COMPUTED_VALUE"""),"0.6818181818")</f>
        <v>0.6818181818</v>
      </c>
      <c r="U18" s="56" t="str">
        <f ca="1">IFERROR(__xludf.DUMMYFUNCTION("""COMPUTED_VALUE"""),"0")</f>
        <v>0</v>
      </c>
      <c r="V18" s="56" t="str">
        <f ca="1">IFERROR(__xludf.DUMMYFUNCTION("""COMPUTED_VALUE"""),"0.5")</f>
        <v>0.5</v>
      </c>
      <c r="W18" s="56" t="str">
        <f ca="1">IFERROR(__xludf.DUMMYFUNCTION("""COMPUTED_VALUE"""),"0.7272727273")</f>
        <v>0.7272727273</v>
      </c>
      <c r="X18" s="56" t="str">
        <f ca="1">IFERROR(__xludf.DUMMYFUNCTION("""COMPUTED_VALUE"""),"0.8709677419")</f>
        <v>0.8709677419</v>
      </c>
      <c r="Y18" s="56" t="str">
        <f ca="1">IFERROR(__xludf.DUMMYFUNCTION("""COMPUTED_VALUE"""),"9")</f>
        <v>9</v>
      </c>
      <c r="Z18" s="56" t="str">
        <f ca="1">IFERROR(__xludf.DUMMYFUNCTION("""COMPUTED_VALUE"""),"22")</f>
        <v>22</v>
      </c>
      <c r="AA18" s="56" t="str">
        <f ca="1">IFERROR(__xludf.DUMMYFUNCTION("""COMPUTED_VALUE"""),"0")</f>
        <v>0</v>
      </c>
      <c r="AB18" s="56" t="str">
        <f ca="1">IFERROR(__xludf.DUMMYFUNCTION("""COMPUTED_VALUE"""),"2")</f>
        <v>2</v>
      </c>
      <c r="AC18" s="56" t="str">
        <f ca="1">IFERROR(__xludf.DUMMYFUNCTION("""COMPUTED_VALUE"""),"11")</f>
        <v>11</v>
      </c>
      <c r="AD18" s="56" t="str">
        <f ca="1">IFERROR(__xludf.DUMMYFUNCTION("""COMPUTED_VALUE"""),"31")</f>
        <v>31</v>
      </c>
      <c r="AE18" s="56" t="str">
        <f ca="1">IFERROR(__xludf.DUMMYFUNCTION("""COMPUTED_VALUE"""),"0.303030303")</f>
        <v>0.303030303</v>
      </c>
      <c r="AF18" s="56" t="str">
        <f ca="1">IFERROR(__xludf.DUMMYFUNCTION("""COMPUTED_VALUE"""),"0.5454545455")</f>
        <v>0.5454545455</v>
      </c>
      <c r="AG18" s="56" t="str">
        <f ca="1">IFERROR(__xludf.DUMMYFUNCTION("""COMPUTED_VALUE"""),"0")</f>
        <v>0</v>
      </c>
      <c r="AH18" s="56" t="str">
        <f ca="1">IFERROR(__xludf.DUMMYFUNCTION("""COMPUTED_VALUE"""),"0.1515151515")</f>
        <v>0.1515151515</v>
      </c>
      <c r="AI18" s="56" t="str">
        <f ca="1">IFERROR(__xludf.DUMMYFUNCTION("""COMPUTED_VALUE"""),"0.4545454545")</f>
        <v>0.4545454545</v>
      </c>
      <c r="AJ18" s="56" t="str">
        <f ca="1">IFERROR(__xludf.DUMMYFUNCTION("""COMPUTED_VALUE"""),"0.8484848485")</f>
        <v>0.8484848485</v>
      </c>
    </row>
    <row r="19" spans="1:36" ht="15.75" customHeight="1">
      <c r="A19" s="56">
        <f ca="1">IFERROR(__xludf.DUMMYFUNCTION("""COMPUTED_VALUE"""),27)</f>
        <v>27</v>
      </c>
      <c r="B19" s="56" t="str">
        <f ca="1">IFERROR(__xludf.DUMMYFUNCTION("""COMPUTED_VALUE"""),"Milentijevic, Altman &amp; Ward (1995)")</f>
        <v>Milentijevic, Altman &amp; Ward (1995)</v>
      </c>
      <c r="C19" s="56">
        <f ca="1">IFERROR(__xludf.DUMMYFUNCTION("""COMPUTED_VALUE"""),1)</f>
        <v>1</v>
      </c>
      <c r="D19" s="56" t="str">
        <f ca="1">IFERROR(__xludf.DUMMYFUNCTION("""COMPUTED_VALUE"""),"Single sample")</f>
        <v>Single sample</v>
      </c>
      <c r="E19" s="56" t="str">
        <f ca="1">IFERROR(__xludf.DUMMYFUNCTION("""COMPUTED_VALUE"""),"Infancy - Preschool")</f>
        <v>Infancy - Preschool</v>
      </c>
      <c r="F19" s="123">
        <f ca="1">IFERROR(__xludf.DUMMYFUNCTION("""COMPUTED_VALUE"""),86)</f>
        <v>86</v>
      </c>
      <c r="G19" s="56" t="str">
        <f ca="1">IFERROR(__xludf.DUMMYFUNCTION("""COMPUTED_VALUE"""),"0.0746835443")</f>
        <v>0.0746835443</v>
      </c>
      <c r="H19" s="56" t="str">
        <f ca="1">IFERROR(__xludf.DUMMYFUNCTION("""COMPUTED_VALUE"""),"0.4069767442")</f>
        <v>0.4069767442</v>
      </c>
      <c r="I19" s="56">
        <f ca="1">IFERROR(__xludf.DUMMYFUNCTION("""COMPUTED_VALUE"""),1995)</f>
        <v>1995</v>
      </c>
      <c r="J19" s="56" t="str">
        <f ca="1">IFERROR(__xludf.DUMMYFUNCTION("""COMPUTED_VALUE"""),"USA")</f>
        <v>USA</v>
      </c>
      <c r="K19" s="56" t="str">
        <f ca="1">IFERROR(__xludf.DUMMYFUNCTION("""COMPUTED_VALUE"""),"Ainsworth/Cassidy-Marvin")</f>
        <v>Ainsworth/Cassidy-Marvin</v>
      </c>
      <c r="L19" s="56">
        <f ca="1">IFERROR(__xludf.DUMMYFUNCTION("""COMPUTED_VALUE"""),0)</f>
        <v>0</v>
      </c>
      <c r="M19" s="56">
        <f ca="1">IFERROR(__xludf.DUMMYFUNCTION("""COMPUTED_VALUE"""),1)</f>
        <v>1</v>
      </c>
      <c r="N19" s="56">
        <f ca="1">IFERROR(__xludf.DUMMYFUNCTION("""COMPUTED_VALUE"""),0)</f>
        <v>0</v>
      </c>
      <c r="O19" s="56">
        <f ca="1">IFERROR(__xludf.DUMMYFUNCTION("""COMPUTED_VALUE"""),0)</f>
        <v>0</v>
      </c>
      <c r="P19" s="56">
        <f ca="1">IFERROR(__xludf.DUMMYFUNCTION("""COMPUTED_VALUE"""),0.8)</f>
        <v>0.8</v>
      </c>
      <c r="Q19" s="56">
        <f ca="1">IFERROR(__xludf.DUMMYFUNCTION("""COMPUTED_VALUE"""),1)</f>
        <v>1</v>
      </c>
      <c r="R19" s="56" t="str">
        <f ca="1">IFERROR(__xludf.DUMMYFUNCTION("""COMPUTED_VALUE"""),"Female")</f>
        <v>Female</v>
      </c>
      <c r="S19" s="56" t="str">
        <f ca="1">IFERROR(__xludf.DUMMYFUNCTION("""COMPUTED_VALUE"""),"0.1304347826")</f>
        <v>0.1304347826</v>
      </c>
      <c r="T19" s="56" t="str">
        <f ca="1">IFERROR(__xludf.DUMMYFUNCTION("""COMPUTED_VALUE"""),"0.6")</f>
        <v>0.6</v>
      </c>
      <c r="U19" s="56" t="str">
        <f ca="1">IFERROR(__xludf.DUMMYFUNCTION("""COMPUTED_VALUE"""),"0")</f>
        <v>0</v>
      </c>
      <c r="V19" s="56" t="str">
        <f ca="1">IFERROR(__xludf.DUMMYFUNCTION("""COMPUTED_VALUE"""),"0.4")</f>
        <v>0.4</v>
      </c>
      <c r="W19" s="56" t="str">
        <f ca="1">IFERROR(__xludf.DUMMYFUNCTION("""COMPUTED_VALUE"""),"0.4130434783")</f>
        <v>0.4130434783</v>
      </c>
      <c r="X19" s="56" t="str">
        <f ca="1">IFERROR(__xludf.DUMMYFUNCTION("""COMPUTED_VALUE"""),"0.7727272727")</f>
        <v>0.7727272727</v>
      </c>
      <c r="Y19" s="56" t="str">
        <f ca="1">IFERROR(__xludf.DUMMYFUNCTION("""COMPUTED_VALUE"""),"23")</f>
        <v>23</v>
      </c>
      <c r="Z19" s="56" t="str">
        <f ca="1">IFERROR(__xludf.DUMMYFUNCTION("""COMPUTED_VALUE"""),"40")</f>
        <v>40</v>
      </c>
      <c r="AA19" s="56" t="str">
        <f ca="1">IFERROR(__xludf.DUMMYFUNCTION("""COMPUTED_VALUE"""),"3")</f>
        <v>3</v>
      </c>
      <c r="AB19" s="56" t="str">
        <f ca="1">IFERROR(__xludf.DUMMYFUNCTION("""COMPUTED_VALUE"""),"20")</f>
        <v>20</v>
      </c>
      <c r="AC19" s="56" t="str">
        <f ca="1">IFERROR(__xludf.DUMMYFUNCTION("""COMPUTED_VALUE"""),"46")</f>
        <v>46</v>
      </c>
      <c r="AD19" s="56" t="str">
        <f ca="1">IFERROR(__xludf.DUMMYFUNCTION("""COMPUTED_VALUE"""),"66")</f>
        <v>66</v>
      </c>
      <c r="AE19" s="56" t="str">
        <f ca="1">IFERROR(__xludf.DUMMYFUNCTION("""COMPUTED_VALUE"""),"0.06976744186")</f>
        <v>0.06976744186</v>
      </c>
      <c r="AF19" s="56" t="str">
        <f ca="1">IFERROR(__xludf.DUMMYFUNCTION("""COMPUTED_VALUE"""),"0.5930232558")</f>
        <v>0.5930232558</v>
      </c>
      <c r="AG19" s="56" t="str">
        <f ca="1">IFERROR(__xludf.DUMMYFUNCTION("""COMPUTED_VALUE"""),"0.06976744186")</f>
        <v>0.06976744186</v>
      </c>
      <c r="AH19" s="56" t="str">
        <f ca="1">IFERROR(__xludf.DUMMYFUNCTION("""COMPUTED_VALUE"""),"0.2674418605")</f>
        <v>0.2674418605</v>
      </c>
      <c r="AI19" s="56" t="str">
        <f ca="1">IFERROR(__xludf.DUMMYFUNCTION("""COMPUTED_VALUE"""),"0.4069767442")</f>
        <v>0.4069767442</v>
      </c>
      <c r="AJ19" s="56" t="str">
        <f ca="1">IFERROR(__xludf.DUMMYFUNCTION("""COMPUTED_VALUE"""),"0.7325581395")</f>
        <v>0.7325581395</v>
      </c>
    </row>
    <row r="20" spans="1:36" ht="15.75" customHeight="1">
      <c r="A20" s="56">
        <f ca="1">IFERROR(__xludf.DUMMYFUNCTION("""COMPUTED_VALUE"""),28)</f>
        <v>28</v>
      </c>
      <c r="B20" s="56" t="str">
        <f ca="1">IFERROR(__xludf.DUMMYFUNCTION("""COMPUTED_VALUE"""),"Moss et al. (2005)")</f>
        <v>Moss et al. (2005)</v>
      </c>
      <c r="C20" s="56">
        <f ca="1">IFERROR(__xludf.DUMMYFUNCTION("""COMPUTED_VALUE"""),1)</f>
        <v>1</v>
      </c>
      <c r="D20" s="56" t="str">
        <f ca="1">IFERROR(__xludf.DUMMYFUNCTION("""COMPUTED_VALUE"""),"Single sample")</f>
        <v>Single sample</v>
      </c>
      <c r="E20" s="56" t="str">
        <f ca="1">IFERROR(__xludf.DUMMYFUNCTION("""COMPUTED_VALUE"""),"Preschool - Preschool")</f>
        <v>Preschool - Preschool</v>
      </c>
      <c r="F20" s="123">
        <f ca="1">IFERROR(__xludf.DUMMYFUNCTION("""COMPUTED_VALUE"""),120)</f>
        <v>120</v>
      </c>
      <c r="G20" s="56" t="str">
        <f ca="1">IFERROR(__xludf.DUMMYFUNCTION("""COMPUTED_VALUE"""),"0.4656924306")</f>
        <v>0.4656924306</v>
      </c>
      <c r="H20" s="56" t="str">
        <f ca="1">IFERROR(__xludf.DUMMYFUNCTION("""COMPUTED_VALUE"""),"0.675")</f>
        <v>0.675</v>
      </c>
      <c r="I20" s="56">
        <f ca="1">IFERROR(__xludf.DUMMYFUNCTION("""COMPUTED_VALUE"""),2005)</f>
        <v>2005</v>
      </c>
      <c r="J20" s="56" t="str">
        <f ca="1">IFERROR(__xludf.DUMMYFUNCTION("""COMPUTED_VALUE"""),"Non-USA")</f>
        <v>Non-USA</v>
      </c>
      <c r="K20" s="56" t="str">
        <f ca="1">IFERROR(__xludf.DUMMYFUNCTION("""COMPUTED_VALUE"""),"Cassidy-Marvin/Main-Cassidy")</f>
        <v>Cassidy-Marvin/Main-Cassidy</v>
      </c>
      <c r="L20" s="56">
        <f ca="1">IFERROR(__xludf.DUMMYFUNCTION("""COMPUTED_VALUE"""),1)</f>
        <v>1</v>
      </c>
      <c r="M20" s="56">
        <f ca="1">IFERROR(__xludf.DUMMYFUNCTION("""COMPUTED_VALUE"""),0)</f>
        <v>0</v>
      </c>
      <c r="N20" s="56">
        <f ca="1">IFERROR(__xludf.DUMMYFUNCTION("""COMPUTED_VALUE"""),0)</f>
        <v>0</v>
      </c>
      <c r="O20" s="56">
        <f ca="1">IFERROR(__xludf.DUMMYFUNCTION("""COMPUTED_VALUE"""),1)</f>
        <v>1</v>
      </c>
      <c r="P20" s="56">
        <f ca="1">IFERROR(__xludf.DUMMYFUNCTION("""COMPUTED_VALUE"""),0.895)</f>
        <v>0.89500000000000002</v>
      </c>
      <c r="Q20" s="56">
        <f ca="1">IFERROR(__xludf.DUMMYFUNCTION("""COMPUTED_VALUE"""),0)</f>
        <v>0</v>
      </c>
      <c r="R20" s="56" t="str">
        <f ca="1">IFERROR(__xludf.DUMMYFUNCTION("""COMPUTED_VALUE"""),"Female")</f>
        <v>Female</v>
      </c>
      <c r="S20" s="56" t="str">
        <f ca="1">IFERROR(__xludf.DUMMYFUNCTION("""COMPUTED_VALUE"""),"0.4375")</f>
        <v>0.4375</v>
      </c>
      <c r="T20" s="56" t="str">
        <f ca="1">IFERROR(__xludf.DUMMYFUNCTION("""COMPUTED_VALUE"""),"0.7179487179")</f>
        <v>0.7179487179</v>
      </c>
      <c r="U20" s="56" t="str">
        <f ca="1">IFERROR(__xludf.DUMMYFUNCTION("""COMPUTED_VALUE"""),"0.6153846154")</f>
        <v>0.6153846154</v>
      </c>
      <c r="V20" s="56" t="str">
        <f ca="1">IFERROR(__xludf.DUMMYFUNCTION("""COMPUTED_VALUE"""),"0.7692307692")</f>
        <v>0.7692307692</v>
      </c>
      <c r="W20" s="56" t="str">
        <f ca="1">IFERROR(__xludf.DUMMYFUNCTION("""COMPUTED_VALUE"""),"0.8571428571")</f>
        <v>0.8571428571</v>
      </c>
      <c r="X20" s="56" t="str">
        <f ca="1">IFERROR(__xludf.DUMMYFUNCTION("""COMPUTED_VALUE"""),"0.8952380952")</f>
        <v>0.8952380952</v>
      </c>
      <c r="Y20" s="56" t="str">
        <f ca="1">IFERROR(__xludf.DUMMYFUNCTION("""COMPUTED_VALUE"""),"16")</f>
        <v>16</v>
      </c>
      <c r="Z20" s="56" t="str">
        <f ca="1">IFERROR(__xludf.DUMMYFUNCTION("""COMPUTED_VALUE"""),"78")</f>
        <v>78</v>
      </c>
      <c r="AA20" s="56" t="str">
        <f ca="1">IFERROR(__xludf.DUMMYFUNCTION("""COMPUTED_VALUE"""),"13")</f>
        <v>13</v>
      </c>
      <c r="AB20" s="56" t="str">
        <f ca="1">IFERROR(__xludf.DUMMYFUNCTION("""COMPUTED_VALUE"""),"13")</f>
        <v>13</v>
      </c>
      <c r="AC20" s="56" t="str">
        <f ca="1">IFERROR(__xludf.DUMMYFUNCTION("""COMPUTED_VALUE"""),"42")</f>
        <v>42</v>
      </c>
      <c r="AD20" s="56" t="str">
        <f ca="1">IFERROR(__xludf.DUMMYFUNCTION("""COMPUTED_VALUE"""),"105")</f>
        <v>105</v>
      </c>
      <c r="AE20" s="56" t="str">
        <f ca="1">IFERROR(__xludf.DUMMYFUNCTION("""COMPUTED_VALUE"""),"0.1416666667")</f>
        <v>0.1416666667</v>
      </c>
      <c r="AF20" s="56" t="str">
        <f ca="1">IFERROR(__xludf.DUMMYFUNCTION("""COMPUTED_VALUE"""),"0.5166666667")</f>
        <v>0.5166666667</v>
      </c>
      <c r="AG20" s="56" t="str">
        <f ca="1">IFERROR(__xludf.DUMMYFUNCTION("""COMPUTED_VALUE"""),"0.15")</f>
        <v>0.15</v>
      </c>
      <c r="AH20" s="56" t="str">
        <f ca="1">IFERROR(__xludf.DUMMYFUNCTION("""COMPUTED_VALUE"""),"0.1916666667")</f>
        <v>0.1916666667</v>
      </c>
      <c r="AI20" s="56" t="str">
        <f ca="1">IFERROR(__xludf.DUMMYFUNCTION("""COMPUTED_VALUE"""),"0.4833333333")</f>
        <v>0.4833333333</v>
      </c>
      <c r="AJ20" s="56" t="str">
        <f ca="1">IFERROR(__xludf.DUMMYFUNCTION("""COMPUTED_VALUE"""),"0.8083333333")</f>
        <v>0.8083333333</v>
      </c>
    </row>
    <row r="21" spans="1:36" ht="15.75" customHeight="1">
      <c r="A21" s="56">
        <f ca="1">IFERROR(__xludf.DUMMYFUNCTION("""COMPUTED_VALUE"""),29)</f>
        <v>29</v>
      </c>
      <c r="B21" s="56" t="str">
        <f ca="1">IFERROR(__xludf.DUMMYFUNCTION("""COMPUTED_VALUE"""),"NICHD (2001)")</f>
        <v>NICHD (2001)</v>
      </c>
      <c r="C21" s="56">
        <f ca="1">IFERROR(__xludf.DUMMYFUNCTION("""COMPUTED_VALUE"""),1)</f>
        <v>1</v>
      </c>
      <c r="D21" s="56" t="str">
        <f ca="1">IFERROR(__xludf.DUMMYFUNCTION("""COMPUTED_VALUE"""),"Single sample")</f>
        <v>Single sample</v>
      </c>
      <c r="E21" s="56" t="str">
        <f ca="1">IFERROR(__xludf.DUMMYFUNCTION("""COMPUTED_VALUE"""),"Infancy - Toddlerhood")</f>
        <v>Infancy - Toddlerhood</v>
      </c>
      <c r="F21" s="123">
        <f ca="1">IFERROR(__xludf.DUMMYFUNCTION("""COMPUTED_VALUE"""),1060)</f>
        <v>1060</v>
      </c>
      <c r="G21" s="56" t="str">
        <f ca="1">IFERROR(__xludf.DUMMYFUNCTION("""COMPUTED_VALUE"""),"0.05734849517")</f>
        <v>0.05734849517</v>
      </c>
      <c r="H21" s="56" t="str">
        <f ca="1">IFERROR(__xludf.DUMMYFUNCTION("""COMPUTED_VALUE"""),"0.4641509434")</f>
        <v>0.4641509434</v>
      </c>
      <c r="I21" s="56">
        <f ca="1">IFERROR(__xludf.DUMMYFUNCTION("""COMPUTED_VALUE"""),2001)</f>
        <v>2001</v>
      </c>
      <c r="J21" s="56" t="str">
        <f ca="1">IFERROR(__xludf.DUMMYFUNCTION("""COMPUTED_VALUE"""),"USA")</f>
        <v>USA</v>
      </c>
      <c r="K21" s="56" t="str">
        <f ca="1">IFERROR(__xludf.DUMMYFUNCTION("""COMPUTED_VALUE"""),"Ainsworth/Cassidy-Marvin")</f>
        <v>Ainsworth/Cassidy-Marvin</v>
      </c>
      <c r="L21" s="56">
        <f ca="1">IFERROR(__xludf.DUMMYFUNCTION("""COMPUTED_VALUE"""),1)</f>
        <v>1</v>
      </c>
      <c r="M21" s="56">
        <f ca="1">IFERROR(__xludf.DUMMYFUNCTION("""COMPUTED_VALUE"""),0)</f>
        <v>0</v>
      </c>
      <c r="N21" s="56">
        <f ca="1">IFERROR(__xludf.DUMMYFUNCTION("""COMPUTED_VALUE"""),0)</f>
        <v>0</v>
      </c>
      <c r="O21" s="56">
        <f ca="1">IFERROR(__xludf.DUMMYFUNCTION("""COMPUTED_VALUE"""),1)</f>
        <v>1</v>
      </c>
      <c r="P21" s="56">
        <f ca="1">IFERROR(__xludf.DUMMYFUNCTION("""COMPUTED_VALUE"""),0.7885)</f>
        <v>0.78849999999999998</v>
      </c>
      <c r="Q21" s="56">
        <f ca="1">IFERROR(__xludf.DUMMYFUNCTION("""COMPUTED_VALUE"""),0)</f>
        <v>0</v>
      </c>
      <c r="R21" s="56" t="str">
        <f ca="1">IFERROR(__xludf.DUMMYFUNCTION("""COMPUTED_VALUE"""),"Female")</f>
        <v>Female</v>
      </c>
      <c r="S21" s="56" t="str">
        <f ca="1">IFERROR(__xludf.DUMMYFUNCTION("""COMPUTED_VALUE"""),"0.1041666667")</f>
        <v>0.1041666667</v>
      </c>
      <c r="T21" s="56" t="str">
        <f ca="1">IFERROR(__xludf.DUMMYFUNCTION("""COMPUTED_VALUE"""),"0.6406727829")</f>
        <v>0.6406727829</v>
      </c>
      <c r="U21" s="56" t="str">
        <f ca="1">IFERROR(__xludf.DUMMYFUNCTION("""COMPUTED_VALUE"""),"0.2577319588")</f>
        <v>0.2577319588</v>
      </c>
      <c r="V21" s="56" t="str">
        <f ca="1">IFERROR(__xludf.DUMMYFUNCTION("""COMPUTED_VALUE"""),"0.2")</f>
        <v>0.2</v>
      </c>
      <c r="W21" s="56" t="str">
        <f ca="1">IFERROR(__xludf.DUMMYFUNCTION("""COMPUTED_VALUE"""),"0.4039408867")</f>
        <v>0.4039408867</v>
      </c>
      <c r="X21" s="56" t="str">
        <f ca="1">IFERROR(__xludf.DUMMYFUNCTION("""COMPUTED_VALUE"""),"0.8579481398")</f>
        <v>0.8579481398</v>
      </c>
      <c r="Y21" s="56" t="str">
        <f ca="1">IFERROR(__xludf.DUMMYFUNCTION("""COMPUTED_VALUE"""),"144")</f>
        <v>144</v>
      </c>
      <c r="Z21" s="56" t="str">
        <f ca="1">IFERROR(__xludf.DUMMYFUNCTION("""COMPUTED_VALUE"""),"654")</f>
        <v>654</v>
      </c>
      <c r="AA21" s="56" t="str">
        <f ca="1">IFERROR(__xludf.DUMMYFUNCTION("""COMPUTED_VALUE"""),"97")</f>
        <v>97</v>
      </c>
      <c r="AB21" s="56" t="str">
        <f ca="1">IFERROR(__xludf.DUMMYFUNCTION("""COMPUTED_VALUE"""),"165")</f>
        <v>165</v>
      </c>
      <c r="AC21" s="56" t="str">
        <f ca="1">IFERROR(__xludf.DUMMYFUNCTION("""COMPUTED_VALUE"""),"406")</f>
        <v>406</v>
      </c>
      <c r="AD21" s="56" t="str">
        <f ca="1">IFERROR(__xludf.DUMMYFUNCTION("""COMPUTED_VALUE"""),"887")</f>
        <v>887</v>
      </c>
      <c r="AE21" s="56" t="str">
        <f ca="1">IFERROR(__xludf.DUMMYFUNCTION("""COMPUTED_VALUE"""),"0.05094339623")</f>
        <v>0.05094339623</v>
      </c>
      <c r="AF21" s="56" t="str">
        <f ca="1">IFERROR(__xludf.DUMMYFUNCTION("""COMPUTED_VALUE"""),"0.6235849057")</f>
        <v>0.6235849057</v>
      </c>
      <c r="AG21" s="56" t="str">
        <f ca="1">IFERROR(__xludf.DUMMYFUNCTION("""COMPUTED_VALUE"""),"0.1679245283")</f>
        <v>0.1679245283</v>
      </c>
      <c r="AH21" s="56" t="str">
        <f ca="1">IFERROR(__xludf.DUMMYFUNCTION("""COMPUTED_VALUE"""),"0.1575471698")</f>
        <v>0.1575471698</v>
      </c>
      <c r="AI21" s="56" t="str">
        <f ca="1">IFERROR(__xludf.DUMMYFUNCTION("""COMPUTED_VALUE"""),"0.3764150943")</f>
        <v>0.3764150943</v>
      </c>
      <c r="AJ21" s="56" t="str">
        <f ca="1">IFERROR(__xludf.DUMMYFUNCTION("""COMPUTED_VALUE"""),"0.8424528302")</f>
        <v>0.8424528302</v>
      </c>
    </row>
    <row r="22" spans="1:36" ht="15.75" customHeight="1">
      <c r="A22" s="56">
        <f ca="1">IFERROR(__xludf.DUMMYFUNCTION("""COMPUTED_VALUE"""),30)</f>
        <v>30</v>
      </c>
      <c r="B22" s="56" t="str">
        <f ca="1">IFERROR(__xludf.DUMMYFUNCTION("""COMPUTED_VALUE"""),"Rauh et al. (2000)")</f>
        <v>Rauh et al. (2000)</v>
      </c>
      <c r="C22" s="56">
        <f ca="1">IFERROR(__xludf.DUMMYFUNCTION("""COMPUTED_VALUE"""),1)</f>
        <v>1</v>
      </c>
      <c r="D22" s="56" t="str">
        <f ca="1">IFERROR(__xludf.DUMMYFUNCTION("""COMPUTED_VALUE"""),"Ainsworth-Ainsworth")</f>
        <v>Ainsworth-Ainsworth</v>
      </c>
      <c r="E22" s="56" t="str">
        <f ca="1">IFERROR(__xludf.DUMMYFUNCTION("""COMPUTED_VALUE"""),"Infancy - Toddlerhood")</f>
        <v>Infancy - Toddlerhood</v>
      </c>
      <c r="F22" s="123">
        <f ca="1">IFERROR(__xludf.DUMMYFUNCTION("""COMPUTED_VALUE"""),75)</f>
        <v>75</v>
      </c>
      <c r="G22" s="56" t="str">
        <f ca="1">IFERROR(__xludf.DUMMYFUNCTION("""COMPUTED_VALUE"""),"0.1321879383")</f>
        <v>0.1321879383</v>
      </c>
      <c r="H22" s="56" t="str">
        <f ca="1">IFERROR(__xludf.DUMMYFUNCTION("""COMPUTED_VALUE"""),"0.56")</f>
        <v>0.56</v>
      </c>
      <c r="I22" s="56">
        <f ca="1">IFERROR(__xludf.DUMMYFUNCTION("""COMPUTED_VALUE"""),2000)</f>
        <v>2000</v>
      </c>
      <c r="J22" s="56" t="str">
        <f ca="1">IFERROR(__xludf.DUMMYFUNCTION("""COMPUTED_VALUE"""),"Non-USA")</f>
        <v>Non-USA</v>
      </c>
      <c r="K22" s="56" t="str">
        <f ca="1">IFERROR(__xludf.DUMMYFUNCTION("""COMPUTED_VALUE"""),"Ainsworth/Ainsworth")</f>
        <v>Ainsworth/Ainsworth</v>
      </c>
      <c r="L22" s="56">
        <f ca="1">IFERROR(__xludf.DUMMYFUNCTION("""COMPUTED_VALUE"""),1)</f>
        <v>1</v>
      </c>
      <c r="M22" s="56">
        <f ca="1">IFERROR(__xludf.DUMMYFUNCTION("""COMPUTED_VALUE"""),0)</f>
        <v>0</v>
      </c>
      <c r="N22" s="56">
        <f ca="1">IFERROR(__xludf.DUMMYFUNCTION("""COMPUTED_VALUE"""),0)</f>
        <v>0</v>
      </c>
      <c r="O22" s="56">
        <f ca="1">IFERROR(__xludf.DUMMYFUNCTION("""COMPUTED_VALUE"""),1)</f>
        <v>1</v>
      </c>
      <c r="P22" s="56">
        <f ca="1">IFERROR(__xludf.DUMMYFUNCTION("""COMPUTED_VALUE"""),0.94)</f>
        <v>0.94</v>
      </c>
      <c r="Q22" s="56">
        <f ca="1">IFERROR(__xludf.DUMMYFUNCTION("""COMPUTED_VALUE"""),1)</f>
        <v>1</v>
      </c>
      <c r="R22" s="56" t="str">
        <f ca="1">IFERROR(__xludf.DUMMYFUNCTION("""COMPUTED_VALUE"""),"Female")</f>
        <v>Female</v>
      </c>
      <c r="S22" s="56" t="str">
        <f ca="1">IFERROR(__xludf.DUMMYFUNCTION("""COMPUTED_VALUE"""),"0.1666666667")</f>
        <v>0.1666666667</v>
      </c>
      <c r="T22" s="56" t="str">
        <f ca="1">IFERROR(__xludf.DUMMYFUNCTION("""COMPUTED_VALUE"""),"0.8222222222")</f>
        <v>0.8222222222</v>
      </c>
      <c r="U22" s="56" t="str">
        <f ca="1">IFERROR(__xludf.DUMMYFUNCTION("""COMPUTED_VALUE"""),"0.2857142857")</f>
        <v>0.2857142857</v>
      </c>
      <c r="V22" s="56" t="str">
        <f ca="1">IFERROR(__xludf.DUMMYFUNCTION("""COMPUTED_VALUE"""),"0")</f>
        <v>0</v>
      </c>
      <c r="W22" s="56" t="str">
        <f ca="1">IFERROR(__xludf.DUMMYFUNCTION("""COMPUTED_VALUE"""),"0.3333333333")</f>
        <v>0.3333333333</v>
      </c>
      <c r="X22" s="56" t="str">
        <f ca="1">IFERROR(__xludf.DUMMYFUNCTION("""COMPUTED_VALUE"""),"0.9571428571")</f>
        <v>0.9571428571</v>
      </c>
      <c r="Y22" s="56" t="str">
        <f ca="1">IFERROR(__xludf.DUMMYFUNCTION("""COMPUTED_VALUE"""),"18")</f>
        <v>18</v>
      </c>
      <c r="Z22" s="56" t="str">
        <f ca="1">IFERROR(__xludf.DUMMYFUNCTION("""COMPUTED_VALUE"""),"45")</f>
        <v>45</v>
      </c>
      <c r="AA22" s="56" t="str">
        <f ca="1">IFERROR(__xludf.DUMMYFUNCTION("""COMPUTED_VALUE"""),"7")</f>
        <v>7</v>
      </c>
      <c r="AB22" s="56" t="str">
        <f ca="1">IFERROR(__xludf.DUMMYFUNCTION("""COMPUTED_VALUE"""),"5")</f>
        <v>5</v>
      </c>
      <c r="AC22" s="56" t="str">
        <f ca="1">IFERROR(__xludf.DUMMYFUNCTION("""COMPUTED_VALUE"""),"30")</f>
        <v>30</v>
      </c>
      <c r="AD22" s="56" t="str">
        <f ca="1">IFERROR(__xludf.DUMMYFUNCTION("""COMPUTED_VALUE"""),"70")</f>
        <v>70</v>
      </c>
      <c r="AE22" s="56" t="str">
        <f ca="1">IFERROR(__xludf.DUMMYFUNCTION("""COMPUTED_VALUE"""),"0.1066666667")</f>
        <v>0.1066666667</v>
      </c>
      <c r="AF22" s="56" t="str">
        <f ca="1">IFERROR(__xludf.DUMMYFUNCTION("""COMPUTED_VALUE"""),"0.76")</f>
        <v>0.76</v>
      </c>
      <c r="AG22" s="56" t="str">
        <f ca="1">IFERROR(__xludf.DUMMYFUNCTION("""COMPUTED_VALUE"""),"0.09333333333")</f>
        <v>0.09333333333</v>
      </c>
      <c r="AH22" s="56" t="str">
        <f ca="1">IFERROR(__xludf.DUMMYFUNCTION("""COMPUTED_VALUE"""),"0.04")</f>
        <v>0.04</v>
      </c>
      <c r="AI22" s="56" t="str">
        <f ca="1">IFERROR(__xludf.DUMMYFUNCTION("""COMPUTED_VALUE"""),"0.24")</f>
        <v>0.24</v>
      </c>
      <c r="AJ22" s="56" t="str">
        <f ca="1">IFERROR(__xludf.DUMMYFUNCTION("""COMPUTED_VALUE"""),"0.96")</f>
        <v>0.96</v>
      </c>
    </row>
    <row r="23" spans="1:36" ht="15.75" customHeight="1">
      <c r="A23" s="56">
        <f ca="1">IFERROR(__xludf.DUMMYFUNCTION("""COMPUTED_VALUE"""),30)</f>
        <v>30</v>
      </c>
      <c r="B23" s="56" t="str">
        <f ca="1">IFERROR(__xludf.DUMMYFUNCTION("""COMPUTED_VALUE"""),"Rauh et al. (2000)")</f>
        <v>Rauh et al. (2000)</v>
      </c>
      <c r="C23" s="56">
        <f ca="1">IFERROR(__xludf.DUMMYFUNCTION("""COMPUTED_VALUE"""),2)</f>
        <v>2</v>
      </c>
      <c r="D23" s="56" t="str">
        <f ca="1">IFERROR(__xludf.DUMMYFUNCTION("""COMPUTED_VALUE"""),"Main-Main")</f>
        <v>Main-Main</v>
      </c>
      <c r="E23" s="56" t="str">
        <f ca="1">IFERROR(__xludf.DUMMYFUNCTION("""COMPUTED_VALUE"""),"Infancy - Toddlerhood")</f>
        <v>Infancy - Toddlerhood</v>
      </c>
      <c r="F23" s="123">
        <f ca="1">IFERROR(__xludf.DUMMYFUNCTION("""COMPUTED_VALUE"""),75)</f>
        <v>75</v>
      </c>
      <c r="G23" s="56" t="str">
        <f ca="1">IFERROR(__xludf.DUMMYFUNCTION("""COMPUTED_VALUE"""),"0.2075956596")</f>
        <v>0.2075956596</v>
      </c>
      <c r="H23" s="56" t="str">
        <f ca="1">IFERROR(__xludf.DUMMYFUNCTION("""COMPUTED_VALUE"""),"0.5066666667")</f>
        <v>0.5066666667</v>
      </c>
      <c r="I23" s="56">
        <f ca="1">IFERROR(__xludf.DUMMYFUNCTION("""COMPUTED_VALUE"""),2000)</f>
        <v>2000</v>
      </c>
      <c r="J23" s="56" t="str">
        <f ca="1">IFERROR(__xludf.DUMMYFUNCTION("""COMPUTED_VALUE"""),"Non-USA")</f>
        <v>Non-USA</v>
      </c>
      <c r="K23" s="56" t="str">
        <f ca="1">IFERROR(__xludf.DUMMYFUNCTION("""COMPUTED_VALUE"""),"Main-Cassidy/Main-Cassidy")</f>
        <v>Main-Cassidy/Main-Cassidy</v>
      </c>
      <c r="L23" s="56">
        <f ca="1">IFERROR(__xludf.DUMMYFUNCTION("""COMPUTED_VALUE"""),1)</f>
        <v>1</v>
      </c>
      <c r="M23" s="56">
        <f ca="1">IFERROR(__xludf.DUMMYFUNCTION("""COMPUTED_VALUE"""),0)</f>
        <v>0</v>
      </c>
      <c r="N23" s="56">
        <f ca="1">IFERROR(__xludf.DUMMYFUNCTION("""COMPUTED_VALUE"""),0)</f>
        <v>0</v>
      </c>
      <c r="O23" s="56">
        <f ca="1">IFERROR(__xludf.DUMMYFUNCTION("""COMPUTED_VALUE"""),1)</f>
        <v>1</v>
      </c>
      <c r="P23" s="56">
        <f ca="1">IFERROR(__xludf.DUMMYFUNCTION("""COMPUTED_VALUE"""),0.94)</f>
        <v>0.94</v>
      </c>
      <c r="Q23" s="56">
        <f ca="1">IFERROR(__xludf.DUMMYFUNCTION("""COMPUTED_VALUE"""),0)</f>
        <v>0</v>
      </c>
      <c r="R23" s="56" t="str">
        <f ca="1">IFERROR(__xludf.DUMMYFUNCTION("""COMPUTED_VALUE"""),"Female")</f>
        <v>Female</v>
      </c>
      <c r="S23" s="56" t="str">
        <f ca="1">IFERROR(__xludf.DUMMYFUNCTION("""COMPUTED_VALUE"""),"0")</f>
        <v>0</v>
      </c>
      <c r="T23" s="56" t="str">
        <f ca="1">IFERROR(__xludf.DUMMYFUNCTION("""COMPUTED_VALUE"""),"0.6551724138")</f>
        <v>0.6551724138</v>
      </c>
      <c r="U23" s="56" t="str">
        <f ca="1">IFERROR(__xludf.DUMMYFUNCTION("""COMPUTED_VALUE"""),"0")</f>
        <v>0</v>
      </c>
      <c r="V23" s="56" t="str">
        <f ca="1">IFERROR(__xludf.DUMMYFUNCTION("""COMPUTED_VALUE"""),"0.6333333333")</f>
        <v>0.6333333333</v>
      </c>
      <c r="W23" s="56" t="str">
        <f ca="1">IFERROR(__xludf.DUMMYFUNCTION("""COMPUTED_VALUE"""),"0.5652173913")</f>
        <v>0.5652173913</v>
      </c>
      <c r="X23" s="56" t="str">
        <f ca="1">IFERROR(__xludf.DUMMYFUNCTION("""COMPUTED_VALUE"""),"0.7272727273")</f>
        <v>0.7272727273</v>
      </c>
      <c r="Y23" s="56" t="str">
        <f ca="1">IFERROR(__xludf.DUMMYFUNCTION("""COMPUTED_VALUE"""),"11")</f>
        <v>11</v>
      </c>
      <c r="Z23" s="56" t="str">
        <f ca="1">IFERROR(__xludf.DUMMYFUNCTION("""COMPUTED_VALUE"""),"29")</f>
        <v>29</v>
      </c>
      <c r="AA23" s="56" t="str">
        <f ca="1">IFERROR(__xludf.DUMMYFUNCTION("""COMPUTED_VALUE"""),"5")</f>
        <v>5</v>
      </c>
      <c r="AB23" s="56" t="str">
        <f ca="1">IFERROR(__xludf.DUMMYFUNCTION("""COMPUTED_VALUE"""),"30")</f>
        <v>30</v>
      </c>
      <c r="AC23" s="56" t="str">
        <f ca="1">IFERROR(__xludf.DUMMYFUNCTION("""COMPUTED_VALUE"""),"46")</f>
        <v>46</v>
      </c>
      <c r="AD23" s="56" t="str">
        <f ca="1">IFERROR(__xludf.DUMMYFUNCTION("""COMPUTED_VALUE"""),"44")</f>
        <v>44</v>
      </c>
      <c r="AE23" s="56" t="str">
        <f ca="1">IFERROR(__xludf.DUMMYFUNCTION("""COMPUTED_VALUE"""),"0.02666666667")</f>
        <v>0.02666666667</v>
      </c>
      <c r="AF23" s="56" t="str">
        <f ca="1">IFERROR(__xludf.DUMMYFUNCTION("""COMPUTED_VALUE"""),"0.52")</f>
        <v>0.52</v>
      </c>
      <c r="AG23" s="56" t="str">
        <f ca="1">IFERROR(__xludf.DUMMYFUNCTION("""COMPUTED_VALUE"""),"0.02666666667")</f>
        <v>0.02666666667</v>
      </c>
      <c r="AH23" s="56" t="str">
        <f ca="1">IFERROR(__xludf.DUMMYFUNCTION("""COMPUTED_VALUE"""),"0.4266666667")</f>
        <v>0.4266666667</v>
      </c>
      <c r="AI23" s="56" t="str">
        <f ca="1">IFERROR(__xludf.DUMMYFUNCTION("""COMPUTED_VALUE"""),"0.48")</f>
        <v>0.48</v>
      </c>
      <c r="AJ23" s="56" t="str">
        <f ca="1">IFERROR(__xludf.DUMMYFUNCTION("""COMPUTED_VALUE"""),"0.5733333333")</f>
        <v>0.5733333333</v>
      </c>
    </row>
    <row r="24" spans="1:36" ht="15.75" customHeight="1">
      <c r="A24" s="56">
        <f ca="1">IFERROR(__xludf.DUMMYFUNCTION("""COMPUTED_VALUE"""),30)</f>
        <v>30</v>
      </c>
      <c r="B24" s="56" t="str">
        <f ca="1">IFERROR(__xludf.DUMMYFUNCTION("""COMPUTED_VALUE"""),"Rauh et al. (2000)")</f>
        <v>Rauh et al. (2000)</v>
      </c>
      <c r="C24" s="56">
        <f ca="1">IFERROR(__xludf.DUMMYFUNCTION("""COMPUTED_VALUE"""),3)</f>
        <v>3</v>
      </c>
      <c r="D24" s="56" t="str">
        <f ca="1">IFERROR(__xludf.DUMMYFUNCTION("""COMPUTED_VALUE"""),"Main-Ainsworth")</f>
        <v>Main-Ainsworth</v>
      </c>
      <c r="E24" s="56" t="str">
        <f ca="1">IFERROR(__xludf.DUMMYFUNCTION("""COMPUTED_VALUE"""),"Infancy - Toddlerhood")</f>
        <v>Infancy - Toddlerhood</v>
      </c>
      <c r="F24" s="123">
        <f ca="1">IFERROR(__xludf.DUMMYFUNCTION("""COMPUTED_VALUE"""),75)</f>
        <v>75</v>
      </c>
      <c r="G24" s="56" t="str">
        <f ca="1">IFERROR(__xludf.DUMMYFUNCTION("""COMPUTED_VALUE"""),"0.04229848364")</f>
        <v>0.04229848364</v>
      </c>
      <c r="H24" s="56" t="str">
        <f ca="1">IFERROR(__xludf.DUMMYFUNCTION("""COMPUTED_VALUE"""),"0.36")</f>
        <v>0.36</v>
      </c>
      <c r="I24" s="56">
        <f ca="1">IFERROR(__xludf.DUMMYFUNCTION("""COMPUTED_VALUE"""),2000)</f>
        <v>2000</v>
      </c>
      <c r="J24" s="56" t="str">
        <f ca="1">IFERROR(__xludf.DUMMYFUNCTION("""COMPUTED_VALUE"""),"Non-USA")</f>
        <v>Non-USA</v>
      </c>
      <c r="K24" s="56" t="str">
        <f ca="1">IFERROR(__xludf.DUMMYFUNCTION("""COMPUTED_VALUE"""),"Main-Cassidy/Ainsworth")</f>
        <v>Main-Cassidy/Ainsworth</v>
      </c>
      <c r="L24" s="56">
        <f ca="1">IFERROR(__xludf.DUMMYFUNCTION("""COMPUTED_VALUE"""),1)</f>
        <v>1</v>
      </c>
      <c r="M24" s="56">
        <f ca="1">IFERROR(__xludf.DUMMYFUNCTION("""COMPUTED_VALUE"""),0)</f>
        <v>0</v>
      </c>
      <c r="N24" s="56">
        <f ca="1">IFERROR(__xludf.DUMMYFUNCTION("""COMPUTED_VALUE"""),0)</f>
        <v>0</v>
      </c>
      <c r="O24" s="56">
        <f ca="1">IFERROR(__xludf.DUMMYFUNCTION("""COMPUTED_VALUE"""),1)</f>
        <v>1</v>
      </c>
      <c r="P24" s="56">
        <f ca="1">IFERROR(__xludf.DUMMYFUNCTION("""COMPUTED_VALUE"""),0.94)</f>
        <v>0.94</v>
      </c>
      <c r="Q24" s="56">
        <f ca="1">IFERROR(__xludf.DUMMYFUNCTION("""COMPUTED_VALUE"""),0)</f>
        <v>0</v>
      </c>
      <c r="R24" s="56" t="str">
        <f ca="1">IFERROR(__xludf.DUMMYFUNCTION("""COMPUTED_VALUE"""),"Female")</f>
        <v>Female</v>
      </c>
      <c r="S24" s="56" t="str">
        <f ca="1">IFERROR(__xludf.DUMMYFUNCTION("""COMPUTED_VALUE"""),"0.1818181818")</f>
        <v>0.1818181818</v>
      </c>
      <c r="T24" s="56" t="str">
        <f ca="1">IFERROR(__xludf.DUMMYFUNCTION("""COMPUTED_VALUE"""),"0.8275862069")</f>
        <v>0.8275862069</v>
      </c>
      <c r="U24" s="56" t="str">
        <f ca="1">IFERROR(__xludf.DUMMYFUNCTION("""COMPUTED_VALUE"""),"0")</f>
        <v>0</v>
      </c>
      <c r="V24" s="56" t="str">
        <f ca="1">IFERROR(__xludf.DUMMYFUNCTION("""COMPUTED_VALUE"""),"0.03333333333")</f>
        <v>0.03333333333</v>
      </c>
      <c r="W24" s="56" t="str">
        <f ca="1">IFERROR(__xludf.DUMMYFUNCTION("""COMPUTED_VALUE"""),"0.2826086957")</f>
        <v>0.2826086957</v>
      </c>
      <c r="X24" s="56" t="str">
        <f ca="1">IFERROR(__xludf.DUMMYFUNCTION("""COMPUTED_VALUE"""),"0.9555555556")</f>
        <v>0.9555555556</v>
      </c>
      <c r="Y24" s="56" t="str">
        <f ca="1">IFERROR(__xludf.DUMMYFUNCTION("""COMPUTED_VALUE"""),"11")</f>
        <v>11</v>
      </c>
      <c r="Z24" s="56" t="str">
        <f ca="1">IFERROR(__xludf.DUMMYFUNCTION("""COMPUTED_VALUE"""),"29")</f>
        <v>29</v>
      </c>
      <c r="AA24" s="56" t="str">
        <f ca="1">IFERROR(__xludf.DUMMYFUNCTION("""COMPUTED_VALUE"""),"5")</f>
        <v>5</v>
      </c>
      <c r="AB24" s="56" t="str">
        <f ca="1">IFERROR(__xludf.DUMMYFUNCTION("""COMPUTED_VALUE"""),"30")</f>
        <v>30</v>
      </c>
      <c r="AC24" s="56" t="str">
        <f ca="1">IFERROR(__xludf.DUMMYFUNCTION("""COMPUTED_VALUE"""),"46")</f>
        <v>46</v>
      </c>
      <c r="AD24" s="56" t="str">
        <f ca="1">IFERROR(__xludf.DUMMYFUNCTION("""COMPUTED_VALUE"""),"45")</f>
        <v>45</v>
      </c>
      <c r="AE24" s="56" t="str">
        <f ca="1">IFERROR(__xludf.DUMMYFUNCTION("""COMPUTED_VALUE"""),"0.1066666667")</f>
        <v>0.1066666667</v>
      </c>
      <c r="AF24" s="56" t="str">
        <f ca="1">IFERROR(__xludf.DUMMYFUNCTION("""COMPUTED_VALUE"""),"0.76")</f>
        <v>0.76</v>
      </c>
      <c r="AG24" s="56" t="str">
        <f ca="1">IFERROR(__xludf.DUMMYFUNCTION("""COMPUTED_VALUE"""),"0.09333333333")</f>
        <v>0.09333333333</v>
      </c>
      <c r="AH24" s="56" t="str">
        <f ca="1">IFERROR(__xludf.DUMMYFUNCTION("""COMPUTED_VALUE"""),"0.04")</f>
        <v>0.04</v>
      </c>
      <c r="AI24" s="56" t="str">
        <f ca="1">IFERROR(__xludf.DUMMYFUNCTION("""COMPUTED_VALUE"""),"0.24")</f>
        <v>0.24</v>
      </c>
      <c r="AJ24" s="56" t="str">
        <f ca="1">IFERROR(__xludf.DUMMYFUNCTION("""COMPUTED_VALUE"""),"0.96")</f>
        <v>0.96</v>
      </c>
    </row>
    <row r="25" spans="1:36" ht="15.75" customHeight="1">
      <c r="A25" s="56">
        <f ca="1">IFERROR(__xludf.DUMMYFUNCTION("""COMPUTED_VALUE"""),30)</f>
        <v>30</v>
      </c>
      <c r="B25" s="56" t="str">
        <f ca="1">IFERROR(__xludf.DUMMYFUNCTION("""COMPUTED_VALUE"""),"Rauh et al. (2000)")</f>
        <v>Rauh et al. (2000)</v>
      </c>
      <c r="C25" s="56">
        <f ca="1">IFERROR(__xludf.DUMMYFUNCTION("""COMPUTED_VALUE"""),4)</f>
        <v>4</v>
      </c>
      <c r="D25" s="56" t="str">
        <f ca="1">IFERROR(__xludf.DUMMYFUNCTION("""COMPUTED_VALUE"""),"Ainsworth-Main")</f>
        <v>Ainsworth-Main</v>
      </c>
      <c r="E25" s="56" t="str">
        <f ca="1">IFERROR(__xludf.DUMMYFUNCTION("""COMPUTED_VALUE"""),"Infancy - Toddlerhood")</f>
        <v>Infancy - Toddlerhood</v>
      </c>
      <c r="F25" s="123">
        <f ca="1">IFERROR(__xludf.DUMMYFUNCTION("""COMPUTED_VALUE"""),75)</f>
        <v>75</v>
      </c>
      <c r="G25" s="56" t="str">
        <f ca="1">IFERROR(__xludf.DUMMYFUNCTION("""COMPUTED_VALUE"""),"0.05737704918")</f>
        <v>0.05737704918</v>
      </c>
      <c r="H25" s="56" t="str">
        <f ca="1">IFERROR(__xludf.DUMMYFUNCTION("""COMPUTED_VALUE"""),"0.3866666667")</f>
        <v>0.3866666667</v>
      </c>
      <c r="I25" s="56">
        <f ca="1">IFERROR(__xludf.DUMMYFUNCTION("""COMPUTED_VALUE"""),2000)</f>
        <v>2000</v>
      </c>
      <c r="J25" s="56" t="str">
        <f ca="1">IFERROR(__xludf.DUMMYFUNCTION("""COMPUTED_VALUE"""),"Non-USA")</f>
        <v>Non-USA</v>
      </c>
      <c r="K25" s="56" t="str">
        <f ca="1">IFERROR(__xludf.DUMMYFUNCTION("""COMPUTED_VALUE"""),"Ainsworth/Main-Cassidy")</f>
        <v>Ainsworth/Main-Cassidy</v>
      </c>
      <c r="L25" s="56">
        <f ca="1">IFERROR(__xludf.DUMMYFUNCTION("""COMPUTED_VALUE"""),1)</f>
        <v>1</v>
      </c>
      <c r="M25" s="56">
        <f ca="1">IFERROR(__xludf.DUMMYFUNCTION("""COMPUTED_VALUE"""),0)</f>
        <v>0</v>
      </c>
      <c r="N25" s="56">
        <f ca="1">IFERROR(__xludf.DUMMYFUNCTION("""COMPUTED_VALUE"""),0)</f>
        <v>0</v>
      </c>
      <c r="O25" s="56">
        <f ca="1">IFERROR(__xludf.DUMMYFUNCTION("""COMPUTED_VALUE"""),1)</f>
        <v>1</v>
      </c>
      <c r="P25" s="56">
        <f ca="1">IFERROR(__xludf.DUMMYFUNCTION("""COMPUTED_VALUE"""),0.94)</f>
        <v>0.94</v>
      </c>
      <c r="Q25" s="56">
        <f ca="1">IFERROR(__xludf.DUMMYFUNCTION("""COMPUTED_VALUE"""),0)</f>
        <v>0</v>
      </c>
      <c r="R25" s="56" t="str">
        <f ca="1">IFERROR(__xludf.DUMMYFUNCTION("""COMPUTED_VALUE"""),"Female")</f>
        <v>Female</v>
      </c>
      <c r="S25" s="56" t="str">
        <f ca="1">IFERROR(__xludf.DUMMYFUNCTION("""COMPUTED_VALUE"""),"0")</f>
        <v>0</v>
      </c>
      <c r="T25" s="56" t="str">
        <f ca="1">IFERROR(__xludf.DUMMYFUNCTION("""COMPUTED_VALUE"""),"0.5777777778")</f>
        <v>0.5777777778</v>
      </c>
      <c r="U25" s="56" t="str">
        <f ca="1">IFERROR(__xludf.DUMMYFUNCTION("""COMPUTED_VALUE"""),"0")</f>
        <v>0</v>
      </c>
      <c r="V25" s="56" t="str">
        <f ca="1">IFERROR(__xludf.DUMMYFUNCTION("""COMPUTED_VALUE"""),"0.6")</f>
        <v>0.6</v>
      </c>
      <c r="W25" s="56" t="str">
        <f ca="1">IFERROR(__xludf.DUMMYFUNCTION("""COMPUTED_VALUE"""),"0.5666666667")</f>
        <v>0.5666666667</v>
      </c>
      <c r="X25" s="56" t="str">
        <f ca="1">IFERROR(__xludf.DUMMYFUNCTION("""COMPUTED_VALUE"""),"0.6119402985")</f>
        <v>0.6119402985</v>
      </c>
      <c r="Y25" s="56" t="str">
        <f ca="1">IFERROR(__xludf.DUMMYFUNCTION("""COMPUTED_VALUE"""),"18")</f>
        <v>18</v>
      </c>
      <c r="Z25" s="56" t="str">
        <f ca="1">IFERROR(__xludf.DUMMYFUNCTION("""COMPUTED_VALUE"""),"45")</f>
        <v>45</v>
      </c>
      <c r="AA25" s="56" t="str">
        <f ca="1">IFERROR(__xludf.DUMMYFUNCTION("""COMPUTED_VALUE"""),"7")</f>
        <v>7</v>
      </c>
      <c r="AB25" s="56" t="str">
        <f ca="1">IFERROR(__xludf.DUMMYFUNCTION("""COMPUTED_VALUE"""),"5")</f>
        <v>5</v>
      </c>
      <c r="AC25" s="56" t="str">
        <f ca="1">IFERROR(__xludf.DUMMYFUNCTION("""COMPUTED_VALUE"""),"30")</f>
        <v>30</v>
      </c>
      <c r="AD25" s="56" t="str">
        <f ca="1">IFERROR(__xludf.DUMMYFUNCTION("""COMPUTED_VALUE"""),"67")</f>
        <v>67</v>
      </c>
      <c r="AE25" s="56" t="str">
        <f ca="1">IFERROR(__xludf.DUMMYFUNCTION("""COMPUTED_VALUE"""),"0.02666666667")</f>
        <v>0.02666666667</v>
      </c>
      <c r="AF25" s="56" t="str">
        <f ca="1">IFERROR(__xludf.DUMMYFUNCTION("""COMPUTED_VALUE"""),"0.52")</f>
        <v>0.52</v>
      </c>
      <c r="AG25" s="56" t="str">
        <f ca="1">IFERROR(__xludf.DUMMYFUNCTION("""COMPUTED_VALUE"""),"0.02666666667")</f>
        <v>0.02666666667</v>
      </c>
      <c r="AH25" s="56" t="str">
        <f ca="1">IFERROR(__xludf.DUMMYFUNCTION("""COMPUTED_VALUE"""),"0.4266666667")</f>
        <v>0.4266666667</v>
      </c>
      <c r="AI25" s="56" t="str">
        <f ca="1">IFERROR(__xludf.DUMMYFUNCTION("""COMPUTED_VALUE"""),"0.48")</f>
        <v>0.48</v>
      </c>
      <c r="AJ25" s="56" t="str">
        <f ca="1">IFERROR(__xludf.DUMMYFUNCTION("""COMPUTED_VALUE"""),"0.5733333333")</f>
        <v>0.5733333333</v>
      </c>
    </row>
    <row r="26" spans="1:36" ht="15.75" customHeight="1">
      <c r="A26" s="56">
        <f ca="1">IFERROR(__xludf.DUMMYFUNCTION("""COMPUTED_VALUE"""),30)</f>
        <v>30</v>
      </c>
      <c r="B26" s="56" t="str">
        <f ca="1">IFERROR(__xludf.DUMMYFUNCTION("""COMPUTED_VALUE"""),"Rauh et al. (2000)")</f>
        <v>Rauh et al. (2000)</v>
      </c>
      <c r="C26" s="56">
        <f ca="1">IFERROR(__xludf.DUMMYFUNCTION("""COMPUTED_VALUE"""),5)</f>
        <v>5</v>
      </c>
      <c r="D26" s="56" t="str">
        <f ca="1">IFERROR(__xludf.DUMMYFUNCTION("""COMPUTED_VALUE"""),"Main-Crittenden")</f>
        <v>Main-Crittenden</v>
      </c>
      <c r="E26" s="56" t="str">
        <f ca="1">IFERROR(__xludf.DUMMYFUNCTION("""COMPUTED_VALUE"""),"Infancy - Toddlerhood")</f>
        <v>Infancy - Toddlerhood</v>
      </c>
      <c r="F26" s="123">
        <f ca="1">IFERROR(__xludf.DUMMYFUNCTION("""COMPUTED_VALUE"""),75)</f>
        <v>75</v>
      </c>
      <c r="G26" s="56" t="str">
        <f ca="1">IFERROR(__xludf.DUMMYFUNCTION("""COMPUTED_VALUE"""),"0.04918032787")</f>
        <v>0.04918032787</v>
      </c>
      <c r="H26" s="56" t="str">
        <f ca="1">IFERROR(__xludf.DUMMYFUNCTION("""COMPUTED_VALUE"""),"0.2266666667")</f>
        <v>0.2266666667</v>
      </c>
      <c r="I26" s="56">
        <f ca="1">IFERROR(__xludf.DUMMYFUNCTION("""COMPUTED_VALUE"""),2000)</f>
        <v>2000</v>
      </c>
      <c r="J26" s="56" t="str">
        <f ca="1">IFERROR(__xludf.DUMMYFUNCTION("""COMPUTED_VALUE"""),"Non-USA")</f>
        <v>Non-USA</v>
      </c>
      <c r="K26" s="56" t="str">
        <f ca="1">IFERROR(__xludf.DUMMYFUNCTION("""COMPUTED_VALUE"""),"Main-Cassidy/Crittenden")</f>
        <v>Main-Cassidy/Crittenden</v>
      </c>
      <c r="L26" s="56">
        <f ca="1">IFERROR(__xludf.DUMMYFUNCTION("""COMPUTED_VALUE"""),1)</f>
        <v>1</v>
      </c>
      <c r="M26" s="56">
        <f ca="1">IFERROR(__xludf.DUMMYFUNCTION("""COMPUTED_VALUE"""),0)</f>
        <v>0</v>
      </c>
      <c r="N26" s="56">
        <f ca="1">IFERROR(__xludf.DUMMYFUNCTION("""COMPUTED_VALUE"""),0)</f>
        <v>0</v>
      </c>
      <c r="O26" s="56">
        <f ca="1">IFERROR(__xludf.DUMMYFUNCTION("""COMPUTED_VALUE"""),1)</f>
        <v>1</v>
      </c>
      <c r="P26" s="56">
        <f ca="1">IFERROR(__xludf.DUMMYFUNCTION("""COMPUTED_VALUE"""),0.94)</f>
        <v>0.94</v>
      </c>
      <c r="Q26" s="56">
        <f ca="1">IFERROR(__xludf.DUMMYFUNCTION("""COMPUTED_VALUE"""),0)</f>
        <v>0</v>
      </c>
      <c r="R26" s="56" t="str">
        <f ca="1">IFERROR(__xludf.DUMMYFUNCTION("""COMPUTED_VALUE"""),"Female")</f>
        <v>Female</v>
      </c>
      <c r="S26" s="56" t="str">
        <f ca="1">IFERROR(__xludf.DUMMYFUNCTION("""COMPUTED_VALUE"""),"0.2727272727")</f>
        <v>0.2727272727</v>
      </c>
      <c r="T26" s="56" t="str">
        <f ca="1">IFERROR(__xludf.DUMMYFUNCTION("""COMPUTED_VALUE"""),"0.3103448276")</f>
        <v>0.3103448276</v>
      </c>
      <c r="U26" s="56" t="str">
        <f ca="1">IFERROR(__xludf.DUMMYFUNCTION("""COMPUTED_VALUE"""),"0.4")</f>
        <v>0.4</v>
      </c>
      <c r="V26" s="56" t="str">
        <f ca="1">IFERROR(__xludf.DUMMYFUNCTION("""COMPUTED_VALUE"""),"0.1")</f>
        <v>0.1</v>
      </c>
      <c r="W26" s="56" t="str">
        <f ca="1">IFERROR(__xludf.DUMMYFUNCTION("""COMPUTED_VALUE"""),"0.9130434783")</f>
        <v>0.9130434783</v>
      </c>
      <c r="X26" s="56" t="str">
        <f ca="1">IFERROR(__xludf.DUMMYFUNCTION("""COMPUTED_VALUE"""),"0.9069767442")</f>
        <v>0.9069767442</v>
      </c>
      <c r="Y26" s="56" t="str">
        <f ca="1">IFERROR(__xludf.DUMMYFUNCTION("""COMPUTED_VALUE"""),"11")</f>
        <v>11</v>
      </c>
      <c r="Z26" s="56" t="str">
        <f ca="1">IFERROR(__xludf.DUMMYFUNCTION("""COMPUTED_VALUE"""),"29")</f>
        <v>29</v>
      </c>
      <c r="AA26" s="56" t="str">
        <f ca="1">IFERROR(__xludf.DUMMYFUNCTION("""COMPUTED_VALUE"""),"5")</f>
        <v>5</v>
      </c>
      <c r="AB26" s="56" t="str">
        <f ca="1">IFERROR(__xludf.DUMMYFUNCTION("""COMPUTED_VALUE"""),"30")</f>
        <v>30</v>
      </c>
      <c r="AC26" s="56" t="str">
        <f ca="1">IFERROR(__xludf.DUMMYFUNCTION("""COMPUTED_VALUE"""),"46")</f>
        <v>46</v>
      </c>
      <c r="AD26" s="56" t="str">
        <f ca="1">IFERROR(__xludf.DUMMYFUNCTION("""COMPUTED_VALUE"""),"43")</f>
        <v>43</v>
      </c>
      <c r="AE26" s="56" t="str">
        <f ca="1">IFERROR(__xludf.DUMMYFUNCTION("""COMPUTED_VALUE"""),"0.3066666667")</f>
        <v>0.3066666667</v>
      </c>
      <c r="AF26" s="56" t="str">
        <f ca="1">IFERROR(__xludf.DUMMYFUNCTION("""COMPUTED_VALUE"""),"0.1733333333")</f>
        <v>0.1733333333</v>
      </c>
      <c r="AG26" s="56" t="str">
        <f ca="1">IFERROR(__xludf.DUMMYFUNCTION("""COMPUTED_VALUE"""),"0.4")</f>
        <v>0.4</v>
      </c>
      <c r="AH26" s="56" t="str">
        <f ca="1">IFERROR(__xludf.DUMMYFUNCTION("""COMPUTED_VALUE"""),"0.12")</f>
        <v>0.12</v>
      </c>
      <c r="AI26" s="56" t="str">
        <f ca="1">IFERROR(__xludf.DUMMYFUNCTION("""COMPUTED_VALUE"""),"0.8266666667")</f>
        <v>0.8266666667</v>
      </c>
      <c r="AJ26" s="56" t="str">
        <f ca="1">IFERROR(__xludf.DUMMYFUNCTION("""COMPUTED_VALUE"""),"0.88")</f>
        <v>0.88</v>
      </c>
    </row>
    <row r="27" spans="1:36" ht="15.75" customHeight="1">
      <c r="A27" s="56">
        <f ca="1">IFERROR(__xludf.DUMMYFUNCTION("""COMPUTED_VALUE"""),30)</f>
        <v>30</v>
      </c>
      <c r="B27" s="56" t="str">
        <f ca="1">IFERROR(__xludf.DUMMYFUNCTION("""COMPUTED_VALUE"""),"Rauh et al. (2000)")</f>
        <v>Rauh et al. (2000)</v>
      </c>
      <c r="C27" s="56">
        <f ca="1">IFERROR(__xludf.DUMMYFUNCTION("""COMPUTED_VALUE"""),6)</f>
        <v>6</v>
      </c>
      <c r="D27" s="56" t="str">
        <f ca="1">IFERROR(__xludf.DUMMYFUNCTION("""COMPUTED_VALUE"""),"Ainsworth-Crittenden")</f>
        <v>Ainsworth-Crittenden</v>
      </c>
      <c r="E27" s="56" t="str">
        <f ca="1">IFERROR(__xludf.DUMMYFUNCTION("""COMPUTED_VALUE"""),"Infancy - Toddlerhood")</f>
        <v>Infancy - Toddlerhood</v>
      </c>
      <c r="F27" s="123">
        <f ca="1">IFERROR(__xludf.DUMMYFUNCTION("""COMPUTED_VALUE"""),75)</f>
        <v>75</v>
      </c>
      <c r="G27" s="56" t="str">
        <f ca="1">IFERROR(__xludf.DUMMYFUNCTION("""COMPUTED_VALUE"""),"0.05628002745")</f>
        <v>0.05628002745</v>
      </c>
      <c r="H27" s="56" t="str">
        <f ca="1">IFERROR(__xludf.DUMMYFUNCTION("""COMPUTED_VALUE"""),"0.2666666667")</f>
        <v>0.2666666667</v>
      </c>
      <c r="I27" s="56">
        <f ca="1">IFERROR(__xludf.DUMMYFUNCTION("""COMPUTED_VALUE"""),2000)</f>
        <v>2000</v>
      </c>
      <c r="J27" s="56" t="str">
        <f ca="1">IFERROR(__xludf.DUMMYFUNCTION("""COMPUTED_VALUE"""),"Non-USA")</f>
        <v>Non-USA</v>
      </c>
      <c r="K27" s="56" t="str">
        <f ca="1">IFERROR(__xludf.DUMMYFUNCTION("""COMPUTED_VALUE"""),"Ainsworth/Crittenden")</f>
        <v>Ainsworth/Crittenden</v>
      </c>
      <c r="L27" s="56">
        <f ca="1">IFERROR(__xludf.DUMMYFUNCTION("""COMPUTED_VALUE"""),1)</f>
        <v>1</v>
      </c>
      <c r="M27" s="56">
        <f ca="1">IFERROR(__xludf.DUMMYFUNCTION("""COMPUTED_VALUE"""),0)</f>
        <v>0</v>
      </c>
      <c r="N27" s="56">
        <f ca="1">IFERROR(__xludf.DUMMYFUNCTION("""COMPUTED_VALUE"""),0)</f>
        <v>0</v>
      </c>
      <c r="O27" s="56">
        <f ca="1">IFERROR(__xludf.DUMMYFUNCTION("""COMPUTED_VALUE"""),1)</f>
        <v>1</v>
      </c>
      <c r="P27" s="56">
        <f ca="1">IFERROR(__xludf.DUMMYFUNCTION("""COMPUTED_VALUE"""),0.94)</f>
        <v>0.94</v>
      </c>
      <c r="Q27" s="56">
        <f ca="1">IFERROR(__xludf.DUMMYFUNCTION("""COMPUTED_VALUE"""),0)</f>
        <v>0</v>
      </c>
      <c r="R27" s="56" t="str">
        <f ca="1">IFERROR(__xludf.DUMMYFUNCTION("""COMPUTED_VALUE"""),"Female")</f>
        <v>Female</v>
      </c>
      <c r="S27" s="56" t="str">
        <f ca="1">IFERROR(__xludf.DUMMYFUNCTION("""COMPUTED_VALUE"""),"0.2777777778")</f>
        <v>0.2777777778</v>
      </c>
      <c r="T27" s="56" t="str">
        <f ca="1">IFERROR(__xludf.DUMMYFUNCTION("""COMPUTED_VALUE"""),"0.2222222222")</f>
        <v>0.2222222222</v>
      </c>
      <c r="U27" s="56" t="str">
        <f ca="1">IFERROR(__xludf.DUMMYFUNCTION("""COMPUTED_VALUE"""),"0.5714285714")</f>
        <v>0.5714285714</v>
      </c>
      <c r="V27" s="56" t="str">
        <f ca="1">IFERROR(__xludf.DUMMYFUNCTION("""COMPUTED_VALUE"""),"0.2")</f>
        <v>0.2</v>
      </c>
      <c r="W27" s="56" t="str">
        <f ca="1">IFERROR(__xludf.DUMMYFUNCTION("""COMPUTED_VALUE"""),"0.9")</f>
        <v>0.9</v>
      </c>
      <c r="X27" s="56" t="str">
        <f ca="1">IFERROR(__xludf.DUMMYFUNCTION("""COMPUTED_VALUE"""),"0.9117647059")</f>
        <v>0.9117647059</v>
      </c>
      <c r="Y27" s="56" t="str">
        <f ca="1">IFERROR(__xludf.DUMMYFUNCTION("""COMPUTED_VALUE"""),"18")</f>
        <v>18</v>
      </c>
      <c r="Z27" s="56" t="str">
        <f ca="1">IFERROR(__xludf.DUMMYFUNCTION("""COMPUTED_VALUE"""),"45")</f>
        <v>45</v>
      </c>
      <c r="AA27" s="56" t="str">
        <f ca="1">IFERROR(__xludf.DUMMYFUNCTION("""COMPUTED_VALUE"""),"7")</f>
        <v>7</v>
      </c>
      <c r="AB27" s="56" t="str">
        <f ca="1">IFERROR(__xludf.DUMMYFUNCTION("""COMPUTED_VALUE"""),"5")</f>
        <v>5</v>
      </c>
      <c r="AC27" s="56" t="str">
        <f ca="1">IFERROR(__xludf.DUMMYFUNCTION("""COMPUTED_VALUE"""),"30")</f>
        <v>30</v>
      </c>
      <c r="AD27" s="56" t="str">
        <f ca="1">IFERROR(__xludf.DUMMYFUNCTION("""COMPUTED_VALUE"""),"68")</f>
        <v>68</v>
      </c>
      <c r="AE27" s="56" t="str">
        <f ca="1">IFERROR(__xludf.DUMMYFUNCTION("""COMPUTED_VALUE"""),"0.3066666667")</f>
        <v>0.3066666667</v>
      </c>
      <c r="AF27" s="56" t="str">
        <f ca="1">IFERROR(__xludf.DUMMYFUNCTION("""COMPUTED_VALUE"""),"0.1733333333")</f>
        <v>0.1733333333</v>
      </c>
      <c r="AG27" s="56" t="str">
        <f ca="1">IFERROR(__xludf.DUMMYFUNCTION("""COMPUTED_VALUE"""),"0.4")</f>
        <v>0.4</v>
      </c>
      <c r="AH27" s="56" t="str">
        <f ca="1">IFERROR(__xludf.DUMMYFUNCTION("""COMPUTED_VALUE"""),"0.12")</f>
        <v>0.12</v>
      </c>
      <c r="AI27" s="56" t="str">
        <f ca="1">IFERROR(__xludf.DUMMYFUNCTION("""COMPUTED_VALUE"""),"0.8266666667")</f>
        <v>0.8266666667</v>
      </c>
      <c r="AJ27" s="56" t="str">
        <f ca="1">IFERROR(__xludf.DUMMYFUNCTION("""COMPUTED_VALUE"""),"0.88")</f>
        <v>0.88</v>
      </c>
    </row>
    <row r="28" spans="1:36" ht="12.9">
      <c r="A28" s="56">
        <f ca="1">IFERROR(__xludf.DUMMYFUNCTION("""COMPUTED_VALUE"""),31)</f>
        <v>31</v>
      </c>
      <c r="B28" s="56" t="str">
        <f ca="1">IFERROR(__xludf.DUMMYFUNCTION("""COMPUTED_VALUE"""),"Seifer et al. (2004) ")</f>
        <v xml:space="preserve">Seifer et al. (2004) </v>
      </c>
      <c r="C28" s="56">
        <f ca="1">IFERROR(__xludf.DUMMYFUNCTION("""COMPUTED_VALUE"""),1)</f>
        <v>1</v>
      </c>
      <c r="D28" s="56" t="str">
        <f ca="1">IFERROR(__xludf.DUMMYFUNCTION("""COMPUTED_VALUE"""),"Single sample")</f>
        <v>Single sample</v>
      </c>
      <c r="E28" s="56" t="str">
        <f ca="1">IFERROR(__xludf.DUMMYFUNCTION("""COMPUTED_VALUE"""),"Infancy - Toddlerhood")</f>
        <v>Infancy - Toddlerhood</v>
      </c>
      <c r="F28" s="123">
        <f ca="1">IFERROR(__xludf.DUMMYFUNCTION("""COMPUTED_VALUE"""),601)</f>
        <v>601</v>
      </c>
      <c r="G28" s="56" t="str">
        <f ca="1">IFERROR(__xludf.DUMMYFUNCTION("""COMPUTED_VALUE"""),"0.05926431652")</f>
        <v>0.05926431652</v>
      </c>
      <c r="H28" s="56" t="str">
        <f ca="1">IFERROR(__xludf.DUMMYFUNCTION("""COMPUTED_VALUE"""),"0.53078203")</f>
        <v>0.53078203</v>
      </c>
      <c r="I28" s="56">
        <f ca="1">IFERROR(__xludf.DUMMYFUNCTION("""COMPUTED_VALUE"""),2004)</f>
        <v>2004</v>
      </c>
      <c r="J28" s="56" t="str">
        <f ca="1">IFERROR(__xludf.DUMMYFUNCTION("""COMPUTED_VALUE"""),"USA")</f>
        <v>USA</v>
      </c>
      <c r="K28" s="56" t="str">
        <f ca="1">IFERROR(__xludf.DUMMYFUNCTION("""COMPUTED_VALUE"""),"Ainsworth/Cassidy-Marvin")</f>
        <v>Ainsworth/Cassidy-Marvin</v>
      </c>
      <c r="L28" s="56">
        <f ca="1">IFERROR(__xludf.DUMMYFUNCTION("""COMPUTED_VALUE"""),1)</f>
        <v>1</v>
      </c>
      <c r="M28" s="56">
        <f ca="1">IFERROR(__xludf.DUMMYFUNCTION("""COMPUTED_VALUE"""),1)</f>
        <v>1</v>
      </c>
      <c r="N28" s="56">
        <f ca="1">IFERROR(__xludf.DUMMYFUNCTION("""COMPUTED_VALUE"""),0)</f>
        <v>0</v>
      </c>
      <c r="O28" s="56">
        <f ca="1">IFERROR(__xludf.DUMMYFUNCTION("""COMPUTED_VALUE"""),1)</f>
        <v>1</v>
      </c>
      <c r="P28" s="56">
        <f ca="1">IFERROR(__xludf.DUMMYFUNCTION("""COMPUTED_VALUE"""),0.900244462224634)</f>
        <v>0.90024446222463395</v>
      </c>
      <c r="Q28" s="56">
        <f ca="1">IFERROR(__xludf.DUMMYFUNCTION("""COMPUTED_VALUE"""),0)</f>
        <v>0</v>
      </c>
      <c r="R28" s="56" t="str">
        <f ca="1">IFERROR(__xludf.DUMMYFUNCTION("""COMPUTED_VALUE"""),"Female")</f>
        <v>Female</v>
      </c>
      <c r="S28" s="56" t="str">
        <f ca="1">IFERROR(__xludf.DUMMYFUNCTION("""COMPUTED_VALUE"""),"0.1666666667")</f>
        <v>0.1666666667</v>
      </c>
      <c r="T28" s="56" t="str">
        <f ca="1">IFERROR(__xludf.DUMMYFUNCTION("""COMPUTED_VALUE"""),"0.7532133676")</f>
        <v>0.7532133676</v>
      </c>
      <c r="U28" s="56" t="str">
        <f ca="1">IFERROR(__xludf.DUMMYFUNCTION("""COMPUTED_VALUE"""),"0.2105263158")</f>
        <v>0.2105263158</v>
      </c>
      <c r="V28" s="56" t="str">
        <f ca="1">IFERROR(__xludf.DUMMYFUNCTION("""COMPUTED_VALUE"""),"0.02409638554")</f>
        <v>0.02409638554</v>
      </c>
      <c r="W28" s="56" t="str">
        <f ca="1">IFERROR(__xludf.DUMMYFUNCTION("""COMPUTED_VALUE"""),"0.320754717")</f>
        <v>0.320754717</v>
      </c>
      <c r="X28" s="56" t="str">
        <f ca="1">IFERROR(__xludf.DUMMYFUNCTION("""COMPUTED_VALUE"""),"0.9434697856")</f>
        <v>0.9434697856</v>
      </c>
      <c r="Y28" s="56" t="str">
        <f ca="1">IFERROR(__xludf.DUMMYFUNCTION("""COMPUTED_VALUE"""),"72")</f>
        <v>72</v>
      </c>
      <c r="Z28" s="56" t="str">
        <f ca="1">IFERROR(__xludf.DUMMYFUNCTION("""COMPUTED_VALUE"""),"389")</f>
        <v>389</v>
      </c>
      <c r="AA28" s="56" t="str">
        <f ca="1">IFERROR(__xludf.DUMMYFUNCTION("""COMPUTED_VALUE"""),"57")</f>
        <v>57</v>
      </c>
      <c r="AB28" s="56" t="str">
        <f ca="1">IFERROR(__xludf.DUMMYFUNCTION("""COMPUTED_VALUE"""),"83")</f>
        <v>83</v>
      </c>
      <c r="AC28" s="56" t="str">
        <f ca="1">IFERROR(__xludf.DUMMYFUNCTION("""COMPUTED_VALUE"""),"212")</f>
        <v>212</v>
      </c>
      <c r="AD28" s="56" t="str">
        <f ca="1">IFERROR(__xludf.DUMMYFUNCTION("""COMPUTED_VALUE"""),"513")</f>
        <v>513</v>
      </c>
      <c r="AE28" s="56" t="str">
        <f ca="1">IFERROR(__xludf.DUMMYFUNCTION("""COMPUTED_VALUE"""),"0.08485856905")</f>
        <v>0.08485856905</v>
      </c>
      <c r="AF28" s="56" t="str">
        <f ca="1">IFERROR(__xludf.DUMMYFUNCTION("""COMPUTED_VALUE"""),"0.7271214642")</f>
        <v>0.7271214642</v>
      </c>
      <c r="AG28" s="56" t="str">
        <f ca="1">IFERROR(__xludf.DUMMYFUNCTION("""COMPUTED_VALUE"""),"0.1281198003")</f>
        <v>0.1281198003</v>
      </c>
      <c r="AH28" s="56" t="str">
        <f ca="1">IFERROR(__xludf.DUMMYFUNCTION("""COMPUTED_VALUE"""),"0.05990016639")</f>
        <v>0.05990016639</v>
      </c>
      <c r="AI28" s="56" t="str">
        <f ca="1">IFERROR(__xludf.DUMMYFUNCTION("""COMPUTED_VALUE"""),"0.2728785358")</f>
        <v>0.2728785358</v>
      </c>
      <c r="AJ28" s="56" t="str">
        <f ca="1">IFERROR(__xludf.DUMMYFUNCTION("""COMPUTED_VALUE"""),"0.9400998336")</f>
        <v>0.9400998336</v>
      </c>
    </row>
    <row r="29" spans="1:36" ht="12.9">
      <c r="A29" s="56">
        <f ca="1">IFERROR(__xludf.DUMMYFUNCTION("""COMPUTED_VALUE"""),32)</f>
        <v>32</v>
      </c>
      <c r="B29" s="56" t="str">
        <f ca="1">IFERROR(__xludf.DUMMYFUNCTION("""COMPUTED_VALUE"""),"Steele, Steele &amp; Fonagy (1996)")</f>
        <v>Steele, Steele &amp; Fonagy (1996)</v>
      </c>
      <c r="C29" s="56">
        <f ca="1">IFERROR(__xludf.DUMMYFUNCTION("""COMPUTED_VALUE"""),1)</f>
        <v>1</v>
      </c>
      <c r="D29" s="56" t="str">
        <f ca="1">IFERROR(__xludf.DUMMYFUNCTION("""COMPUTED_VALUE"""),"Mother-child")</f>
        <v>Mother-child</v>
      </c>
      <c r="E29" s="56" t="str">
        <f ca="1">IFERROR(__xludf.DUMMYFUNCTION("""COMPUTED_VALUE"""),"Infancy - Preschool")</f>
        <v>Infancy - Preschool</v>
      </c>
      <c r="F29" s="123">
        <f ca="1">IFERROR(__xludf.DUMMYFUNCTION("""COMPUTED_VALUE"""),88)</f>
        <v>88</v>
      </c>
      <c r="G29" s="56" t="str">
        <f ca="1">IFERROR(__xludf.DUMMYFUNCTION("""COMPUTED_VALUE"""),"0.0753409345")</f>
        <v>0.0753409345</v>
      </c>
      <c r="H29" s="56" t="str">
        <f ca="1">IFERROR(__xludf.DUMMYFUNCTION("""COMPUTED_VALUE"""),"0.4659090909")</f>
        <v>0.4659090909</v>
      </c>
      <c r="I29" s="56">
        <f ca="1">IFERROR(__xludf.DUMMYFUNCTION("""COMPUTED_VALUE"""),1996)</f>
        <v>1996</v>
      </c>
      <c r="J29" s="56" t="str">
        <f ca="1">IFERROR(__xludf.DUMMYFUNCTION("""COMPUTED_VALUE"""),"Non-USA")</f>
        <v>Non-USA</v>
      </c>
      <c r="K29" s="56" t="str">
        <f ca="1">IFERROR(__xludf.DUMMYFUNCTION("""COMPUTED_VALUE"""),"Ainsworth/Cassidy-Marvin")</f>
        <v>Ainsworth/Cassidy-Marvin</v>
      </c>
      <c r="L29" s="56">
        <f ca="1">IFERROR(__xludf.DUMMYFUNCTION("""COMPUTED_VALUE"""),0)</f>
        <v>0</v>
      </c>
      <c r="M29" s="56">
        <f ca="1">IFERROR(__xludf.DUMMYFUNCTION("""COMPUTED_VALUE"""),0)</f>
        <v>0</v>
      </c>
      <c r="N29" s="56">
        <f ca="1">IFERROR(__xludf.DUMMYFUNCTION("""COMPUTED_VALUE"""),0)</f>
        <v>0</v>
      </c>
      <c r="O29" s="56">
        <f ca="1">IFERROR(__xludf.DUMMYFUNCTION("""COMPUTED_VALUE"""),0)</f>
        <v>0</v>
      </c>
      <c r="P29" s="56">
        <f ca="1">IFERROR(__xludf.DUMMYFUNCTION("""COMPUTED_VALUE"""),0.91)</f>
        <v>0.91</v>
      </c>
      <c r="Q29" s="56">
        <f ca="1">IFERROR(__xludf.DUMMYFUNCTION("""COMPUTED_VALUE"""),1)</f>
        <v>1</v>
      </c>
      <c r="R29" s="56" t="str">
        <f ca="1">IFERROR(__xludf.DUMMYFUNCTION("""COMPUTED_VALUE"""),"Female")</f>
        <v>Female</v>
      </c>
      <c r="S29" s="56" t="str">
        <f ca="1">IFERROR(__xludf.DUMMYFUNCTION("""COMPUTED_VALUE"""),"0.2692307692")</f>
        <v>0.2692307692</v>
      </c>
      <c r="T29" s="56" t="str">
        <f ca="1">IFERROR(__xludf.DUMMYFUNCTION("""COMPUTED_VALUE"""),"0.6666666667")</f>
        <v>0.6666666667</v>
      </c>
      <c r="U29" s="56" t="str">
        <f ca="1">IFERROR(__xludf.DUMMYFUNCTION("""COMPUTED_VALUE"""),"0")</f>
        <v>0</v>
      </c>
      <c r="V29" s="56" t="str">
        <f ca="1">IFERROR(__xludf.DUMMYFUNCTION("""COMPUTED_VALUE"""),"0.2222222222")</f>
        <v>0.2222222222</v>
      </c>
      <c r="W29" s="56" t="str">
        <f ca="1">IFERROR(__xludf.DUMMYFUNCTION("""COMPUTED_VALUE"""),"0.4")</f>
        <v>0.4</v>
      </c>
      <c r="X29" s="56" t="str">
        <f ca="1">IFERROR(__xludf.DUMMYFUNCTION("""COMPUTED_VALUE"""),"0.9493670886")</f>
        <v>0.9493670886</v>
      </c>
      <c r="Y29" s="56" t="str">
        <f ca="1">IFERROR(__xludf.DUMMYFUNCTION("""COMPUTED_VALUE"""),"26")</f>
        <v>26</v>
      </c>
      <c r="Z29" s="56" t="str">
        <f ca="1">IFERROR(__xludf.DUMMYFUNCTION("""COMPUTED_VALUE"""),"48")</f>
        <v>48</v>
      </c>
      <c r="AA29" s="56" t="str">
        <f ca="1">IFERROR(__xludf.DUMMYFUNCTION("""COMPUTED_VALUE"""),"5")</f>
        <v>5</v>
      </c>
      <c r="AB29" s="56" t="str">
        <f ca="1">IFERROR(__xludf.DUMMYFUNCTION("""COMPUTED_VALUE"""),"9")</f>
        <v>9</v>
      </c>
      <c r="AC29" s="56" t="str">
        <f ca="1">IFERROR(__xludf.DUMMYFUNCTION("""COMPUTED_VALUE"""),"40")</f>
        <v>40</v>
      </c>
      <c r="AD29" s="56" t="str">
        <f ca="1">IFERROR(__xludf.DUMMYFUNCTION("""COMPUTED_VALUE"""),"79")</f>
        <v>79</v>
      </c>
      <c r="AE29" s="56" t="str">
        <f ca="1">IFERROR(__xludf.DUMMYFUNCTION("""COMPUTED_VALUE"""),"0.2159090909")</f>
        <v>0.2159090909</v>
      </c>
      <c r="AF29" s="56" t="str">
        <f ca="1">IFERROR(__xludf.DUMMYFUNCTION("""COMPUTED_VALUE"""),"0.6363636364")</f>
        <v>0.6363636364</v>
      </c>
      <c r="AG29" s="56" t="str">
        <f ca="1">IFERROR(__xludf.DUMMYFUNCTION("""COMPUTED_VALUE"""),"0.07954545455")</f>
        <v>0.07954545455</v>
      </c>
      <c r="AH29" s="56" t="str">
        <f ca="1">IFERROR(__xludf.DUMMYFUNCTION("""COMPUTED_VALUE"""),"0.06818181818")</f>
        <v>0.06818181818</v>
      </c>
      <c r="AI29" s="56" t="str">
        <f ca="1">IFERROR(__xludf.DUMMYFUNCTION("""COMPUTED_VALUE"""),"0.3636363636")</f>
        <v>0.3636363636</v>
      </c>
      <c r="AJ29" s="56" t="str">
        <f ca="1">IFERROR(__xludf.DUMMYFUNCTION("""COMPUTED_VALUE"""),"0.9318181818")</f>
        <v>0.9318181818</v>
      </c>
    </row>
    <row r="30" spans="1:36" ht="12.9">
      <c r="A30" s="56">
        <f ca="1">IFERROR(__xludf.DUMMYFUNCTION("""COMPUTED_VALUE"""),32)</f>
        <v>32</v>
      </c>
      <c r="B30" s="56" t="str">
        <f ca="1">IFERROR(__xludf.DUMMYFUNCTION("""COMPUTED_VALUE"""),"Steele, Steele &amp; Fonagy (1996)")</f>
        <v>Steele, Steele &amp; Fonagy (1996)</v>
      </c>
      <c r="C30" s="56">
        <f ca="1">IFERROR(__xludf.DUMMYFUNCTION("""COMPUTED_VALUE"""),1)</f>
        <v>1</v>
      </c>
      <c r="D30" s="56" t="str">
        <f ca="1">IFERROR(__xludf.DUMMYFUNCTION("""COMPUTED_VALUE"""),"Father-child")</f>
        <v>Father-child</v>
      </c>
      <c r="E30" s="56" t="str">
        <f ca="1">IFERROR(__xludf.DUMMYFUNCTION("""COMPUTED_VALUE"""),"Infancy - Preschool")</f>
        <v>Infancy - Preschool</v>
      </c>
      <c r="F30" s="123">
        <f ca="1">IFERROR(__xludf.DUMMYFUNCTION("""COMPUTED_VALUE"""),68)</f>
        <v>68</v>
      </c>
      <c r="G30" s="56" t="str">
        <f ca="1">IFERROR(__xludf.DUMMYFUNCTION("""COMPUTED_VALUE"""),"0.2349234923")</f>
        <v>0.2349234923</v>
      </c>
      <c r="H30" s="56" t="str">
        <f ca="1">IFERROR(__xludf.DUMMYFUNCTION("""COMPUTED_VALUE"""),"0.6323529412")</f>
        <v>0.6323529412</v>
      </c>
      <c r="I30" s="56">
        <f ca="1">IFERROR(__xludf.DUMMYFUNCTION("""COMPUTED_VALUE"""),1996)</f>
        <v>1996</v>
      </c>
      <c r="J30" s="56" t="str">
        <f ca="1">IFERROR(__xludf.DUMMYFUNCTION("""COMPUTED_VALUE"""),"Non-USA")</f>
        <v>Non-USA</v>
      </c>
      <c r="K30" s="56" t="str">
        <f ca="1">IFERROR(__xludf.DUMMYFUNCTION("""COMPUTED_VALUE"""),"Ainsworth/Cassidy-Marvin")</f>
        <v>Ainsworth/Cassidy-Marvin</v>
      </c>
      <c r="L30" s="56">
        <f ca="1">IFERROR(__xludf.DUMMYFUNCTION("""COMPUTED_VALUE"""),0)</f>
        <v>0</v>
      </c>
      <c r="M30" s="56">
        <f ca="1">IFERROR(__xludf.DUMMYFUNCTION("""COMPUTED_VALUE"""),0)</f>
        <v>0</v>
      </c>
      <c r="N30" s="56">
        <f ca="1">IFERROR(__xludf.DUMMYFUNCTION("""COMPUTED_VALUE"""),0)</f>
        <v>0</v>
      </c>
      <c r="O30" s="56">
        <f ca="1">IFERROR(__xludf.DUMMYFUNCTION("""COMPUTED_VALUE"""),0)</f>
        <v>0</v>
      </c>
      <c r="P30" s="56">
        <f ca="1">IFERROR(__xludf.DUMMYFUNCTION("""COMPUTED_VALUE"""),0.91)</f>
        <v>0.91</v>
      </c>
      <c r="Q30" s="56">
        <f ca="1">IFERROR(__xludf.DUMMYFUNCTION("""COMPUTED_VALUE"""),1)</f>
        <v>1</v>
      </c>
      <c r="R30" s="56" t="str">
        <f ca="1">IFERROR(__xludf.DUMMYFUNCTION("""COMPUTED_VALUE"""),"Male")</f>
        <v>Male</v>
      </c>
      <c r="S30" s="56" t="str">
        <f ca="1">IFERROR(__xludf.DUMMYFUNCTION("""COMPUTED_VALUE"""),"0.5")</f>
        <v>0.5</v>
      </c>
      <c r="T30" s="56" t="str">
        <f ca="1">IFERROR(__xludf.DUMMYFUNCTION("""COMPUTED_VALUE"""),"0.7391304348")</f>
        <v>0.7391304348</v>
      </c>
      <c r="U30" s="56" t="str">
        <f ca="1">IFERROR(__xludf.DUMMYFUNCTION("""COMPUTED_VALUE"""),"0")</f>
        <v>0</v>
      </c>
      <c r="V30" s="56" t="str">
        <f ca="1">IFERROR(__xludf.DUMMYFUNCTION("""COMPUTED_VALUE"""),"0")</f>
        <v>0</v>
      </c>
      <c r="W30" s="56" t="str">
        <f ca="1">IFERROR(__xludf.DUMMYFUNCTION("""COMPUTED_VALUE"""),"0.5454545455")</f>
        <v>0.5454545455</v>
      </c>
      <c r="X30" s="56" t="str">
        <f ca="1">IFERROR(__xludf.DUMMYFUNCTION("""COMPUTED_VALUE"""),"1")</f>
        <v>1</v>
      </c>
      <c r="Y30" s="56" t="str">
        <f ca="1">IFERROR(__xludf.DUMMYFUNCTION("""COMPUTED_VALUE"""),"18")</f>
        <v>18</v>
      </c>
      <c r="Z30" s="56" t="str">
        <f ca="1">IFERROR(__xludf.DUMMYFUNCTION("""COMPUTED_VALUE"""),"46")</f>
        <v>46</v>
      </c>
      <c r="AA30" s="56" t="str">
        <f ca="1">IFERROR(__xludf.DUMMYFUNCTION("""COMPUTED_VALUE"""),"0")</f>
        <v>0</v>
      </c>
      <c r="AB30" s="56" t="str">
        <f ca="1">IFERROR(__xludf.DUMMYFUNCTION("""COMPUTED_VALUE"""),"4")</f>
        <v>4</v>
      </c>
      <c r="AC30" s="56" t="str">
        <f ca="1">IFERROR(__xludf.DUMMYFUNCTION("""COMPUTED_VALUE"""),"22")</f>
        <v>22</v>
      </c>
      <c r="AD30" s="56" t="str">
        <f ca="1">IFERROR(__xludf.DUMMYFUNCTION("""COMPUTED_VALUE"""),"64")</f>
        <v>64</v>
      </c>
      <c r="AE30" s="56" t="str">
        <f ca="1">IFERROR(__xludf.DUMMYFUNCTION("""COMPUTED_VALUE"""),"0.3088235294")</f>
        <v>0.3088235294</v>
      </c>
      <c r="AF30" s="56" t="str">
        <f ca="1">IFERROR(__xludf.DUMMYFUNCTION("""COMPUTED_VALUE"""),"0.6470588235")</f>
        <v>0.6470588235</v>
      </c>
      <c r="AG30" s="56" t="str">
        <f ca="1">IFERROR(__xludf.DUMMYFUNCTION("""COMPUTED_VALUE"""),"0")</f>
        <v>0</v>
      </c>
      <c r="AH30" s="56" t="str">
        <f ca="1">IFERROR(__xludf.DUMMYFUNCTION("""COMPUTED_VALUE"""),"0")</f>
        <v>0</v>
      </c>
      <c r="AI30" s="56" t="str">
        <f ca="1">IFERROR(__xludf.DUMMYFUNCTION("""COMPUTED_VALUE"""),"0.3529411765")</f>
        <v>0.3529411765</v>
      </c>
      <c r="AJ30" s="56" t="str">
        <f ca="1">IFERROR(__xludf.DUMMYFUNCTION("""COMPUTED_VALUE"""),"1")</f>
        <v>1</v>
      </c>
    </row>
    <row r="31" spans="1:36" ht="12.9">
      <c r="A31" s="56">
        <f ca="1">IFERROR(__xludf.DUMMYFUNCTION("""COMPUTED_VALUE"""),33)</f>
        <v>33</v>
      </c>
      <c r="B31" s="56" t="str">
        <f ca="1">IFERROR(__xludf.DUMMYFUNCTION("""COMPUTED_VALUE"""),"Stevenson-Hinde &amp; Shouldice (1990)")</f>
        <v>Stevenson-Hinde &amp; Shouldice (1990)</v>
      </c>
      <c r="C31" s="56">
        <f ca="1">IFERROR(__xludf.DUMMYFUNCTION("""COMPUTED_VALUE"""),1)</f>
        <v>1</v>
      </c>
      <c r="D31" s="56" t="str">
        <f ca="1">IFERROR(__xludf.DUMMYFUNCTION("""COMPUTED_VALUE"""),"Single sample")</f>
        <v>Single sample</v>
      </c>
      <c r="E31" s="56" t="str">
        <f ca="1">IFERROR(__xludf.DUMMYFUNCTION("""COMPUTED_VALUE"""),"Toddlerhood - Preschool")</f>
        <v>Toddlerhood - Preschool</v>
      </c>
      <c r="F31" s="123">
        <f ca="1">IFERROR(__xludf.DUMMYFUNCTION("""COMPUTED_VALUE"""),78)</f>
        <v>78</v>
      </c>
      <c r="G31" s="56" t="str">
        <f ca="1">IFERROR(__xludf.DUMMYFUNCTION("""COMPUTED_VALUE"""),"0.3806352459")</f>
        <v>0.3806352459</v>
      </c>
      <c r="H31" s="56" t="str">
        <f ca="1">IFERROR(__xludf.DUMMYFUNCTION("""COMPUTED_VALUE"""),"0.6025641026")</f>
        <v>0.6025641026</v>
      </c>
      <c r="I31" s="56">
        <f ca="1">IFERROR(__xludf.DUMMYFUNCTION("""COMPUTED_VALUE"""),1990)</f>
        <v>1990</v>
      </c>
      <c r="J31" s="56" t="str">
        <f ca="1">IFERROR(__xludf.DUMMYFUNCTION("""COMPUTED_VALUE"""),"Non-USA")</f>
        <v>Non-USA</v>
      </c>
      <c r="K31" s="56" t="str">
        <f ca="1">IFERROR(__xludf.DUMMYFUNCTION("""COMPUTED_VALUE"""),"Ainsworth/Cassidy-Marvin")</f>
        <v>Ainsworth/Cassidy-Marvin</v>
      </c>
      <c r="L31" s="56">
        <f ca="1">IFERROR(__xludf.DUMMYFUNCTION("""COMPUTED_VALUE"""),1)</f>
        <v>1</v>
      </c>
      <c r="M31" s="56">
        <f ca="1">IFERROR(__xludf.DUMMYFUNCTION("""COMPUTED_VALUE"""),0)</f>
        <v>0</v>
      </c>
      <c r="N31" s="56">
        <f ca="1">IFERROR(__xludf.DUMMYFUNCTION("""COMPUTED_VALUE"""),0)</f>
        <v>0</v>
      </c>
      <c r="O31" s="56">
        <f ca="1">IFERROR(__xludf.DUMMYFUNCTION("""COMPUTED_VALUE"""),1)</f>
        <v>1</v>
      </c>
      <c r="P31" s="56">
        <f ca="1">IFERROR(__xludf.DUMMYFUNCTION("""COMPUTED_VALUE"""),0.88)</f>
        <v>0.88</v>
      </c>
      <c r="Q31" s="56">
        <f ca="1">IFERROR(__xludf.DUMMYFUNCTION("""COMPUTED_VALUE"""),0)</f>
        <v>0</v>
      </c>
      <c r="R31" s="56" t="str">
        <f ca="1">IFERROR(__xludf.DUMMYFUNCTION("""COMPUTED_VALUE"""),"Female")</f>
        <v>Female</v>
      </c>
      <c r="S31" s="56" t="str">
        <f ca="1">IFERROR(__xludf.DUMMYFUNCTION("""COMPUTED_VALUE"""),"0.3333333333")</f>
        <v>0.3333333333</v>
      </c>
      <c r="T31" s="56" t="str">
        <f ca="1">IFERROR(__xludf.DUMMYFUNCTION("""COMPUTED_VALUE"""),"0.7380952381")</f>
        <v>0.7380952381</v>
      </c>
      <c r="U31" s="56" t="str">
        <f ca="1">IFERROR(__xludf.DUMMYFUNCTION("""COMPUTED_VALUE"""),"0.3076923077")</f>
        <v>0.3076923077</v>
      </c>
      <c r="V31" s="56" t="str">
        <f ca="1">IFERROR(__xludf.DUMMYFUNCTION("""COMPUTED_VALUE"""),"0.6428571429")</f>
        <v>0.6428571429</v>
      </c>
      <c r="W31" s="56" t="str">
        <f ca="1">IFERROR(__xludf.DUMMYFUNCTION("""COMPUTED_VALUE"""),"0.7222222222")</f>
        <v>0.7222222222</v>
      </c>
      <c r="X31" s="56" t="str">
        <f ca="1">IFERROR(__xludf.DUMMYFUNCTION("""COMPUTED_VALUE"""),"0.9180327869")</f>
        <v>0.9180327869</v>
      </c>
      <c r="Y31" s="56" t="str">
        <f ca="1">IFERROR(__xludf.DUMMYFUNCTION("""COMPUTED_VALUE"""),"9")</f>
        <v>9</v>
      </c>
      <c r="Z31" s="56" t="str">
        <f ca="1">IFERROR(__xludf.DUMMYFUNCTION("""COMPUTED_VALUE"""),"42")</f>
        <v>42</v>
      </c>
      <c r="AA31" s="56" t="str">
        <f ca="1">IFERROR(__xludf.DUMMYFUNCTION("""COMPUTED_VALUE"""),"13")</f>
        <v>13</v>
      </c>
      <c r="AB31" s="56" t="str">
        <f ca="1">IFERROR(__xludf.DUMMYFUNCTION("""COMPUTED_VALUE"""),"14")</f>
        <v>14</v>
      </c>
      <c r="AC31" s="56" t="str">
        <f ca="1">IFERROR(__xludf.DUMMYFUNCTION("""COMPUTED_VALUE"""),"36")</f>
        <v>36</v>
      </c>
      <c r="AD31" s="56" t="str">
        <f ca="1">IFERROR(__xludf.DUMMYFUNCTION("""COMPUTED_VALUE"""),"61")</f>
        <v>61</v>
      </c>
      <c r="AE31" s="56" t="str">
        <f ca="1">IFERROR(__xludf.DUMMYFUNCTION("""COMPUTED_VALUE"""),"0.1282051282")</f>
        <v>0.1282051282</v>
      </c>
      <c r="AF31" s="56" t="str">
        <f ca="1">IFERROR(__xludf.DUMMYFUNCTION("""COMPUTED_VALUE"""),"0.5256410256")</f>
        <v>0.5256410256</v>
      </c>
      <c r="AG31" s="56" t="str">
        <f ca="1">IFERROR(__xludf.DUMMYFUNCTION("""COMPUTED_VALUE"""),"0.1282051282")</f>
        <v>0.1282051282</v>
      </c>
      <c r="AH31" s="56" t="str">
        <f ca="1">IFERROR(__xludf.DUMMYFUNCTION("""COMPUTED_VALUE"""),"0.2179487179")</f>
        <v>0.2179487179</v>
      </c>
      <c r="AI31" s="56" t="str">
        <f ca="1">IFERROR(__xludf.DUMMYFUNCTION("""COMPUTED_VALUE"""),"0.4743589744")</f>
        <v>0.4743589744</v>
      </c>
      <c r="AJ31" s="56" t="str">
        <f ca="1">IFERROR(__xludf.DUMMYFUNCTION("""COMPUTED_VALUE"""),"0.7820512821")</f>
        <v>0.7820512821</v>
      </c>
    </row>
    <row r="32" spans="1:36" ht="12.9">
      <c r="A32" s="56">
        <f ca="1">IFERROR(__xludf.DUMMYFUNCTION("""COMPUTED_VALUE"""),35)</f>
        <v>35</v>
      </c>
      <c r="B32" s="56" t="str">
        <f ca="1">IFERROR(__xludf.DUMMYFUNCTION("""COMPUTED_VALUE"""),"Wartner et al. (1994) ")</f>
        <v xml:space="preserve">Wartner et al. (1994) </v>
      </c>
      <c r="C32" s="56">
        <f ca="1">IFERROR(__xludf.DUMMYFUNCTION("""COMPUTED_VALUE"""),1)</f>
        <v>1</v>
      </c>
      <c r="D32" s="56" t="str">
        <f ca="1">IFERROR(__xludf.DUMMYFUNCTION("""COMPUTED_VALUE"""),"Single sample")</f>
        <v>Single sample</v>
      </c>
      <c r="E32" s="56" t="str">
        <f ca="1">IFERROR(__xludf.DUMMYFUNCTION("""COMPUTED_VALUE"""),"Infancy - Preschool")</f>
        <v>Infancy - Preschool</v>
      </c>
      <c r="F32" s="123">
        <f ca="1">IFERROR(__xludf.DUMMYFUNCTION("""COMPUTED_VALUE"""),39)</f>
        <v>39</v>
      </c>
      <c r="G32" s="56" t="str">
        <f ca="1">IFERROR(__xludf.DUMMYFUNCTION("""COMPUTED_VALUE"""),"0.7159209157")</f>
        <v>0.7159209157</v>
      </c>
      <c r="H32" s="56" t="str">
        <f ca="1">IFERROR(__xludf.DUMMYFUNCTION("""COMPUTED_VALUE"""),"0.8205128205")</f>
        <v>0.8205128205</v>
      </c>
      <c r="I32" s="56">
        <f ca="1">IFERROR(__xludf.DUMMYFUNCTION("""COMPUTED_VALUE"""),1994)</f>
        <v>1994</v>
      </c>
      <c r="J32" s="56" t="str">
        <f ca="1">IFERROR(__xludf.DUMMYFUNCTION("""COMPUTED_VALUE"""),"Non-USA")</f>
        <v>Non-USA</v>
      </c>
      <c r="K32" s="56" t="str">
        <f ca="1">IFERROR(__xludf.DUMMYFUNCTION("""COMPUTED_VALUE"""),"Ainsworth/Main-Cassidy")</f>
        <v>Ainsworth/Main-Cassidy</v>
      </c>
      <c r="L32" s="56">
        <f ca="1">IFERROR(__xludf.DUMMYFUNCTION("""COMPUTED_VALUE"""),0)</f>
        <v>0</v>
      </c>
      <c r="M32" s="56">
        <f ca="1">IFERROR(__xludf.DUMMYFUNCTION("""COMPUTED_VALUE"""),0)</f>
        <v>0</v>
      </c>
      <c r="N32" s="56">
        <f ca="1">IFERROR(__xludf.DUMMYFUNCTION("""COMPUTED_VALUE"""),0)</f>
        <v>0</v>
      </c>
      <c r="O32" s="56">
        <f ca="1">IFERROR(__xludf.DUMMYFUNCTION("""COMPUTED_VALUE"""),1)</f>
        <v>1</v>
      </c>
      <c r="P32" s="56">
        <f ca="1">IFERROR(__xludf.DUMMYFUNCTION("""COMPUTED_VALUE"""),0.97)</f>
        <v>0.97</v>
      </c>
      <c r="Q32" s="56">
        <f ca="1">IFERROR(__xludf.DUMMYFUNCTION("""COMPUTED_VALUE"""),1)</f>
        <v>1</v>
      </c>
      <c r="R32" s="56" t="str">
        <f ca="1">IFERROR(__xludf.DUMMYFUNCTION("""COMPUTED_VALUE"""),"Female")</f>
        <v>Female</v>
      </c>
      <c r="S32" s="56" t="str">
        <f ca="1">IFERROR(__xludf.DUMMYFUNCTION("""COMPUTED_VALUE"""),"0.8333333333")</f>
        <v>0.8333333333</v>
      </c>
      <c r="T32" s="56" t="str">
        <f ca="1">IFERROR(__xludf.DUMMYFUNCTION("""COMPUTED_VALUE"""),"0.8947368421")</f>
        <v>0.8947368421</v>
      </c>
      <c r="U32" s="56" t="str">
        <f ca="1">IFERROR(__xludf.DUMMYFUNCTION("""COMPUTED_VALUE"""),"1")</f>
        <v>1</v>
      </c>
      <c r="V32" s="56" t="str">
        <f ca="1">IFERROR(__xludf.DUMMYFUNCTION("""COMPUTED_VALUE"""),"0.6923076923")</f>
        <v>0.6923076923</v>
      </c>
      <c r="W32" s="56" t="str">
        <f ca="1">IFERROR(__xludf.DUMMYFUNCTION("""COMPUTED_VALUE"""),"0.9")</f>
        <v>0.9</v>
      </c>
      <c r="X32" s="56" t="str">
        <f ca="1">IFERROR(__xludf.DUMMYFUNCTION("""COMPUTED_VALUE"""),"0.8846153846")</f>
        <v>0.8846153846</v>
      </c>
      <c r="Y32" s="56" t="str">
        <f ca="1">IFERROR(__xludf.DUMMYFUNCTION("""COMPUTED_VALUE"""),"6")</f>
        <v>6</v>
      </c>
      <c r="Z32" s="56" t="str">
        <f ca="1">IFERROR(__xludf.DUMMYFUNCTION("""COMPUTED_VALUE"""),"19")</f>
        <v>19</v>
      </c>
      <c r="AA32" s="56" t="str">
        <f ca="1">IFERROR(__xludf.DUMMYFUNCTION("""COMPUTED_VALUE"""),"1")</f>
        <v>1</v>
      </c>
      <c r="AB32" s="56" t="str">
        <f ca="1">IFERROR(__xludf.DUMMYFUNCTION("""COMPUTED_VALUE"""),"13")</f>
        <v>13</v>
      </c>
      <c r="AC32" s="56" t="str">
        <f ca="1">IFERROR(__xludf.DUMMYFUNCTION("""COMPUTED_VALUE"""),"20")</f>
        <v>20</v>
      </c>
      <c r="AD32" s="56" t="str">
        <f ca="1">IFERROR(__xludf.DUMMYFUNCTION("""COMPUTED_VALUE"""),"26")</f>
        <v>26</v>
      </c>
      <c r="AE32" s="56" t="str">
        <f ca="1">IFERROR(__xludf.DUMMYFUNCTION("""COMPUTED_VALUE"""),"0.1794871795")</f>
        <v>0.1794871795</v>
      </c>
      <c r="AF32" s="56" t="str">
        <f ca="1">IFERROR(__xludf.DUMMYFUNCTION("""COMPUTED_VALUE"""),"0.4871794872")</f>
        <v>0.4871794872</v>
      </c>
      <c r="AG32" s="56" t="str">
        <f ca="1">IFERROR(__xludf.DUMMYFUNCTION("""COMPUTED_VALUE"""),"0.02564102564")</f>
        <v>0.02564102564</v>
      </c>
      <c r="AH32" s="56" t="str">
        <f ca="1">IFERROR(__xludf.DUMMYFUNCTION("""COMPUTED_VALUE"""),"0.3076923077")</f>
        <v>0.3076923077</v>
      </c>
      <c r="AI32" s="56" t="str">
        <f ca="1">IFERROR(__xludf.DUMMYFUNCTION("""COMPUTED_VALUE"""),"0.5128205128")</f>
        <v>0.5128205128</v>
      </c>
      <c r="AJ32" s="56" t="str">
        <f ca="1">IFERROR(__xludf.DUMMYFUNCTION("""COMPUTED_VALUE"""),"0.6923076923")</f>
        <v>0.6923076923</v>
      </c>
    </row>
    <row r="33" spans="1:36" ht="12.9">
      <c r="A33" s="56">
        <f ca="1">IFERROR(__xludf.DUMMYFUNCTION("""COMPUTED_VALUE"""),36)</f>
        <v>36</v>
      </c>
      <c r="B33" s="56" t="str">
        <f ca="1">IFERROR(__xludf.DUMMYFUNCTION("""COMPUTED_VALUE"""),"Waters &amp; Valenzuela (1999)")</f>
        <v>Waters &amp; Valenzuela (1999)</v>
      </c>
      <c r="C33" s="56">
        <f ca="1">IFERROR(__xludf.DUMMYFUNCTION("""COMPUTED_VALUE"""),1)</f>
        <v>1</v>
      </c>
      <c r="D33" s="56" t="str">
        <f ca="1">IFERROR(__xludf.DUMMYFUNCTION("""COMPUTED_VALUE"""),"Well nourished")</f>
        <v>Well nourished</v>
      </c>
      <c r="E33" s="56" t="str">
        <f ca="1">IFERROR(__xludf.DUMMYFUNCTION("""COMPUTED_VALUE"""),"Infancy - Toddlerhood")</f>
        <v>Infancy - Toddlerhood</v>
      </c>
      <c r="F33" s="123">
        <f ca="1">IFERROR(__xludf.DUMMYFUNCTION("""COMPUTED_VALUE"""),34)</f>
        <v>34</v>
      </c>
      <c r="G33" s="56" t="str">
        <f ca="1">IFERROR(__xludf.DUMMYFUNCTION("""COMPUTED_VALUE"""),"0.3685714286")</f>
        <v>0.3685714286</v>
      </c>
      <c r="H33" s="56" t="str">
        <f ca="1">IFERROR(__xludf.DUMMYFUNCTION("""COMPUTED_VALUE"""),"0.6176470588")</f>
        <v>0.6176470588</v>
      </c>
      <c r="I33" s="56">
        <f ca="1">IFERROR(__xludf.DUMMYFUNCTION("""COMPUTED_VALUE"""),1999)</f>
        <v>1999</v>
      </c>
      <c r="J33" s="56" t="str">
        <f ca="1">IFERROR(__xludf.DUMMYFUNCTION("""COMPUTED_VALUE"""),"Non-USA")</f>
        <v>Non-USA</v>
      </c>
      <c r="K33" s="56" t="str">
        <f ca="1">IFERROR(__xludf.DUMMYFUNCTION("""COMPUTED_VALUE"""),"Ainsworth/Ainsworth")</f>
        <v>Ainsworth/Ainsworth</v>
      </c>
      <c r="L33" s="56">
        <f ca="1">IFERROR(__xludf.DUMMYFUNCTION("""COMPUTED_VALUE"""),0)</f>
        <v>0</v>
      </c>
      <c r="M33" s="56">
        <f ca="1">IFERROR(__xludf.DUMMYFUNCTION("""COMPUTED_VALUE"""),1)</f>
        <v>1</v>
      </c>
      <c r="N33" s="56">
        <f ca="1">IFERROR(__xludf.DUMMYFUNCTION("""COMPUTED_VALUE"""),0)</f>
        <v>0</v>
      </c>
      <c r="O33" s="56">
        <f ca="1">IFERROR(__xludf.DUMMYFUNCTION("""COMPUTED_VALUE"""),1)</f>
        <v>1</v>
      </c>
      <c r="P33" s="56">
        <f ca="1">IFERROR(__xludf.DUMMYFUNCTION("""COMPUTED_VALUE"""),0.859499999999999)</f>
        <v>0.85949999999999904</v>
      </c>
      <c r="Q33" s="56">
        <f ca="1">IFERROR(__xludf.DUMMYFUNCTION("""COMPUTED_VALUE"""),0)</f>
        <v>0</v>
      </c>
      <c r="R33" s="56" t="str">
        <f ca="1">IFERROR(__xludf.DUMMYFUNCTION("""COMPUTED_VALUE"""),"Female")</f>
        <v>Female</v>
      </c>
      <c r="S33" s="56" t="str">
        <f ca="1">IFERROR(__xludf.DUMMYFUNCTION("""COMPUTED_VALUE"""),"0.6666666667")</f>
        <v>0.6666666667</v>
      </c>
      <c r="T33" s="56" t="str">
        <f ca="1">IFERROR(__xludf.DUMMYFUNCTION("""COMPUTED_VALUE"""),"0.8235294118")</f>
        <v>0.8235294118</v>
      </c>
      <c r="U33" s="56" t="str">
        <f ca="1">IFERROR(__xludf.DUMMYFUNCTION("""COMPUTED_VALUE"""),"0.5")</f>
        <v>0.5</v>
      </c>
      <c r="V33" s="56" t="str">
        <f ca="1">IFERROR(__xludf.DUMMYFUNCTION("""COMPUTED_VALUE"""),"0")</f>
        <v>0</v>
      </c>
      <c r="W33" s="56" t="str">
        <f ca="1">IFERROR(__xludf.DUMMYFUNCTION("""COMPUTED_VALUE"""),"0.4705882353")</f>
        <v>0.4705882353</v>
      </c>
      <c r="X33" s="56" t="str">
        <f ca="1">IFERROR(__xludf.DUMMYFUNCTION("""COMPUTED_VALUE"""),"0.9655172414")</f>
        <v>0.9655172414</v>
      </c>
      <c r="Y33" s="56" t="str">
        <f ca="1">IFERROR(__xludf.DUMMYFUNCTION("""COMPUTED_VALUE"""),"6")</f>
        <v>6</v>
      </c>
      <c r="Z33" s="56" t="str">
        <f ca="1">IFERROR(__xludf.DUMMYFUNCTION("""COMPUTED_VALUE"""),"17")</f>
        <v>17</v>
      </c>
      <c r="AA33" s="56" t="str">
        <f ca="1">IFERROR(__xludf.DUMMYFUNCTION("""COMPUTED_VALUE"""),"6")</f>
        <v>6</v>
      </c>
      <c r="AB33" s="56" t="str">
        <f ca="1">IFERROR(__xludf.DUMMYFUNCTION("""COMPUTED_VALUE"""),"5")</f>
        <v>5</v>
      </c>
      <c r="AC33" s="56" t="str">
        <f ca="1">IFERROR(__xludf.DUMMYFUNCTION("""COMPUTED_VALUE"""),"17")</f>
        <v>17</v>
      </c>
      <c r="AD33" s="56" t="str">
        <f ca="1">IFERROR(__xludf.DUMMYFUNCTION("""COMPUTED_VALUE"""),"29")</f>
        <v>29</v>
      </c>
      <c r="AE33" s="56" t="str">
        <f ca="1">IFERROR(__xludf.DUMMYFUNCTION("""COMPUTED_VALUE"""),"0.1764705882")</f>
        <v>0.1764705882</v>
      </c>
      <c r="AF33" s="56" t="str">
        <f ca="1">IFERROR(__xludf.DUMMYFUNCTION("""COMPUTED_VALUE"""),"0.6764705882")</f>
        <v>0.6764705882</v>
      </c>
      <c r="AG33" s="56" t="str">
        <f ca="1">IFERROR(__xludf.DUMMYFUNCTION("""COMPUTED_VALUE"""),"0.1176470588")</f>
        <v>0.1176470588</v>
      </c>
      <c r="AH33" s="56" t="str">
        <f ca="1">IFERROR(__xludf.DUMMYFUNCTION("""COMPUTED_VALUE"""),"0.02941176471")</f>
        <v>0.02941176471</v>
      </c>
      <c r="AI33" s="56" t="str">
        <f ca="1">IFERROR(__xludf.DUMMYFUNCTION("""COMPUTED_VALUE"""),"0.3235294118")</f>
        <v>0.3235294118</v>
      </c>
      <c r="AJ33" s="56" t="str">
        <f ca="1">IFERROR(__xludf.DUMMYFUNCTION("""COMPUTED_VALUE"""),"0.9705882353")</f>
        <v>0.9705882353</v>
      </c>
    </row>
    <row r="34" spans="1:36" ht="12.9">
      <c r="A34" s="56">
        <f ca="1">IFERROR(__xludf.DUMMYFUNCTION("""COMPUTED_VALUE"""),37)</f>
        <v>37</v>
      </c>
      <c r="B34" s="56" t="str">
        <f ca="1">IFERROR(__xludf.DUMMYFUNCTION("""COMPUTED_VALUE"""),"Waters &amp; Valenzuela (1999)")</f>
        <v>Waters &amp; Valenzuela (1999)</v>
      </c>
      <c r="C34" s="56">
        <f ca="1">IFERROR(__xludf.DUMMYFUNCTION("""COMPUTED_VALUE"""),1)</f>
        <v>1</v>
      </c>
      <c r="D34" s="56" t="str">
        <f ca="1">IFERROR(__xludf.DUMMYFUNCTION("""COMPUTED_VALUE"""),"Undernourished")</f>
        <v>Undernourished</v>
      </c>
      <c r="E34" s="56" t="str">
        <f ca="1">IFERROR(__xludf.DUMMYFUNCTION("""COMPUTED_VALUE"""),"Infancy - Toddlerhood")</f>
        <v>Infancy - Toddlerhood</v>
      </c>
      <c r="F34" s="123">
        <f ca="1">IFERROR(__xludf.DUMMYFUNCTION("""COMPUTED_VALUE"""),37)</f>
        <v>37</v>
      </c>
      <c r="G34" s="56" t="str">
        <f ca="1">IFERROR(__xludf.DUMMYFUNCTION("""COMPUTED_VALUE"""),"0.1298212606")</f>
        <v>0.1298212606</v>
      </c>
      <c r="H34" s="56" t="str">
        <f ca="1">IFERROR(__xludf.DUMMYFUNCTION("""COMPUTED_VALUE"""),"0.3243243243")</f>
        <v>0.3243243243</v>
      </c>
      <c r="I34" s="56">
        <f ca="1">IFERROR(__xludf.DUMMYFUNCTION("""COMPUTED_VALUE"""),1999)</f>
        <v>1999</v>
      </c>
      <c r="J34" s="56" t="str">
        <f ca="1">IFERROR(__xludf.DUMMYFUNCTION("""COMPUTED_VALUE"""),"Non-USA")</f>
        <v>Non-USA</v>
      </c>
      <c r="K34" s="56" t="str">
        <f ca="1">IFERROR(__xludf.DUMMYFUNCTION("""COMPUTED_VALUE"""),"Ainsworth/Ainsworth")</f>
        <v>Ainsworth/Ainsworth</v>
      </c>
      <c r="L34" s="56">
        <f ca="1">IFERROR(__xludf.DUMMYFUNCTION("""COMPUTED_VALUE"""),0)</f>
        <v>0</v>
      </c>
      <c r="M34" s="56">
        <f ca="1">IFERROR(__xludf.DUMMYFUNCTION("""COMPUTED_VALUE"""),1)</f>
        <v>1</v>
      </c>
      <c r="N34" s="56">
        <f ca="1">IFERROR(__xludf.DUMMYFUNCTION("""COMPUTED_VALUE"""),1)</f>
        <v>1</v>
      </c>
      <c r="O34" s="56">
        <f ca="1">IFERROR(__xludf.DUMMYFUNCTION("""COMPUTED_VALUE"""),1)</f>
        <v>1</v>
      </c>
      <c r="P34" s="56">
        <f ca="1">IFERROR(__xludf.DUMMYFUNCTION("""COMPUTED_VALUE"""),0.859499999999999)</f>
        <v>0.85949999999999904</v>
      </c>
      <c r="Q34" s="56">
        <f ca="1">IFERROR(__xludf.DUMMYFUNCTION("""COMPUTED_VALUE"""),0)</f>
        <v>0</v>
      </c>
      <c r="R34" s="56" t="str">
        <f ca="1">IFERROR(__xludf.DUMMYFUNCTION("""COMPUTED_VALUE"""),"Female")</f>
        <v>Female</v>
      </c>
      <c r="S34" s="56" t="str">
        <f ca="1">IFERROR(__xludf.DUMMYFUNCTION("""COMPUTED_VALUE"""),"0.6666666667")</f>
        <v>0.6666666667</v>
      </c>
      <c r="T34" s="56" t="str">
        <f ca="1">IFERROR(__xludf.DUMMYFUNCTION("""COMPUTED_VALUE"""),"0")</f>
        <v>0</v>
      </c>
      <c r="U34" s="56" t="str">
        <f ca="1">IFERROR(__xludf.DUMMYFUNCTION("""COMPUTED_VALUE"""),"0.5714285714")</f>
        <v>0.5714285714</v>
      </c>
      <c r="V34" s="56" t="str">
        <f ca="1">IFERROR(__xludf.DUMMYFUNCTION("""COMPUTED_VALUE"""),"0.1904761905")</f>
        <v>0.1904761905</v>
      </c>
      <c r="W34" s="56" t="str">
        <f ca="1">IFERROR(__xludf.DUMMYFUNCTION("""COMPUTED_VALUE"""),"0.7058823529")</f>
        <v>0.7058823529</v>
      </c>
      <c r="X34" s="56" t="str">
        <f ca="1">IFERROR(__xludf.DUMMYFUNCTION("""COMPUTED_VALUE"""),"0.9285714286")</f>
        <v>0.9285714286</v>
      </c>
      <c r="Y34" s="56" t="str">
        <f ca="1">IFERROR(__xludf.DUMMYFUNCTION("""COMPUTED_VALUE"""),"6")</f>
        <v>6</v>
      </c>
      <c r="Z34" s="56" t="str">
        <f ca="1">IFERROR(__xludf.DUMMYFUNCTION("""COMPUTED_VALUE"""),"3")</f>
        <v>3</v>
      </c>
      <c r="AA34" s="56" t="str">
        <f ca="1">IFERROR(__xludf.DUMMYFUNCTION("""COMPUTED_VALUE"""),"7")</f>
        <v>7</v>
      </c>
      <c r="AB34" s="56" t="str">
        <f ca="1">IFERROR(__xludf.DUMMYFUNCTION("""COMPUTED_VALUE"""),"21")</f>
        <v>21</v>
      </c>
      <c r="AC34" s="56" t="str">
        <f ca="1">IFERROR(__xludf.DUMMYFUNCTION("""COMPUTED_VALUE"""),"34")</f>
        <v>34</v>
      </c>
      <c r="AD34" s="56" t="str">
        <f ca="1">IFERROR(__xludf.DUMMYFUNCTION("""COMPUTED_VALUE"""),"14")</f>
        <v>14</v>
      </c>
      <c r="AE34" s="56" t="str">
        <f ca="1">IFERROR(__xludf.DUMMYFUNCTION("""COMPUTED_VALUE"""),"0.2972972973")</f>
        <v>0.2972972973</v>
      </c>
      <c r="AF34" s="56" t="str">
        <f ca="1">IFERROR(__xludf.DUMMYFUNCTION("""COMPUTED_VALUE"""),"0.2702702703")</f>
        <v>0.2702702703</v>
      </c>
      <c r="AG34" s="56" t="str">
        <f ca="1">IFERROR(__xludf.DUMMYFUNCTION("""COMPUTED_VALUE"""),"0.2432432432")</f>
        <v>0.2432432432</v>
      </c>
      <c r="AH34" s="56" t="str">
        <f ca="1">IFERROR(__xludf.DUMMYFUNCTION("""COMPUTED_VALUE"""),"0.1891891892")</f>
        <v>0.1891891892</v>
      </c>
      <c r="AI34" s="56" t="str">
        <f ca="1">IFERROR(__xludf.DUMMYFUNCTION("""COMPUTED_VALUE"""),"0.7297297297")</f>
        <v>0.7297297297</v>
      </c>
      <c r="AJ34" s="56" t="str">
        <f ca="1">IFERROR(__xludf.DUMMYFUNCTION("""COMPUTED_VALUE"""),"0.8108108108")</f>
        <v>0.8108108108</v>
      </c>
    </row>
    <row r="35" spans="1:36" ht="12.9">
      <c r="A35" s="56">
        <f ca="1">IFERROR(__xludf.DUMMYFUNCTION("""COMPUTED_VALUE"""),38)</f>
        <v>38</v>
      </c>
      <c r="B35" s="56" t="str">
        <f ca="1">IFERROR(__xludf.DUMMYFUNCTION("""COMPUTED_VALUE"""),"Vondra et al. (2001)")</f>
        <v>Vondra et al. (2001)</v>
      </c>
      <c r="C35" s="56">
        <f ca="1">IFERROR(__xludf.DUMMYFUNCTION("""COMPUTED_VALUE"""),1)</f>
        <v>1</v>
      </c>
      <c r="D35" s="56" t="str">
        <f ca="1">IFERROR(__xludf.DUMMYFUNCTION("""COMPUTED_VALUE"""),"12/24 months (12 month interval)")</f>
        <v>12/24 months (12 month interval)</v>
      </c>
      <c r="E35" s="56" t="str">
        <f ca="1">IFERROR(__xludf.DUMMYFUNCTION("""COMPUTED_VALUE"""),"Infancy - Toddlerhood")</f>
        <v>Infancy - Toddlerhood</v>
      </c>
      <c r="F35" s="123">
        <f ca="1">IFERROR(__xludf.DUMMYFUNCTION("""COMPUTED_VALUE"""),198)</f>
        <v>198</v>
      </c>
      <c r="G35" s="56" t="str">
        <f ca="1">IFERROR(__xludf.DUMMYFUNCTION("""COMPUTED_VALUE"""),"0.0798043908")</f>
        <v>0.0798043908</v>
      </c>
      <c r="H35" s="56" t="str">
        <f ca="1">IFERROR(__xludf.DUMMYFUNCTION("""COMPUTED_VALUE"""),"0.3232323232")</f>
        <v>0.3232323232</v>
      </c>
      <c r="I35" s="56">
        <f ca="1">IFERROR(__xludf.DUMMYFUNCTION("""COMPUTED_VALUE"""),2001)</f>
        <v>2001</v>
      </c>
      <c r="J35" s="56" t="str">
        <f ca="1">IFERROR(__xludf.DUMMYFUNCTION("""COMPUTED_VALUE"""),"USA")</f>
        <v>USA</v>
      </c>
      <c r="K35" s="56" t="str">
        <f ca="1">IFERROR(__xludf.DUMMYFUNCTION("""COMPUTED_VALUE"""),"Ainsworth/Crittenden")</f>
        <v>Ainsworth/Crittenden</v>
      </c>
      <c r="L35" s="56">
        <f ca="1">IFERROR(__xludf.DUMMYFUNCTION("""COMPUTED_VALUE"""),0)</f>
        <v>0</v>
      </c>
      <c r="M35" s="56">
        <f ca="1">IFERROR(__xludf.DUMMYFUNCTION("""COMPUTED_VALUE"""),1)</f>
        <v>1</v>
      </c>
      <c r="N35" s="56">
        <f ca="1">IFERROR(__xludf.DUMMYFUNCTION("""COMPUTED_VALUE"""),0)</f>
        <v>0</v>
      </c>
      <c r="O35" s="56">
        <f ca="1">IFERROR(__xludf.DUMMYFUNCTION("""COMPUTED_VALUE"""),1)</f>
        <v>1</v>
      </c>
      <c r="P35" s="56">
        <f ca="1">IFERROR(__xludf.DUMMYFUNCTION("""COMPUTED_VALUE"""),0.695)</f>
        <v>0.69499999999999995</v>
      </c>
      <c r="Q35" s="56">
        <f ca="1">IFERROR(__xludf.DUMMYFUNCTION("""COMPUTED_VALUE"""),0)</f>
        <v>0</v>
      </c>
      <c r="R35" s="56" t="str">
        <f ca="1">IFERROR(__xludf.DUMMYFUNCTION("""COMPUTED_VALUE"""),"Female")</f>
        <v>Female</v>
      </c>
      <c r="S35" s="56" t="str">
        <f ca="1">IFERROR(__xludf.DUMMYFUNCTION("""COMPUTED_VALUE"""),"0.4736842105")</f>
        <v>0.4736842105</v>
      </c>
      <c r="T35" s="56" t="str">
        <f ca="1">IFERROR(__xludf.DUMMYFUNCTION("""COMPUTED_VALUE"""),"0.3106796117")</f>
        <v>0.3106796117</v>
      </c>
      <c r="U35" s="56" t="str">
        <f ca="1">IFERROR(__xludf.DUMMYFUNCTION("""COMPUTED_VALUE"""),"0.3714285714")</f>
        <v>0.3714285714</v>
      </c>
      <c r="V35" s="56" t="str">
        <f ca="1">IFERROR(__xludf.DUMMYFUNCTION("""COMPUTED_VALUE"""),"0.04545454545")</f>
        <v>0.04545454545</v>
      </c>
      <c r="W35" s="56" t="str">
        <f ca="1">IFERROR(__xludf.DUMMYFUNCTION("""COMPUTED_VALUE"""),"0.8315789474")</f>
        <v>0.8315789474</v>
      </c>
      <c r="X35" s="56" t="str">
        <f ca="1">IFERROR(__xludf.DUMMYFUNCTION("""COMPUTED_VALUE"""),"0.9942857143")</f>
        <v>0.9942857143</v>
      </c>
      <c r="Y35" s="56" t="str">
        <f ca="1">IFERROR(__xludf.DUMMYFUNCTION("""COMPUTED_VALUE"""),"38")</f>
        <v>38</v>
      </c>
      <c r="Z35" s="56" t="str">
        <f ca="1">IFERROR(__xludf.DUMMYFUNCTION("""COMPUTED_VALUE"""),"103")</f>
        <v>103</v>
      </c>
      <c r="AA35" s="56" t="str">
        <f ca="1">IFERROR(__xludf.DUMMYFUNCTION("""COMPUTED_VALUE"""),"35")</f>
        <v>35</v>
      </c>
      <c r="AB35" s="56" t="str">
        <f ca="1">IFERROR(__xludf.DUMMYFUNCTION("""COMPUTED_VALUE"""),"22")</f>
        <v>22</v>
      </c>
      <c r="AC35" s="56" t="str">
        <f ca="1">IFERROR(__xludf.DUMMYFUNCTION("""COMPUTED_VALUE"""),"95")</f>
        <v>95</v>
      </c>
      <c r="AD35" s="56" t="str">
        <f ca="1">IFERROR(__xludf.DUMMYFUNCTION("""COMPUTED_VALUE"""),"175")</f>
        <v>175</v>
      </c>
      <c r="AE35" s="56" t="str">
        <f ca="1">IFERROR(__xludf.DUMMYFUNCTION("""COMPUTED_VALUE"""),"0.3636363636")</f>
        <v>0.3636363636</v>
      </c>
      <c r="AF35" s="56" t="str">
        <f ca="1">IFERROR(__xludf.DUMMYFUNCTION("""COMPUTED_VALUE"""),"0.2424242424")</f>
        <v>0.2424242424</v>
      </c>
      <c r="AG35" s="56" t="str">
        <f ca="1">IFERROR(__xludf.DUMMYFUNCTION("""COMPUTED_VALUE"""),"0.3787878788")</f>
        <v>0.3787878788</v>
      </c>
      <c r="AH35" s="56" t="str">
        <f ca="1">IFERROR(__xludf.DUMMYFUNCTION("""COMPUTED_VALUE"""),"0.01515151515")</f>
        <v>0.01515151515</v>
      </c>
      <c r="AI35" s="56" t="str">
        <f ca="1">IFERROR(__xludf.DUMMYFUNCTION("""COMPUTED_VALUE"""),"0.7575757576")</f>
        <v>0.7575757576</v>
      </c>
      <c r="AJ35" s="56" t="str">
        <f ca="1">IFERROR(__xludf.DUMMYFUNCTION("""COMPUTED_VALUE"""),"0.9848484848")</f>
        <v>0.9848484848</v>
      </c>
    </row>
    <row r="36" spans="1:36" ht="12.9">
      <c r="A36" s="56">
        <f ca="1">IFERROR(__xludf.DUMMYFUNCTION("""COMPUTED_VALUE"""),38)</f>
        <v>38</v>
      </c>
      <c r="B36" s="56" t="str">
        <f ca="1">IFERROR(__xludf.DUMMYFUNCTION("""COMPUTED_VALUE"""),"Vondra et al. (2001)")</f>
        <v>Vondra et al. (2001)</v>
      </c>
      <c r="C36" s="56">
        <f ca="1">IFERROR(__xludf.DUMMYFUNCTION("""COMPUTED_VALUE"""),2)</f>
        <v>2</v>
      </c>
      <c r="D36" s="56" t="str">
        <f ca="1">IFERROR(__xludf.DUMMYFUNCTION("""COMPUTED_VALUE"""),"12/18 months (6 month interval)")</f>
        <v>12/18 months (6 month interval)</v>
      </c>
      <c r="E36" s="56" t="str">
        <f ca="1">IFERROR(__xludf.DUMMYFUNCTION("""COMPUTED_VALUE"""),"Infancy - Infancy")</f>
        <v>Infancy - Infancy</v>
      </c>
      <c r="F36" s="123">
        <f ca="1">IFERROR(__xludf.DUMMYFUNCTION("""COMPUTED_VALUE"""),195)</f>
        <v>195</v>
      </c>
      <c r="G36" s="56" t="str">
        <f ca="1">IFERROR(__xludf.DUMMYFUNCTION("""COMPUTED_VALUE"""),"0.1829608939")</f>
        <v>0.1829608939</v>
      </c>
      <c r="H36" s="56" t="str">
        <f ca="1">IFERROR(__xludf.DUMMYFUNCTION("""COMPUTED_VALUE"""),"0.4461538462")</f>
        <v>0.4461538462</v>
      </c>
      <c r="I36" s="56">
        <f ca="1">IFERROR(__xludf.DUMMYFUNCTION("""COMPUTED_VALUE"""),2001)</f>
        <v>2001</v>
      </c>
      <c r="J36" s="56" t="str">
        <f ca="1">IFERROR(__xludf.DUMMYFUNCTION("""COMPUTED_VALUE"""),"USA")</f>
        <v>USA</v>
      </c>
      <c r="K36" s="56" t="str">
        <f ca="1">IFERROR(__xludf.DUMMYFUNCTION("""COMPUTED_VALUE"""),"Ainsworth/Ainsworth")</f>
        <v>Ainsworth/Ainsworth</v>
      </c>
      <c r="L36" s="56">
        <f ca="1">IFERROR(__xludf.DUMMYFUNCTION("""COMPUTED_VALUE"""),1)</f>
        <v>1</v>
      </c>
      <c r="M36" s="56">
        <f ca="1">IFERROR(__xludf.DUMMYFUNCTION("""COMPUTED_VALUE"""),1)</f>
        <v>1</v>
      </c>
      <c r="N36" s="56">
        <f ca="1">IFERROR(__xludf.DUMMYFUNCTION("""COMPUTED_VALUE"""),0)</f>
        <v>0</v>
      </c>
      <c r="O36" s="56">
        <f ca="1">IFERROR(__xludf.DUMMYFUNCTION("""COMPUTED_VALUE"""),1)</f>
        <v>1</v>
      </c>
      <c r="P36" s="56">
        <f ca="1">IFERROR(__xludf.DUMMYFUNCTION("""COMPUTED_VALUE"""),0.77)</f>
        <v>0.77</v>
      </c>
      <c r="Q36" s="56">
        <f ca="1">IFERROR(__xludf.DUMMYFUNCTION("""COMPUTED_VALUE"""),0)</f>
        <v>0</v>
      </c>
      <c r="R36" s="56" t="str">
        <f ca="1">IFERROR(__xludf.DUMMYFUNCTION("""COMPUTED_VALUE"""),"Female")</f>
        <v>Female</v>
      </c>
      <c r="S36" s="56" t="str">
        <f ca="1">IFERROR(__xludf.DUMMYFUNCTION("""COMPUTED_VALUE"""),"0.3333333333")</f>
        <v>0.3333333333</v>
      </c>
      <c r="T36" s="56" t="str">
        <f ca="1">IFERROR(__xludf.DUMMYFUNCTION("""COMPUTED_VALUE"""),"0.5833333333")</f>
        <v>0.5833333333</v>
      </c>
      <c r="U36" s="56" t="str">
        <f ca="1">IFERROR(__xludf.DUMMYFUNCTION("""COMPUTED_VALUE"""),"0.1212121212")</f>
        <v>0.1212121212</v>
      </c>
      <c r="V36" s="56" t="str">
        <f ca="1">IFERROR(__xludf.DUMMYFUNCTION("""COMPUTED_VALUE"""),"0.5")</f>
        <v>0.5</v>
      </c>
      <c r="W36" s="56" t="str">
        <f ca="1">IFERROR(__xludf.DUMMYFUNCTION("""COMPUTED_VALUE"""),"0.6363636364")</f>
        <v>0.6363636364</v>
      </c>
      <c r="X36" s="56" t="str">
        <f ca="1">IFERROR(__xludf.DUMMYFUNCTION("""COMPUTED_VALUE"""),"0.8917197452")</f>
        <v>0.8917197452</v>
      </c>
      <c r="Y36" s="56" t="str">
        <f ca="1">IFERROR(__xludf.DUMMYFUNCTION("""COMPUTED_VALUE"""),"36")</f>
        <v>36</v>
      </c>
      <c r="Z36" s="56" t="str">
        <f ca="1">IFERROR(__xludf.DUMMYFUNCTION("""COMPUTED_VALUE"""),"96")</f>
        <v>96</v>
      </c>
      <c r="AA36" s="56" t="str">
        <f ca="1">IFERROR(__xludf.DUMMYFUNCTION("""COMPUTED_VALUE"""),"33")</f>
        <v>33</v>
      </c>
      <c r="AB36" s="56" t="str">
        <f ca="1">IFERROR(__xludf.DUMMYFUNCTION("""COMPUTED_VALUE"""),"30")</f>
        <v>30</v>
      </c>
      <c r="AC36" s="56" t="str">
        <f ca="1">IFERROR(__xludf.DUMMYFUNCTION("""COMPUTED_VALUE"""),"99")</f>
        <v>99</v>
      </c>
      <c r="AD36" s="56" t="str">
        <f ca="1">IFERROR(__xludf.DUMMYFUNCTION("""COMPUTED_VALUE"""),"157")</f>
        <v>157</v>
      </c>
      <c r="AE36" s="56" t="str">
        <f ca="1">IFERROR(__xludf.DUMMYFUNCTION("""COMPUTED_VALUE"""),"0.2358974359")</f>
        <v>0.2358974359</v>
      </c>
      <c r="AF36" s="56" t="str">
        <f ca="1">IFERROR(__xludf.DUMMYFUNCTION("""COMPUTED_VALUE"""),"0.4717948718")</f>
        <v>0.4717948718</v>
      </c>
      <c r="AG36" s="56" t="str">
        <f ca="1">IFERROR(__xludf.DUMMYFUNCTION("""COMPUTED_VALUE"""),"0.08717948718")</f>
        <v>0.08717948718</v>
      </c>
      <c r="AH36" s="56" t="str">
        <f ca="1">IFERROR(__xludf.DUMMYFUNCTION("""COMPUTED_VALUE"""),"0.2051282051")</f>
        <v>0.2051282051</v>
      </c>
      <c r="AI36" s="56" t="str">
        <f ca="1">IFERROR(__xludf.DUMMYFUNCTION("""COMPUTED_VALUE"""),"0.5282051282")</f>
        <v>0.5282051282</v>
      </c>
      <c r="AJ36" s="56" t="str">
        <f ca="1">IFERROR(__xludf.DUMMYFUNCTION("""COMPUTED_VALUE"""),"0.7948717949")</f>
        <v>0.7948717949</v>
      </c>
    </row>
    <row r="37" spans="1:36" ht="12.9">
      <c r="A37" s="56">
        <f ca="1">IFERROR(__xludf.DUMMYFUNCTION("""COMPUTED_VALUE"""),39)</f>
        <v>39</v>
      </c>
      <c r="B37" s="56" t="str">
        <f ca="1">IFERROR(__xludf.DUMMYFUNCTION("""COMPUTED_VALUE"""),"Xue (2010)")</f>
        <v>Xue (2010)</v>
      </c>
      <c r="C37" s="56">
        <f ca="1">IFERROR(__xludf.DUMMYFUNCTION("""COMPUTED_VALUE"""),1)</f>
        <v>1</v>
      </c>
      <c r="D37" s="56" t="str">
        <f ca="1">IFERROR(__xludf.DUMMYFUNCTION("""COMPUTED_VALUE"""),"13/42 months (29 month interval)")</f>
        <v>13/42 months (29 month interval)</v>
      </c>
      <c r="E37" s="56" t="str">
        <f ca="1">IFERROR(__xludf.DUMMYFUNCTION("""COMPUTED_VALUE"""),"Infancy - Preschool")</f>
        <v>Infancy - Preschool</v>
      </c>
      <c r="F37" s="123">
        <f ca="1">IFERROR(__xludf.DUMMYFUNCTION("""COMPUTED_VALUE"""),46)</f>
        <v>46</v>
      </c>
      <c r="G37" s="56" t="str">
        <f ca="1">IFERROR(__xludf.DUMMYFUNCTION("""COMPUTED_VALUE"""),"0.04681504221")</f>
        <v>0.04681504221</v>
      </c>
      <c r="H37" s="56" t="str">
        <f ca="1">IFERROR(__xludf.DUMMYFUNCTION("""COMPUTED_VALUE"""),"0.4130434783")</f>
        <v>0.4130434783</v>
      </c>
      <c r="I37" s="56">
        <f ca="1">IFERROR(__xludf.DUMMYFUNCTION("""COMPUTED_VALUE"""),2010)</f>
        <v>2010</v>
      </c>
      <c r="J37" s="56" t="str">
        <f ca="1">IFERROR(__xludf.DUMMYFUNCTION("""COMPUTED_VALUE"""),"Non-USA")</f>
        <v>Non-USA</v>
      </c>
      <c r="K37" s="56" t="str">
        <f ca="1">IFERROR(__xludf.DUMMYFUNCTION("""COMPUTED_VALUE"""),"Ainsworth/Cassidy-Marvin")</f>
        <v>Ainsworth/Cassidy-Marvin</v>
      </c>
      <c r="L37" s="56">
        <f ca="1">IFERROR(__xludf.DUMMYFUNCTION("""COMPUTED_VALUE"""),0)</f>
        <v>0</v>
      </c>
      <c r="M37" s="56">
        <f ca="1">IFERROR(__xludf.DUMMYFUNCTION("""COMPUTED_VALUE"""),0)</f>
        <v>0</v>
      </c>
      <c r="N37" s="56">
        <f ca="1">IFERROR(__xludf.DUMMYFUNCTION("""COMPUTED_VALUE"""),0)</f>
        <v>0</v>
      </c>
      <c r="O37" s="56">
        <f ca="1">IFERROR(__xludf.DUMMYFUNCTION("""COMPUTED_VALUE"""),0)</f>
        <v>0</v>
      </c>
      <c r="P37" s="56">
        <f ca="1">IFERROR(__xludf.DUMMYFUNCTION("""COMPUTED_VALUE"""),0.89)</f>
        <v>0.89</v>
      </c>
      <c r="Q37" s="56">
        <f ca="1">IFERROR(__xludf.DUMMYFUNCTION("""COMPUTED_VALUE"""),0)</f>
        <v>0</v>
      </c>
      <c r="R37" s="56" t="str">
        <f ca="1">IFERROR(__xludf.DUMMYFUNCTION("""COMPUTED_VALUE"""),"Female")</f>
        <v>Female</v>
      </c>
      <c r="S37" s="56" t="str">
        <f ca="1">IFERROR(__xludf.DUMMYFUNCTION("""COMPUTED_VALUE"""),"0")</f>
        <v>0</v>
      </c>
      <c r="T37" s="56" t="str">
        <f ca="1">IFERROR(__xludf.DUMMYFUNCTION("""COMPUTED_VALUE"""),"0.7142857143")</f>
        <v>0.7142857143</v>
      </c>
      <c r="U37" s="56" t="str">
        <f ca="1">IFERROR(__xludf.DUMMYFUNCTION("""COMPUTED_VALUE"""),"0")</f>
        <v>0</v>
      </c>
      <c r="V37" s="56" t="str">
        <f ca="1">IFERROR(__xludf.DUMMYFUNCTION("""COMPUTED_VALUE"""),"0.2222222222")</f>
        <v>0.2222222222</v>
      </c>
      <c r="W37" s="56" t="str">
        <f ca="1">IFERROR(__xludf.DUMMYFUNCTION("""COMPUTED_VALUE"""),"0.44")</f>
        <v>0.44</v>
      </c>
      <c r="X37" s="56" t="str">
        <f ca="1">IFERROR(__xludf.DUMMYFUNCTION("""COMPUTED_VALUE"""),"0.75")</f>
        <v>0.75</v>
      </c>
      <c r="Y37" s="56" t="str">
        <f ca="1">IFERROR(__xludf.DUMMYFUNCTION("""COMPUTED_VALUE"""),"6")</f>
        <v>6</v>
      </c>
      <c r="Z37" s="56" t="str">
        <f ca="1">IFERROR(__xludf.DUMMYFUNCTION("""COMPUTED_VALUE"""),"21")</f>
        <v>21</v>
      </c>
      <c r="AA37" s="56" t="str">
        <f ca="1">IFERROR(__xludf.DUMMYFUNCTION("""COMPUTED_VALUE"""),"1")</f>
        <v>1</v>
      </c>
      <c r="AB37" s="56" t="str">
        <f ca="1">IFERROR(__xludf.DUMMYFUNCTION("""COMPUTED_VALUE"""),"18")</f>
        <v>18</v>
      </c>
      <c r="AC37" s="56" t="str">
        <f ca="1">IFERROR(__xludf.DUMMYFUNCTION("""COMPUTED_VALUE"""),"25")</f>
        <v>25</v>
      </c>
      <c r="AD37" s="56" t="str">
        <f ca="1">IFERROR(__xludf.DUMMYFUNCTION("""COMPUTED_VALUE"""),"28")</f>
        <v>28</v>
      </c>
      <c r="AE37" s="56" t="str">
        <f ca="1">IFERROR(__xludf.DUMMYFUNCTION("""COMPUTED_VALUE"""),"0")</f>
        <v>0</v>
      </c>
      <c r="AF37" s="56" t="str">
        <f ca="1">IFERROR(__xludf.DUMMYFUNCTION("""COMPUTED_VALUE"""),"0.6304347826")</f>
        <v>0.6304347826</v>
      </c>
      <c r="AG37" s="56" t="str">
        <f ca="1">IFERROR(__xludf.DUMMYFUNCTION("""COMPUTED_VALUE"""),"0.1304347826")</f>
        <v>0.1304347826</v>
      </c>
      <c r="AH37" s="56" t="str">
        <f ca="1">IFERROR(__xludf.DUMMYFUNCTION("""COMPUTED_VALUE"""),"0.2391304348")</f>
        <v>0.2391304348</v>
      </c>
      <c r="AI37" s="56" t="str">
        <f ca="1">IFERROR(__xludf.DUMMYFUNCTION("""COMPUTED_VALUE"""),"0.3695652174")</f>
        <v>0.3695652174</v>
      </c>
      <c r="AJ37" s="56" t="str">
        <f ca="1">IFERROR(__xludf.DUMMYFUNCTION("""COMPUTED_VALUE"""),"0.7608695652")</f>
        <v>0.7608695652</v>
      </c>
    </row>
    <row r="38" spans="1:36" ht="12.9">
      <c r="A38" s="56">
        <f ca="1">IFERROR(__xludf.DUMMYFUNCTION("""COMPUTED_VALUE"""),41)</f>
        <v>41</v>
      </c>
      <c r="B38" s="56" t="str">
        <f ca="1">IFERROR(__xludf.DUMMYFUNCTION("""COMPUTED_VALUE"""),"Toth et al. (2006)")</f>
        <v>Toth et al. (2006)</v>
      </c>
      <c r="C38" s="56">
        <f ca="1">IFERROR(__xludf.DUMMYFUNCTION("""COMPUTED_VALUE"""),1)</f>
        <v>1</v>
      </c>
      <c r="D38" s="56" t="str">
        <f ca="1">IFERROR(__xludf.DUMMYFUNCTION("""COMPUTED_VALUE"""),"Non-depressed control")</f>
        <v>Non-depressed control</v>
      </c>
      <c r="E38" s="128" t="str">
        <f ca="1">IFERROR(__xludf.DUMMYFUNCTION("""COMPUTED_VALUE"""),"Toddlerhood - Preschool")</f>
        <v>Toddlerhood - Preschool</v>
      </c>
      <c r="F38" s="123">
        <f ca="1">IFERROR(__xludf.DUMMYFUNCTION("""COMPUTED_VALUE"""),63)</f>
        <v>63</v>
      </c>
      <c r="G38" s="56" t="str">
        <f ca="1">IFERROR(__xludf.DUMMYFUNCTION("""COMPUTED_VALUE"""),"0.26171875")</f>
        <v>0.26171875</v>
      </c>
      <c r="H38" s="56" t="str">
        <f ca="1">IFERROR(__xludf.DUMMYFUNCTION("""COMPUTED_VALUE"""),"0.5238095238")</f>
        <v>0.5238095238</v>
      </c>
      <c r="I38" s="56">
        <f ca="1">IFERROR(__xludf.DUMMYFUNCTION("""COMPUTED_VALUE"""),2006)</f>
        <v>2006</v>
      </c>
      <c r="J38" s="56" t="str">
        <f ca="1">IFERROR(__xludf.DUMMYFUNCTION("""COMPUTED_VALUE"""),"USA")</f>
        <v>USA</v>
      </c>
      <c r="K38" s="56" t="str">
        <f ca="1">IFERROR(__xludf.DUMMYFUNCTION("""COMPUTED_VALUE"""),"Ainsworth/Cassidy-Marvin")</f>
        <v>Ainsworth/Cassidy-Marvin</v>
      </c>
      <c r="L38" s="56">
        <f ca="1">IFERROR(__xludf.DUMMYFUNCTION("""COMPUTED_VALUE"""),0)</f>
        <v>0</v>
      </c>
      <c r="M38" s="56">
        <f ca="1">IFERROR(__xludf.DUMMYFUNCTION("""COMPUTED_VALUE"""),0)</f>
        <v>0</v>
      </c>
      <c r="N38" s="56">
        <f ca="1">IFERROR(__xludf.DUMMYFUNCTION("""COMPUTED_VALUE"""),0)</f>
        <v>0</v>
      </c>
      <c r="O38" s="56">
        <f ca="1">IFERROR(__xludf.DUMMYFUNCTION("""COMPUTED_VALUE"""),1)</f>
        <v>1</v>
      </c>
      <c r="P38" s="56">
        <f ca="1">IFERROR(__xludf.DUMMYFUNCTION("""COMPUTED_VALUE"""),0.919999999999999)</f>
        <v>0.91999999999999904</v>
      </c>
      <c r="Q38" s="56">
        <f ca="1">IFERROR(__xludf.DUMMYFUNCTION("""COMPUTED_VALUE"""),0)</f>
        <v>0</v>
      </c>
      <c r="R38" s="56" t="str">
        <f ca="1">IFERROR(__xludf.DUMMYFUNCTION("""COMPUTED_VALUE"""),"Female")</f>
        <v>Female</v>
      </c>
      <c r="S38" s="56" t="str">
        <f ca="1">IFERROR(__xludf.DUMMYFUNCTION("""COMPUTED_VALUE"""),"0.4615384615")</f>
        <v>0.4615384615</v>
      </c>
      <c r="T38" s="56" t="str">
        <f ca="1">IFERROR(__xludf.DUMMYFUNCTION("""COMPUTED_VALUE"""),"0.6176470588")</f>
        <v>0.6176470588</v>
      </c>
      <c r="U38" s="56" t="str">
        <f ca="1">IFERROR(__xludf.DUMMYFUNCTION("""COMPUTED_VALUE"""),"0.3333333333")</f>
        <v>0.3333333333</v>
      </c>
      <c r="V38" s="56" t="str">
        <f ca="1">IFERROR(__xludf.DUMMYFUNCTION("""COMPUTED_VALUE"""),"0.3846153846")</f>
        <v>0.3846153846</v>
      </c>
      <c r="W38" s="56" t="str">
        <f ca="1">IFERROR(__xludf.DUMMYFUNCTION("""COMPUTED_VALUE"""),"0.6896551724")</f>
        <v>0.6896551724</v>
      </c>
      <c r="X38" s="56" t="str">
        <f ca="1">IFERROR(__xludf.DUMMYFUNCTION("""COMPUTED_VALUE"""),"0.875")</f>
        <v>0.875</v>
      </c>
      <c r="Y38" s="56" t="str">
        <f ca="1">IFERROR(__xludf.DUMMYFUNCTION("""COMPUTED_VALUE"""),"13")</f>
        <v>13</v>
      </c>
      <c r="Z38" s="56" t="str">
        <f ca="1">IFERROR(__xludf.DUMMYFUNCTION("""COMPUTED_VALUE"""),"34")</f>
        <v>34</v>
      </c>
      <c r="AA38" s="56" t="str">
        <f ca="1">IFERROR(__xludf.DUMMYFUNCTION("""COMPUTED_VALUE"""),"3")</f>
        <v>3</v>
      </c>
      <c r="AB38" s="56" t="str">
        <f ca="1">IFERROR(__xludf.DUMMYFUNCTION("""COMPUTED_VALUE"""),"13")</f>
        <v>13</v>
      </c>
      <c r="AC38" s="56" t="str">
        <f ca="1">IFERROR(__xludf.DUMMYFUNCTION("""COMPUTED_VALUE"""),"29")</f>
        <v>29</v>
      </c>
      <c r="AD38" s="56" t="str">
        <f ca="1">IFERROR(__xludf.DUMMYFUNCTION("""COMPUTED_VALUE"""),"48")</f>
        <v>48</v>
      </c>
      <c r="AE38" s="56" t="str">
        <f ca="1">IFERROR(__xludf.DUMMYFUNCTION("""COMPUTED_VALUE"""),"0.253968254")</f>
        <v>0.253968254</v>
      </c>
      <c r="AF38" s="56" t="str">
        <f ca="1">IFERROR(__xludf.DUMMYFUNCTION("""COMPUTED_VALUE"""),"0.4761904762")</f>
        <v>0.4761904762</v>
      </c>
      <c r="AG38" s="56" t="str">
        <f ca="1">IFERROR(__xludf.DUMMYFUNCTION("""COMPUTED_VALUE"""),"0.06349206349")</f>
        <v>0.06349206349</v>
      </c>
      <c r="AH38" s="56" t="str">
        <f ca="1">IFERROR(__xludf.DUMMYFUNCTION("""COMPUTED_VALUE"""),"0.2063492063")</f>
        <v>0.2063492063</v>
      </c>
      <c r="AI38" s="56" t="str">
        <f ca="1">IFERROR(__xludf.DUMMYFUNCTION("""COMPUTED_VALUE"""),"0.5238095238")</f>
        <v>0.5238095238</v>
      </c>
      <c r="AJ38" s="56" t="str">
        <f ca="1">IFERROR(__xludf.DUMMYFUNCTION("""COMPUTED_VALUE"""),"0.7936507937")</f>
        <v>0.7936507937</v>
      </c>
    </row>
    <row r="39" spans="1:36"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s="125">
        <f ca="1">IFERROR(__xludf.DUMMYFUNCTION("""COMPUTED_VALUE"""),54)</f>
        <v>54</v>
      </c>
      <c r="G39" t="str">
        <f ca="1">IFERROR(__xludf.DUMMYFUNCTION("""COMPUTED_VALUE"""),"0.3198992443")</f>
        <v>0.3198992443</v>
      </c>
      <c r="H39" t="str">
        <f ca="1">IFERROR(__xludf.DUMMYFUNCTION("""COMPUTED_VALUE"""),"0.537037037")</f>
        <v>0.537037037</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c r="S39" t="str">
        <f ca="1">IFERROR(__xludf.DUMMYFUNCTION("""COMPUTED_VALUE"""),"0.6428571429")</f>
        <v>0.6428571429</v>
      </c>
      <c r="T39" t="str">
        <f ca="1">IFERROR(__xludf.DUMMYFUNCTION("""COMPUTED_VALUE"""),"0.4545454545")</f>
        <v>0.4545454545</v>
      </c>
      <c r="U39" t="str">
        <f ca="1">IFERROR(__xludf.DUMMYFUNCTION("""COMPUTED_VALUE"""),"0.25")</f>
        <v>0.25</v>
      </c>
      <c r="V39" t="str">
        <f ca="1">IFERROR(__xludf.DUMMYFUNCTION("""COMPUTED_VALUE"""),"0.56")</f>
        <v>0.56</v>
      </c>
      <c r="W39" t="str">
        <f ca="1">IFERROR(__xludf.DUMMYFUNCTION("""COMPUTED_VALUE"""),"0.9069767442")</f>
        <v>0.9069767442</v>
      </c>
      <c r="X39" t="str">
        <f ca="1">IFERROR(__xludf.DUMMYFUNCTION("""COMPUTED_VALUE"""),"0.7777777778")</f>
        <v>0.7777777778</v>
      </c>
      <c r="Y39" t="str">
        <f ca="1">IFERROR(__xludf.DUMMYFUNCTION("""COMPUTED_VALUE"""),"14")</f>
        <v>14</v>
      </c>
      <c r="Z39" t="str">
        <f ca="1">IFERROR(__xludf.DUMMYFUNCTION("""COMPUTED_VALUE"""),"11")</f>
        <v>11</v>
      </c>
      <c r="AA39" t="str">
        <f ca="1">IFERROR(__xludf.DUMMYFUNCTION("""COMPUTED_VALUE"""),"4")</f>
        <v>4</v>
      </c>
      <c r="AB39" t="str">
        <f ca="1">IFERROR(__xludf.DUMMYFUNCTION("""COMPUTED_VALUE"""),"25")</f>
        <v>25</v>
      </c>
      <c r="AC39" t="str">
        <f ca="1">IFERROR(__xludf.DUMMYFUNCTION("""COMPUTED_VALUE"""),"43")</f>
        <v>43</v>
      </c>
      <c r="AD39" t="str">
        <f ca="1">IFERROR(__xludf.DUMMYFUNCTION("""COMPUTED_VALUE"""),"27")</f>
        <v>27</v>
      </c>
      <c r="AE39" t="str">
        <f ca="1">IFERROR(__xludf.DUMMYFUNCTION("""COMPUTED_VALUE"""),"0.3518518519")</f>
        <v>0.3518518519</v>
      </c>
      <c r="AF39" t="str">
        <f ca="1">IFERROR(__xludf.DUMMYFUNCTION("""COMPUTED_VALUE"""),"0.1666666667")</f>
        <v>0.1666666667</v>
      </c>
      <c r="AG39" t="str">
        <f ca="1">IFERROR(__xludf.DUMMYFUNCTION("""COMPUTED_VALUE"""),"0.07407407407")</f>
        <v>0.07407407407</v>
      </c>
      <c r="AH39" t="str">
        <f ca="1">IFERROR(__xludf.DUMMYFUNCTION("""COMPUTED_VALUE"""),"0.4074074074")</f>
        <v>0.4074074074</v>
      </c>
      <c r="AI39" t="str">
        <f ca="1">IFERROR(__xludf.DUMMYFUNCTION("""COMPUTED_VALUE"""),"0.8333333333")</f>
        <v>0.8333333333</v>
      </c>
      <c r="AJ39" t="str">
        <f ca="1">IFERROR(__xludf.DUMMYFUNCTION("""COMPUTED_VALUE"""),"0.5925925926")</f>
        <v>0.5925925926</v>
      </c>
    </row>
    <row r="40" spans="1:36"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s="125">
        <f ca="1">IFERROR(__xludf.DUMMYFUNCTION("""COMPUTED_VALUE"""),106)</f>
        <v>106</v>
      </c>
      <c r="G40" t="str">
        <f ca="1">IFERROR(__xludf.DUMMYFUNCTION("""COMPUTED_VALUE"""),"0.2148148148")</f>
        <v>0.2148148148</v>
      </c>
      <c r="H40" t="str">
        <f ca="1">IFERROR(__xludf.DUMMYFUNCTION("""COMPUTED_VALUE"""),"0.5094339623")</f>
        <v>0.5094339623</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c r="S40" t="str">
        <f ca="1">IFERROR(__xludf.DUMMYFUNCTION("""COMPUTED_VALUE"""),"0.3076923077")</f>
        <v>0.3076923077</v>
      </c>
      <c r="T40" t="str">
        <f ca="1">IFERROR(__xludf.DUMMYFUNCTION("""COMPUTED_VALUE"""),"0.7254901961")</f>
        <v>0.7254901961</v>
      </c>
      <c r="U40" t="str">
        <f ca="1">IFERROR(__xludf.DUMMYFUNCTION("""COMPUTED_VALUE"""),"0.09090909091")</f>
        <v>0.09090909091</v>
      </c>
      <c r="V40" t="str">
        <f ca="1">IFERROR(__xludf.DUMMYFUNCTION("""COMPUTED_VALUE"""),"0.3870967742")</f>
        <v>0.3870967742</v>
      </c>
      <c r="W40" t="str">
        <f ca="1">IFERROR(__xludf.DUMMYFUNCTION("""COMPUTED_VALUE"""),"0.5090909091")</f>
        <v>0.5090909091</v>
      </c>
      <c r="X40" t="str">
        <f ca="1">IFERROR(__xludf.DUMMYFUNCTION("""COMPUTED_VALUE"""),"0.8533333333")</f>
        <v>0.8533333333</v>
      </c>
      <c r="Y40" t="str">
        <f ca="1">IFERROR(__xludf.DUMMYFUNCTION("""COMPUTED_VALUE"""),"13")</f>
        <v>13</v>
      </c>
      <c r="Z40" t="str">
        <f ca="1">IFERROR(__xludf.DUMMYFUNCTION("""COMPUTED_VALUE"""),"51")</f>
        <v>51</v>
      </c>
      <c r="AA40" t="str">
        <f ca="1">IFERROR(__xludf.DUMMYFUNCTION("""COMPUTED_VALUE"""),"11")</f>
        <v>11</v>
      </c>
      <c r="AB40" t="str">
        <f ca="1">IFERROR(__xludf.DUMMYFUNCTION("""COMPUTED_VALUE"""),"31")</f>
        <v>31</v>
      </c>
      <c r="AC40" t="str">
        <f ca="1">IFERROR(__xludf.DUMMYFUNCTION("""COMPUTED_VALUE"""),"55")</f>
        <v>55</v>
      </c>
      <c r="AD40" t="str">
        <f ca="1">IFERROR(__xludf.DUMMYFUNCTION("""COMPUTED_VALUE"""),"75")</f>
        <v>75</v>
      </c>
      <c r="AE40" t="str">
        <f ca="1">IFERROR(__xludf.DUMMYFUNCTION("""COMPUTED_VALUE"""),"0.141509434")</f>
        <v>0.141509434</v>
      </c>
      <c r="AF40" t="str">
        <f ca="1">IFERROR(__xludf.DUMMYFUNCTION("""COMPUTED_VALUE"""),"0.6037735849")</f>
        <v>0.6037735849</v>
      </c>
      <c r="AG40" t="str">
        <f ca="1">IFERROR(__xludf.DUMMYFUNCTION("""COMPUTED_VALUE"""),"0.03773584906")</f>
        <v>0.03773584906</v>
      </c>
      <c r="AH40" t="str">
        <f ca="1">IFERROR(__xludf.DUMMYFUNCTION("""COMPUTED_VALUE"""),"0.2169811321")</f>
        <v>0.2169811321</v>
      </c>
      <c r="AI40" t="str">
        <f ca="1">IFERROR(__xludf.DUMMYFUNCTION("""COMPUTED_VALUE"""),"0.3962264151")</f>
        <v>0.3962264151</v>
      </c>
      <c r="AJ40" t="str">
        <f ca="1">IFERROR(__xludf.DUMMYFUNCTION("""COMPUTED_VALUE"""),"0.7830188679")</f>
        <v>0.7830188679</v>
      </c>
    </row>
    <row r="41" spans="1:36"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s="125">
        <f ca="1">IFERROR(__xludf.DUMMYFUNCTION("""COMPUTED_VALUE"""),31)</f>
        <v>31</v>
      </c>
      <c r="G41" t="str">
        <f ca="1">IFERROR(__xludf.DUMMYFUNCTION("""COMPUTED_VALUE"""),"0.1594896332")</f>
        <v>0.1594896332</v>
      </c>
      <c r="H41" t="str">
        <f ca="1">IFERROR(__xludf.DUMMYFUNCTION("""COMPUTED_VALUE"""),"0.4516129032")</f>
        <v>0.4516129032</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c r="S41" t="str">
        <f ca="1">IFERROR(__xludf.DUMMYFUNCTION("""COMPUTED_VALUE"""),"0")</f>
        <v>0</v>
      </c>
      <c r="T41" t="str">
        <f ca="1">IFERROR(__xludf.DUMMYFUNCTION("""COMPUTED_VALUE"""),"0.7272727273")</f>
        <v>0.7272727273</v>
      </c>
      <c r="U41" t="str">
        <f ca="1">IFERROR(__xludf.DUMMYFUNCTION("""COMPUTED_VALUE"""),"0")</f>
        <v>0</v>
      </c>
      <c r="V41" t="str">
        <f ca="1">IFERROR(__xludf.DUMMYFUNCTION("""COMPUTED_VALUE"""),"0.3157894737")</f>
        <v>0.3157894737</v>
      </c>
      <c r="W41" t="str">
        <f ca="1">IFERROR(__xludf.DUMMYFUNCTION("""COMPUTED_VALUE"""),"0.5")</f>
        <v>0.5</v>
      </c>
      <c r="X41" t="str">
        <f ca="1">IFERROR(__xludf.DUMMYFUNCTION("""COMPUTED_VALUE"""),"0.9166666667")</f>
        <v>0.9166666667</v>
      </c>
      <c r="Y41" t="str">
        <f ca="1">IFERROR(__xludf.DUMMYFUNCTION("""COMPUTED_VALUE"""),"1")</f>
        <v>1</v>
      </c>
      <c r="Z41" t="str">
        <f ca="1">IFERROR(__xludf.DUMMYFUNCTION("""COMPUTED_VALUE"""),"11")</f>
        <v>11</v>
      </c>
      <c r="AA41" t="str">
        <f ca="1">IFERROR(__xludf.DUMMYFUNCTION("""COMPUTED_VALUE"""),"0")</f>
        <v>0</v>
      </c>
      <c r="AB41" t="str">
        <f ca="1">IFERROR(__xludf.DUMMYFUNCTION("""COMPUTED_VALUE"""),"19")</f>
        <v>19</v>
      </c>
      <c r="AC41" t="str">
        <f ca="1">IFERROR(__xludf.DUMMYFUNCTION("""COMPUTED_VALUE"""),"20")</f>
        <v>20</v>
      </c>
      <c r="AD41" t="str">
        <f ca="1">IFERROR(__xludf.DUMMYFUNCTION("""COMPUTED_VALUE"""),"12")</f>
        <v>12</v>
      </c>
      <c r="AE41" t="str">
        <f ca="1">IFERROR(__xludf.DUMMYFUNCTION("""COMPUTED_VALUE"""),"0.09677419355")</f>
        <v>0.09677419355</v>
      </c>
      <c r="AF41" t="str">
        <f ca="1">IFERROR(__xludf.DUMMYFUNCTION("""COMPUTED_VALUE"""),"0.5806451613")</f>
        <v>0.5806451613</v>
      </c>
      <c r="AG41" t="str">
        <f ca="1">IFERROR(__xludf.DUMMYFUNCTION("""COMPUTED_VALUE"""),"0")</f>
        <v>0</v>
      </c>
      <c r="AH41" t="str">
        <f ca="1">IFERROR(__xludf.DUMMYFUNCTION("""COMPUTED_VALUE"""),"0.2258064516")</f>
        <v>0.2258064516</v>
      </c>
      <c r="AI41" t="str">
        <f ca="1">IFERROR(__xludf.DUMMYFUNCTION("""COMPUTED_VALUE"""),"0.4193548387")</f>
        <v>0.4193548387</v>
      </c>
      <c r="AJ41" t="str">
        <f ca="1">IFERROR(__xludf.DUMMYFUNCTION("""COMPUTED_VALUE"""),"0.7741935484")</f>
        <v>0.7741935484</v>
      </c>
    </row>
    <row r="42" spans="1:36"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s="125">
        <f ca="1">IFERROR(__xludf.DUMMYFUNCTION("""COMPUTED_VALUE"""),164)</f>
        <v>164</v>
      </c>
      <c r="G42" t="str">
        <f ca="1">IFERROR(__xludf.DUMMYFUNCTION("""COMPUTED_VALUE"""),"0.2665838509")</f>
        <v>0.2665838509</v>
      </c>
      <c r="H42" t="str">
        <f ca="1">IFERROR(__xludf.DUMMYFUNCTION("""COMPUTED_VALUE"""),"0.5609756098")</f>
        <v>0.5609756098</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c r="S42" t="str">
        <f ca="1">IFERROR(__xludf.DUMMYFUNCTION("""COMPUTED_VALUE"""),"0.1666666667")</f>
        <v>0.1666666667</v>
      </c>
      <c r="T42" t="str">
        <f ca="1">IFERROR(__xludf.DUMMYFUNCTION("""COMPUTED_VALUE"""),"0.6545454545")</f>
        <v>0.6545454545</v>
      </c>
      <c r="U42" t="str">
        <f ca="1">IFERROR(__xludf.DUMMYFUNCTION("""COMPUTED_VALUE"""),"0.5")</f>
        <v>0.5</v>
      </c>
      <c r="V42" t="str">
        <f ca="1">IFERROR(__xludf.DUMMYFUNCTION("""COMPUTED_VALUE"""),"0.6875")</f>
        <v>0.6875</v>
      </c>
      <c r="W42" t="str">
        <f ca="1">IFERROR(__xludf.DUMMYFUNCTION("""COMPUTED_VALUE"""),"0.7222222222")</f>
        <v>0.7222222222</v>
      </c>
      <c r="X42" t="str">
        <f ca="1">IFERROR(__xludf.DUMMYFUNCTION("""COMPUTED_VALUE"""),"0.7635135135")</f>
        <v>0.7635135135</v>
      </c>
      <c r="Y42" t="str">
        <f ca="1">IFERROR(__xludf.DUMMYFUNCTION("""COMPUTED_VALUE"""),"30")</f>
        <v>30</v>
      </c>
      <c r="Z42" t="str">
        <f ca="1">IFERROR(__xludf.DUMMYFUNCTION("""COMPUTED_VALUE"""),"110")</f>
        <v>110</v>
      </c>
      <c r="AA42" t="str">
        <f ca="1">IFERROR(__xludf.DUMMYFUNCTION("""COMPUTED_VALUE"""),"8")</f>
        <v>8</v>
      </c>
      <c r="AB42" t="str">
        <f ca="1">IFERROR(__xludf.DUMMYFUNCTION("""COMPUTED_VALUE"""),"16")</f>
        <v>16</v>
      </c>
      <c r="AC42" t="str">
        <f ca="1">IFERROR(__xludf.DUMMYFUNCTION("""COMPUTED_VALUE"""),"54")</f>
        <v>54</v>
      </c>
      <c r="AD42" t="str">
        <f ca="1">IFERROR(__xludf.DUMMYFUNCTION("""COMPUTED_VALUE"""),"148")</f>
        <v>148</v>
      </c>
      <c r="AE42" t="str">
        <f ca="1">IFERROR(__xludf.DUMMYFUNCTION("""COMPUTED_VALUE"""),"0.06707317073")</f>
        <v>0.06707317073</v>
      </c>
      <c r="AF42" t="str">
        <f ca="1">IFERROR(__xludf.DUMMYFUNCTION("""COMPUTED_VALUE"""),"0.5304878049")</f>
        <v>0.5304878049</v>
      </c>
      <c r="AG42" t="str">
        <f ca="1">IFERROR(__xludf.DUMMYFUNCTION("""COMPUTED_VALUE"""),"0.1219512195")</f>
        <v>0.1219512195</v>
      </c>
      <c r="AH42" t="str">
        <f ca="1">IFERROR(__xludf.DUMMYFUNCTION("""COMPUTED_VALUE"""),"0.2804878049")</f>
        <v>0.2804878049</v>
      </c>
      <c r="AI42" t="str">
        <f ca="1">IFERROR(__xludf.DUMMYFUNCTION("""COMPUTED_VALUE"""),"0.4695121951")</f>
        <v>0.4695121951</v>
      </c>
      <c r="AJ42" t="str">
        <f ca="1">IFERROR(__xludf.DUMMYFUNCTION("""COMPUTED_VALUE"""),"0.7195121951")</f>
        <v>0.7195121951</v>
      </c>
    </row>
    <row r="43" spans="1:36"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s="125">
        <f ca="1">IFERROR(__xludf.DUMMYFUNCTION("""COMPUTED_VALUE"""),128)</f>
        <v>128</v>
      </c>
      <c r="G43" t="str">
        <f ca="1">IFERROR(__xludf.DUMMYFUNCTION("""COMPUTED_VALUE"""),"0.1262798635")</f>
        <v>0.1262798635</v>
      </c>
      <c r="H43" t="str">
        <f ca="1">IFERROR(__xludf.DUMMYFUNCTION("""COMPUTED_VALUE"""),"0.5")</f>
        <v>0.5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c r="S43" t="str">
        <f ca="1">IFERROR(__xludf.DUMMYFUNCTION("""COMPUTED_VALUE"""),"0.1304347826")</f>
        <v>0.1304347826</v>
      </c>
      <c r="T43" t="str">
        <f ca="1">IFERROR(__xludf.DUMMYFUNCTION("""COMPUTED_VALUE"""),"0.6666666667")</f>
        <v>0.6666666667</v>
      </c>
      <c r="U43" t="str">
        <f ca="1">IFERROR(__xludf.DUMMYFUNCTION("""COMPUTED_VALUE"""),"0.1428571429")</f>
        <v>0.1428571429</v>
      </c>
      <c r="V43" t="str">
        <f ca="1">IFERROR(__xludf.DUMMYFUNCTION("""COMPUTED_VALUE"""),"0.2857142857")</f>
        <v>0.2857142857</v>
      </c>
      <c r="W43" t="str">
        <f ca="1">IFERROR(__xludf.DUMMYFUNCTION("""COMPUTED_VALUE"""),"0.5681818182")</f>
        <v>0.5681818182</v>
      </c>
      <c r="X43" t="str">
        <f ca="1">IFERROR(__xludf.DUMMYFUNCTION("""COMPUTED_VALUE"""),"0.8333333333")</f>
        <v>0.8333333333</v>
      </c>
      <c r="Y43" t="str">
        <f ca="1">IFERROR(__xludf.DUMMYFUNCTION("""COMPUTED_VALUE"""),"23")</f>
        <v>23</v>
      </c>
      <c r="Z43" t="str">
        <f ca="1">IFERROR(__xludf.DUMMYFUNCTION("""COMPUTED_VALUE"""),"84")</f>
        <v>84</v>
      </c>
      <c r="AA43" t="str">
        <f ca="1">IFERROR(__xludf.DUMMYFUNCTION("""COMPUTED_VALUE"""),"7")</f>
        <v>7</v>
      </c>
      <c r="AB43" t="str">
        <f ca="1">IFERROR(__xludf.DUMMYFUNCTION("""COMPUTED_VALUE"""),"14")</f>
        <v>14</v>
      </c>
      <c r="AC43" t="str">
        <f ca="1">IFERROR(__xludf.DUMMYFUNCTION("""COMPUTED_VALUE"""),"44")</f>
        <v>44</v>
      </c>
      <c r="AD43" t="str">
        <f ca="1">IFERROR(__xludf.DUMMYFUNCTION("""COMPUTED_VALUE"""),"114")</f>
        <v>114</v>
      </c>
      <c r="AE43" t="str">
        <f ca="1">IFERROR(__xludf.DUMMYFUNCTION("""COMPUTED_VALUE"""),"0.0859375")</f>
        <v>0.0859375</v>
      </c>
      <c r="AF43" t="str">
        <f ca="1">IFERROR(__xludf.DUMMYFUNCTION("""COMPUTED_VALUE"""),"0.5859375")</f>
        <v>0.5859375</v>
      </c>
      <c r="AG43" t="str">
        <f ca="1">IFERROR(__xludf.DUMMYFUNCTION("""COMPUTED_VALUE"""),"0.1484375")</f>
        <v>0.1484375</v>
      </c>
      <c r="AH43" t="str">
        <f ca="1">IFERROR(__xludf.DUMMYFUNCTION("""COMPUTED_VALUE"""),"0.1796875")</f>
        <v>0.1796875</v>
      </c>
      <c r="AI43" t="str">
        <f ca="1">IFERROR(__xludf.DUMMYFUNCTION("""COMPUTED_VALUE"""),"0.4140625")</f>
        <v>0.4140625</v>
      </c>
      <c r="AJ43" t="str">
        <f ca="1">IFERROR(__xludf.DUMMYFUNCTION("""COMPUTED_VALUE"""),"0.8203125")</f>
        <v>0.8203125</v>
      </c>
    </row>
    <row r="44" spans="1:36"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s="125">
        <f ca="1">IFERROR(__xludf.DUMMYFUNCTION("""COMPUTED_VALUE"""),35)</f>
        <v>35</v>
      </c>
      <c r="G44" t="str">
        <f ca="1">IFERROR(__xludf.DUMMYFUNCTION("""COMPUTED_VALUE"""),"0.2599502488")</f>
        <v>0.2599502488</v>
      </c>
      <c r="H44" t="str">
        <f ca="1">IFERROR(__xludf.DUMMYFUNCTION("""COMPUTED_VALUE"""),"0.5142857143")</f>
        <v>0.5142857143</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c r="S44" t="str">
        <f ca="1">IFERROR(__xludf.DUMMYFUNCTION("""COMPUTED_VALUE"""),"0.5")</f>
        <v>0.5</v>
      </c>
      <c r="T44" t="str">
        <f ca="1">IFERROR(__xludf.DUMMYFUNCTION("""COMPUTED_VALUE"""),"0.625")</f>
        <v>0.625</v>
      </c>
      <c r="U44" t="str">
        <f ca="1">IFERROR(__xludf.DUMMYFUNCTION("""COMPUTED_VALUE"""),"0")</f>
        <v>0</v>
      </c>
      <c r="V44" t="str">
        <f ca="1">IFERROR(__xludf.DUMMYFUNCTION("""COMPUTED_VALUE"""),"0.3636363636")</f>
        <v>0.3636363636</v>
      </c>
      <c r="W44" t="str">
        <f ca="1">IFERROR(__xludf.DUMMYFUNCTION("""COMPUTED_VALUE"""),"0.6315789474")</f>
        <v>0.6315789474</v>
      </c>
      <c r="X44" t="str">
        <f ca="1">IFERROR(__xludf.DUMMYFUNCTION("""COMPUTED_VALUE"""),"0.875")</f>
        <v>0.875</v>
      </c>
      <c r="Y44" t="str">
        <f ca="1">IFERROR(__xludf.DUMMYFUNCTION("""COMPUTED_VALUE"""),"8")</f>
        <v>8</v>
      </c>
      <c r="Z44" t="str">
        <f ca="1">IFERROR(__xludf.DUMMYFUNCTION("""COMPUTED_VALUE"""),"16")</f>
        <v>16</v>
      </c>
      <c r="AA44" t="str">
        <f ca="1">IFERROR(__xludf.DUMMYFUNCTION("""COMPUTED_VALUE"""),"0")</f>
        <v>0</v>
      </c>
      <c r="AB44" t="str">
        <f ca="1">IFERROR(__xludf.DUMMYFUNCTION("""COMPUTED_VALUE"""),"11")</f>
        <v>11</v>
      </c>
      <c r="AC44" t="str">
        <f ca="1">IFERROR(__xludf.DUMMYFUNCTION("""COMPUTED_VALUE"""),"19")</f>
        <v>19</v>
      </c>
      <c r="AD44" t="str">
        <f ca="1">IFERROR(__xludf.DUMMYFUNCTION("""COMPUTED_VALUE"""),"24")</f>
        <v>24</v>
      </c>
      <c r="AE44" t="str">
        <f ca="1">IFERROR(__xludf.DUMMYFUNCTION("""COMPUTED_VALUE"""),"0.2571428571")</f>
        <v>0.2571428571</v>
      </c>
      <c r="AF44" t="str">
        <f ca="1">IFERROR(__xludf.DUMMYFUNCTION("""COMPUTED_VALUE"""),"0.4857142857")</f>
        <v>0.4857142857</v>
      </c>
      <c r="AG44" t="str">
        <f ca="1">IFERROR(__xludf.DUMMYFUNCTION("""COMPUTED_VALUE"""),"0")</f>
        <v>0</v>
      </c>
      <c r="AH44" t="str">
        <f ca="1">IFERROR(__xludf.DUMMYFUNCTION("""COMPUTED_VALUE"""),"0.2")</f>
        <v>0.2</v>
      </c>
      <c r="AI44" t="str">
        <f ca="1">IFERROR(__xludf.DUMMYFUNCTION("""COMPUTED_VALUE"""),"0.5142857143")</f>
        <v>0.5142857143</v>
      </c>
      <c r="AJ44" t="str">
        <f ca="1">IFERROR(__xludf.DUMMYFUNCTION("""COMPUTED_VALUE"""),"0.8")</f>
        <v>0.8</v>
      </c>
    </row>
    <row r="45" spans="1:36"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s="125">
        <f ca="1">IFERROR(__xludf.DUMMYFUNCTION("""COMPUTED_VALUE"""),217)</f>
        <v>217</v>
      </c>
      <c r="G45" t="str">
        <f ca="1">IFERROR(__xludf.DUMMYFUNCTION("""COMPUTED_VALUE"""),"0.2411381338")</f>
        <v>0.2411381338</v>
      </c>
      <c r="H45" t="str">
        <f ca="1">IFERROR(__xludf.DUMMYFUNCTION("""COMPUTED_VALUE"""),"0.5944700461")</f>
        <v>0.5944700461</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c r="S45" t="str">
        <f ca="1">IFERROR(__xludf.DUMMYFUNCTION("""COMPUTED_VALUE"""),"0.3103448276")</f>
        <v>0.3103448276</v>
      </c>
      <c r="T45" t="str">
        <f ca="1">IFERROR(__xludf.DUMMYFUNCTION("""COMPUTED_VALUE"""),"0.7446808511")</f>
        <v>0.7446808511</v>
      </c>
      <c r="U45" t="str">
        <f ca="1">IFERROR(__xludf.DUMMYFUNCTION("""COMPUTED_VALUE"""),"0.3214285714")</f>
        <v>0.3214285714</v>
      </c>
      <c r="V45" t="str">
        <f ca="1">IFERROR(__xludf.DUMMYFUNCTION("""COMPUTED_VALUE"""),"0.3157894737")</f>
        <v>0.3157894737</v>
      </c>
      <c r="W45" t="str">
        <f ca="1">IFERROR(__xludf.DUMMYFUNCTION("""COMPUTED_VALUE"""),"0.5131578947")</f>
        <v>0.5131578947</v>
      </c>
      <c r="X45" t="str">
        <f ca="1">IFERROR(__xludf.DUMMYFUNCTION("""COMPUTED_VALUE"""),"0.9226804124")</f>
        <v>0.9226804124</v>
      </c>
      <c r="Y45" t="str">
        <f ca="1">IFERROR(__xludf.DUMMYFUNCTION("""COMPUTED_VALUE"""),"29")</f>
        <v>29</v>
      </c>
      <c r="Z45" t="str">
        <f ca="1">IFERROR(__xludf.DUMMYFUNCTION("""COMPUTED_VALUE"""),"141")</f>
        <v>141</v>
      </c>
      <c r="AA45" t="str">
        <f ca="1">IFERROR(__xludf.DUMMYFUNCTION("""COMPUTED_VALUE"""),"28")</f>
        <v>28</v>
      </c>
      <c r="AB45" t="str">
        <f ca="1">IFERROR(__xludf.DUMMYFUNCTION("""COMPUTED_VALUE"""),"19")</f>
        <v>19</v>
      </c>
      <c r="AC45" t="str">
        <f ca="1">IFERROR(__xludf.DUMMYFUNCTION("""COMPUTED_VALUE"""),"76")</f>
        <v>76</v>
      </c>
      <c r="AD45" t="str">
        <f ca="1">IFERROR(__xludf.DUMMYFUNCTION("""COMPUTED_VALUE"""),"194")</f>
        <v>194</v>
      </c>
      <c r="AE45" t="str">
        <f ca="1">IFERROR(__xludf.DUMMYFUNCTION("""COMPUTED_VALUE"""),"0.1290322581")</f>
        <v>0.1290322581</v>
      </c>
      <c r="AF45" t="str">
        <f ca="1">IFERROR(__xludf.DUMMYFUNCTION("""COMPUTED_VALUE"""),"0.6543778802")</f>
        <v>0.6543778802</v>
      </c>
      <c r="AG45" t="str">
        <f ca="1">IFERROR(__xludf.DUMMYFUNCTION("""COMPUTED_VALUE"""),"0.1013824885")</f>
        <v>0.1013824885</v>
      </c>
      <c r="AH45" t="str">
        <f ca="1">IFERROR(__xludf.DUMMYFUNCTION("""COMPUTED_VALUE"""),"0.1152073733")</f>
        <v>0.1152073733</v>
      </c>
      <c r="AI45" t="str">
        <f ca="1">IFERROR(__xludf.DUMMYFUNCTION("""COMPUTED_VALUE"""),"0.3456221198")</f>
        <v>0.3456221198</v>
      </c>
      <c r="AJ45" t="str">
        <f ca="1">IFERROR(__xludf.DUMMYFUNCTION("""COMPUTED_VALUE"""),"0.8847926267")</f>
        <v>0.8847926267</v>
      </c>
    </row>
    <row r="46" spans="1:36"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s="125">
        <f ca="1">IFERROR(__xludf.DUMMYFUNCTION("""COMPUTED_VALUE"""),208)</f>
        <v>208</v>
      </c>
      <c r="G46" t="str">
        <f ca="1">IFERROR(__xludf.DUMMYFUNCTION("""COMPUTED_VALUE"""),"0.1820319468")</f>
        <v>0.1820319468</v>
      </c>
      <c r="H46" t="str">
        <f ca="1">IFERROR(__xludf.DUMMYFUNCTION("""COMPUTED_VALUE"""),"0.5336538462")</f>
        <v>0.5336538462</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c r="S46" t="str">
        <f ca="1">IFERROR(__xludf.DUMMYFUNCTION("""COMPUTED_VALUE"""),"0.2083333333")</f>
        <v>0.2083333333</v>
      </c>
      <c r="T46" t="str">
        <f ca="1">IFERROR(__xludf.DUMMYFUNCTION("""COMPUTED_VALUE"""),"0.7235772358")</f>
        <v>0.7235772358</v>
      </c>
      <c r="U46" t="str">
        <f ca="1">IFERROR(__xludf.DUMMYFUNCTION("""COMPUTED_VALUE"""),"0.3125")</f>
        <v>0.3125</v>
      </c>
      <c r="V46" t="str">
        <f ca="1">IFERROR(__xludf.DUMMYFUNCTION("""COMPUTED_VALUE"""),"0.2413793103")</f>
        <v>0.2413793103</v>
      </c>
      <c r="W46" t="str">
        <f ca="1">IFERROR(__xludf.DUMMYFUNCTION("""COMPUTED_VALUE"""),"0.4705882353")</f>
        <v>0.4705882353</v>
      </c>
      <c r="X46" t="str">
        <f ca="1">IFERROR(__xludf.DUMMYFUNCTION("""COMPUTED_VALUE"""),"0.9431818182")</f>
        <v>0.9431818182</v>
      </c>
      <c r="Y46" t="str">
        <f ca="1">IFERROR(__xludf.DUMMYFUNCTION("""COMPUTED_VALUE"""),"24")</f>
        <v>24</v>
      </c>
      <c r="Z46" t="str">
        <f ca="1">IFERROR(__xludf.DUMMYFUNCTION("""COMPUTED_VALUE"""),"123")</f>
        <v>123</v>
      </c>
      <c r="AA46" t="str">
        <f ca="1">IFERROR(__xludf.DUMMYFUNCTION("""COMPUTED_VALUE"""),"32")</f>
        <v>32</v>
      </c>
      <c r="AB46" t="str">
        <f ca="1">IFERROR(__xludf.DUMMYFUNCTION("""COMPUTED_VALUE"""),"29")</f>
        <v>29</v>
      </c>
      <c r="AC46" t="str">
        <f ca="1">IFERROR(__xludf.DUMMYFUNCTION("""COMPUTED_VALUE"""),"85")</f>
        <v>85</v>
      </c>
      <c r="AD46" t="str">
        <f ca="1">IFERROR(__xludf.DUMMYFUNCTION("""COMPUTED_VALUE"""),"176")</f>
        <v>176</v>
      </c>
      <c r="AE46" t="str">
        <f ca="1">IFERROR(__xludf.DUMMYFUNCTION("""COMPUTED_VALUE"""),"0.1153846154")</f>
        <v>0.1153846154</v>
      </c>
      <c r="AF46" t="str">
        <f ca="1">IFERROR(__xludf.DUMMYFUNCTION("""COMPUTED_VALUE"""),"0.6442307692")</f>
        <v>0.6442307692</v>
      </c>
      <c r="AG46" t="str">
        <f ca="1">IFERROR(__xludf.DUMMYFUNCTION("""COMPUTED_VALUE"""),"0.1442307692")</f>
        <v>0.1442307692</v>
      </c>
      <c r="AH46" t="str">
        <f ca="1">IFERROR(__xludf.DUMMYFUNCTION("""COMPUTED_VALUE"""),"0.09615384615")</f>
        <v>0.09615384615</v>
      </c>
      <c r="AI46" t="str">
        <f ca="1">IFERROR(__xludf.DUMMYFUNCTION("""COMPUTED_VALUE"""),"0.3557692308")</f>
        <v>0.3557692308</v>
      </c>
      <c r="AJ46" t="str">
        <f ca="1">IFERROR(__xludf.DUMMYFUNCTION("""COMPUTED_VALUE"""),"0.9038461538")</f>
        <v>0.9038461538</v>
      </c>
    </row>
    <row r="47" spans="1:36"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s="125">
        <f ca="1">IFERROR(__xludf.DUMMYFUNCTION("""COMPUTED_VALUE"""),90)</f>
        <v>90</v>
      </c>
      <c r="G47" t="str">
        <f ca="1">IFERROR(__xludf.DUMMYFUNCTION("""COMPUTED_VALUE"""),"0.2739333094")</f>
        <v>0.2739333094</v>
      </c>
      <c r="H47" t="str">
        <f ca="1">IFERROR(__xludf.DUMMYFUNCTION("""COMPUTED_VALUE"""),"0.5")</f>
        <v>0.5</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c r="S47" t="str">
        <f ca="1">IFERROR(__xludf.DUMMYFUNCTION("""COMPUTED_VALUE"""),"0.3846153846")</f>
        <v>0.3846153846</v>
      </c>
      <c r="T47" t="str">
        <f ca="1">IFERROR(__xludf.DUMMYFUNCTION("""COMPUTED_VALUE"""),"0.5777777778")</f>
        <v>0.5777777778</v>
      </c>
      <c r="U47" t="str">
        <f ca="1">IFERROR(__xludf.DUMMYFUNCTION("""COMPUTED_VALUE"""),"0.1428571429")</f>
        <v>0.1428571429</v>
      </c>
      <c r="V47" t="str">
        <f ca="1">IFERROR(__xludf.DUMMYFUNCTION("""COMPUTED_VALUE"""),"0.6666666667")</f>
        <v>0.6666666667</v>
      </c>
      <c r="W47" t="str">
        <f ca="1">IFERROR(__xludf.DUMMYFUNCTION("""COMPUTED_VALUE"""),"0.7333333333")</f>
        <v>0.7333333333</v>
      </c>
      <c r="X47" t="str">
        <f ca="1">IFERROR(__xludf.DUMMYFUNCTION("""COMPUTED_VALUE"""),"0.8405797101")</f>
        <v>0.8405797101</v>
      </c>
      <c r="Y47" t="str">
        <f ca="1">IFERROR(__xludf.DUMMYFUNCTION("""COMPUTED_VALUE"""),"13")</f>
        <v>13</v>
      </c>
      <c r="Z47" t="str">
        <f ca="1">IFERROR(__xludf.DUMMYFUNCTION("""COMPUTED_VALUE"""),"45")</f>
        <v>45</v>
      </c>
      <c r="AA47" t="str">
        <f ca="1">IFERROR(__xludf.DUMMYFUNCTION("""COMPUTED_VALUE"""),"14")</f>
        <v>14</v>
      </c>
      <c r="AB47" t="str">
        <f ca="1">IFERROR(__xludf.DUMMYFUNCTION("""COMPUTED_VALUE"""),"18")</f>
        <v>18</v>
      </c>
      <c r="AC47" t="str">
        <f ca="1">IFERROR(__xludf.DUMMYFUNCTION("""COMPUTED_VALUE"""),"45")</f>
        <v>45</v>
      </c>
      <c r="AD47" t="str">
        <f ca="1">IFERROR(__xludf.DUMMYFUNCTION("""COMPUTED_VALUE"""),"69")</f>
        <v>69</v>
      </c>
      <c r="AE47" t="str">
        <f ca="1">IFERROR(__xludf.DUMMYFUNCTION("""COMPUTED_VALUE"""),"0.2222222222")</f>
        <v>0.2222222222</v>
      </c>
      <c r="AF47" t="str">
        <f ca="1">IFERROR(__xludf.DUMMYFUNCTION("""COMPUTED_VALUE"""),"0.4222222222")</f>
        <v>0.4222222222</v>
      </c>
      <c r="AG47" t="str">
        <f ca="1">IFERROR(__xludf.DUMMYFUNCTION("""COMPUTED_VALUE"""),"0.06666666667")</f>
        <v>0.06666666667</v>
      </c>
      <c r="AH47" t="str">
        <f ca="1">IFERROR(__xludf.DUMMYFUNCTION("""COMPUTED_VALUE"""),"0.2888888889")</f>
        <v>0.2888888889</v>
      </c>
      <c r="AI47" t="str">
        <f ca="1">IFERROR(__xludf.DUMMYFUNCTION("""COMPUTED_VALUE"""),"0.5777777778")</f>
        <v>0.5777777778</v>
      </c>
      <c r="AJ47" t="str">
        <f ca="1">IFERROR(__xludf.DUMMYFUNCTION("""COMPUTED_VALUE"""),"0.7111111111")</f>
        <v>0.7111111111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92"/>
  <sheetViews>
    <sheetView workbookViewId="0"/>
  </sheetViews>
  <sheetFormatPr defaultColWidth="14.44140625" defaultRowHeight="15.75" customHeight="1"/>
  <cols>
    <col min="2" max="2" width="28.27734375" customWidth="1"/>
    <col min="5" max="5" width="21.27734375" customWidth="1"/>
  </cols>
  <sheetData>
    <row r="1" spans="1:18" ht="15.75" customHeight="1">
      <c r="A1" s="127" t="str">
        <f ca="1">IFERROR(__xludf.DUMMYFUNCTION("QUERY(Processed!A1:CW150,""SELECT A, B, C, D, E, AJ, AO, AK, BG, BH, BI, BJ, BK, BL, BM, BN, BO, BP WHERE AO &lt;&gt; 'Not Reported'"",1)"),"Study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IFERROR(__xludf.DUMMYFUNCTION("""COMPUTED_VALUE"""),"4-way n - Final")</f>
        <v>4-way n - Final</v>
      </c>
      <c r="G1" t="str">
        <f ca="1">IFERROR(__xludf.DUMMYFUNCTION("""COMPUTED_VALUE"""),"4-way k - Final")</f>
        <v>4-way k - Final</v>
      </c>
      <c r="H1" t="str">
        <f ca="1">IFERROR(__xludf.DUMMYFUNCTION("""COMPUTED_VALUE"""),"4-way PA - Calculated")</f>
        <v>4-way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row>
    <row r="2" spans="1:18"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s="125">
        <f ca="1">IFERROR(__xludf.DUMMYFUNCTION("""COMPUTED_VALUE"""),20)</f>
        <v>20</v>
      </c>
      <c r="G2" t="str">
        <f ca="1">IFERROR(__xludf.DUMMYFUNCTION("""COMPUTED_VALUE"""),"0.3258426966")</f>
        <v>0.3258426966</v>
      </c>
      <c r="H2" t="str">
        <f ca="1">IFERROR(__xludf.DUMMYFUNCTION("""COMPUTED_VALUE"""),"0.55")</f>
        <v>0.55</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row>
    <row r="3" spans="1:18"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s="125">
        <f ca="1">IFERROR(__xludf.DUMMYFUNCTION("""COMPUTED_VALUE"""),21)</f>
        <v>21</v>
      </c>
      <c r="G3" t="str">
        <f ca="1">IFERROR(__xludf.DUMMYFUNCTION("""COMPUTED_VALUE"""),"0.4285714286")</f>
        <v>0.4285714286</v>
      </c>
      <c r="H3" t="str">
        <f ca="1">IFERROR(__xludf.DUMMYFUNCTION("""COMPUTED_VALUE"""),"0.619047619")</f>
        <v>0.619047619</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row>
    <row r="4" spans="1:18"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s="125">
        <f ca="1">IFERROR(__xludf.DUMMYFUNCTION("""COMPUTED_VALUE"""),20)</f>
        <v>20</v>
      </c>
      <c r="G4" t="str">
        <f ca="1">IFERROR(__xludf.DUMMYFUNCTION("""COMPUTED_VALUE"""),"0.5141700405")</f>
        <v>0.5141700405</v>
      </c>
      <c r="H4" t="str">
        <f ca="1">IFERROR(__xludf.DUMMYFUNCTION("""COMPUTED_VALUE"""),"0.7")</f>
        <v>0.7</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row>
    <row r="5" spans="1:18"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s="125">
        <f ca="1">IFERROR(__xludf.DUMMYFUNCTION("""COMPUTED_VALUE"""),16)</f>
        <v>16</v>
      </c>
      <c r="G5" t="str">
        <f ca="1">IFERROR(__xludf.DUMMYFUNCTION("""COMPUTED_VALUE"""),"0.619047619")</f>
        <v>0.619047619</v>
      </c>
      <c r="H5" t="str">
        <f ca="1">IFERROR(__xludf.DUMMYFUNCTION("""COMPUTED_VALUE"""),"0.875")</f>
        <v>0.875</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row>
    <row r="6" spans="1:18"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s="125">
        <f ca="1">IFERROR(__xludf.DUMMYFUNCTION("""COMPUTED_VALUE"""),18)</f>
        <v>18</v>
      </c>
      <c r="G6" t="str">
        <f ca="1">IFERROR(__xludf.DUMMYFUNCTION("""COMPUTED_VALUE"""),"0.2653061224")</f>
        <v>0.2653061224</v>
      </c>
      <c r="H6" t="str">
        <f ca="1">IFERROR(__xludf.DUMMYFUNCTION("""COMPUTED_VALUE"""),"0.6666666667")</f>
        <v>0.6666666667</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row>
    <row r="7" spans="1:18"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s="125">
        <f ca="1">IFERROR(__xludf.DUMMYFUNCTION("""COMPUTED_VALUE"""),16)</f>
        <v>16</v>
      </c>
      <c r="G7" t="str">
        <f ca="1">IFERROR(__xludf.DUMMYFUNCTION("""COMPUTED_VALUE"""),"0.3700787402")</f>
        <v>0.3700787402</v>
      </c>
      <c r="H7" t="str">
        <f ca="1">IFERROR(__xludf.DUMMYFUNCTION("""COMPUTED_VALUE"""),"0.6875")</f>
        <v>0.6875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row>
    <row r="8" spans="1:18"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s="125">
        <f ca="1">IFERROR(__xludf.DUMMYFUNCTION("""COMPUTED_VALUE"""),18)</f>
        <v>18</v>
      </c>
      <c r="G8" t="str">
        <f ca="1">IFERROR(__xludf.DUMMYFUNCTION("""COMPUTED_VALUE"""),"0.4615384615")</f>
        <v>0.4615384615</v>
      </c>
      <c r="H8" t="str">
        <f ca="1">IFERROR(__xludf.DUMMYFUNCTION("""COMPUTED_VALUE"""),"0.6111111111")</f>
        <v>0.6111111111</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row>
    <row r="9" spans="1:18"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s="125">
        <f ca="1">IFERROR(__xludf.DUMMYFUNCTION("""COMPUTED_VALUE"""),25)</f>
        <v>25</v>
      </c>
      <c r="G9" t="str">
        <f ca="1">IFERROR(__xludf.DUMMYFUNCTION("""COMPUTED_VALUE"""),"0.2903930131")</f>
        <v>0.2903930131</v>
      </c>
      <c r="H9" t="str">
        <f ca="1">IFERROR(__xludf.DUMMYFUNCTION("""COMPUTED_VALUE"""),"0.48")</f>
        <v>0.48</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row>
    <row r="10" spans="1:18"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s="125">
        <f ca="1">IFERROR(__xludf.DUMMYFUNCTION("""COMPUTED_VALUE"""),15)</f>
        <v>15</v>
      </c>
      <c r="G10" t="str">
        <f ca="1">IFERROR(__xludf.DUMMYFUNCTION("""COMPUTED_VALUE"""),"0.09090909091")</f>
        <v>0.09090909091</v>
      </c>
      <c r="H10" t="str">
        <f ca="1">IFERROR(__xludf.DUMMYFUNCTION("""COMPUTED_VALUE"""),"0.6")</f>
        <v>0.6</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row>
    <row r="11" spans="1:18"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s="125">
        <f ca="1">IFERROR(__xludf.DUMMYFUNCTION("""COMPUTED_VALUE"""),20)</f>
        <v>20</v>
      </c>
      <c r="G11" t="str">
        <f ca="1">IFERROR(__xludf.DUMMYFUNCTION("""COMPUTED_VALUE"""),"0.3902439024")</f>
        <v>0.3902439024</v>
      </c>
      <c r="H11" t="str">
        <f ca="1">IFERROR(__xludf.DUMMYFUNCTION("""COMPUTED_VALUE"""),"0.75")</f>
        <v>0.75</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row>
    <row r="12" spans="1:18"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s="125">
        <f ca="1">IFERROR(__xludf.DUMMYFUNCTION("""COMPUTED_VALUE"""),54)</f>
        <v>54</v>
      </c>
      <c r="G12" t="str">
        <f ca="1">IFERROR(__xludf.DUMMYFUNCTION("""COMPUTED_VALUE"""),"0.215496368")</f>
        <v>0.215496368</v>
      </c>
      <c r="H12" t="str">
        <f ca="1">IFERROR(__xludf.DUMMYFUNCTION("""COMPUTED_VALUE"""),"0.7777777778")</f>
        <v>0.7777777778</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row>
    <row r="13" spans="1:18"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s="125">
        <f ca="1">IFERROR(__xludf.DUMMYFUNCTION("""COMPUTED_VALUE"""),44)</f>
        <v>44</v>
      </c>
      <c r="G13" t="str">
        <f ca="1">IFERROR(__xludf.DUMMYFUNCTION("""COMPUTED_VALUE"""),"0.2602081665")</f>
        <v>0.2602081665</v>
      </c>
      <c r="H13" t="str">
        <f ca="1">IFERROR(__xludf.DUMMYFUNCTION("""COMPUTED_VALUE"""),"0.5227272727")</f>
        <v>0.5227272727</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row>
    <row r="14" spans="1:18"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s="125">
        <f ca="1">IFERROR(__xludf.DUMMYFUNCTION("""COMPUTED_VALUE"""),82)</f>
        <v>82</v>
      </c>
      <c r="G14" t="str">
        <f ca="1">IFERROR(__xludf.DUMMYFUNCTION("""COMPUTED_VALUE"""),"0.0971372645")</f>
        <v>0.0971372645</v>
      </c>
      <c r="H14" t="str">
        <f ca="1">IFERROR(__xludf.DUMMYFUNCTION("""COMPUTED_VALUE"""),"0.4512195122")</f>
        <v>0.4512195122</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row>
    <row r="15" spans="1:18"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s="125">
        <f ca="1">IFERROR(__xludf.DUMMYFUNCTION("""COMPUTED_VALUE"""),30)</f>
        <v>30</v>
      </c>
      <c r="G15" t="str">
        <f ca="1">IFERROR(__xludf.DUMMYFUNCTION("""COMPUTED_VALUE"""),"0.2549668874")</f>
        <v>0.2549668874</v>
      </c>
      <c r="H15" t="str">
        <f ca="1">IFERROR(__xludf.DUMMYFUNCTION("""COMPUTED_VALUE"""),"0.5")</f>
        <v>0.5</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row>
    <row r="16" spans="1:18" ht="15.75" customHeight="1">
      <c r="A16">
        <f ca="1">IFERROR(__xludf.DUMMYFUNCTION("""COMPUTED_VALUE"""),17)</f>
        <v>17</v>
      </c>
      <c r="B16" t="str">
        <f ca="1">IFERROR(__xludf.DUMMYFUNCTION("""COMPUTED_VALUE"""),"Jacobsen et al. (1997)")</f>
        <v>Jacobsen et al. (1997)</v>
      </c>
      <c r="C16">
        <f ca="1">IFERROR(__xludf.DUMMYFUNCTION("""COMPUTED_VALUE"""),1)</f>
        <v>1</v>
      </c>
      <c r="D16" t="str">
        <f ca="1">IFERROR(__xludf.DUMMYFUNCTION("""COMPUTED_VALUE"""),"60 month interval")</f>
        <v>60 month interval</v>
      </c>
      <c r="E16" t="str">
        <f ca="1">IFERROR(__xludf.DUMMYFUNCTION("""COMPUTED_VALUE"""),"Infancy - Preschool")</f>
        <v>Infancy - Preschool</v>
      </c>
      <c r="F16" s="125">
        <f ca="1">IFERROR(__xludf.DUMMYFUNCTION("""COMPUTED_VALUE"""),32)</f>
        <v>32</v>
      </c>
      <c r="G16" t="str">
        <f ca="1">IFERROR(__xludf.DUMMYFUNCTION("""COMPUTED_VALUE"""),"0.370")</f>
        <v>0.370</v>
      </c>
      <c r="H16" t="str">
        <f ca="1">IFERROR(__xludf.DUMMYFUNCTION("""COMPUTED_VALUE"""),"Not Included")</f>
        <v>Not Included</v>
      </c>
      <c r="I16">
        <f ca="1">IFERROR(__xludf.DUMMYFUNCTION("""COMPUTED_VALUE"""),1997)</f>
        <v>1997</v>
      </c>
      <c r="J16" t="str">
        <f ca="1">IFERROR(__xludf.DUMMYFUNCTION("""COMPUTED_VALUE"""),"Non-USA")</f>
        <v>Non-USA</v>
      </c>
      <c r="K16" t="str">
        <f ca="1">IFERROR(__xludf.DUMMYFUNCTION("""COMPUTED_VALUE"""),"Ainsworth/Main-Cassidy")</f>
        <v>Ainsworth/Main-Cassidy</v>
      </c>
      <c r="L16">
        <f ca="1">IFERROR(__xludf.DUMMYFUNCTION("""COMPUTED_VALUE"""),1)</f>
        <v>1</v>
      </c>
      <c r="M16">
        <f ca="1">IFERROR(__xludf.DUMMYFUNCTION("""COMPUTED_VALUE"""),0)</f>
        <v>0</v>
      </c>
      <c r="N16">
        <f ca="1">IFERROR(__xludf.DUMMYFUNCTION("""COMPUTED_VALUE"""),0)</f>
        <v>0</v>
      </c>
      <c r="O16">
        <f ca="1">IFERROR(__xludf.DUMMYFUNCTION("""COMPUTED_VALUE"""),1)</f>
        <v>1</v>
      </c>
      <c r="P16" t="str">
        <f ca="1">IFERROR(__xludf.DUMMYFUNCTION("""COMPUTED_VALUE"""),"")</f>
        <v/>
      </c>
      <c r="Q16">
        <f ca="1">IFERROR(__xludf.DUMMYFUNCTION("""COMPUTED_VALUE"""),1)</f>
        <v>1</v>
      </c>
      <c r="R16" t="str">
        <f ca="1">IFERROR(__xludf.DUMMYFUNCTION("""COMPUTED_VALUE"""),"Female")</f>
        <v>Female</v>
      </c>
    </row>
    <row r="17" spans="1:18" ht="15.75" customHeight="1">
      <c r="A17">
        <f ca="1">IFERROR(__xludf.DUMMYFUNCTION("""COMPUTED_VALUE"""),17)</f>
        <v>17</v>
      </c>
      <c r="B17" t="str">
        <f ca="1">IFERROR(__xludf.DUMMYFUNCTION("""COMPUTED_VALUE"""),"Jacobsen et al. (1997)")</f>
        <v>Jacobsen et al. (1997)</v>
      </c>
      <c r="C17">
        <f ca="1">IFERROR(__xludf.DUMMYFUNCTION("""COMPUTED_VALUE"""),2)</f>
        <v>2</v>
      </c>
      <c r="D17" t="str">
        <f ca="1">IFERROR(__xludf.DUMMYFUNCTION("""COMPUTED_VALUE"""),"54 month interval")</f>
        <v>54 month interval</v>
      </c>
      <c r="E17" t="str">
        <f ca="1">IFERROR(__xludf.DUMMYFUNCTION("""COMPUTED_VALUE"""),"Infancy - Preschool")</f>
        <v>Infancy - Preschool</v>
      </c>
      <c r="F17" s="125">
        <f ca="1">IFERROR(__xludf.DUMMYFUNCTION("""COMPUTED_VALUE"""),32)</f>
        <v>32</v>
      </c>
      <c r="G17" t="str">
        <f ca="1">IFERROR(__xludf.DUMMYFUNCTION("""COMPUTED_VALUE"""),"0.480")</f>
        <v>0.480</v>
      </c>
      <c r="H17" t="str">
        <f ca="1">IFERROR(__xludf.DUMMYFUNCTION("""COMPUTED_VALUE"""),"Not Included")</f>
        <v>Not Included</v>
      </c>
      <c r="I17">
        <f ca="1">IFERROR(__xludf.DUMMYFUNCTION("""COMPUTED_VALUE"""),1997)</f>
        <v>1997</v>
      </c>
      <c r="J17" t="str">
        <f ca="1">IFERROR(__xludf.DUMMYFUNCTION("""COMPUTED_VALUE"""),"Non-USA")</f>
        <v>Non-USA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t="str">
        <f ca="1">IFERROR(__xludf.DUMMYFUNCTION("""COMPUTED_VALUE"""),"")</f>
        <v/>
      </c>
      <c r="Q17">
        <f ca="1">IFERROR(__xludf.DUMMYFUNCTION("""COMPUTED_VALUE"""),0)</f>
        <v>0</v>
      </c>
      <c r="R17" t="str">
        <f ca="1">IFERROR(__xludf.DUMMYFUNCTION("""COMPUTED_VALUE"""),"Female")</f>
        <v>Female</v>
      </c>
    </row>
    <row r="18" spans="1:18" ht="15.75" customHeight="1">
      <c r="A18">
        <f ca="1">IFERROR(__xludf.DUMMYFUNCTION("""COMPUTED_VALUE"""),21)</f>
        <v>21</v>
      </c>
      <c r="B18" t="str">
        <f ca="1">IFERROR(__xludf.DUMMYFUNCTION("""COMPUTED_VALUE"""),"Levendosky et al. (2011)")</f>
        <v>Levendosky et al. (2011)</v>
      </c>
      <c r="C18">
        <f ca="1">IFERROR(__xludf.DUMMYFUNCTION("""COMPUTED_VALUE"""),1)</f>
        <v>1</v>
      </c>
      <c r="D18" t="str">
        <f ca="1">IFERROR(__xludf.DUMMYFUNCTION("""COMPUTED_VALUE"""),"Domestic violence dyads")</f>
        <v>Domestic violence dyads</v>
      </c>
      <c r="E18" t="str">
        <f ca="1">IFERROR(__xludf.DUMMYFUNCTION("""COMPUTED_VALUE"""),"Infancy - Preschool")</f>
        <v>Infancy - Preschool</v>
      </c>
      <c r="F18" s="125">
        <f ca="1">IFERROR(__xludf.DUMMYFUNCTION("""COMPUTED_VALUE"""),150)</f>
        <v>150</v>
      </c>
      <c r="G18" t="str">
        <f ca="1">IFERROR(__xludf.DUMMYFUNCTION("""COMPUTED_VALUE"""),"0.0718382131")</f>
        <v>0.0718382131</v>
      </c>
      <c r="H18" t="str">
        <f ca="1">IFERROR(__xludf.DUMMYFUNCTION("""COMPUTED_VALUE"""),"0.4533333333")</f>
        <v>0.4533333333</v>
      </c>
      <c r="I18">
        <f ca="1">IFERROR(__xludf.DUMMYFUNCTION("""COMPUTED_VALUE"""),2011)</f>
        <v>2011</v>
      </c>
      <c r="J18" t="str">
        <f ca="1">IFERROR(__xludf.DUMMYFUNCTION("""COMPUTED_VALUE"""),"USA")</f>
        <v>USA</v>
      </c>
      <c r="K18" t="str">
        <f ca="1">IFERROR(__xludf.DUMMYFUNCTION("""COMPUTED_VALUE"""),"Ainsworth/Cassidy-Marvin")</f>
        <v>Ainsworth/Cassidy-Marvin</v>
      </c>
      <c r="L18">
        <f ca="1">IFERROR(__xludf.DUMMYFUNCTION("""COMPUTED_VALUE"""),1)</f>
        <v>1</v>
      </c>
      <c r="M18">
        <f ca="1">IFERROR(__xludf.DUMMYFUNCTION("""COMPUTED_VALUE"""),1)</f>
        <v>1</v>
      </c>
      <c r="N18">
        <f ca="1">IFERROR(__xludf.DUMMYFUNCTION("""COMPUTED_VALUE"""),0)</f>
        <v>0</v>
      </c>
      <c r="O18">
        <f ca="1">IFERROR(__xludf.DUMMYFUNCTION("""COMPUTED_VALUE"""),1)</f>
        <v>1</v>
      </c>
      <c r="P18">
        <f ca="1">IFERROR(__xludf.DUMMYFUNCTION("""COMPUTED_VALUE"""),0.83)</f>
        <v>0.83</v>
      </c>
      <c r="Q18">
        <f ca="1">IFERROR(__xludf.DUMMYFUNCTION("""COMPUTED_VALUE"""),0)</f>
        <v>0</v>
      </c>
      <c r="R18" t="str">
        <f ca="1">IFERROR(__xludf.DUMMYFUNCTION("""COMPUTED_VALUE"""),"Female")</f>
        <v>Female</v>
      </c>
    </row>
    <row r="19" spans="1:18" ht="15.75" customHeight="1">
      <c r="A19">
        <f ca="1">IFERROR(__xludf.DUMMYFUNCTION("""COMPUTED_VALUE"""),23)</f>
        <v>23</v>
      </c>
      <c r="B19" t="str">
        <f ca="1">IFERROR(__xludf.DUMMYFUNCTION("""COMPUTED_VALUE"""),"Main &amp; Cassidy (1988)")</f>
        <v>Main &amp; Cassidy (1988)</v>
      </c>
      <c r="C19">
        <f ca="1">IFERROR(__xludf.DUMMYFUNCTION("""COMPUTED_VALUE"""),1)</f>
        <v>1</v>
      </c>
      <c r="D19" t="str">
        <f ca="1">IFERROR(__xludf.DUMMYFUNCTION("""COMPUTED_VALUE"""),"Mother-child")</f>
        <v>Mother-child</v>
      </c>
      <c r="E19" t="str">
        <f ca="1">IFERROR(__xludf.DUMMYFUNCTION("""COMPUTED_VALUE"""),"Infancy - Preschool")</f>
        <v>Infancy - Preschool</v>
      </c>
      <c r="F19" s="125">
        <f ca="1">IFERROR(__xludf.DUMMYFUNCTION("""COMPUTED_VALUE"""),32)</f>
        <v>32</v>
      </c>
      <c r="G19" t="str">
        <f ca="1">IFERROR(__xludf.DUMMYFUNCTION("""COMPUTED_VALUE"""),"0.7604790419")</f>
        <v>0.7604790419</v>
      </c>
      <c r="H19" t="str">
        <f ca="1">IFERROR(__xludf.DUMMYFUNCTION("""COMPUTED_VALUE"""),"0.84375")</f>
        <v>0.84375</v>
      </c>
      <c r="I19">
        <f ca="1">IFERROR(__xludf.DUMMYFUNCTION("""COMPUTED_VALUE"""),1988)</f>
        <v>1988</v>
      </c>
      <c r="J19" t="str">
        <f ca="1">IFERROR(__xludf.DUMMYFUNCTION("""COMPUTED_VALUE"""),"USA")</f>
        <v>USA</v>
      </c>
      <c r="K19" t="str">
        <f ca="1">IFERROR(__xludf.DUMMYFUNCTION("""COMPUTED_VALUE"""),"Ainsworth/Main-Cassidy")</f>
        <v>Ainsworth/Main-Cassidy</v>
      </c>
      <c r="L19">
        <f ca="1">IFERROR(__xludf.DUMMYFUNCTION("""COMPUTED_VALUE"""),1)</f>
        <v>1</v>
      </c>
      <c r="M19">
        <f ca="1">IFERROR(__xludf.DUMMYFUNCTION("""COMPUTED_VALUE"""),0)</f>
        <v>0</v>
      </c>
      <c r="N19">
        <f ca="1">IFERROR(__xludf.DUMMYFUNCTION("""COMPUTED_VALUE"""),0)</f>
        <v>0</v>
      </c>
      <c r="O19">
        <f ca="1">IFERROR(__xludf.DUMMYFUNCTION("""COMPUTED_VALUE"""),1)</f>
        <v>1</v>
      </c>
      <c r="P19">
        <f ca="1">IFERROR(__xludf.DUMMYFUNCTION("""COMPUTED_VALUE"""),0.83)</f>
        <v>0.83</v>
      </c>
      <c r="Q19">
        <f ca="1">IFERROR(__xludf.DUMMYFUNCTION("""COMPUTED_VALUE"""),1)</f>
        <v>1</v>
      </c>
      <c r="R19" t="str">
        <f ca="1">IFERROR(__xludf.DUMMYFUNCTION("""COMPUTED_VALUE"""),"Female")</f>
        <v>Female</v>
      </c>
    </row>
    <row r="20" spans="1:18" ht="15.75" customHeight="1">
      <c r="A20">
        <f ca="1">IFERROR(__xludf.DUMMYFUNCTION("""COMPUTED_VALUE"""),23)</f>
        <v>23</v>
      </c>
      <c r="B20" t="str">
        <f ca="1">IFERROR(__xludf.DUMMYFUNCTION("""COMPUTED_VALUE"""),"Main &amp; Cassidy (1988)")</f>
        <v>Main &amp; Cassidy (1988)</v>
      </c>
      <c r="C20">
        <f ca="1">IFERROR(__xludf.DUMMYFUNCTION("""COMPUTED_VALUE"""),2)</f>
        <v>2</v>
      </c>
      <c r="D20" t="str">
        <f ca="1">IFERROR(__xludf.DUMMYFUNCTION("""COMPUTED_VALUE"""),"Father-child")</f>
        <v>Father-child</v>
      </c>
      <c r="E20" t="str">
        <f ca="1">IFERROR(__xludf.DUMMYFUNCTION("""COMPUTED_VALUE"""),"Infancy - Preschool")</f>
        <v>Infancy - Preschool</v>
      </c>
      <c r="F20" s="125">
        <f ca="1">IFERROR(__xludf.DUMMYFUNCTION("""COMPUTED_VALUE"""),33)</f>
        <v>33</v>
      </c>
      <c r="G20" t="str">
        <f ca="1">IFERROR(__xludf.DUMMYFUNCTION("""COMPUTED_VALUE"""),"0.2765598651")</f>
        <v>0.2765598651</v>
      </c>
      <c r="H20" t="str">
        <f ca="1">IFERROR(__xludf.DUMMYFUNCTION("""COMPUTED_VALUE"""),"0.6060606061")</f>
        <v>0.6060606061</v>
      </c>
      <c r="I20">
        <f ca="1">IFERROR(__xludf.DUMMYFUNCTION("""COMPUTED_VALUE"""),1988)</f>
        <v>1988</v>
      </c>
      <c r="J20" t="str">
        <f ca="1">IFERROR(__xludf.DUMMYFUNCTION("""COMPUTED_VALUE"""),"USA")</f>
        <v>USA</v>
      </c>
      <c r="K20" t="str">
        <f ca="1">IFERROR(__xludf.DUMMYFUNCTION("""COMPUTED_VALUE"""),"Ainsworth/Main-Cassidy")</f>
        <v>Ainsworth/Main-Cassidy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IFERROR(__xludf.DUMMYFUNCTION("""COMPUTED_VALUE"""),0.77)</f>
        <v>0.77</v>
      </c>
      <c r="Q20">
        <f ca="1">IFERROR(__xludf.DUMMYFUNCTION("""COMPUTED_VALUE"""),1)</f>
        <v>1</v>
      </c>
      <c r="R20" t="str">
        <f ca="1">IFERROR(__xludf.DUMMYFUNCTION("""COMPUTED_VALUE"""),"Male")</f>
        <v>Male</v>
      </c>
    </row>
    <row r="21" spans="1:18" ht="15.75" customHeight="1">
      <c r="A21">
        <f ca="1">IFERROR(__xludf.DUMMYFUNCTION("""COMPUTED_VALUE"""),27)</f>
        <v>27</v>
      </c>
      <c r="B21" t="str">
        <f ca="1">IFERROR(__xludf.DUMMYFUNCTION("""COMPUTED_VALUE"""),"Milentijevic, Altman &amp; Ward (1995)")</f>
        <v>Milentijevic, Altman &amp; Ward (1995)</v>
      </c>
      <c r="C21">
        <f ca="1">IFERROR(__xludf.DUMMYFUNCTION("""COMPUTED_VALUE"""),1)</f>
        <v>1</v>
      </c>
      <c r="D21" t="str">
        <f ca="1">IFERROR(__xludf.DUMMYFUNCTION("""COMPUTED_VALUE"""),"Single sample")</f>
        <v>Single sample</v>
      </c>
      <c r="E21" t="str">
        <f ca="1">IFERROR(__xludf.DUMMYFUNCTION("""COMPUTED_VALUE"""),"Infancy - Preschool")</f>
        <v>Infancy - Preschool</v>
      </c>
      <c r="F21" s="125">
        <f ca="1">IFERROR(__xludf.DUMMYFUNCTION("""COMPUTED_VALUE"""),86)</f>
        <v>86</v>
      </c>
      <c r="G21" t="str">
        <f ca="1">IFERROR(__xludf.DUMMYFUNCTION("""COMPUTED_VALUE"""),"0.0746835443")</f>
        <v>0.0746835443</v>
      </c>
      <c r="H21" t="str">
        <f ca="1">IFERROR(__xludf.DUMMYFUNCTION("""COMPUTED_VALUE"""),"0.4069767442")</f>
        <v>0.4069767442</v>
      </c>
      <c r="I21">
        <f ca="1">IFERROR(__xludf.DUMMYFUNCTION("""COMPUTED_VALUE"""),1995)</f>
        <v>1995</v>
      </c>
      <c r="J21" t="str">
        <f ca="1">IFERROR(__xludf.DUMMYFUNCTION("""COMPUTED_VALUE"""),"USA")</f>
        <v>USA</v>
      </c>
      <c r="K21" t="str">
        <f ca="1">IFERROR(__xludf.DUMMYFUNCTION("""COMPUTED_VALUE"""),"Ainsworth/Cassidy-Marvin")</f>
        <v>Ainsworth/Cassidy-Marvin</v>
      </c>
      <c r="L21">
        <f ca="1">IFERROR(__xludf.DUMMYFUNCTION("""COMPUTED_VALUE"""),0)</f>
        <v>0</v>
      </c>
      <c r="M21">
        <f ca="1">IFERROR(__xludf.DUMMYFUNCTION("""COMPUTED_VALUE"""),1)</f>
        <v>1</v>
      </c>
      <c r="N21">
        <f ca="1">IFERROR(__xludf.DUMMYFUNCTION("""COMPUTED_VALUE"""),0)</f>
        <v>0</v>
      </c>
      <c r="O21">
        <f ca="1">IFERROR(__xludf.DUMMYFUNCTION("""COMPUTED_VALUE"""),0)</f>
        <v>0</v>
      </c>
      <c r="P21">
        <f ca="1">IFERROR(__xludf.DUMMYFUNCTION("""COMPUTED_VALUE"""),0.8)</f>
        <v>0.8</v>
      </c>
      <c r="Q21">
        <f ca="1">IFERROR(__xludf.DUMMYFUNCTION("""COMPUTED_VALUE"""),1)</f>
        <v>1</v>
      </c>
      <c r="R21" t="str">
        <f ca="1">IFERROR(__xludf.DUMMYFUNCTION("""COMPUTED_VALUE"""),"Female")</f>
        <v>Female</v>
      </c>
    </row>
    <row r="22" spans="1:18" ht="15.75" customHeight="1">
      <c r="A22">
        <f ca="1">IFERROR(__xludf.DUMMYFUNCTION("""COMPUTED_VALUE"""),28)</f>
        <v>28</v>
      </c>
      <c r="B22" t="str">
        <f ca="1">IFERROR(__xludf.DUMMYFUNCTION("""COMPUTED_VALUE"""),"Moss et al. (2005)")</f>
        <v>Moss et al. (2005)</v>
      </c>
      <c r="C22">
        <f ca="1">IFERROR(__xludf.DUMMYFUNCTION("""COMPUTED_VALUE"""),1)</f>
        <v>1</v>
      </c>
      <c r="D22" t="str">
        <f ca="1">IFERROR(__xludf.DUMMYFUNCTION("""COMPUTED_VALUE"""),"Single sample")</f>
        <v>Single sample</v>
      </c>
      <c r="E22" t="str">
        <f ca="1">IFERROR(__xludf.DUMMYFUNCTION("""COMPUTED_VALUE"""),"Preschool - Preschool")</f>
        <v>Preschool - Preschool</v>
      </c>
      <c r="F22" s="125">
        <f ca="1">IFERROR(__xludf.DUMMYFUNCTION("""COMPUTED_VALUE"""),120)</f>
        <v>120</v>
      </c>
      <c r="G22" t="str">
        <f ca="1">IFERROR(__xludf.DUMMYFUNCTION("""COMPUTED_VALUE"""),"0.4656924306")</f>
        <v>0.4656924306</v>
      </c>
      <c r="H22" t="str">
        <f ca="1">IFERROR(__xludf.DUMMYFUNCTION("""COMPUTED_VALUE"""),"0.675")</f>
        <v>0.675</v>
      </c>
      <c r="I22">
        <f ca="1">IFERROR(__xludf.DUMMYFUNCTION("""COMPUTED_VALUE"""),2005)</f>
        <v>2005</v>
      </c>
      <c r="J22" t="str">
        <f ca="1">IFERROR(__xludf.DUMMYFUNCTION("""COMPUTED_VALUE"""),"Non-USA")</f>
        <v>Non-USA</v>
      </c>
      <c r="K22" t="str">
        <f ca="1">IFERROR(__xludf.DUMMYFUNCTION("""COMPUTED_VALUE"""),"Cassidy-Marvin/Main-Cassidy")</f>
        <v>Cassidy-Marvin/Main-Cassidy</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IFERROR(__xludf.DUMMYFUNCTION("""COMPUTED_VALUE"""),0.895)</f>
        <v>0.89500000000000002</v>
      </c>
      <c r="Q22">
        <f ca="1">IFERROR(__xludf.DUMMYFUNCTION("""COMPUTED_VALUE"""),0)</f>
        <v>0</v>
      </c>
      <c r="R22" t="str">
        <f ca="1">IFERROR(__xludf.DUMMYFUNCTION("""COMPUTED_VALUE"""),"Female")</f>
        <v>Female</v>
      </c>
    </row>
    <row r="23" spans="1:18" ht="15.75" customHeight="1">
      <c r="A23">
        <f ca="1">IFERROR(__xludf.DUMMYFUNCTION("""COMPUTED_VALUE"""),29)</f>
        <v>29</v>
      </c>
      <c r="B23" t="str">
        <f ca="1">IFERROR(__xludf.DUMMYFUNCTION("""COMPUTED_VALUE"""),"NICHD (2001)")</f>
        <v>NICHD (2001)</v>
      </c>
      <c r="C23">
        <f ca="1">IFERROR(__xludf.DUMMYFUNCTION("""COMPUTED_VALUE"""),1)</f>
        <v>1</v>
      </c>
      <c r="D23" t="str">
        <f ca="1">IFERROR(__xludf.DUMMYFUNCTION("""COMPUTED_VALUE"""),"Single sample")</f>
        <v>Single sample</v>
      </c>
      <c r="E23" t="str">
        <f ca="1">IFERROR(__xludf.DUMMYFUNCTION("""COMPUTED_VALUE"""),"Infancy - Toddlerhood")</f>
        <v>Infancy - Toddlerhood</v>
      </c>
      <c r="F23" s="125">
        <f ca="1">IFERROR(__xludf.DUMMYFUNCTION("""COMPUTED_VALUE"""),1060)</f>
        <v>1060</v>
      </c>
      <c r="G23" t="str">
        <f ca="1">IFERROR(__xludf.DUMMYFUNCTION("""COMPUTED_VALUE"""),"0.05734849517")</f>
        <v>0.05734849517</v>
      </c>
      <c r="H23" t="str">
        <f ca="1">IFERROR(__xludf.DUMMYFUNCTION("""COMPUTED_VALUE"""),"0.4641509434")</f>
        <v>0.4641509434</v>
      </c>
      <c r="I23">
        <f ca="1">IFERROR(__xludf.DUMMYFUNCTION("""COMPUTED_VALUE"""),2001)</f>
        <v>2001</v>
      </c>
      <c r="J23" t="str">
        <f ca="1">IFERROR(__xludf.DUMMYFUNCTION("""COMPUTED_VALUE"""),"USA")</f>
        <v>USA</v>
      </c>
      <c r="K23" t="str">
        <f ca="1">IFERROR(__xludf.DUMMYFUNCTION("""COMPUTED_VALUE"""),"Ainsworth/Cassidy-Marvin")</f>
        <v>Ainsworth/Cassidy-Marvin</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IFERROR(__xludf.DUMMYFUNCTION("""COMPUTED_VALUE"""),0.7885)</f>
        <v>0.78849999999999998</v>
      </c>
      <c r="Q23">
        <f ca="1">IFERROR(__xludf.DUMMYFUNCTION("""COMPUTED_VALUE"""),0)</f>
        <v>0</v>
      </c>
      <c r="R23" t="str">
        <f ca="1">IFERROR(__xludf.DUMMYFUNCTION("""COMPUTED_VALUE"""),"Female")</f>
        <v>Female</v>
      </c>
    </row>
    <row r="24" spans="1:18" ht="15.75" customHeight="1">
      <c r="A24">
        <f ca="1">IFERROR(__xludf.DUMMYFUNCTION("""COMPUTED_VALUE"""),30)</f>
        <v>30</v>
      </c>
      <c r="B24" t="str">
        <f ca="1">IFERROR(__xludf.DUMMYFUNCTION("""COMPUTED_VALUE"""),"Rauh et al. (2000)")</f>
        <v>Rauh et al. (2000)</v>
      </c>
      <c r="C24">
        <f ca="1">IFERROR(__xludf.DUMMYFUNCTION("""COMPUTED_VALUE"""),1)</f>
        <v>1</v>
      </c>
      <c r="D24" t="str">
        <f ca="1">IFERROR(__xludf.DUMMYFUNCTION("""COMPUTED_VALUE"""),"Ainsworth-Ainsworth")</f>
        <v>Ainsworth-Ainsworth</v>
      </c>
      <c r="E24" t="str">
        <f ca="1">IFERROR(__xludf.DUMMYFUNCTION("""COMPUTED_VALUE"""),"Infancy - Toddlerhood")</f>
        <v>Infancy - Toddlerhood</v>
      </c>
      <c r="F24" s="125">
        <f ca="1">IFERROR(__xludf.DUMMYFUNCTION("""COMPUTED_VALUE"""),75)</f>
        <v>75</v>
      </c>
      <c r="G24" t="str">
        <f ca="1">IFERROR(__xludf.DUMMYFUNCTION("""COMPUTED_VALUE"""),"0.1321879383")</f>
        <v>0.1321879383</v>
      </c>
      <c r="H24" t="str">
        <f ca="1">IFERROR(__xludf.DUMMYFUNCTION("""COMPUTED_VALUE"""),"0.56")</f>
        <v>0.56</v>
      </c>
      <c r="I24">
        <f ca="1">IFERROR(__xludf.DUMMYFUNCTION("""COMPUTED_VALUE"""),2000)</f>
        <v>2000</v>
      </c>
      <c r="J24" t="str">
        <f ca="1">IFERROR(__xludf.DUMMYFUNCTION("""COMPUTED_VALUE"""),"Non-USA")</f>
        <v>Non-USA</v>
      </c>
      <c r="K24" t="str">
        <f ca="1">IFERROR(__xludf.DUMMYFUNCTION("""COMPUTED_VALUE"""),"Ainsworth/Ainsworth")</f>
        <v>Ainsworth/Ainsworth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IFERROR(__xludf.DUMMYFUNCTION("""COMPUTED_VALUE"""),1)</f>
        <v>1</v>
      </c>
      <c r="R24" t="str">
        <f ca="1">IFERROR(__xludf.DUMMYFUNCTION("""COMPUTED_VALUE"""),"Female")</f>
        <v>Female</v>
      </c>
    </row>
    <row r="25" spans="1:18" ht="15.75" customHeight="1">
      <c r="A25">
        <f ca="1">IFERROR(__xludf.DUMMYFUNCTION("""COMPUTED_VALUE"""),30)</f>
        <v>30</v>
      </c>
      <c r="B25" t="str">
        <f ca="1">IFERROR(__xludf.DUMMYFUNCTION("""COMPUTED_VALUE"""),"Rauh et al. (2000)")</f>
        <v>Rauh et al. (2000)</v>
      </c>
      <c r="C25">
        <f ca="1">IFERROR(__xludf.DUMMYFUNCTION("""COMPUTED_VALUE"""),2)</f>
        <v>2</v>
      </c>
      <c r="D25" t="str">
        <f ca="1">IFERROR(__xludf.DUMMYFUNCTION("""COMPUTED_VALUE"""),"Main-Main")</f>
        <v>Main-Main</v>
      </c>
      <c r="E25" t="str">
        <f ca="1">IFERROR(__xludf.DUMMYFUNCTION("""COMPUTED_VALUE"""),"Infancy - Toddlerhood")</f>
        <v>Infancy - Toddlerhood</v>
      </c>
      <c r="F25" s="125">
        <f ca="1">IFERROR(__xludf.DUMMYFUNCTION("""COMPUTED_VALUE"""),75)</f>
        <v>75</v>
      </c>
      <c r="G25" t="str">
        <f ca="1">IFERROR(__xludf.DUMMYFUNCTION("""COMPUTED_VALUE"""),"0.2075956596")</f>
        <v>0.2075956596</v>
      </c>
      <c r="H25" t="str">
        <f ca="1">IFERROR(__xludf.DUMMYFUNCTION("""COMPUTED_VALUE"""),"0.5066666667")</f>
        <v>0.5066666667</v>
      </c>
      <c r="I25">
        <f ca="1">IFERROR(__xludf.DUMMYFUNCTION("""COMPUTED_VALUE"""),2000)</f>
        <v>2000</v>
      </c>
      <c r="J25" t="str">
        <f ca="1">IFERROR(__xludf.DUMMYFUNCTION("""COMPUTED_VALUE"""),"Non-USA")</f>
        <v>Non-USA</v>
      </c>
      <c r="K25" t="str">
        <f ca="1">IFERROR(__xludf.DUMMYFUNCTION("""COMPUTED_VALUE"""),"Main-Cassidy/Main-Cassidy")</f>
        <v>Main-Cassidy/Main-Cassidy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row>
    <row r="26" spans="1:18" ht="15.75" customHeight="1">
      <c r="A26">
        <f ca="1">IFERROR(__xludf.DUMMYFUNCTION("""COMPUTED_VALUE"""),30)</f>
        <v>30</v>
      </c>
      <c r="B26" t="str">
        <f ca="1">IFERROR(__xludf.DUMMYFUNCTION("""COMPUTED_VALUE"""),"Rauh et al. (2000)")</f>
        <v>Rauh et al. (2000)</v>
      </c>
      <c r="C26">
        <f ca="1">IFERROR(__xludf.DUMMYFUNCTION("""COMPUTED_VALUE"""),3)</f>
        <v>3</v>
      </c>
      <c r="D26" t="str">
        <f ca="1">IFERROR(__xludf.DUMMYFUNCTION("""COMPUTED_VALUE"""),"Main-Ainsworth")</f>
        <v>Main-Ainsworth</v>
      </c>
      <c r="E26" t="str">
        <f ca="1">IFERROR(__xludf.DUMMYFUNCTION("""COMPUTED_VALUE"""),"Infancy - Toddlerhood")</f>
        <v>Infancy - Toddlerhood</v>
      </c>
      <c r="F26" s="125">
        <f ca="1">IFERROR(__xludf.DUMMYFUNCTION("""COMPUTED_VALUE"""),75)</f>
        <v>75</v>
      </c>
      <c r="G26" t="str">
        <f ca="1">IFERROR(__xludf.DUMMYFUNCTION("""COMPUTED_VALUE"""),"0.04229848364")</f>
        <v>0.04229848364</v>
      </c>
      <c r="H26" t="str">
        <f ca="1">IFERROR(__xludf.DUMMYFUNCTION("""COMPUTED_VALUE"""),"0.36")</f>
        <v>0.36</v>
      </c>
      <c r="I26">
        <f ca="1">IFERROR(__xludf.DUMMYFUNCTION("""COMPUTED_VALUE"""),2000)</f>
        <v>2000</v>
      </c>
      <c r="J26" t="str">
        <f ca="1">IFERROR(__xludf.DUMMYFUNCTION("""COMPUTED_VALUE"""),"Non-USA")</f>
        <v>Non-USA</v>
      </c>
      <c r="K26" t="str">
        <f ca="1">IFERROR(__xludf.DUMMYFUNCTION("""COMPUTED_VALUE"""),"Main-Cassidy/Ainsworth")</f>
        <v>Main-Cassidy/Ainsworth</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row>
    <row r="27" spans="1:18" ht="12.3">
      <c r="A27">
        <f ca="1">IFERROR(__xludf.DUMMYFUNCTION("""COMPUTED_VALUE"""),30)</f>
        <v>30</v>
      </c>
      <c r="B27" t="str">
        <f ca="1">IFERROR(__xludf.DUMMYFUNCTION("""COMPUTED_VALUE"""),"Rauh et al. (2000)")</f>
        <v>Rauh et al. (2000)</v>
      </c>
      <c r="C27">
        <f ca="1">IFERROR(__xludf.DUMMYFUNCTION("""COMPUTED_VALUE"""),4)</f>
        <v>4</v>
      </c>
      <c r="D27" t="str">
        <f ca="1">IFERROR(__xludf.DUMMYFUNCTION("""COMPUTED_VALUE"""),"Ainsworth-Main")</f>
        <v>Ainsworth-Main</v>
      </c>
      <c r="E27" t="str">
        <f ca="1">IFERROR(__xludf.DUMMYFUNCTION("""COMPUTED_VALUE"""),"Infancy - Toddlerhood")</f>
        <v>Infancy - Toddlerhood</v>
      </c>
      <c r="F27" s="125">
        <f ca="1">IFERROR(__xludf.DUMMYFUNCTION("""COMPUTED_VALUE"""),75)</f>
        <v>75</v>
      </c>
      <c r="G27" t="str">
        <f ca="1">IFERROR(__xludf.DUMMYFUNCTION("""COMPUTED_VALUE"""),"0.05737704918")</f>
        <v>0.05737704918</v>
      </c>
      <c r="H27" t="str">
        <f ca="1">IFERROR(__xludf.DUMMYFUNCTION("""COMPUTED_VALUE"""),"0.3866666667")</f>
        <v>0.3866666667</v>
      </c>
      <c r="I27">
        <f ca="1">IFERROR(__xludf.DUMMYFUNCTION("""COMPUTED_VALUE"""),2000)</f>
        <v>2000</v>
      </c>
      <c r="J27" t="str">
        <f ca="1">IFERROR(__xludf.DUMMYFUNCTION("""COMPUTED_VALUE"""),"Non-USA")</f>
        <v>Non-USA</v>
      </c>
      <c r="K27" t="str">
        <f ca="1">IFERROR(__xludf.DUMMYFUNCTION("""COMPUTED_VALUE"""),"Ainsworth/Main-Cassidy")</f>
        <v>Ainsworth/Main-Cassidy</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row>
    <row r="28" spans="1:18" ht="12.3">
      <c r="A28">
        <f ca="1">IFERROR(__xludf.DUMMYFUNCTION("""COMPUTED_VALUE"""),30)</f>
        <v>30</v>
      </c>
      <c r="B28" t="str">
        <f ca="1">IFERROR(__xludf.DUMMYFUNCTION("""COMPUTED_VALUE"""),"Rauh et al. (2000)")</f>
        <v>Rauh et al. (2000)</v>
      </c>
      <c r="C28">
        <f ca="1">IFERROR(__xludf.DUMMYFUNCTION("""COMPUTED_VALUE"""),5)</f>
        <v>5</v>
      </c>
      <c r="D28" t="str">
        <f ca="1">IFERROR(__xludf.DUMMYFUNCTION("""COMPUTED_VALUE"""),"Main-Crittenden")</f>
        <v>Main-Crittenden</v>
      </c>
      <c r="E28" t="str">
        <f ca="1">IFERROR(__xludf.DUMMYFUNCTION("""COMPUTED_VALUE"""),"Infancy - Toddlerhood")</f>
        <v>Infancy - Toddlerhood</v>
      </c>
      <c r="F28" s="125">
        <f ca="1">IFERROR(__xludf.DUMMYFUNCTION("""COMPUTED_VALUE"""),75)</f>
        <v>75</v>
      </c>
      <c r="G28" t="str">
        <f ca="1">IFERROR(__xludf.DUMMYFUNCTION("""COMPUTED_VALUE"""),"0.04918032787")</f>
        <v>0.04918032787</v>
      </c>
      <c r="H28" t="str">
        <f ca="1">IFERROR(__xludf.DUMMYFUNCTION("""COMPUTED_VALUE"""),"0.2266666667")</f>
        <v>0.2266666667</v>
      </c>
      <c r="I28">
        <f ca="1">IFERROR(__xludf.DUMMYFUNCTION("""COMPUTED_VALUE"""),2000)</f>
        <v>2000</v>
      </c>
      <c r="J28" t="str">
        <f ca="1">IFERROR(__xludf.DUMMYFUNCTION("""COMPUTED_VALUE"""),"Non-USA")</f>
        <v>Non-USA</v>
      </c>
      <c r="K28" t="str">
        <f ca="1">IFERROR(__xludf.DUMMYFUNCTION("""COMPUTED_VALUE"""),"Main-Cassidy/Crittenden")</f>
        <v>Main-Cassidy/Crittenden</v>
      </c>
      <c r="L28">
        <f ca="1">IFERROR(__xludf.DUMMYFUNCTION("""COMPUTED_VALUE"""),1)</f>
        <v>1</v>
      </c>
      <c r="M28">
        <f ca="1">IFERROR(__xludf.DUMMYFUNCTION("""COMPUTED_VALUE"""),0)</f>
        <v>0</v>
      </c>
      <c r="N28">
        <f ca="1">IFERROR(__xludf.DUMMYFUNCTION("""COMPUTED_VALUE"""),0)</f>
        <v>0</v>
      </c>
      <c r="O28">
        <f ca="1">IFERROR(__xludf.DUMMYFUNCTION("""COMPUTED_VALUE"""),1)</f>
        <v>1</v>
      </c>
      <c r="P28">
        <f ca="1">IFERROR(__xludf.DUMMYFUNCTION("""COMPUTED_VALUE"""),0.94)</f>
        <v>0.94</v>
      </c>
      <c r="Q28">
        <f ca="1">IFERROR(__xludf.DUMMYFUNCTION("""COMPUTED_VALUE"""),0)</f>
        <v>0</v>
      </c>
      <c r="R28" t="str">
        <f ca="1">IFERROR(__xludf.DUMMYFUNCTION("""COMPUTED_VALUE"""),"Female")</f>
        <v>Female</v>
      </c>
    </row>
    <row r="29" spans="1:18" ht="12.3">
      <c r="A29">
        <f ca="1">IFERROR(__xludf.DUMMYFUNCTION("""COMPUTED_VALUE"""),30)</f>
        <v>30</v>
      </c>
      <c r="B29" t="str">
        <f ca="1">IFERROR(__xludf.DUMMYFUNCTION("""COMPUTED_VALUE"""),"Rauh et al. (2000)")</f>
        <v>Rauh et al. (2000)</v>
      </c>
      <c r="C29">
        <f ca="1">IFERROR(__xludf.DUMMYFUNCTION("""COMPUTED_VALUE"""),6)</f>
        <v>6</v>
      </c>
      <c r="D29" t="str">
        <f ca="1">IFERROR(__xludf.DUMMYFUNCTION("""COMPUTED_VALUE"""),"Ainsworth-Crittenden")</f>
        <v>Ainsworth-Crittenden</v>
      </c>
      <c r="E29" t="str">
        <f ca="1">IFERROR(__xludf.DUMMYFUNCTION("""COMPUTED_VALUE"""),"Infancy - Toddlerhood")</f>
        <v>Infancy - Toddlerhood</v>
      </c>
      <c r="F29" s="125">
        <f ca="1">IFERROR(__xludf.DUMMYFUNCTION("""COMPUTED_VALUE"""),75)</f>
        <v>75</v>
      </c>
      <c r="G29" t="str">
        <f ca="1">IFERROR(__xludf.DUMMYFUNCTION("""COMPUTED_VALUE"""),"0.05628002745")</f>
        <v>0.05628002745</v>
      </c>
      <c r="H29" t="str">
        <f ca="1">IFERROR(__xludf.DUMMYFUNCTION("""COMPUTED_VALUE"""),"0.2666666667")</f>
        <v>0.2666666667</v>
      </c>
      <c r="I29">
        <f ca="1">IFERROR(__xludf.DUMMYFUNCTION("""COMPUTED_VALUE"""),2000)</f>
        <v>2000</v>
      </c>
      <c r="J29" t="str">
        <f ca="1">IFERROR(__xludf.DUMMYFUNCTION("""COMPUTED_VALUE"""),"Non-USA")</f>
        <v>Non-USA</v>
      </c>
      <c r="K29" t="str">
        <f ca="1">IFERROR(__xludf.DUMMYFUNCTION("""COMPUTED_VALUE"""),"Ainsworth/Crittenden")</f>
        <v>Ainsworth/Crittenden</v>
      </c>
      <c r="L29">
        <f ca="1">IFERROR(__xludf.DUMMYFUNCTION("""COMPUTED_VALUE"""),1)</f>
        <v>1</v>
      </c>
      <c r="M29">
        <f ca="1">IFERROR(__xludf.DUMMYFUNCTION("""COMPUTED_VALUE"""),0)</f>
        <v>0</v>
      </c>
      <c r="N29">
        <f ca="1">IFERROR(__xludf.DUMMYFUNCTION("""COMPUTED_VALUE"""),0)</f>
        <v>0</v>
      </c>
      <c r="O29">
        <f ca="1">IFERROR(__xludf.DUMMYFUNCTION("""COMPUTED_VALUE"""),1)</f>
        <v>1</v>
      </c>
      <c r="P29">
        <f ca="1">IFERROR(__xludf.DUMMYFUNCTION("""COMPUTED_VALUE"""),0.94)</f>
        <v>0.94</v>
      </c>
      <c r="Q29">
        <f ca="1">IFERROR(__xludf.DUMMYFUNCTION("""COMPUTED_VALUE"""),0)</f>
        <v>0</v>
      </c>
      <c r="R29" t="str">
        <f ca="1">IFERROR(__xludf.DUMMYFUNCTION("""COMPUTED_VALUE"""),"Female")</f>
        <v>Female</v>
      </c>
    </row>
    <row r="30" spans="1:18" ht="12.3">
      <c r="A30">
        <f ca="1">IFERROR(__xludf.DUMMYFUNCTION("""COMPUTED_VALUE"""),31)</f>
        <v>31</v>
      </c>
      <c r="B30" t="str">
        <f ca="1">IFERROR(__xludf.DUMMYFUNCTION("""COMPUTED_VALUE"""),"Seifer et al. (2004) ")</f>
        <v xml:space="preserve">Seifer et al. (2004) </v>
      </c>
      <c r="C30">
        <f ca="1">IFERROR(__xludf.DUMMYFUNCTION("""COMPUTED_VALUE"""),1)</f>
        <v>1</v>
      </c>
      <c r="D30" t="str">
        <f ca="1">IFERROR(__xludf.DUMMYFUNCTION("""COMPUTED_VALUE"""),"Single sample")</f>
        <v>Single sample</v>
      </c>
      <c r="E30" t="str">
        <f ca="1">IFERROR(__xludf.DUMMYFUNCTION("""COMPUTED_VALUE"""),"Infancy - Toddlerhood")</f>
        <v>Infancy - Toddlerhood</v>
      </c>
      <c r="F30" s="125">
        <f ca="1">IFERROR(__xludf.DUMMYFUNCTION("""COMPUTED_VALUE"""),601)</f>
        <v>601</v>
      </c>
      <c r="G30" t="str">
        <f ca="1">IFERROR(__xludf.DUMMYFUNCTION("""COMPUTED_VALUE"""),"0.05926431652")</f>
        <v>0.05926431652</v>
      </c>
      <c r="H30" t="str">
        <f ca="1">IFERROR(__xludf.DUMMYFUNCTION("""COMPUTED_VALUE"""),"0.53078203")</f>
        <v>0.53078203</v>
      </c>
      <c r="I30">
        <f ca="1">IFERROR(__xludf.DUMMYFUNCTION("""COMPUTED_VALUE"""),2004)</f>
        <v>2004</v>
      </c>
      <c r="J30" t="str">
        <f ca="1">IFERROR(__xludf.DUMMYFUNCTION("""COMPUTED_VALUE"""),"USA")</f>
        <v>USA</v>
      </c>
      <c r="K30" t="str">
        <f ca="1">IFERROR(__xludf.DUMMYFUNCTION("""COMPUTED_VALUE"""),"Ainsworth/Cassidy-Marvin")</f>
        <v>Ainsworth/Cassidy-Marvin</v>
      </c>
      <c r="L30">
        <f ca="1">IFERROR(__xludf.DUMMYFUNCTION("""COMPUTED_VALUE"""),1)</f>
        <v>1</v>
      </c>
      <c r="M30">
        <f ca="1">IFERROR(__xludf.DUMMYFUNCTION("""COMPUTED_VALUE"""),1)</f>
        <v>1</v>
      </c>
      <c r="N30">
        <f ca="1">IFERROR(__xludf.DUMMYFUNCTION("""COMPUTED_VALUE"""),0)</f>
        <v>0</v>
      </c>
      <c r="O30">
        <f ca="1">IFERROR(__xludf.DUMMYFUNCTION("""COMPUTED_VALUE"""),1)</f>
        <v>1</v>
      </c>
      <c r="P30">
        <f ca="1">IFERROR(__xludf.DUMMYFUNCTION("""COMPUTED_VALUE"""),0.900244462224634)</f>
        <v>0.90024446222463395</v>
      </c>
      <c r="Q30">
        <f ca="1">IFERROR(__xludf.DUMMYFUNCTION("""COMPUTED_VALUE"""),0)</f>
        <v>0</v>
      </c>
      <c r="R30" t="str">
        <f ca="1">IFERROR(__xludf.DUMMYFUNCTION("""COMPUTED_VALUE"""),"Female")</f>
        <v>Female</v>
      </c>
    </row>
    <row r="31" spans="1:18" ht="12.3">
      <c r="A31">
        <f ca="1">IFERROR(__xludf.DUMMYFUNCTION("""COMPUTED_VALUE"""),32)</f>
        <v>32</v>
      </c>
      <c r="B31" t="str">
        <f ca="1">IFERROR(__xludf.DUMMYFUNCTION("""COMPUTED_VALUE"""),"Steele, Steele &amp; Fonagy (1996)")</f>
        <v>Steele, Steele &amp; Fonagy (1996)</v>
      </c>
      <c r="C31">
        <f ca="1">IFERROR(__xludf.DUMMYFUNCTION("""COMPUTED_VALUE"""),1)</f>
        <v>1</v>
      </c>
      <c r="D31" t="str">
        <f ca="1">IFERROR(__xludf.DUMMYFUNCTION("""COMPUTED_VALUE"""),"Mother-child")</f>
        <v>Mother-child</v>
      </c>
      <c r="E31" t="str">
        <f ca="1">IFERROR(__xludf.DUMMYFUNCTION("""COMPUTED_VALUE"""),"Infancy - Preschool")</f>
        <v>Infancy - Preschool</v>
      </c>
      <c r="F31" s="125">
        <f ca="1">IFERROR(__xludf.DUMMYFUNCTION("""COMPUTED_VALUE"""),88)</f>
        <v>88</v>
      </c>
      <c r="G31" t="str">
        <f ca="1">IFERROR(__xludf.DUMMYFUNCTION("""COMPUTED_VALUE"""),"0.0753409345")</f>
        <v>0.0753409345</v>
      </c>
      <c r="H31" t="str">
        <f ca="1">IFERROR(__xludf.DUMMYFUNCTION("""COMPUTED_VALUE"""),"0.4659090909")</f>
        <v>0.4659090909</v>
      </c>
      <c r="I31">
        <f ca="1">IFERROR(__xludf.DUMMYFUNCTION("""COMPUTED_VALUE"""),1996)</f>
        <v>1996</v>
      </c>
      <c r="J31" t="str">
        <f ca="1">IFERROR(__xludf.DUMMYFUNCTION("""COMPUTED_VALUE"""),"Non-USA")</f>
        <v>Non-USA</v>
      </c>
      <c r="K31" t="str">
        <f ca="1">IFERROR(__xludf.DUMMYFUNCTION("""COMPUTED_VALUE"""),"Ainsworth/Cassidy-Marvin")</f>
        <v>Ainsworth/Cassidy-Marvin</v>
      </c>
      <c r="L31">
        <f ca="1">IFERROR(__xludf.DUMMYFUNCTION("""COMPUTED_VALUE"""),0)</f>
        <v>0</v>
      </c>
      <c r="M31">
        <f ca="1">IFERROR(__xludf.DUMMYFUNCTION("""COMPUTED_VALUE"""),0)</f>
        <v>0</v>
      </c>
      <c r="N31">
        <f ca="1">IFERROR(__xludf.DUMMYFUNCTION("""COMPUTED_VALUE"""),0)</f>
        <v>0</v>
      </c>
      <c r="O31">
        <f ca="1">IFERROR(__xludf.DUMMYFUNCTION("""COMPUTED_VALUE"""),0)</f>
        <v>0</v>
      </c>
      <c r="P31">
        <f ca="1">IFERROR(__xludf.DUMMYFUNCTION("""COMPUTED_VALUE"""),0.91)</f>
        <v>0.91</v>
      </c>
      <c r="Q31">
        <f ca="1">IFERROR(__xludf.DUMMYFUNCTION("""COMPUTED_VALUE"""),1)</f>
        <v>1</v>
      </c>
      <c r="R31" t="str">
        <f ca="1">IFERROR(__xludf.DUMMYFUNCTION("""COMPUTED_VALUE"""),"Female")</f>
        <v>Female</v>
      </c>
    </row>
    <row r="32" spans="1:18" ht="12.3">
      <c r="A32">
        <f ca="1">IFERROR(__xludf.DUMMYFUNCTION("""COMPUTED_VALUE"""),32)</f>
        <v>32</v>
      </c>
      <c r="B32" t="str">
        <f ca="1">IFERROR(__xludf.DUMMYFUNCTION("""COMPUTED_VALUE"""),"Steele, Steele &amp; Fonagy (1996)")</f>
        <v>Steele, Steele &amp; Fonagy (1996)</v>
      </c>
      <c r="C32">
        <f ca="1">IFERROR(__xludf.DUMMYFUNCTION("""COMPUTED_VALUE"""),1)</f>
        <v>1</v>
      </c>
      <c r="D32" t="str">
        <f ca="1">IFERROR(__xludf.DUMMYFUNCTION("""COMPUTED_VALUE"""),"Father-child")</f>
        <v>Father-child</v>
      </c>
      <c r="E32" t="str">
        <f ca="1">IFERROR(__xludf.DUMMYFUNCTION("""COMPUTED_VALUE"""),"Infancy - Preschool")</f>
        <v>Infancy - Preschool</v>
      </c>
      <c r="F32" s="125">
        <f ca="1">IFERROR(__xludf.DUMMYFUNCTION("""COMPUTED_VALUE"""),68)</f>
        <v>68</v>
      </c>
      <c r="G32" t="str">
        <f ca="1">IFERROR(__xludf.DUMMYFUNCTION("""COMPUTED_VALUE"""),"0.2349234923")</f>
        <v>0.2349234923</v>
      </c>
      <c r="H32" t="str">
        <f ca="1">IFERROR(__xludf.DUMMYFUNCTION("""COMPUTED_VALUE"""),"0.6323529412")</f>
        <v>0.6323529412</v>
      </c>
      <c r="I32">
        <f ca="1">IFERROR(__xludf.DUMMYFUNCTION("""COMPUTED_VALUE"""),1996)</f>
        <v>1996</v>
      </c>
      <c r="J32" t="str">
        <f ca="1">IFERROR(__xludf.DUMMYFUNCTION("""COMPUTED_VALUE"""),"Non-USA")</f>
        <v>Non-USA</v>
      </c>
      <c r="K32" t="str">
        <f ca="1">IFERROR(__xludf.DUMMYFUNCTION("""COMPUTED_VALUE"""),"Ainsworth/Cassidy-Marvin")</f>
        <v>Ainsworth/Cassidy-Marvin</v>
      </c>
      <c r="L32">
        <f ca="1">IFERROR(__xludf.DUMMYFUNCTION("""COMPUTED_VALUE"""),0)</f>
        <v>0</v>
      </c>
      <c r="M32">
        <f ca="1">IFERROR(__xludf.DUMMYFUNCTION("""COMPUTED_VALUE"""),0)</f>
        <v>0</v>
      </c>
      <c r="N32">
        <f ca="1">IFERROR(__xludf.DUMMYFUNCTION("""COMPUTED_VALUE"""),0)</f>
        <v>0</v>
      </c>
      <c r="O32">
        <f ca="1">IFERROR(__xludf.DUMMYFUNCTION("""COMPUTED_VALUE"""),0)</f>
        <v>0</v>
      </c>
      <c r="P32">
        <f ca="1">IFERROR(__xludf.DUMMYFUNCTION("""COMPUTED_VALUE"""),0.91)</f>
        <v>0.91</v>
      </c>
      <c r="Q32">
        <f ca="1">IFERROR(__xludf.DUMMYFUNCTION("""COMPUTED_VALUE"""),1)</f>
        <v>1</v>
      </c>
      <c r="R32" t="str">
        <f ca="1">IFERROR(__xludf.DUMMYFUNCTION("""COMPUTED_VALUE"""),"Male")</f>
        <v>Male</v>
      </c>
    </row>
    <row r="33" spans="1:18" ht="12.3">
      <c r="A33">
        <f ca="1">IFERROR(__xludf.DUMMYFUNCTION("""COMPUTED_VALUE"""),33)</f>
        <v>33</v>
      </c>
      <c r="B33" t="str">
        <f ca="1">IFERROR(__xludf.DUMMYFUNCTION("""COMPUTED_VALUE"""),"Stevenson-Hinde &amp; Shouldice (1990)")</f>
        <v>Stevenson-Hinde &amp; Shouldice (1990)</v>
      </c>
      <c r="C33">
        <f ca="1">IFERROR(__xludf.DUMMYFUNCTION("""COMPUTED_VALUE"""),1)</f>
        <v>1</v>
      </c>
      <c r="D33" t="str">
        <f ca="1">IFERROR(__xludf.DUMMYFUNCTION("""COMPUTED_VALUE"""),"Single sample")</f>
        <v>Single sample</v>
      </c>
      <c r="E33" t="str">
        <f ca="1">IFERROR(__xludf.DUMMYFUNCTION("""COMPUTED_VALUE"""),"Toddlerhood - Preschool")</f>
        <v>Toddlerhood - Preschool</v>
      </c>
      <c r="F33" s="125">
        <f ca="1">IFERROR(__xludf.DUMMYFUNCTION("""COMPUTED_VALUE"""),78)</f>
        <v>78</v>
      </c>
      <c r="G33" t="str">
        <f ca="1">IFERROR(__xludf.DUMMYFUNCTION("""COMPUTED_VALUE"""),"0.3806352459")</f>
        <v>0.3806352459</v>
      </c>
      <c r="H33" t="str">
        <f ca="1">IFERROR(__xludf.DUMMYFUNCTION("""COMPUTED_VALUE"""),"0.6025641026")</f>
        <v>0.6025641026</v>
      </c>
      <c r="I33">
        <f ca="1">IFERROR(__xludf.DUMMYFUNCTION("""COMPUTED_VALUE"""),1990)</f>
        <v>1990</v>
      </c>
      <c r="J33" t="str">
        <f ca="1">IFERROR(__xludf.DUMMYFUNCTION("""COMPUTED_VALUE"""),"Non-USA")</f>
        <v>Non-USA</v>
      </c>
      <c r="K33" t="str">
        <f ca="1">IFERROR(__xludf.DUMMYFUNCTION("""COMPUTED_VALUE"""),"Ainsworth/Cassidy-Marvin")</f>
        <v>Ainsworth/Cassidy-Marvin</v>
      </c>
      <c r="L33">
        <f ca="1">IFERROR(__xludf.DUMMYFUNCTION("""COMPUTED_VALUE"""),1)</f>
        <v>1</v>
      </c>
      <c r="M33">
        <f ca="1">IFERROR(__xludf.DUMMYFUNCTION("""COMPUTED_VALUE"""),0)</f>
        <v>0</v>
      </c>
      <c r="N33">
        <f ca="1">IFERROR(__xludf.DUMMYFUNCTION("""COMPUTED_VALUE"""),0)</f>
        <v>0</v>
      </c>
      <c r="O33">
        <f ca="1">IFERROR(__xludf.DUMMYFUNCTION("""COMPUTED_VALUE"""),1)</f>
        <v>1</v>
      </c>
      <c r="P33">
        <f ca="1">IFERROR(__xludf.DUMMYFUNCTION("""COMPUTED_VALUE"""),0.88)</f>
        <v>0.88</v>
      </c>
      <c r="Q33">
        <f ca="1">IFERROR(__xludf.DUMMYFUNCTION("""COMPUTED_VALUE"""),0)</f>
        <v>0</v>
      </c>
      <c r="R33" t="str">
        <f ca="1">IFERROR(__xludf.DUMMYFUNCTION("""COMPUTED_VALUE"""),"Female")</f>
        <v>Female</v>
      </c>
    </row>
    <row r="34" spans="1:18" ht="12.3">
      <c r="A34">
        <f ca="1">IFERROR(__xludf.DUMMYFUNCTION("""COMPUTED_VALUE"""),35)</f>
        <v>35</v>
      </c>
      <c r="B34" t="str">
        <f ca="1">IFERROR(__xludf.DUMMYFUNCTION("""COMPUTED_VALUE"""),"Wartner et al. (1994) ")</f>
        <v xml:space="preserve">Wartner et al. (1994) </v>
      </c>
      <c r="C34">
        <f ca="1">IFERROR(__xludf.DUMMYFUNCTION("""COMPUTED_VALUE"""),1)</f>
        <v>1</v>
      </c>
      <c r="D34" t="str">
        <f ca="1">IFERROR(__xludf.DUMMYFUNCTION("""COMPUTED_VALUE"""),"Single sample")</f>
        <v>Single sample</v>
      </c>
      <c r="E34" t="str">
        <f ca="1">IFERROR(__xludf.DUMMYFUNCTION("""COMPUTED_VALUE"""),"Infancy - Preschool")</f>
        <v>Infancy - Preschool</v>
      </c>
      <c r="F34" s="125">
        <f ca="1">IFERROR(__xludf.DUMMYFUNCTION("""COMPUTED_VALUE"""),39)</f>
        <v>39</v>
      </c>
      <c r="G34" t="str">
        <f ca="1">IFERROR(__xludf.DUMMYFUNCTION("""COMPUTED_VALUE"""),"0.7159209157")</f>
        <v>0.7159209157</v>
      </c>
      <c r="H34" t="str">
        <f ca="1">IFERROR(__xludf.DUMMYFUNCTION("""COMPUTED_VALUE"""),"0.8205128205")</f>
        <v>0.8205128205</v>
      </c>
      <c r="I34">
        <f ca="1">IFERROR(__xludf.DUMMYFUNCTION("""COMPUTED_VALUE"""),1994)</f>
        <v>1994</v>
      </c>
      <c r="J34" t="str">
        <f ca="1">IFERROR(__xludf.DUMMYFUNCTION("""COMPUTED_VALUE"""),"Non-USA")</f>
        <v>Non-USA</v>
      </c>
      <c r="K34" t="str">
        <f ca="1">IFERROR(__xludf.DUMMYFUNCTION("""COMPUTED_VALUE"""),"Ainsworth/Main-Cassidy")</f>
        <v>Ainsworth/Main-Cassidy</v>
      </c>
      <c r="L34">
        <f ca="1">IFERROR(__xludf.DUMMYFUNCTION("""COMPUTED_VALUE"""),0)</f>
        <v>0</v>
      </c>
      <c r="M34">
        <f ca="1">IFERROR(__xludf.DUMMYFUNCTION("""COMPUTED_VALUE"""),0)</f>
        <v>0</v>
      </c>
      <c r="N34">
        <f ca="1">IFERROR(__xludf.DUMMYFUNCTION("""COMPUTED_VALUE"""),0)</f>
        <v>0</v>
      </c>
      <c r="O34">
        <f ca="1">IFERROR(__xludf.DUMMYFUNCTION("""COMPUTED_VALUE"""),1)</f>
        <v>1</v>
      </c>
      <c r="P34">
        <f ca="1">IFERROR(__xludf.DUMMYFUNCTION("""COMPUTED_VALUE"""),0.97)</f>
        <v>0.97</v>
      </c>
      <c r="Q34">
        <f ca="1">IFERROR(__xludf.DUMMYFUNCTION("""COMPUTED_VALUE"""),1)</f>
        <v>1</v>
      </c>
      <c r="R34" t="str">
        <f ca="1">IFERROR(__xludf.DUMMYFUNCTION("""COMPUTED_VALUE"""),"Female")</f>
        <v>Female</v>
      </c>
    </row>
    <row r="35" spans="1:18" ht="12.3">
      <c r="A35">
        <f ca="1">IFERROR(__xludf.DUMMYFUNCTION("""COMPUTED_VALUE"""),36)</f>
        <v>36</v>
      </c>
      <c r="B35" t="str">
        <f ca="1">IFERROR(__xludf.DUMMYFUNCTION("""COMPUTED_VALUE"""),"Waters &amp; Valenzuela (1999)")</f>
        <v>Waters &amp; Valenzuela (1999)</v>
      </c>
      <c r="C35">
        <f ca="1">IFERROR(__xludf.DUMMYFUNCTION("""COMPUTED_VALUE"""),1)</f>
        <v>1</v>
      </c>
      <c r="D35" t="str">
        <f ca="1">IFERROR(__xludf.DUMMYFUNCTION("""COMPUTED_VALUE"""),"Well nourished")</f>
        <v>Well nourished</v>
      </c>
      <c r="E35" t="str">
        <f ca="1">IFERROR(__xludf.DUMMYFUNCTION("""COMPUTED_VALUE"""),"Infancy - Toddlerhood")</f>
        <v>Infancy - Toddlerhood</v>
      </c>
      <c r="F35" s="125">
        <f ca="1">IFERROR(__xludf.DUMMYFUNCTION("""COMPUTED_VALUE"""),34)</f>
        <v>34</v>
      </c>
      <c r="G35" t="str">
        <f ca="1">IFERROR(__xludf.DUMMYFUNCTION("""COMPUTED_VALUE"""),"0.3685714286")</f>
        <v>0.3685714286</v>
      </c>
      <c r="H35" t="str">
        <f ca="1">IFERROR(__xludf.DUMMYFUNCTION("""COMPUTED_VALUE"""),"0.6176470588")</f>
        <v>0.6176470588</v>
      </c>
      <c r="I35">
        <f ca="1">IFERROR(__xludf.DUMMYFUNCTION("""COMPUTED_VALUE"""),1999)</f>
        <v>1999</v>
      </c>
      <c r="J35" t="str">
        <f ca="1">IFERROR(__xludf.DUMMYFUNCTION("""COMPUTED_VALUE"""),"Non-USA")</f>
        <v>Non-USA</v>
      </c>
      <c r="K35" t="str">
        <f ca="1">IFERROR(__xludf.DUMMYFUNCTION("""COMPUTED_VALUE"""),"Ainsworth/Ainsworth")</f>
        <v>Ainsworth/Ainsworth</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IFERROR(__xludf.DUMMYFUNCTION("""COMPUTED_VALUE"""),0.859499999999999)</f>
        <v>0.85949999999999904</v>
      </c>
      <c r="Q35">
        <f ca="1">IFERROR(__xludf.DUMMYFUNCTION("""COMPUTED_VALUE"""),0)</f>
        <v>0</v>
      </c>
      <c r="R35" t="str">
        <f ca="1">IFERROR(__xludf.DUMMYFUNCTION("""COMPUTED_VALUE"""),"Female")</f>
        <v>Female</v>
      </c>
    </row>
    <row r="36" spans="1:18" ht="12.3">
      <c r="A36">
        <f ca="1">IFERROR(__xludf.DUMMYFUNCTION("""COMPUTED_VALUE"""),37)</f>
        <v>37</v>
      </c>
      <c r="B36" t="str">
        <f ca="1">IFERROR(__xludf.DUMMYFUNCTION("""COMPUTED_VALUE"""),"Waters &amp; Valenzuela (1999)")</f>
        <v>Waters &amp; Valenzuela (1999)</v>
      </c>
      <c r="C36">
        <f ca="1">IFERROR(__xludf.DUMMYFUNCTION("""COMPUTED_VALUE"""),1)</f>
        <v>1</v>
      </c>
      <c r="D36" t="str">
        <f ca="1">IFERROR(__xludf.DUMMYFUNCTION("""COMPUTED_VALUE"""),"Undernourished")</f>
        <v>Undernourished</v>
      </c>
      <c r="E36" t="str">
        <f ca="1">IFERROR(__xludf.DUMMYFUNCTION("""COMPUTED_VALUE"""),"Infancy - Toddlerhood")</f>
        <v>Infancy - Toddlerhood</v>
      </c>
      <c r="F36" s="125">
        <f ca="1">IFERROR(__xludf.DUMMYFUNCTION("""COMPUTED_VALUE"""),37)</f>
        <v>37</v>
      </c>
      <c r="G36" t="str">
        <f ca="1">IFERROR(__xludf.DUMMYFUNCTION("""COMPUTED_VALUE"""),"0.1298212606")</f>
        <v>0.1298212606</v>
      </c>
      <c r="H36" t="str">
        <f ca="1">IFERROR(__xludf.DUMMYFUNCTION("""COMPUTED_VALUE"""),"0.3243243243")</f>
        <v>0.3243243243</v>
      </c>
      <c r="I36">
        <f ca="1">IFERROR(__xludf.DUMMYFUNCTION("""COMPUTED_VALUE"""),1999)</f>
        <v>1999</v>
      </c>
      <c r="J36" t="str">
        <f ca="1">IFERROR(__xludf.DUMMYFUNCTION("""COMPUTED_VALUE"""),"Non-USA")</f>
        <v>Non-USA</v>
      </c>
      <c r="K36" t="str">
        <f ca="1">IFERROR(__xludf.DUMMYFUNCTION("""COMPUTED_VALUE"""),"Ainsworth/Ainsworth")</f>
        <v>Ainsworth/Ainsworth</v>
      </c>
      <c r="L36">
        <f ca="1">IFERROR(__xludf.DUMMYFUNCTION("""COMPUTED_VALUE"""),0)</f>
        <v>0</v>
      </c>
      <c r="M36">
        <f ca="1">IFERROR(__xludf.DUMMYFUNCTION("""COMPUTED_VALUE"""),1)</f>
        <v>1</v>
      </c>
      <c r="N36">
        <f ca="1">IFERROR(__xludf.DUMMYFUNCTION("""COMPUTED_VALUE"""),1)</f>
        <v>1</v>
      </c>
      <c r="O36">
        <f ca="1">IFERROR(__xludf.DUMMYFUNCTION("""COMPUTED_VALUE"""),1)</f>
        <v>1</v>
      </c>
      <c r="P36">
        <f ca="1">IFERROR(__xludf.DUMMYFUNCTION("""COMPUTED_VALUE"""),0.859499999999999)</f>
        <v>0.85949999999999904</v>
      </c>
      <c r="Q36">
        <f ca="1">IFERROR(__xludf.DUMMYFUNCTION("""COMPUTED_VALUE"""),0)</f>
        <v>0</v>
      </c>
      <c r="R36" t="str">
        <f ca="1">IFERROR(__xludf.DUMMYFUNCTION("""COMPUTED_VALUE"""),"Female")</f>
        <v>Female</v>
      </c>
    </row>
    <row r="37" spans="1:18" ht="12.3">
      <c r="A37">
        <f ca="1">IFERROR(__xludf.DUMMYFUNCTION("""COMPUTED_VALUE"""),38)</f>
        <v>38</v>
      </c>
      <c r="B37" t="str">
        <f ca="1">IFERROR(__xludf.DUMMYFUNCTION("""COMPUTED_VALUE"""),"Vondra et al. (2001)")</f>
        <v>Vondra et al. (2001)</v>
      </c>
      <c r="C37">
        <f ca="1">IFERROR(__xludf.DUMMYFUNCTION("""COMPUTED_VALUE"""),1)</f>
        <v>1</v>
      </c>
      <c r="D37" t="str">
        <f ca="1">IFERROR(__xludf.DUMMYFUNCTION("""COMPUTED_VALUE"""),"12/24 months (12 month interval)")</f>
        <v>12/24 months (12 month interval)</v>
      </c>
      <c r="E37" t="str">
        <f ca="1">IFERROR(__xludf.DUMMYFUNCTION("""COMPUTED_VALUE"""),"Infancy - Toddlerhood")</f>
        <v>Infancy - Toddlerhood</v>
      </c>
      <c r="F37" s="125">
        <f ca="1">IFERROR(__xludf.DUMMYFUNCTION("""COMPUTED_VALUE"""),198)</f>
        <v>198</v>
      </c>
      <c r="G37" t="str">
        <f ca="1">IFERROR(__xludf.DUMMYFUNCTION("""COMPUTED_VALUE"""),"0.0798043908")</f>
        <v>0.0798043908</v>
      </c>
      <c r="H37" t="str">
        <f ca="1">IFERROR(__xludf.DUMMYFUNCTION("""COMPUTED_VALUE"""),"0.3232323232")</f>
        <v>0.3232323232</v>
      </c>
      <c r="I37">
        <f ca="1">IFERROR(__xludf.DUMMYFUNCTION("""COMPUTED_VALUE"""),2001)</f>
        <v>2001</v>
      </c>
      <c r="J37" t="str">
        <f ca="1">IFERROR(__xludf.DUMMYFUNCTION("""COMPUTED_VALUE"""),"USA")</f>
        <v>USA</v>
      </c>
      <c r="K37" t="str">
        <f ca="1">IFERROR(__xludf.DUMMYFUNCTION("""COMPUTED_VALUE"""),"Ainsworth/Crittenden")</f>
        <v>Ainsworth/Crittenden</v>
      </c>
      <c r="L37">
        <f ca="1">IFERROR(__xludf.DUMMYFUNCTION("""COMPUTED_VALUE"""),0)</f>
        <v>0</v>
      </c>
      <c r="M37">
        <f ca="1">IFERROR(__xludf.DUMMYFUNCTION("""COMPUTED_VALUE"""),1)</f>
        <v>1</v>
      </c>
      <c r="N37">
        <f ca="1">IFERROR(__xludf.DUMMYFUNCTION("""COMPUTED_VALUE"""),0)</f>
        <v>0</v>
      </c>
      <c r="O37">
        <f ca="1">IFERROR(__xludf.DUMMYFUNCTION("""COMPUTED_VALUE"""),1)</f>
        <v>1</v>
      </c>
      <c r="P37">
        <f ca="1">IFERROR(__xludf.DUMMYFUNCTION("""COMPUTED_VALUE"""),0.695)</f>
        <v>0.69499999999999995</v>
      </c>
      <c r="Q37">
        <f ca="1">IFERROR(__xludf.DUMMYFUNCTION("""COMPUTED_VALUE"""),0)</f>
        <v>0</v>
      </c>
      <c r="R37" t="str">
        <f ca="1">IFERROR(__xludf.DUMMYFUNCTION("""COMPUTED_VALUE"""),"Female")</f>
        <v>Female</v>
      </c>
    </row>
    <row r="38" spans="1:18" ht="12.3">
      <c r="A38">
        <f ca="1">IFERROR(__xludf.DUMMYFUNCTION("""COMPUTED_VALUE"""),38)</f>
        <v>38</v>
      </c>
      <c r="B38" t="str">
        <f ca="1">IFERROR(__xludf.DUMMYFUNCTION("""COMPUTED_VALUE"""),"Vondra et al. (2001)")</f>
        <v>Vondra et al. (2001)</v>
      </c>
      <c r="C38">
        <f ca="1">IFERROR(__xludf.DUMMYFUNCTION("""COMPUTED_VALUE"""),2)</f>
        <v>2</v>
      </c>
      <c r="D38" t="str">
        <f ca="1">IFERROR(__xludf.DUMMYFUNCTION("""COMPUTED_VALUE"""),"12/18 months (6 month interval)")</f>
        <v>12/18 months (6 month interval)</v>
      </c>
      <c r="E38" t="str">
        <f ca="1">IFERROR(__xludf.DUMMYFUNCTION("""COMPUTED_VALUE"""),"Infancy - Infancy")</f>
        <v>Infancy - Infancy</v>
      </c>
      <c r="F38" s="125">
        <f ca="1">IFERROR(__xludf.DUMMYFUNCTION("""COMPUTED_VALUE"""),195)</f>
        <v>195</v>
      </c>
      <c r="G38" t="str">
        <f ca="1">IFERROR(__xludf.DUMMYFUNCTION("""COMPUTED_VALUE"""),"0.1829608939")</f>
        <v>0.1829608939</v>
      </c>
      <c r="H38" t="str">
        <f ca="1">IFERROR(__xludf.DUMMYFUNCTION("""COMPUTED_VALUE"""),"0.4461538462")</f>
        <v>0.4461538462</v>
      </c>
      <c r="I38">
        <f ca="1">IFERROR(__xludf.DUMMYFUNCTION("""COMPUTED_VALUE"""),2001)</f>
        <v>2001</v>
      </c>
      <c r="J38" t="str">
        <f ca="1">IFERROR(__xludf.DUMMYFUNCTION("""COMPUTED_VALUE"""),"USA")</f>
        <v>USA</v>
      </c>
      <c r="K38" t="str">
        <f ca="1">IFERROR(__xludf.DUMMYFUNCTION("""COMPUTED_VALUE"""),"Ainsworth/Ainsworth")</f>
        <v>Ainsworth/Ainsworth</v>
      </c>
      <c r="L38">
        <f ca="1">IFERROR(__xludf.DUMMYFUNCTION("""COMPUTED_VALUE"""),1)</f>
        <v>1</v>
      </c>
      <c r="M38">
        <f ca="1">IFERROR(__xludf.DUMMYFUNCTION("""COMPUTED_VALUE"""),1)</f>
        <v>1</v>
      </c>
      <c r="N38">
        <f ca="1">IFERROR(__xludf.DUMMYFUNCTION("""COMPUTED_VALUE"""),0)</f>
        <v>0</v>
      </c>
      <c r="O38">
        <f ca="1">IFERROR(__xludf.DUMMYFUNCTION("""COMPUTED_VALUE"""),1)</f>
        <v>1</v>
      </c>
      <c r="P38">
        <f ca="1">IFERROR(__xludf.DUMMYFUNCTION("""COMPUTED_VALUE"""),0.77)</f>
        <v>0.77</v>
      </c>
      <c r="Q38">
        <f ca="1">IFERROR(__xludf.DUMMYFUNCTION("""COMPUTED_VALUE"""),0)</f>
        <v>0</v>
      </c>
      <c r="R38" t="str">
        <f ca="1">IFERROR(__xludf.DUMMYFUNCTION("""COMPUTED_VALUE"""),"Female")</f>
        <v>Female</v>
      </c>
    </row>
    <row r="39" spans="1:18" ht="12.3">
      <c r="A39">
        <f ca="1">IFERROR(__xludf.DUMMYFUNCTION("""COMPUTED_VALUE"""),39)</f>
        <v>39</v>
      </c>
      <c r="B39" t="str">
        <f ca="1">IFERROR(__xludf.DUMMYFUNCTION("""COMPUTED_VALUE"""),"Xue (2010)")</f>
        <v>Xue (2010)</v>
      </c>
      <c r="C39">
        <f ca="1">IFERROR(__xludf.DUMMYFUNCTION("""COMPUTED_VALUE"""),1)</f>
        <v>1</v>
      </c>
      <c r="D39" t="str">
        <f ca="1">IFERROR(__xludf.DUMMYFUNCTION("""COMPUTED_VALUE"""),"13/42 months (29 month interval)")</f>
        <v>13/42 months (29 month interval)</v>
      </c>
      <c r="E39" t="str">
        <f ca="1">IFERROR(__xludf.DUMMYFUNCTION("""COMPUTED_VALUE"""),"Infancy - Preschool")</f>
        <v>Infancy - Preschool</v>
      </c>
      <c r="F39" s="125">
        <f ca="1">IFERROR(__xludf.DUMMYFUNCTION("""COMPUTED_VALUE"""),46)</f>
        <v>46</v>
      </c>
      <c r="G39" t="str">
        <f ca="1">IFERROR(__xludf.DUMMYFUNCTION("""COMPUTED_VALUE"""),"0.04681504221")</f>
        <v>0.04681504221</v>
      </c>
      <c r="H39" t="str">
        <f ca="1">IFERROR(__xludf.DUMMYFUNCTION("""COMPUTED_VALUE"""),"0.4130434783")</f>
        <v>0.4130434783</v>
      </c>
      <c r="I39">
        <f ca="1">IFERROR(__xludf.DUMMYFUNCTION("""COMPUTED_VALUE"""),2010)</f>
        <v>2010</v>
      </c>
      <c r="J39" t="str">
        <f ca="1">IFERROR(__xludf.DUMMYFUNCTION("""COMPUTED_VALUE"""),"Non-USA")</f>
        <v>Non-USA</v>
      </c>
      <c r="K39" t="str">
        <f ca="1">IFERROR(__xludf.DUMMYFUNCTION("""COMPUTED_VALUE"""),"Ainsworth/Cassidy-Marvin")</f>
        <v>Ainsworth/Cassidy-Marvin</v>
      </c>
      <c r="L39">
        <f ca="1">IFERROR(__xludf.DUMMYFUNCTION("""COMPUTED_VALUE"""),0)</f>
        <v>0</v>
      </c>
      <c r="M39">
        <f ca="1">IFERROR(__xludf.DUMMYFUNCTION("""COMPUTED_VALUE"""),0)</f>
        <v>0</v>
      </c>
      <c r="N39">
        <f ca="1">IFERROR(__xludf.DUMMYFUNCTION("""COMPUTED_VALUE"""),0)</f>
        <v>0</v>
      </c>
      <c r="O39">
        <f ca="1">IFERROR(__xludf.DUMMYFUNCTION("""COMPUTED_VALUE"""),0)</f>
        <v>0</v>
      </c>
      <c r="P39">
        <f ca="1">IFERROR(__xludf.DUMMYFUNCTION("""COMPUTED_VALUE"""),0.89)</f>
        <v>0.89</v>
      </c>
      <c r="Q39">
        <f ca="1">IFERROR(__xludf.DUMMYFUNCTION("""COMPUTED_VALUE"""),0)</f>
        <v>0</v>
      </c>
      <c r="R39" t="str">
        <f ca="1">IFERROR(__xludf.DUMMYFUNCTION("""COMPUTED_VALUE"""),"Female")</f>
        <v>Female</v>
      </c>
    </row>
    <row r="40" spans="1:18" ht="12.3">
      <c r="A40">
        <f ca="1">IFERROR(__xludf.DUMMYFUNCTION("""COMPUTED_VALUE"""),41)</f>
        <v>41</v>
      </c>
      <c r="B40" t="str">
        <f ca="1">IFERROR(__xludf.DUMMYFUNCTION("""COMPUTED_VALUE"""),"Toth et al. (2006)")</f>
        <v>Toth et al. (2006)</v>
      </c>
      <c r="C40">
        <f ca="1">IFERROR(__xludf.DUMMYFUNCTION("""COMPUTED_VALUE"""),1)</f>
        <v>1</v>
      </c>
      <c r="D40" t="str">
        <f ca="1">IFERROR(__xludf.DUMMYFUNCTION("""COMPUTED_VALUE"""),"Non-depressed control")</f>
        <v>Non-depressed control</v>
      </c>
      <c r="E40" t="str">
        <f ca="1">IFERROR(__xludf.DUMMYFUNCTION("""COMPUTED_VALUE"""),"Toddlerhood - Preschool")</f>
        <v>Toddlerhood - Preschool</v>
      </c>
      <c r="F40" s="125">
        <f ca="1">IFERROR(__xludf.DUMMYFUNCTION("""COMPUTED_VALUE"""),63)</f>
        <v>63</v>
      </c>
      <c r="G40" t="str">
        <f ca="1">IFERROR(__xludf.DUMMYFUNCTION("""COMPUTED_VALUE"""),"0.26171875")</f>
        <v>0.26171875</v>
      </c>
      <c r="H40" t="str">
        <f ca="1">IFERROR(__xludf.DUMMYFUNCTION("""COMPUTED_VALUE"""),"0.5238095238")</f>
        <v>0.5238095238</v>
      </c>
      <c r="I40">
        <f ca="1">IFERROR(__xludf.DUMMYFUNCTION("""COMPUTED_VALUE"""),2006)</f>
        <v>2006</v>
      </c>
      <c r="J40" t="str">
        <f ca="1">IFERROR(__xludf.DUMMYFUNCTION("""COMPUTED_VALUE"""),"USA")</f>
        <v>USA</v>
      </c>
      <c r="K40" t="str">
        <f ca="1">IFERROR(__xludf.DUMMYFUNCTION("""COMPUTED_VALUE"""),"Ainsworth/Cassidy-Marvin")</f>
        <v>Ainsworth/Cassidy-Marvin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IFERROR(__xludf.DUMMYFUNCTION("""COMPUTED_VALUE"""),0.919999999999999)</f>
        <v>0.91999999999999904</v>
      </c>
      <c r="Q40">
        <f ca="1">IFERROR(__xludf.DUMMYFUNCTION("""COMPUTED_VALUE"""),0)</f>
        <v>0</v>
      </c>
      <c r="R40" t="str">
        <f ca="1">IFERROR(__xludf.DUMMYFUNCTION("""COMPUTED_VALUE"""),"Female")</f>
        <v>Female</v>
      </c>
    </row>
    <row r="41" spans="1:18" ht="12.3">
      <c r="A41">
        <f ca="1">IFERROR(__xludf.DUMMYFUNCTION("""COMPUTED_VALUE"""),42)</f>
        <v>42</v>
      </c>
      <c r="B41" t="str">
        <f ca="1">IFERROR(__xludf.DUMMYFUNCTION("""COMPUTED_VALUE"""),"Toth et al. (2006)")</f>
        <v>Toth et al. (2006)</v>
      </c>
      <c r="C41">
        <f ca="1">IFERROR(__xludf.DUMMYFUNCTION("""COMPUTED_VALUE"""),1)</f>
        <v>1</v>
      </c>
      <c r="D41" t="str">
        <f ca="1">IFERROR(__xludf.DUMMYFUNCTION("""COMPUTED_VALUE"""),"Depressed control")</f>
        <v>Depressed control</v>
      </c>
      <c r="E41" t="str">
        <f ca="1">IFERROR(__xludf.DUMMYFUNCTION("""COMPUTED_VALUE"""),"Toddlerhood - Preschool")</f>
        <v>Toddlerhood - Preschool</v>
      </c>
      <c r="F41" s="125">
        <f ca="1">IFERROR(__xludf.DUMMYFUNCTION("""COMPUTED_VALUE"""),54)</f>
        <v>54</v>
      </c>
      <c r="G41" t="str">
        <f ca="1">IFERROR(__xludf.DUMMYFUNCTION("""COMPUTED_VALUE"""),"0.3198992443")</f>
        <v>0.3198992443</v>
      </c>
      <c r="H41" t="str">
        <f ca="1">IFERROR(__xludf.DUMMYFUNCTION("""COMPUTED_VALUE"""),"0.537037037")</f>
        <v>0.537037037</v>
      </c>
      <c r="I41">
        <f ca="1">IFERROR(__xludf.DUMMYFUNCTION("""COMPUTED_VALUE"""),2006)</f>
        <v>2006</v>
      </c>
      <c r="J41" t="str">
        <f ca="1">IFERROR(__xludf.DUMMYFUNCTION("""COMPUTED_VALUE"""),"USA")</f>
        <v>USA</v>
      </c>
      <c r="K41" t="str">
        <f ca="1">IFERROR(__xludf.DUMMYFUNCTION("""COMPUTED_VALUE"""),"Ainsworth/Cassidy-Marvin")</f>
        <v>Ainsworth/Cassidy-Marvin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IFERROR(__xludf.DUMMYFUNCTION("""COMPUTED_VALUE"""),0.919999999999999)</f>
        <v>0.91999999999999904</v>
      </c>
      <c r="Q41">
        <f ca="1">IFERROR(__xludf.DUMMYFUNCTION("""COMPUTED_VALUE"""),0)</f>
        <v>0</v>
      </c>
      <c r="R41" t="str">
        <f ca="1">IFERROR(__xludf.DUMMYFUNCTION("""COMPUTED_VALUE"""),"Female")</f>
        <v>Female</v>
      </c>
    </row>
    <row r="42" spans="1:18" ht="12.3">
      <c r="A42">
        <f ca="1">IFERROR(__xludf.DUMMYFUNCTION("""COMPUTED_VALUE"""),43)</f>
        <v>43</v>
      </c>
      <c r="B42" t="str">
        <f ca="1">IFERROR(__xludf.DUMMYFUNCTION("""COMPUTED_VALUE"""),"Kreppner et al. (2011)")</f>
        <v>Kreppner et al. (2011)</v>
      </c>
      <c r="C42">
        <f ca="1">IFERROR(__xludf.DUMMYFUNCTION("""COMPUTED_VALUE"""),1)</f>
        <v>1</v>
      </c>
      <c r="D42" t="str">
        <f ca="1">IFERROR(__xludf.DUMMYFUNCTION("""COMPUTED_VALUE"""),"Family care &lt; 6 mo")</f>
        <v>Family care &lt; 6 mo</v>
      </c>
      <c r="E42" t="str">
        <f ca="1">IFERROR(__xludf.DUMMYFUNCTION("""COMPUTED_VALUE"""),"Preschool - Preschool")</f>
        <v>Preschool - Preschool</v>
      </c>
      <c r="F42" s="125">
        <f ca="1">IFERROR(__xludf.DUMMYFUNCTION("""COMPUTED_VALUE"""),106)</f>
        <v>106</v>
      </c>
      <c r="G42" t="str">
        <f ca="1">IFERROR(__xludf.DUMMYFUNCTION("""COMPUTED_VALUE"""),"0.2148148148")</f>
        <v>0.2148148148</v>
      </c>
      <c r="H42" t="str">
        <f ca="1">IFERROR(__xludf.DUMMYFUNCTION("""COMPUTED_VALUE"""),"0.5094339623")</f>
        <v>0.5094339623</v>
      </c>
      <c r="I42">
        <f ca="1">IFERROR(__xludf.DUMMYFUNCTION("""COMPUTED_VALUE"""),2011)</f>
        <v>2011</v>
      </c>
      <c r="J42" t="str">
        <f ca="1">IFERROR(__xludf.DUMMYFUNCTION("""COMPUTED_VALUE"""),"Non-USA")</f>
        <v>Non-USA</v>
      </c>
      <c r="K42" t="str">
        <f ca="1">IFERROR(__xludf.DUMMYFUNCTION("""COMPUTED_VALUE"""),"Cassidy-Marvin/Cassidy-Marvin")</f>
        <v>Cassidy-Marvin/Cassidy-Marvin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IFERROR(__xludf.DUMMYFUNCTION("""COMPUTED_VALUE"""),0.818814524741901)</f>
        <v>0.81881452474190097</v>
      </c>
      <c r="Q42">
        <f ca="1">IFERROR(__xludf.DUMMYFUNCTION("""COMPUTED_VALUE"""),0)</f>
        <v>0</v>
      </c>
      <c r="R42" t="str">
        <f ca="1">IFERROR(__xludf.DUMMYFUNCTION("""COMPUTED_VALUE"""),"Female")</f>
        <v>Female</v>
      </c>
    </row>
    <row r="43" spans="1:18" ht="12.3">
      <c r="A43">
        <f ca="1">IFERROR(__xludf.DUMMYFUNCTION("""COMPUTED_VALUE"""),44)</f>
        <v>44</v>
      </c>
      <c r="B43" t="str">
        <f ca="1">IFERROR(__xludf.DUMMYFUNCTION("""COMPUTED_VALUE"""),"Kreppner et al. (2011)")</f>
        <v>Kreppner et al. (2011)</v>
      </c>
      <c r="C43">
        <f ca="1">IFERROR(__xludf.DUMMYFUNCTION("""COMPUTED_VALUE"""),1)</f>
        <v>1</v>
      </c>
      <c r="D43" t="str">
        <f ca="1">IFERROR(__xludf.DUMMYFUNCTION("""COMPUTED_VALUE"""),"Institutionalised &gt; 6 mo")</f>
        <v>Institutionalised &gt; 6 mo</v>
      </c>
      <c r="E43" t="str">
        <f ca="1">IFERROR(__xludf.DUMMYFUNCTION("""COMPUTED_VALUE"""),"Preschool - Preschool")</f>
        <v>Preschool - Preschool</v>
      </c>
      <c r="F43" s="125">
        <f ca="1">IFERROR(__xludf.DUMMYFUNCTION("""COMPUTED_VALUE"""),31)</f>
        <v>31</v>
      </c>
      <c r="G43" t="str">
        <f ca="1">IFERROR(__xludf.DUMMYFUNCTION("""COMPUTED_VALUE"""),"0.1594896332")</f>
        <v>0.1594896332</v>
      </c>
      <c r="H43" t="str">
        <f ca="1">IFERROR(__xludf.DUMMYFUNCTION("""COMPUTED_VALUE"""),"0.4516129032")</f>
        <v>0.4516129032</v>
      </c>
      <c r="I43">
        <f ca="1">IFERROR(__xludf.DUMMYFUNCTION("""COMPUTED_VALUE"""),2011)</f>
        <v>2011</v>
      </c>
      <c r="J43" t="str">
        <f ca="1">IFERROR(__xludf.DUMMYFUNCTION("""COMPUTED_VALUE"""),"Non-USA")</f>
        <v>Non-USA</v>
      </c>
      <c r="K43" t="str">
        <f ca="1">IFERROR(__xludf.DUMMYFUNCTION("""COMPUTED_VALUE"""),"Cassidy-Marvin/Cassidy-Marvin")</f>
        <v>Cassidy-Marvin/Cassidy-Marvin</v>
      </c>
      <c r="L43">
        <f ca="1">IFERROR(__xludf.DUMMYFUNCTION("""COMPUTED_VALUE"""),0)</f>
        <v>0</v>
      </c>
      <c r="M43">
        <f ca="1">IFERROR(__xludf.DUMMYFUNCTION("""COMPUTED_VALUE"""),1)</f>
        <v>1</v>
      </c>
      <c r="N43">
        <f ca="1">IFERROR(__xludf.DUMMYFUNCTION("""COMPUTED_VALUE"""),0)</f>
        <v>0</v>
      </c>
      <c r="O43">
        <f ca="1">IFERROR(__xludf.DUMMYFUNCTION("""COMPUTED_VALUE"""),1)</f>
        <v>1</v>
      </c>
      <c r="P43">
        <f ca="1">IFERROR(__xludf.DUMMYFUNCTION("""COMPUTED_VALUE"""),0.810790842872008)</f>
        <v>0.81079084287200798</v>
      </c>
      <c r="Q43">
        <f ca="1">IFERROR(__xludf.DUMMYFUNCTION("""COMPUTED_VALUE"""),0)</f>
        <v>0</v>
      </c>
      <c r="R43" t="str">
        <f ca="1">IFERROR(__xludf.DUMMYFUNCTION("""COMPUTED_VALUE"""),"Female")</f>
        <v>Female</v>
      </c>
    </row>
    <row r="44" spans="1:18" ht="12.3">
      <c r="A44">
        <f ca="1">IFERROR(__xludf.DUMMYFUNCTION("""COMPUTED_VALUE"""),52)</f>
        <v>52</v>
      </c>
      <c r="B44" t="str">
        <f ca="1">IFERROR(__xludf.DUMMYFUNCTION("""COMPUTED_VALUE"""),"Meins, Bureau &amp; Fernyhough (2017)")</f>
        <v>Meins, Bureau &amp; Fernyhough (2017)</v>
      </c>
      <c r="C44">
        <f ca="1">IFERROR(__xludf.DUMMYFUNCTION("""COMPUTED_VALUE"""),1)</f>
        <v>1</v>
      </c>
      <c r="D44" t="str">
        <f ca="1">IFERROR(__xludf.DUMMYFUNCTION("""COMPUTED_VALUE"""),"Mother-child")</f>
        <v>Mother-child</v>
      </c>
      <c r="E44" t="str">
        <f ca="1">IFERROR(__xludf.DUMMYFUNCTION("""COMPUTED_VALUE"""),"Infancy - Preschool")</f>
        <v>Infancy - Preschool</v>
      </c>
      <c r="F44" s="125">
        <f ca="1">IFERROR(__xludf.DUMMYFUNCTION("""COMPUTED_VALUE"""),164)</f>
        <v>164</v>
      </c>
      <c r="G44" t="str">
        <f ca="1">IFERROR(__xludf.DUMMYFUNCTION("""COMPUTED_VALUE"""),"0.2665838509")</f>
        <v>0.2665838509</v>
      </c>
      <c r="H44" t="str">
        <f ca="1">IFERROR(__xludf.DUMMYFUNCTION("""COMPUTED_VALUE"""),"0.5609756098")</f>
        <v>0.5609756098</v>
      </c>
      <c r="I44">
        <f ca="1">IFERROR(__xludf.DUMMYFUNCTION("""COMPUTED_VALUE"""),2017)</f>
        <v>2017</v>
      </c>
      <c r="J44" t="str">
        <f ca="1">IFERROR(__xludf.DUMMYFUNCTION("""COMPUTED_VALUE"""),"Non-USA")</f>
        <v>Non-USA</v>
      </c>
      <c r="K44" t="str">
        <f ca="1">IFERROR(__xludf.DUMMYFUNCTION("""COMPUTED_VALUE"""),"Ainsworth/Cassidy-Marvin")</f>
        <v>Ainsworth/Cassidy-Marvin</v>
      </c>
      <c r="L44">
        <f ca="1">IFERROR(__xludf.DUMMYFUNCTION("""COMPUTED_VALUE"""),0)</f>
        <v>0</v>
      </c>
      <c r="M44">
        <f ca="1">IFERROR(__xludf.DUMMYFUNCTION("""COMPUTED_VALUE"""),0)</f>
        <v>0</v>
      </c>
      <c r="N44">
        <f ca="1">IFERROR(__xludf.DUMMYFUNCTION("""COMPUTED_VALUE"""),0)</f>
        <v>0</v>
      </c>
      <c r="O44">
        <f ca="1">IFERROR(__xludf.DUMMYFUNCTION("""COMPUTED_VALUE"""),1)</f>
        <v>1</v>
      </c>
      <c r="P44">
        <f ca="1">IFERROR(__xludf.DUMMYFUNCTION("""COMPUTED_VALUE"""),0.877286585365853)</f>
        <v>0.87728658536585302</v>
      </c>
      <c r="Q44">
        <f ca="1">IFERROR(__xludf.DUMMYFUNCTION("""COMPUTED_VALUE"""),0)</f>
        <v>0</v>
      </c>
      <c r="R44" t="str">
        <f ca="1">IFERROR(__xludf.DUMMYFUNCTION("""COMPUTED_VALUE"""),"Female")</f>
        <v>Female</v>
      </c>
    </row>
    <row r="45" spans="1:18" ht="12.3">
      <c r="A45">
        <f ca="1">IFERROR(__xludf.DUMMYFUNCTION("""COMPUTED_VALUE"""),52)</f>
        <v>52</v>
      </c>
      <c r="B45" t="str">
        <f ca="1">IFERROR(__xludf.DUMMYFUNCTION("""COMPUTED_VALUE"""),"Meins, Bureau &amp; Fernyhough (2017)")</f>
        <v>Meins, Bureau &amp; Fernyhough (2017)</v>
      </c>
      <c r="C45">
        <f ca="1">IFERROR(__xludf.DUMMYFUNCTION("""COMPUTED_VALUE"""),2)</f>
        <v>2</v>
      </c>
      <c r="D45" t="str">
        <f ca="1">IFERROR(__xludf.DUMMYFUNCTION("""COMPUTED_VALUE"""),"Mother-child")</f>
        <v>Mother-child</v>
      </c>
      <c r="E45" t="str">
        <f ca="1">IFERROR(__xludf.DUMMYFUNCTION("""COMPUTED_VALUE"""),"Infancy - Preschool")</f>
        <v>Infancy - Preschool</v>
      </c>
      <c r="F45" s="125">
        <f ca="1">IFERROR(__xludf.DUMMYFUNCTION("""COMPUTED_VALUE"""),128)</f>
        <v>128</v>
      </c>
      <c r="G45" t="str">
        <f ca="1">IFERROR(__xludf.DUMMYFUNCTION("""COMPUTED_VALUE"""),"0.1262798635")</f>
        <v>0.1262798635</v>
      </c>
      <c r="H45" t="str">
        <f ca="1">IFERROR(__xludf.DUMMYFUNCTION("""COMPUTED_VALUE"""),"0.5")</f>
        <v>0.5</v>
      </c>
      <c r="I45">
        <f ca="1">IFERROR(__xludf.DUMMYFUNCTION("""COMPUTED_VALUE"""),2017)</f>
        <v>2017</v>
      </c>
      <c r="J45" t="str">
        <f ca="1">IFERROR(__xludf.DUMMYFUNCTION("""COMPUTED_VALUE"""),"Non-USA")</f>
        <v>Non-USA</v>
      </c>
      <c r="K45" t="str">
        <f ca="1">IFERROR(__xludf.DUMMYFUNCTION("""COMPUTED_VALUE"""),"Ainsworth/Cassidy-Marvin")</f>
        <v>Ainsworth/Cassidy-Marvin</v>
      </c>
      <c r="L45">
        <f ca="1">IFERROR(__xludf.DUMMYFUNCTION("""COMPUTED_VALUE"""),0)</f>
        <v>0</v>
      </c>
      <c r="M45">
        <f ca="1">IFERROR(__xludf.DUMMYFUNCTION("""COMPUTED_VALUE"""),0)</f>
        <v>0</v>
      </c>
      <c r="N45">
        <f ca="1">IFERROR(__xludf.DUMMYFUNCTION("""COMPUTED_VALUE"""),0)</f>
        <v>0</v>
      </c>
      <c r="O45">
        <f ca="1">IFERROR(__xludf.DUMMYFUNCTION("""COMPUTED_VALUE"""),1)</f>
        <v>1</v>
      </c>
      <c r="P45">
        <f ca="1">IFERROR(__xludf.DUMMYFUNCTION("""COMPUTED_VALUE"""),0.86837890625)</f>
        <v>0.86837890625000003</v>
      </c>
      <c r="Q45">
        <f ca="1">IFERROR(__xludf.DUMMYFUNCTION("""COMPUTED_VALUE"""),0)</f>
        <v>0</v>
      </c>
      <c r="R45" t="str">
        <f ca="1">IFERROR(__xludf.DUMMYFUNCTION("""COMPUTED_VALUE"""),"Female")</f>
        <v>Female</v>
      </c>
    </row>
    <row r="46" spans="1:18" ht="12.3">
      <c r="A46">
        <f ca="1">IFERROR(__xludf.DUMMYFUNCTION("""COMPUTED_VALUE"""),55)</f>
        <v>55</v>
      </c>
      <c r="B46" t="str">
        <f ca="1">IFERROR(__xludf.DUMMYFUNCTION("""COMPUTED_VALUE"""),"Ziegenhain &amp; Wolff (2000)")</f>
        <v>Ziegenhain &amp; Wolff (2000)</v>
      </c>
      <c r="C46">
        <f ca="1">IFERROR(__xludf.DUMMYFUNCTION("""COMPUTED_VALUE"""),1)</f>
        <v>1</v>
      </c>
      <c r="D46" t="str">
        <f ca="1">IFERROR(__xludf.DUMMYFUNCTION("""COMPUTED_VALUE"""),"Mother-child")</f>
        <v>Mother-child</v>
      </c>
      <c r="E46" t="str">
        <f ca="1">IFERROR(__xludf.DUMMYFUNCTION("""COMPUTED_VALUE"""),"Infancy - Infancy")</f>
        <v>Infancy - Infancy</v>
      </c>
      <c r="F46" s="125">
        <f ca="1">IFERROR(__xludf.DUMMYFUNCTION("""COMPUTED_VALUE"""),35)</f>
        <v>35</v>
      </c>
      <c r="G46" t="str">
        <f ca="1">IFERROR(__xludf.DUMMYFUNCTION("""COMPUTED_VALUE"""),"0.2599502488")</f>
        <v>0.2599502488</v>
      </c>
      <c r="H46" t="str">
        <f ca="1">IFERROR(__xludf.DUMMYFUNCTION("""COMPUTED_VALUE"""),"0.5142857143")</f>
        <v>0.5142857143</v>
      </c>
      <c r="I46">
        <f ca="1">IFERROR(__xludf.DUMMYFUNCTION("""COMPUTED_VALUE"""),2000)</f>
        <v>2000</v>
      </c>
      <c r="J46" t="str">
        <f ca="1">IFERROR(__xludf.DUMMYFUNCTION("""COMPUTED_VALUE"""),"Non-USA")</f>
        <v>Non-USA</v>
      </c>
      <c r="K46" t="str">
        <f ca="1">IFERROR(__xludf.DUMMYFUNCTION("""COMPUTED_VALUE"""),"Ainsworth/Ainsworth")</f>
        <v>Ainsworth/Ainsworth</v>
      </c>
      <c r="L46">
        <f ca="1">IFERROR(__xludf.DUMMYFUNCTION("""COMPUTED_VALUE"""),1)</f>
        <v>1</v>
      </c>
      <c r="M46">
        <f ca="1">IFERROR(__xludf.DUMMYFUNCTION("""COMPUTED_VALUE"""),0)</f>
        <v>0</v>
      </c>
      <c r="N46">
        <f ca="1">IFERROR(__xludf.DUMMYFUNCTION("""COMPUTED_VALUE"""),0)</f>
        <v>0</v>
      </c>
      <c r="O46">
        <f ca="1">IFERROR(__xludf.DUMMYFUNCTION("""COMPUTED_VALUE"""),1)</f>
        <v>1</v>
      </c>
      <c r="P46" t="str">
        <f ca="1">IFERROR(__xludf.DUMMYFUNCTION("""COMPUTED_VALUE"""),"")</f>
        <v/>
      </c>
      <c r="Q46">
        <f ca="1">IFERROR(__xludf.DUMMYFUNCTION("""COMPUTED_VALUE"""),0)</f>
        <v>0</v>
      </c>
      <c r="R46" t="str">
        <f ca="1">IFERROR(__xludf.DUMMYFUNCTION("""COMPUTED_VALUE"""),"Female")</f>
        <v>Female</v>
      </c>
    </row>
    <row r="47" spans="1:18" ht="12.3">
      <c r="A47">
        <f ca="1">IFERROR(__xludf.DUMMYFUNCTION("""COMPUTED_VALUE"""),56)</f>
        <v>56</v>
      </c>
      <c r="B47" t="str">
        <f ca="1">IFERROR(__xludf.DUMMYFUNCTION("""COMPUTED_VALUE"""),"Edwards et al. (2004)")</f>
        <v>Edwards et al. (2004)</v>
      </c>
      <c r="C47">
        <f ca="1">IFERROR(__xludf.DUMMYFUNCTION("""COMPUTED_VALUE"""),1)</f>
        <v>1</v>
      </c>
      <c r="D47" t="str">
        <f ca="1">IFERROR(__xludf.DUMMYFUNCTION("""COMPUTED_VALUE"""),"Mother-child")</f>
        <v>Mother-child</v>
      </c>
      <c r="E47" t="str">
        <f ca="1">IFERROR(__xludf.DUMMYFUNCTION("""COMPUTED_VALUE"""),"Infancy - Infancy")</f>
        <v>Infancy - Infancy</v>
      </c>
      <c r="F47" s="125">
        <f ca="1">IFERROR(__xludf.DUMMYFUNCTION("""COMPUTED_VALUE"""),217)</f>
        <v>217</v>
      </c>
      <c r="G47" t="str">
        <f ca="1">IFERROR(__xludf.DUMMYFUNCTION("""COMPUTED_VALUE"""),"0.2411381338")</f>
        <v>0.2411381338</v>
      </c>
      <c r="H47" t="str">
        <f ca="1">IFERROR(__xludf.DUMMYFUNCTION("""COMPUTED_VALUE"""),"0.5944700461")</f>
        <v>0.5944700461</v>
      </c>
      <c r="I47">
        <f ca="1">IFERROR(__xludf.DUMMYFUNCTION("""COMPUTED_VALUE"""),2004)</f>
        <v>2004</v>
      </c>
      <c r="J47" t="str">
        <f ca="1">IFERROR(__xludf.DUMMYFUNCTION("""COMPUTED_VALUE"""),"USA")</f>
        <v>USA</v>
      </c>
      <c r="K47" t="str">
        <f ca="1">IFERROR(__xludf.DUMMYFUNCTION("""COMPUTED_VALUE"""),"Ainsworth/Ainsworth")</f>
        <v>Ainsworth/Ainsworth</v>
      </c>
      <c r="L47">
        <f ca="1">IFERROR(__xludf.DUMMYFUNCTION("""COMPUTED_VALUE"""),1)</f>
        <v>1</v>
      </c>
      <c r="M47">
        <f ca="1">IFERROR(__xludf.DUMMYFUNCTION("""COMPUTED_VALUE"""),1)</f>
        <v>1</v>
      </c>
      <c r="N47">
        <f ca="1">IFERROR(__xludf.DUMMYFUNCTION("""COMPUTED_VALUE"""),0)</f>
        <v>0</v>
      </c>
      <c r="O47">
        <f ca="1">IFERROR(__xludf.DUMMYFUNCTION("""COMPUTED_VALUE"""),1)</f>
        <v>1</v>
      </c>
      <c r="P47">
        <f ca="1">IFERROR(__xludf.DUMMYFUNCTION("""COMPUTED_VALUE"""),0.89)</f>
        <v>0.89</v>
      </c>
      <c r="Q47">
        <f ca="1">IFERROR(__xludf.DUMMYFUNCTION("""COMPUTED_VALUE"""),0)</f>
        <v>0</v>
      </c>
      <c r="R47" t="str">
        <f ca="1">IFERROR(__xludf.DUMMYFUNCTION("""COMPUTED_VALUE"""),"Female")</f>
        <v>Female</v>
      </c>
    </row>
    <row r="48" spans="1:18" ht="12.3">
      <c r="A48">
        <f ca="1">IFERROR(__xludf.DUMMYFUNCTION("""COMPUTED_VALUE"""),56)</f>
        <v>56</v>
      </c>
      <c r="B48" t="str">
        <f ca="1">IFERROR(__xludf.DUMMYFUNCTION("""COMPUTED_VALUE"""),"Edwards et al. (2004)")</f>
        <v>Edwards et al. (2004)</v>
      </c>
      <c r="C48">
        <f ca="1">IFERROR(__xludf.DUMMYFUNCTION("""COMPUTED_VALUE"""),2)</f>
        <v>2</v>
      </c>
      <c r="D48" t="str">
        <f ca="1">IFERROR(__xludf.DUMMYFUNCTION("""COMPUTED_VALUE"""),"Father-child")</f>
        <v>Father-child</v>
      </c>
      <c r="E48" t="str">
        <f ca="1">IFERROR(__xludf.DUMMYFUNCTION("""COMPUTED_VALUE"""),"Infancy - Infancy")</f>
        <v>Infancy - Infancy</v>
      </c>
      <c r="F48" s="125">
        <f ca="1">IFERROR(__xludf.DUMMYFUNCTION("""COMPUTED_VALUE"""),208)</f>
        <v>208</v>
      </c>
      <c r="G48" t="str">
        <f ca="1">IFERROR(__xludf.DUMMYFUNCTION("""COMPUTED_VALUE"""),"0.1820319468")</f>
        <v>0.1820319468</v>
      </c>
      <c r="H48" t="str">
        <f ca="1">IFERROR(__xludf.DUMMYFUNCTION("""COMPUTED_VALUE"""),"0.5336538462")</f>
        <v>0.5336538462</v>
      </c>
      <c r="I48">
        <f ca="1">IFERROR(__xludf.DUMMYFUNCTION("""COMPUTED_VALUE"""),2004)</f>
        <v>2004</v>
      </c>
      <c r="J48" t="str">
        <f ca="1">IFERROR(__xludf.DUMMYFUNCTION("""COMPUTED_VALUE"""),"USA")</f>
        <v>USA</v>
      </c>
      <c r="K48" t="str">
        <f ca="1">IFERROR(__xludf.DUMMYFUNCTION("""COMPUTED_VALUE"""),"Ainsworth/Ainsworth")</f>
        <v>Ainsworth/Ainsworth</v>
      </c>
      <c r="L48">
        <f ca="1">IFERROR(__xludf.DUMMYFUNCTION("""COMPUTED_VALUE"""),1)</f>
        <v>1</v>
      </c>
      <c r="M48">
        <f ca="1">IFERROR(__xludf.DUMMYFUNCTION("""COMPUTED_VALUE"""),1)</f>
        <v>1</v>
      </c>
      <c r="N48">
        <f ca="1">IFERROR(__xludf.DUMMYFUNCTION("""COMPUTED_VALUE"""),0)</f>
        <v>0</v>
      </c>
      <c r="O48">
        <f ca="1">IFERROR(__xludf.DUMMYFUNCTION("""COMPUTED_VALUE"""),1)</f>
        <v>1</v>
      </c>
      <c r="P48">
        <f ca="1">IFERROR(__xludf.DUMMYFUNCTION("""COMPUTED_VALUE"""),0.89)</f>
        <v>0.89</v>
      </c>
      <c r="Q48">
        <f ca="1">IFERROR(__xludf.DUMMYFUNCTION("""COMPUTED_VALUE"""),0)</f>
        <v>0</v>
      </c>
      <c r="R48" t="str">
        <f ca="1">IFERROR(__xludf.DUMMYFUNCTION("""COMPUTED_VALUE"""),"Male")</f>
        <v>Male</v>
      </c>
    </row>
    <row r="49" spans="1:18" ht="12.3">
      <c r="A49">
        <f ca="1">IFERROR(__xludf.DUMMYFUNCTION("""COMPUTED_VALUE"""),63)</f>
        <v>63</v>
      </c>
      <c r="B49" t="str">
        <f ca="1">IFERROR(__xludf.DUMMYFUNCTION("""COMPUTED_VALUE"""),"Vondra, Hommerding, &amp; Shaw (1999)")</f>
        <v>Vondra, Hommerding, &amp; Shaw (1999)</v>
      </c>
      <c r="C49">
        <f ca="1">IFERROR(__xludf.DUMMYFUNCTION("""COMPUTED_VALUE"""),1)</f>
        <v>1</v>
      </c>
      <c r="D49" t="str">
        <f ca="1">IFERROR(__xludf.DUMMYFUNCTION("""COMPUTED_VALUE"""),"Mother-child")</f>
        <v>Mother-child</v>
      </c>
      <c r="E49" t="str">
        <f ca="1">IFERROR(__xludf.DUMMYFUNCTION("""COMPUTED_VALUE"""),"Infancy - Infancy")</f>
        <v>Infancy - Infancy</v>
      </c>
      <c r="F49" s="125">
        <f ca="1">IFERROR(__xludf.DUMMYFUNCTION("""COMPUTED_VALUE"""),90)</f>
        <v>90</v>
      </c>
      <c r="G49" t="str">
        <f ca="1">IFERROR(__xludf.DUMMYFUNCTION("""COMPUTED_VALUE"""),"0.2739333094")</f>
        <v>0.2739333094</v>
      </c>
      <c r="H49" t="str">
        <f ca="1">IFERROR(__xludf.DUMMYFUNCTION("""COMPUTED_VALUE"""),"0.5")</f>
        <v>0.5</v>
      </c>
      <c r="I49">
        <f ca="1">IFERROR(__xludf.DUMMYFUNCTION("""COMPUTED_VALUE"""),1999)</f>
        <v>1999</v>
      </c>
      <c r="J49" t="str">
        <f ca="1">IFERROR(__xludf.DUMMYFUNCTION("""COMPUTED_VALUE"""),"USA")</f>
        <v>USA</v>
      </c>
      <c r="K49" t="str">
        <f ca="1">IFERROR(__xludf.DUMMYFUNCTION("""COMPUTED_VALUE"""),"Ainsworth/Ainsworth")</f>
        <v>Ainsworth/Ainsworth</v>
      </c>
      <c r="L49">
        <f ca="1">IFERROR(__xludf.DUMMYFUNCTION("""COMPUTED_VALUE"""),0)</f>
        <v>0</v>
      </c>
      <c r="M49">
        <f ca="1">IFERROR(__xludf.DUMMYFUNCTION("""COMPUTED_VALUE"""),1)</f>
        <v>1</v>
      </c>
      <c r="N49">
        <f ca="1">IFERROR(__xludf.DUMMYFUNCTION("""COMPUTED_VALUE"""),0)</f>
        <v>0</v>
      </c>
      <c r="O49">
        <f ca="1">IFERROR(__xludf.DUMMYFUNCTION("""COMPUTED_VALUE"""),1)</f>
        <v>1</v>
      </c>
      <c r="P49">
        <f ca="1">IFERROR(__xludf.DUMMYFUNCTION("""COMPUTED_VALUE"""),0.8)</f>
        <v>0.8</v>
      </c>
      <c r="Q49">
        <f ca="1">IFERROR(__xludf.DUMMYFUNCTION("""COMPUTED_VALUE"""),0)</f>
        <v>0</v>
      </c>
      <c r="R49" t="str">
        <f ca="1">IFERROR(__xludf.DUMMYFUNCTION("""COMPUTED_VALUE"""),"Female")</f>
        <v>Female</v>
      </c>
    </row>
    <row r="50" spans="1:18" ht="12.3">
      <c r="A50" t="str">
        <f ca="1">IFERROR(__xludf.DUMMYFUNCTION("""COMPUTED_VALUE"""),"")</f>
        <v/>
      </c>
      <c r="B50" t="str">
        <f ca="1">IFERROR(__xludf.DUMMYFUNCTION("""COMPUTED_VALUE"""),"")</f>
        <v/>
      </c>
      <c r="C50" t="str">
        <f ca="1">IFERROR(__xludf.DUMMYFUNCTION("""COMPUTED_VALUE"""),"")</f>
        <v/>
      </c>
      <c r="D50" t="str">
        <f ca="1">IFERROR(__xludf.DUMMYFUNCTION("""COMPUTED_VALUE"""),"")</f>
        <v/>
      </c>
      <c r="E50" t="str">
        <f ca="1">IFERROR(__xludf.DUMMYFUNCTION("""COMPUTED_VALUE"""),"")</f>
        <v/>
      </c>
      <c r="F50" s="125" t="str">
        <f ca="1">IFERROR(__xludf.DUMMYFUNCTION("""COMPUTED_VALUE"""),"")</f>
        <v/>
      </c>
      <c r="G50" t="str">
        <f ca="1">IFERROR(__xludf.DUMMYFUNCTION("""COMPUTED_VALUE"""),"")</f>
        <v/>
      </c>
      <c r="H50" t="str">
        <f ca="1">IFERROR(__xludf.DUMMYFUNCTION("""COMPUTED_VALUE"""),"")</f>
        <v/>
      </c>
      <c r="I50" t="str">
        <f ca="1">IFERROR(__xludf.DUMMYFUNCTION("""COMPUTED_VALUE"""),"")</f>
        <v/>
      </c>
      <c r="J50" t="str">
        <f ca="1">IFERROR(__xludf.DUMMYFUNCTION("""COMPUTED_VALUE"""),"")</f>
        <v/>
      </c>
      <c r="K50" t="str">
        <f ca="1">IFERROR(__xludf.DUMMYFUNCTION("""COMPUTED_VALUE"""),"")</f>
        <v/>
      </c>
      <c r="L50" t="str">
        <f ca="1">IFERROR(__xludf.DUMMYFUNCTION("""COMPUTED_VALUE"""),"")</f>
        <v/>
      </c>
      <c r="M50" t="str">
        <f ca="1">IFERROR(__xludf.DUMMYFUNCTION("""COMPUTED_VALUE"""),"")</f>
        <v/>
      </c>
      <c r="N50" t="str">
        <f ca="1">IFERROR(__xludf.DUMMYFUNCTION("""COMPUTED_VALUE"""),"")</f>
        <v/>
      </c>
      <c r="O50" t="str">
        <f ca="1">IFERROR(__xludf.DUMMYFUNCTION("""COMPUTED_VALUE"""),"")</f>
        <v/>
      </c>
      <c r="P50" t="str">
        <f ca="1">IFERROR(__xludf.DUMMYFUNCTION("""COMPUTED_VALUE"""),"")</f>
        <v/>
      </c>
      <c r="Q50" t="str">
        <f ca="1">IFERROR(__xludf.DUMMYFUNCTION("""COMPUTED_VALUE"""),"")</f>
        <v/>
      </c>
      <c r="R50" t="str">
        <f ca="1">IFERROR(__xludf.DUMMYFUNCTION("""COMPUTED_VALUE"""),"")</f>
        <v/>
      </c>
    </row>
    <row r="51" spans="1:18" ht="12.3">
      <c r="A51" t="str">
        <f ca="1">IFERROR(__xludf.DUMMYFUNCTION("""COMPUTED_VALUE"""),"")</f>
        <v/>
      </c>
      <c r="B51" t="str">
        <f ca="1">IFERROR(__xludf.DUMMYFUNCTION("""COMPUTED_VALUE"""),"")</f>
        <v/>
      </c>
      <c r="C51" t="str">
        <f ca="1">IFERROR(__xludf.DUMMYFUNCTION("""COMPUTED_VALUE"""),"")</f>
        <v/>
      </c>
      <c r="D51" t="str">
        <f ca="1">IFERROR(__xludf.DUMMYFUNCTION("""COMPUTED_VALUE"""),"")</f>
        <v/>
      </c>
      <c r="E51" t="str">
        <f ca="1">IFERROR(__xludf.DUMMYFUNCTION("""COMPUTED_VALUE"""),"")</f>
        <v/>
      </c>
      <c r="F51" s="125" t="str">
        <f ca="1">IFERROR(__xludf.DUMMYFUNCTION("""COMPUTED_VALUE"""),"")</f>
        <v/>
      </c>
      <c r="G51" t="str">
        <f ca="1">IFERROR(__xludf.DUMMYFUNCTION("""COMPUTED_VALUE"""),"")</f>
        <v/>
      </c>
      <c r="H51" t="str">
        <f ca="1">IFERROR(__xludf.DUMMYFUNCTION("""COMPUTED_VALUE"""),"")</f>
        <v/>
      </c>
      <c r="I51" t="str">
        <f ca="1">IFERROR(__xludf.DUMMYFUNCTION("""COMPUTED_VALUE"""),"")</f>
        <v/>
      </c>
      <c r="J51" t="str">
        <f ca="1">IFERROR(__xludf.DUMMYFUNCTION("""COMPUTED_VALUE"""),"")</f>
        <v/>
      </c>
      <c r="K51" t="str">
        <f ca="1">IFERROR(__xludf.DUMMYFUNCTION("""COMPUTED_VALUE"""),"")</f>
        <v/>
      </c>
      <c r="L51" t="str">
        <f ca="1">IFERROR(__xludf.DUMMYFUNCTION("""COMPUTED_VALUE"""),"")</f>
        <v/>
      </c>
      <c r="M51" t="str">
        <f ca="1">IFERROR(__xludf.DUMMYFUNCTION("""COMPUTED_VALUE"""),"")</f>
        <v/>
      </c>
      <c r="N51" t="str">
        <f ca="1">IFERROR(__xludf.DUMMYFUNCTION("""COMPUTED_VALUE"""),"")</f>
        <v/>
      </c>
      <c r="O51" t="str">
        <f ca="1">IFERROR(__xludf.DUMMYFUNCTION("""COMPUTED_VALUE"""),"")</f>
        <v/>
      </c>
      <c r="P51" t="str">
        <f ca="1">IFERROR(__xludf.DUMMYFUNCTION("""COMPUTED_VALUE"""),"")</f>
        <v/>
      </c>
      <c r="Q51" t="str">
        <f ca="1">IFERROR(__xludf.DUMMYFUNCTION("""COMPUTED_VALUE"""),"")</f>
        <v/>
      </c>
      <c r="R51" t="str">
        <f ca="1">IFERROR(__xludf.DUMMYFUNCTION("""COMPUTED_VALUE"""),"")</f>
        <v/>
      </c>
    </row>
    <row r="52" spans="1:18" ht="12.3">
      <c r="A52" t="str">
        <f ca="1">IFERROR(__xludf.DUMMYFUNCTION("""COMPUTED_VALUE"""),"")</f>
        <v/>
      </c>
      <c r="B52" t="str">
        <f ca="1">IFERROR(__xludf.DUMMYFUNCTION("""COMPUTED_VALUE"""),"")</f>
        <v/>
      </c>
      <c r="C52" t="str">
        <f ca="1">IFERROR(__xludf.DUMMYFUNCTION("""COMPUTED_VALUE"""),"")</f>
        <v/>
      </c>
      <c r="D52" t="str">
        <f ca="1">IFERROR(__xludf.DUMMYFUNCTION("""COMPUTED_VALUE"""),"")</f>
        <v/>
      </c>
      <c r="E52" t="str">
        <f ca="1">IFERROR(__xludf.DUMMYFUNCTION("""COMPUTED_VALUE"""),"")</f>
        <v/>
      </c>
      <c r="F52" s="125" t="str">
        <f ca="1">IFERROR(__xludf.DUMMYFUNCTION("""COMPUTED_VALUE"""),"")</f>
        <v/>
      </c>
      <c r="G52" t="str">
        <f ca="1">IFERROR(__xludf.DUMMYFUNCTION("""COMPUTED_VALUE"""),"")</f>
        <v/>
      </c>
      <c r="H52" t="str">
        <f ca="1">IFERROR(__xludf.DUMMYFUNCTION("""COMPUTED_VALUE"""),"")</f>
        <v/>
      </c>
      <c r="I52" t="str">
        <f ca="1">IFERROR(__xludf.DUMMYFUNCTION("""COMPUTED_VALUE"""),"")</f>
        <v/>
      </c>
      <c r="J52" t="str">
        <f ca="1">IFERROR(__xludf.DUMMYFUNCTION("""COMPUTED_VALUE"""),"")</f>
        <v/>
      </c>
      <c r="K52" t="str">
        <f ca="1">IFERROR(__xludf.DUMMYFUNCTION("""COMPUTED_VALUE"""),"")</f>
        <v/>
      </c>
      <c r="L52" t="str">
        <f ca="1">IFERROR(__xludf.DUMMYFUNCTION("""COMPUTED_VALUE"""),"")</f>
        <v/>
      </c>
      <c r="M52" t="str">
        <f ca="1">IFERROR(__xludf.DUMMYFUNCTION("""COMPUTED_VALUE"""),"")</f>
        <v/>
      </c>
      <c r="N52" t="str">
        <f ca="1">IFERROR(__xludf.DUMMYFUNCTION("""COMPUTED_VALUE"""),"")</f>
        <v/>
      </c>
      <c r="O52" t="str">
        <f ca="1">IFERROR(__xludf.DUMMYFUNCTION("""COMPUTED_VALUE"""),"")</f>
        <v/>
      </c>
      <c r="P52" t="str">
        <f ca="1">IFERROR(__xludf.DUMMYFUNCTION("""COMPUTED_VALUE"""),"")</f>
        <v/>
      </c>
      <c r="Q52" t="str">
        <f ca="1">IFERROR(__xludf.DUMMYFUNCTION("""COMPUTED_VALUE"""),"")</f>
        <v/>
      </c>
      <c r="R52" t="str">
        <f ca="1">IFERROR(__xludf.DUMMYFUNCTION("""COMPUTED_VALUE"""),"")</f>
        <v/>
      </c>
    </row>
    <row r="53" spans="1:18" ht="12.3">
      <c r="A53" t="str">
        <f ca="1">IFERROR(__xludf.DUMMYFUNCTION("""COMPUTED_VALUE"""),"")</f>
        <v/>
      </c>
      <c r="B53" t="str">
        <f ca="1">IFERROR(__xludf.DUMMYFUNCTION("""COMPUTED_VALUE"""),"")</f>
        <v/>
      </c>
      <c r="C53" t="str">
        <f ca="1">IFERROR(__xludf.DUMMYFUNCTION("""COMPUTED_VALUE"""),"")</f>
        <v/>
      </c>
      <c r="D53" t="str">
        <f ca="1">IFERROR(__xludf.DUMMYFUNCTION("""COMPUTED_VALUE"""),"")</f>
        <v/>
      </c>
      <c r="E53" t="str">
        <f ca="1">IFERROR(__xludf.DUMMYFUNCTION("""COMPUTED_VALUE"""),"")</f>
        <v/>
      </c>
      <c r="F53" s="125" t="str">
        <f ca="1">IFERROR(__xludf.DUMMYFUNCTION("""COMPUTED_VALUE"""),"")</f>
        <v/>
      </c>
      <c r="G53" t="str">
        <f ca="1">IFERROR(__xludf.DUMMYFUNCTION("""COMPUTED_VALUE"""),"")</f>
        <v/>
      </c>
      <c r="H53" t="str">
        <f ca="1">IFERROR(__xludf.DUMMYFUNCTION("""COMPUTED_VALUE"""),"")</f>
        <v/>
      </c>
      <c r="I53" t="str">
        <f ca="1">IFERROR(__xludf.DUMMYFUNCTION("""COMPUTED_VALUE"""),"")</f>
        <v/>
      </c>
      <c r="J53" t="str">
        <f ca="1">IFERROR(__xludf.DUMMYFUNCTION("""COMPUTED_VALUE"""),"")</f>
        <v/>
      </c>
      <c r="K53" t="str">
        <f ca="1">IFERROR(__xludf.DUMMYFUNCTION("""COMPUTED_VALUE"""),"")</f>
        <v/>
      </c>
      <c r="L53" t="str">
        <f ca="1">IFERROR(__xludf.DUMMYFUNCTION("""COMPUTED_VALUE"""),"")</f>
        <v/>
      </c>
      <c r="M53" t="str">
        <f ca="1">IFERROR(__xludf.DUMMYFUNCTION("""COMPUTED_VALUE"""),"")</f>
        <v/>
      </c>
      <c r="N53" t="str">
        <f ca="1">IFERROR(__xludf.DUMMYFUNCTION("""COMPUTED_VALUE"""),"")</f>
        <v/>
      </c>
      <c r="O53" t="str">
        <f ca="1">IFERROR(__xludf.DUMMYFUNCTION("""COMPUTED_VALUE"""),"")</f>
        <v/>
      </c>
      <c r="P53" t="str">
        <f ca="1">IFERROR(__xludf.DUMMYFUNCTION("""COMPUTED_VALUE"""),"")</f>
        <v/>
      </c>
      <c r="Q53" t="str">
        <f ca="1">IFERROR(__xludf.DUMMYFUNCTION("""COMPUTED_VALUE"""),"")</f>
        <v/>
      </c>
      <c r="R53" t="str">
        <f ca="1">IFERROR(__xludf.DUMMYFUNCTION("""COMPUTED_VALUE"""),"")</f>
        <v/>
      </c>
    </row>
    <row r="54" spans="1:18" ht="12.3">
      <c r="A54" t="str">
        <f ca="1">IFERROR(__xludf.DUMMYFUNCTION("""COMPUTED_VALUE"""),"")</f>
        <v/>
      </c>
      <c r="B54" t="str">
        <f ca="1">IFERROR(__xludf.DUMMYFUNCTION("""COMPUTED_VALUE"""),"")</f>
        <v/>
      </c>
      <c r="C54" t="str">
        <f ca="1">IFERROR(__xludf.DUMMYFUNCTION("""COMPUTED_VALUE"""),"")</f>
        <v/>
      </c>
      <c r="D54" t="str">
        <f ca="1">IFERROR(__xludf.DUMMYFUNCTION("""COMPUTED_VALUE"""),"")</f>
        <v/>
      </c>
      <c r="E54" t="str">
        <f ca="1">IFERROR(__xludf.DUMMYFUNCTION("""COMPUTED_VALUE"""),"")</f>
        <v/>
      </c>
      <c r="F54" s="125" t="str">
        <f ca="1">IFERROR(__xludf.DUMMYFUNCTION("""COMPUTED_VALUE"""),"")</f>
        <v/>
      </c>
      <c r="G54" t="str">
        <f ca="1">IFERROR(__xludf.DUMMYFUNCTION("""COMPUTED_VALUE"""),"")</f>
        <v/>
      </c>
      <c r="H54" t="str">
        <f ca="1">IFERROR(__xludf.DUMMYFUNCTION("""COMPUTED_VALUE"""),"")</f>
        <v/>
      </c>
      <c r="I54" t="str">
        <f ca="1">IFERROR(__xludf.DUMMYFUNCTION("""COMPUTED_VALUE"""),"")</f>
        <v/>
      </c>
      <c r="J54" t="str">
        <f ca="1">IFERROR(__xludf.DUMMYFUNCTION("""COMPUTED_VALUE"""),"")</f>
        <v/>
      </c>
      <c r="K54" t="str">
        <f ca="1">IFERROR(__xludf.DUMMYFUNCTION("""COMPUTED_VALUE"""),"")</f>
        <v/>
      </c>
      <c r="L54" t="str">
        <f ca="1">IFERROR(__xludf.DUMMYFUNCTION("""COMPUTED_VALUE"""),"")</f>
        <v/>
      </c>
      <c r="M54" t="str">
        <f ca="1">IFERROR(__xludf.DUMMYFUNCTION("""COMPUTED_VALUE"""),"")</f>
        <v/>
      </c>
      <c r="N54" t="str">
        <f ca="1">IFERROR(__xludf.DUMMYFUNCTION("""COMPUTED_VALUE"""),"")</f>
        <v/>
      </c>
      <c r="O54" t="str">
        <f ca="1">IFERROR(__xludf.DUMMYFUNCTION("""COMPUTED_VALUE"""),"")</f>
        <v/>
      </c>
      <c r="P54" t="str">
        <f ca="1">IFERROR(__xludf.DUMMYFUNCTION("""COMPUTED_VALUE"""),"")</f>
        <v/>
      </c>
      <c r="Q54" t="str">
        <f ca="1">IFERROR(__xludf.DUMMYFUNCTION("""COMPUTED_VALUE"""),"")</f>
        <v/>
      </c>
      <c r="R54" t="str">
        <f ca="1">IFERROR(__xludf.DUMMYFUNCTION("""COMPUTED_VALUE"""),"")</f>
        <v/>
      </c>
    </row>
    <row r="55" spans="1:18" ht="12.3">
      <c r="A55" t="str">
        <f ca="1">IFERROR(__xludf.DUMMYFUNCTION("""COMPUTED_VALUE"""),"")</f>
        <v/>
      </c>
      <c r="B55" t="str">
        <f ca="1">IFERROR(__xludf.DUMMYFUNCTION("""COMPUTED_VALUE"""),"")</f>
        <v/>
      </c>
      <c r="C55" t="str">
        <f ca="1">IFERROR(__xludf.DUMMYFUNCTION("""COMPUTED_VALUE"""),"")</f>
        <v/>
      </c>
      <c r="D55" t="str">
        <f ca="1">IFERROR(__xludf.DUMMYFUNCTION("""COMPUTED_VALUE"""),"")</f>
        <v/>
      </c>
      <c r="E55" t="str">
        <f ca="1">IFERROR(__xludf.DUMMYFUNCTION("""COMPUTED_VALUE"""),"")</f>
        <v/>
      </c>
      <c r="F55" s="125" t="str">
        <f ca="1">IFERROR(__xludf.DUMMYFUNCTION("""COMPUTED_VALUE"""),"")</f>
        <v/>
      </c>
      <c r="G55" t="str">
        <f ca="1">IFERROR(__xludf.DUMMYFUNCTION("""COMPUTED_VALUE"""),"")</f>
        <v/>
      </c>
      <c r="H55" t="str">
        <f ca="1">IFERROR(__xludf.DUMMYFUNCTION("""COMPUTED_VALUE"""),"")</f>
        <v/>
      </c>
      <c r="I55" t="str">
        <f ca="1">IFERROR(__xludf.DUMMYFUNCTION("""COMPUTED_VALUE"""),"")</f>
        <v/>
      </c>
      <c r="J55" t="str">
        <f ca="1">IFERROR(__xludf.DUMMYFUNCTION("""COMPUTED_VALUE"""),"")</f>
        <v/>
      </c>
      <c r="K55" t="str">
        <f ca="1">IFERROR(__xludf.DUMMYFUNCTION("""COMPUTED_VALUE"""),"")</f>
        <v/>
      </c>
      <c r="L55" t="str">
        <f ca="1">IFERROR(__xludf.DUMMYFUNCTION("""COMPUTED_VALUE"""),"")</f>
        <v/>
      </c>
      <c r="M55" t="str">
        <f ca="1">IFERROR(__xludf.DUMMYFUNCTION("""COMPUTED_VALUE"""),"")</f>
        <v/>
      </c>
      <c r="N55" t="str">
        <f ca="1">IFERROR(__xludf.DUMMYFUNCTION("""COMPUTED_VALUE"""),"")</f>
        <v/>
      </c>
      <c r="O55" t="str">
        <f ca="1">IFERROR(__xludf.DUMMYFUNCTION("""COMPUTED_VALUE"""),"")</f>
        <v/>
      </c>
      <c r="P55" t="str">
        <f ca="1">IFERROR(__xludf.DUMMYFUNCTION("""COMPUTED_VALUE"""),"")</f>
        <v/>
      </c>
      <c r="Q55" t="str">
        <f ca="1">IFERROR(__xludf.DUMMYFUNCTION("""COMPUTED_VALUE"""),"")</f>
        <v/>
      </c>
      <c r="R55" t="str">
        <f ca="1">IFERROR(__xludf.DUMMYFUNCTION("""COMPUTED_VALUE"""),"")</f>
        <v/>
      </c>
    </row>
    <row r="56" spans="1:18" ht="12.3">
      <c r="A56" t="str">
        <f ca="1">IFERROR(__xludf.DUMMYFUNCTION("""COMPUTED_VALUE"""),"")</f>
        <v/>
      </c>
      <c r="B56" t="str">
        <f ca="1">IFERROR(__xludf.DUMMYFUNCTION("""COMPUTED_VALUE"""),"")</f>
        <v/>
      </c>
      <c r="C56" t="str">
        <f ca="1">IFERROR(__xludf.DUMMYFUNCTION("""COMPUTED_VALUE"""),"")</f>
        <v/>
      </c>
      <c r="D56" t="str">
        <f ca="1">IFERROR(__xludf.DUMMYFUNCTION("""COMPUTED_VALUE"""),"")</f>
        <v/>
      </c>
      <c r="E56" t="str">
        <f ca="1">IFERROR(__xludf.DUMMYFUNCTION("""COMPUTED_VALUE"""),"")</f>
        <v/>
      </c>
      <c r="F56" s="125" t="str">
        <f ca="1">IFERROR(__xludf.DUMMYFUNCTION("""COMPUTED_VALUE"""),"")</f>
        <v/>
      </c>
      <c r="G56" t="str">
        <f ca="1">IFERROR(__xludf.DUMMYFUNCTION("""COMPUTED_VALUE"""),"")</f>
        <v/>
      </c>
      <c r="H56" t="str">
        <f ca="1">IFERROR(__xludf.DUMMYFUNCTION("""COMPUTED_VALUE"""),"")</f>
        <v/>
      </c>
      <c r="I56" t="str">
        <f ca="1">IFERROR(__xludf.DUMMYFUNCTION("""COMPUTED_VALUE"""),"")</f>
        <v/>
      </c>
      <c r="J56" t="str">
        <f ca="1">IFERROR(__xludf.DUMMYFUNCTION("""COMPUTED_VALUE"""),"")</f>
        <v/>
      </c>
      <c r="K56" t="str">
        <f ca="1">IFERROR(__xludf.DUMMYFUNCTION("""COMPUTED_VALUE"""),"")</f>
        <v/>
      </c>
      <c r="L56" t="str">
        <f ca="1">IFERROR(__xludf.DUMMYFUNCTION("""COMPUTED_VALUE"""),"")</f>
        <v/>
      </c>
      <c r="M56" t="str">
        <f ca="1">IFERROR(__xludf.DUMMYFUNCTION("""COMPUTED_VALUE"""),"")</f>
        <v/>
      </c>
      <c r="N56" t="str">
        <f ca="1">IFERROR(__xludf.DUMMYFUNCTION("""COMPUTED_VALUE"""),"")</f>
        <v/>
      </c>
      <c r="O56" t="str">
        <f ca="1">IFERROR(__xludf.DUMMYFUNCTION("""COMPUTED_VALUE"""),"")</f>
        <v/>
      </c>
      <c r="P56" t="str">
        <f ca="1">IFERROR(__xludf.DUMMYFUNCTION("""COMPUTED_VALUE"""),"")</f>
        <v/>
      </c>
      <c r="Q56" t="str">
        <f ca="1">IFERROR(__xludf.DUMMYFUNCTION("""COMPUTED_VALUE"""),"")</f>
        <v/>
      </c>
      <c r="R56" t="str">
        <f ca="1">IFERROR(__xludf.DUMMYFUNCTION("""COMPUTED_VALUE"""),"")</f>
        <v/>
      </c>
    </row>
    <row r="57" spans="1:18" ht="12.3">
      <c r="A57" t="str">
        <f ca="1">IFERROR(__xludf.DUMMYFUNCTION("""COMPUTED_VALUE"""),"")</f>
        <v/>
      </c>
      <c r="B57" t="str">
        <f ca="1">IFERROR(__xludf.DUMMYFUNCTION("""COMPUTED_VALUE"""),"")</f>
        <v/>
      </c>
      <c r="C57" t="str">
        <f ca="1">IFERROR(__xludf.DUMMYFUNCTION("""COMPUTED_VALUE"""),"")</f>
        <v/>
      </c>
      <c r="D57" t="str">
        <f ca="1">IFERROR(__xludf.DUMMYFUNCTION("""COMPUTED_VALUE"""),"")</f>
        <v/>
      </c>
      <c r="E57" t="str">
        <f ca="1">IFERROR(__xludf.DUMMYFUNCTION("""COMPUTED_VALUE"""),"")</f>
        <v/>
      </c>
      <c r="F57" s="125" t="str">
        <f ca="1">IFERROR(__xludf.DUMMYFUNCTION("""COMPUTED_VALUE"""),"")</f>
        <v/>
      </c>
      <c r="G57" t="str">
        <f ca="1">IFERROR(__xludf.DUMMYFUNCTION("""COMPUTED_VALUE"""),"")</f>
        <v/>
      </c>
      <c r="H57" t="str">
        <f ca="1">IFERROR(__xludf.DUMMYFUNCTION("""COMPUTED_VALUE"""),"")</f>
        <v/>
      </c>
      <c r="I57" t="str">
        <f ca="1">IFERROR(__xludf.DUMMYFUNCTION("""COMPUTED_VALUE"""),"")</f>
        <v/>
      </c>
      <c r="J57" t="str">
        <f ca="1">IFERROR(__xludf.DUMMYFUNCTION("""COMPUTED_VALUE"""),"")</f>
        <v/>
      </c>
      <c r="K57" t="str">
        <f ca="1">IFERROR(__xludf.DUMMYFUNCTION("""COMPUTED_VALUE"""),"")</f>
        <v/>
      </c>
      <c r="L57" t="str">
        <f ca="1">IFERROR(__xludf.DUMMYFUNCTION("""COMPUTED_VALUE"""),"")</f>
        <v/>
      </c>
      <c r="M57" t="str">
        <f ca="1">IFERROR(__xludf.DUMMYFUNCTION("""COMPUTED_VALUE"""),"")</f>
        <v/>
      </c>
      <c r="N57" t="str">
        <f ca="1">IFERROR(__xludf.DUMMYFUNCTION("""COMPUTED_VALUE"""),"")</f>
        <v/>
      </c>
      <c r="O57" t="str">
        <f ca="1">IFERROR(__xludf.DUMMYFUNCTION("""COMPUTED_VALUE"""),"")</f>
        <v/>
      </c>
      <c r="P57" t="str">
        <f ca="1">IFERROR(__xludf.DUMMYFUNCTION("""COMPUTED_VALUE"""),"")</f>
        <v/>
      </c>
      <c r="Q57" t="str">
        <f ca="1">IFERROR(__xludf.DUMMYFUNCTION("""COMPUTED_VALUE"""),"")</f>
        <v/>
      </c>
      <c r="R57" t="str">
        <f ca="1">IFERROR(__xludf.DUMMYFUNCTION("""COMPUTED_VALUE"""),"")</f>
        <v/>
      </c>
    </row>
    <row r="58" spans="1:18" ht="12.3">
      <c r="A58" t="str">
        <f ca="1">IFERROR(__xludf.DUMMYFUNCTION("""COMPUTED_VALUE"""),"")</f>
        <v/>
      </c>
      <c r="B58" t="str">
        <f ca="1">IFERROR(__xludf.DUMMYFUNCTION("""COMPUTED_VALUE"""),"")</f>
        <v/>
      </c>
      <c r="C58" t="str">
        <f ca="1">IFERROR(__xludf.DUMMYFUNCTION("""COMPUTED_VALUE"""),"")</f>
        <v/>
      </c>
      <c r="D58" t="str">
        <f ca="1">IFERROR(__xludf.DUMMYFUNCTION("""COMPUTED_VALUE"""),"")</f>
        <v/>
      </c>
      <c r="E58" t="str">
        <f ca="1">IFERROR(__xludf.DUMMYFUNCTION("""COMPUTED_VALUE"""),"")</f>
        <v/>
      </c>
      <c r="F58" s="125" t="str">
        <f ca="1">IFERROR(__xludf.DUMMYFUNCTION("""COMPUTED_VALUE"""),"")</f>
        <v/>
      </c>
      <c r="G58" t="str">
        <f ca="1">IFERROR(__xludf.DUMMYFUNCTION("""COMPUTED_VALUE"""),"")</f>
        <v/>
      </c>
      <c r="H58" t="str">
        <f ca="1">IFERROR(__xludf.DUMMYFUNCTION("""COMPUTED_VALUE"""),"")</f>
        <v/>
      </c>
      <c r="I58" t="str">
        <f ca="1">IFERROR(__xludf.DUMMYFUNCTION("""COMPUTED_VALUE"""),"")</f>
        <v/>
      </c>
      <c r="J58" t="str">
        <f ca="1">IFERROR(__xludf.DUMMYFUNCTION("""COMPUTED_VALUE"""),"")</f>
        <v/>
      </c>
      <c r="K58" t="str">
        <f ca="1">IFERROR(__xludf.DUMMYFUNCTION("""COMPUTED_VALUE"""),"")</f>
        <v/>
      </c>
      <c r="L58" t="str">
        <f ca="1">IFERROR(__xludf.DUMMYFUNCTION("""COMPUTED_VALUE"""),"")</f>
        <v/>
      </c>
      <c r="M58" t="str">
        <f ca="1">IFERROR(__xludf.DUMMYFUNCTION("""COMPUTED_VALUE"""),"")</f>
        <v/>
      </c>
      <c r="N58" t="str">
        <f ca="1">IFERROR(__xludf.DUMMYFUNCTION("""COMPUTED_VALUE"""),"")</f>
        <v/>
      </c>
      <c r="O58" t="str">
        <f ca="1">IFERROR(__xludf.DUMMYFUNCTION("""COMPUTED_VALUE"""),"")</f>
        <v/>
      </c>
      <c r="P58" t="str">
        <f ca="1">IFERROR(__xludf.DUMMYFUNCTION("""COMPUTED_VALUE"""),"")</f>
        <v/>
      </c>
      <c r="Q58" t="str">
        <f ca="1">IFERROR(__xludf.DUMMYFUNCTION("""COMPUTED_VALUE"""),"")</f>
        <v/>
      </c>
      <c r="R58" t="str">
        <f ca="1">IFERROR(__xludf.DUMMYFUNCTION("""COMPUTED_VALUE"""),"")</f>
        <v/>
      </c>
    </row>
    <row r="59" spans="1:18" ht="12.3">
      <c r="A59" t="str">
        <f ca="1">IFERROR(__xludf.DUMMYFUNCTION("""COMPUTED_VALUE"""),"")</f>
        <v/>
      </c>
      <c r="B59" t="str">
        <f ca="1">IFERROR(__xludf.DUMMYFUNCTION("""COMPUTED_VALUE"""),"")</f>
        <v/>
      </c>
      <c r="C59" t="str">
        <f ca="1">IFERROR(__xludf.DUMMYFUNCTION("""COMPUTED_VALUE"""),"")</f>
        <v/>
      </c>
      <c r="D59" t="str">
        <f ca="1">IFERROR(__xludf.DUMMYFUNCTION("""COMPUTED_VALUE"""),"")</f>
        <v/>
      </c>
      <c r="E59" t="str">
        <f ca="1">IFERROR(__xludf.DUMMYFUNCTION("""COMPUTED_VALUE"""),"")</f>
        <v/>
      </c>
      <c r="F59" s="125" t="str">
        <f ca="1">IFERROR(__xludf.DUMMYFUNCTION("""COMPUTED_VALUE"""),"")</f>
        <v/>
      </c>
      <c r="G59" t="str">
        <f ca="1">IFERROR(__xludf.DUMMYFUNCTION("""COMPUTED_VALUE"""),"")</f>
        <v/>
      </c>
      <c r="H59" t="str">
        <f ca="1">IFERROR(__xludf.DUMMYFUNCTION("""COMPUTED_VALUE"""),"")</f>
        <v/>
      </c>
      <c r="I59" t="str">
        <f ca="1">IFERROR(__xludf.DUMMYFUNCTION("""COMPUTED_VALUE"""),"")</f>
        <v/>
      </c>
      <c r="J59" t="str">
        <f ca="1">IFERROR(__xludf.DUMMYFUNCTION("""COMPUTED_VALUE"""),"")</f>
        <v/>
      </c>
      <c r="K59" t="str">
        <f ca="1">IFERROR(__xludf.DUMMYFUNCTION("""COMPUTED_VALUE"""),"")</f>
        <v/>
      </c>
      <c r="L59" t="str">
        <f ca="1">IFERROR(__xludf.DUMMYFUNCTION("""COMPUTED_VALUE"""),"")</f>
        <v/>
      </c>
      <c r="M59" t="str">
        <f ca="1">IFERROR(__xludf.DUMMYFUNCTION("""COMPUTED_VALUE"""),"")</f>
        <v/>
      </c>
      <c r="N59" t="str">
        <f ca="1">IFERROR(__xludf.DUMMYFUNCTION("""COMPUTED_VALUE"""),"")</f>
        <v/>
      </c>
      <c r="O59" t="str">
        <f ca="1">IFERROR(__xludf.DUMMYFUNCTION("""COMPUTED_VALUE"""),"")</f>
        <v/>
      </c>
      <c r="P59" t="str">
        <f ca="1">IFERROR(__xludf.DUMMYFUNCTION("""COMPUTED_VALUE"""),"")</f>
        <v/>
      </c>
      <c r="Q59" t="str">
        <f ca="1">IFERROR(__xludf.DUMMYFUNCTION("""COMPUTED_VALUE"""),"")</f>
        <v/>
      </c>
      <c r="R59" t="str">
        <f ca="1">IFERROR(__xludf.DUMMYFUNCTION("""COMPUTED_VALUE"""),"")</f>
        <v/>
      </c>
    </row>
    <row r="60" spans="1:18" ht="12.3">
      <c r="A60" t="str">
        <f ca="1">IFERROR(__xludf.DUMMYFUNCTION("""COMPUTED_VALUE"""),"")</f>
        <v/>
      </c>
      <c r="B60" t="str">
        <f ca="1">IFERROR(__xludf.DUMMYFUNCTION("""COMPUTED_VALUE"""),"")</f>
        <v/>
      </c>
      <c r="C60" t="str">
        <f ca="1">IFERROR(__xludf.DUMMYFUNCTION("""COMPUTED_VALUE"""),"")</f>
        <v/>
      </c>
      <c r="D60" t="str">
        <f ca="1">IFERROR(__xludf.DUMMYFUNCTION("""COMPUTED_VALUE"""),"")</f>
        <v/>
      </c>
      <c r="E60" t="str">
        <f ca="1">IFERROR(__xludf.DUMMYFUNCTION("""COMPUTED_VALUE"""),"")</f>
        <v/>
      </c>
      <c r="F60" s="125" t="str">
        <f ca="1">IFERROR(__xludf.DUMMYFUNCTION("""COMPUTED_VALUE"""),"")</f>
        <v/>
      </c>
      <c r="G60" t="str">
        <f ca="1">IFERROR(__xludf.DUMMYFUNCTION("""COMPUTED_VALUE"""),"")</f>
        <v/>
      </c>
      <c r="H60" t="str">
        <f ca="1">IFERROR(__xludf.DUMMYFUNCTION("""COMPUTED_VALUE"""),"")</f>
        <v/>
      </c>
      <c r="I60" t="str">
        <f ca="1">IFERROR(__xludf.DUMMYFUNCTION("""COMPUTED_VALUE"""),"")</f>
        <v/>
      </c>
      <c r="J60" t="str">
        <f ca="1">IFERROR(__xludf.DUMMYFUNCTION("""COMPUTED_VALUE"""),"")</f>
        <v/>
      </c>
      <c r="K60" t="str">
        <f ca="1">IFERROR(__xludf.DUMMYFUNCTION("""COMPUTED_VALUE"""),"")</f>
        <v/>
      </c>
      <c r="L60" t="str">
        <f ca="1">IFERROR(__xludf.DUMMYFUNCTION("""COMPUTED_VALUE"""),"")</f>
        <v/>
      </c>
      <c r="M60" t="str">
        <f ca="1">IFERROR(__xludf.DUMMYFUNCTION("""COMPUTED_VALUE"""),"")</f>
        <v/>
      </c>
      <c r="N60" t="str">
        <f ca="1">IFERROR(__xludf.DUMMYFUNCTION("""COMPUTED_VALUE"""),"")</f>
        <v/>
      </c>
      <c r="O60" t="str">
        <f ca="1">IFERROR(__xludf.DUMMYFUNCTION("""COMPUTED_VALUE"""),"")</f>
        <v/>
      </c>
      <c r="P60" t="str">
        <f ca="1">IFERROR(__xludf.DUMMYFUNCTION("""COMPUTED_VALUE"""),"")</f>
        <v/>
      </c>
      <c r="Q60" t="str">
        <f ca="1">IFERROR(__xludf.DUMMYFUNCTION("""COMPUTED_VALUE"""),"")</f>
        <v/>
      </c>
      <c r="R60" t="str">
        <f ca="1">IFERROR(__xludf.DUMMYFUNCTION("""COMPUTED_VALUE"""),"")</f>
        <v/>
      </c>
    </row>
    <row r="61" spans="1:18" ht="12.3">
      <c r="A61" t="str">
        <f ca="1">IFERROR(__xludf.DUMMYFUNCTION("""COMPUTED_VALUE"""),"")</f>
        <v/>
      </c>
      <c r="B61" t="str">
        <f ca="1">IFERROR(__xludf.DUMMYFUNCTION("""COMPUTED_VALUE"""),"")</f>
        <v/>
      </c>
      <c r="C61" t="str">
        <f ca="1">IFERROR(__xludf.DUMMYFUNCTION("""COMPUTED_VALUE"""),"")</f>
        <v/>
      </c>
      <c r="D61" t="str">
        <f ca="1">IFERROR(__xludf.DUMMYFUNCTION("""COMPUTED_VALUE"""),"")</f>
        <v/>
      </c>
      <c r="E61" t="str">
        <f ca="1">IFERROR(__xludf.DUMMYFUNCTION("""COMPUTED_VALUE"""),"")</f>
        <v/>
      </c>
      <c r="F61" s="125" t="str">
        <f ca="1">IFERROR(__xludf.DUMMYFUNCTION("""COMPUTED_VALUE"""),"")</f>
        <v/>
      </c>
      <c r="G61" t="str">
        <f ca="1">IFERROR(__xludf.DUMMYFUNCTION("""COMPUTED_VALUE"""),"")</f>
        <v/>
      </c>
      <c r="H61" t="str">
        <f ca="1">IFERROR(__xludf.DUMMYFUNCTION("""COMPUTED_VALUE"""),"")</f>
        <v/>
      </c>
      <c r="I61" t="str">
        <f ca="1">IFERROR(__xludf.DUMMYFUNCTION("""COMPUTED_VALUE"""),"")</f>
        <v/>
      </c>
      <c r="J61" t="str">
        <f ca="1">IFERROR(__xludf.DUMMYFUNCTION("""COMPUTED_VALUE"""),"")</f>
        <v/>
      </c>
      <c r="K61" t="str">
        <f ca="1">IFERROR(__xludf.DUMMYFUNCTION("""COMPUTED_VALUE"""),"")</f>
        <v/>
      </c>
      <c r="L61" t="str">
        <f ca="1">IFERROR(__xludf.DUMMYFUNCTION("""COMPUTED_VALUE"""),"")</f>
        <v/>
      </c>
      <c r="M61" t="str">
        <f ca="1">IFERROR(__xludf.DUMMYFUNCTION("""COMPUTED_VALUE"""),"")</f>
        <v/>
      </c>
      <c r="N61" t="str">
        <f ca="1">IFERROR(__xludf.DUMMYFUNCTION("""COMPUTED_VALUE"""),"")</f>
        <v/>
      </c>
      <c r="O61" t="str">
        <f ca="1">IFERROR(__xludf.DUMMYFUNCTION("""COMPUTED_VALUE"""),"")</f>
        <v/>
      </c>
      <c r="P61" t="str">
        <f ca="1">IFERROR(__xludf.DUMMYFUNCTION("""COMPUTED_VALUE"""),"")</f>
        <v/>
      </c>
      <c r="Q61" t="str">
        <f ca="1">IFERROR(__xludf.DUMMYFUNCTION("""COMPUTED_VALUE"""),"")</f>
        <v/>
      </c>
      <c r="R61" t="str">
        <f ca="1">IFERROR(__xludf.DUMMYFUNCTION("""COMPUTED_VALUE"""),"")</f>
        <v/>
      </c>
    </row>
    <row r="62" spans="1:18" ht="12.3">
      <c r="A62" t="str">
        <f ca="1">IFERROR(__xludf.DUMMYFUNCTION("""COMPUTED_VALUE"""),"")</f>
        <v/>
      </c>
      <c r="B62" t="str">
        <f ca="1">IFERROR(__xludf.DUMMYFUNCTION("""COMPUTED_VALUE"""),"")</f>
        <v/>
      </c>
      <c r="C62" t="str">
        <f ca="1">IFERROR(__xludf.DUMMYFUNCTION("""COMPUTED_VALUE"""),"")</f>
        <v/>
      </c>
      <c r="D62" t="str">
        <f ca="1">IFERROR(__xludf.DUMMYFUNCTION("""COMPUTED_VALUE"""),"")</f>
        <v/>
      </c>
      <c r="E62" t="str">
        <f ca="1">IFERROR(__xludf.DUMMYFUNCTION("""COMPUTED_VALUE"""),"")</f>
        <v/>
      </c>
      <c r="F62" s="125" t="str">
        <f ca="1">IFERROR(__xludf.DUMMYFUNCTION("""COMPUTED_VALUE"""),"")</f>
        <v/>
      </c>
      <c r="G62" t="str">
        <f ca="1">IFERROR(__xludf.DUMMYFUNCTION("""COMPUTED_VALUE"""),"")</f>
        <v/>
      </c>
      <c r="H62" t="str">
        <f ca="1">IFERROR(__xludf.DUMMYFUNCTION("""COMPUTED_VALUE"""),"")</f>
        <v/>
      </c>
      <c r="I62" t="str">
        <f ca="1">IFERROR(__xludf.DUMMYFUNCTION("""COMPUTED_VALUE"""),"")</f>
        <v/>
      </c>
      <c r="J62" t="str">
        <f ca="1">IFERROR(__xludf.DUMMYFUNCTION("""COMPUTED_VALUE"""),"")</f>
        <v/>
      </c>
      <c r="K62" t="str">
        <f ca="1">IFERROR(__xludf.DUMMYFUNCTION("""COMPUTED_VALUE"""),"")</f>
        <v/>
      </c>
      <c r="L62" t="str">
        <f ca="1">IFERROR(__xludf.DUMMYFUNCTION("""COMPUTED_VALUE"""),"")</f>
        <v/>
      </c>
      <c r="M62" t="str">
        <f ca="1">IFERROR(__xludf.DUMMYFUNCTION("""COMPUTED_VALUE"""),"")</f>
        <v/>
      </c>
      <c r="N62" t="str">
        <f ca="1">IFERROR(__xludf.DUMMYFUNCTION("""COMPUTED_VALUE"""),"")</f>
        <v/>
      </c>
      <c r="O62" t="str">
        <f ca="1">IFERROR(__xludf.DUMMYFUNCTION("""COMPUTED_VALUE"""),"")</f>
        <v/>
      </c>
      <c r="P62" t="str">
        <f ca="1">IFERROR(__xludf.DUMMYFUNCTION("""COMPUTED_VALUE"""),"")</f>
        <v/>
      </c>
      <c r="Q62" t="str">
        <f ca="1">IFERROR(__xludf.DUMMYFUNCTION("""COMPUTED_VALUE"""),"")</f>
        <v/>
      </c>
      <c r="R62" t="str">
        <f ca="1">IFERROR(__xludf.DUMMYFUNCTION("""COMPUTED_VALUE"""),"")</f>
        <v/>
      </c>
    </row>
    <row r="63" spans="1:18" ht="12.3">
      <c r="A63" t="str">
        <f ca="1">IFERROR(__xludf.DUMMYFUNCTION("""COMPUTED_VALUE"""),"")</f>
        <v/>
      </c>
      <c r="B63" t="str">
        <f ca="1">IFERROR(__xludf.DUMMYFUNCTION("""COMPUTED_VALUE"""),"")</f>
        <v/>
      </c>
      <c r="C63" t="str">
        <f ca="1">IFERROR(__xludf.DUMMYFUNCTION("""COMPUTED_VALUE"""),"")</f>
        <v/>
      </c>
      <c r="D63" t="str">
        <f ca="1">IFERROR(__xludf.DUMMYFUNCTION("""COMPUTED_VALUE"""),"")</f>
        <v/>
      </c>
      <c r="E63" t="str">
        <f ca="1">IFERROR(__xludf.DUMMYFUNCTION("""COMPUTED_VALUE"""),"")</f>
        <v/>
      </c>
      <c r="F63" s="125" t="str">
        <f ca="1">IFERROR(__xludf.DUMMYFUNCTION("""COMPUTED_VALUE"""),"")</f>
        <v/>
      </c>
      <c r="G63" t="str">
        <f ca="1">IFERROR(__xludf.DUMMYFUNCTION("""COMPUTED_VALUE"""),"")</f>
        <v/>
      </c>
      <c r="H63" t="str">
        <f ca="1">IFERROR(__xludf.DUMMYFUNCTION("""COMPUTED_VALUE"""),"")</f>
        <v/>
      </c>
      <c r="I63" t="str">
        <f ca="1">IFERROR(__xludf.DUMMYFUNCTION("""COMPUTED_VALUE"""),"")</f>
        <v/>
      </c>
      <c r="J63" t="str">
        <f ca="1">IFERROR(__xludf.DUMMYFUNCTION("""COMPUTED_VALUE"""),"")</f>
        <v/>
      </c>
      <c r="K63" t="str">
        <f ca="1">IFERROR(__xludf.DUMMYFUNCTION("""COMPUTED_VALUE"""),"")</f>
        <v/>
      </c>
      <c r="L63" t="str">
        <f ca="1">IFERROR(__xludf.DUMMYFUNCTION("""COMPUTED_VALUE"""),"")</f>
        <v/>
      </c>
      <c r="M63" t="str">
        <f ca="1">IFERROR(__xludf.DUMMYFUNCTION("""COMPUTED_VALUE"""),"")</f>
        <v/>
      </c>
      <c r="N63" t="str">
        <f ca="1">IFERROR(__xludf.DUMMYFUNCTION("""COMPUTED_VALUE"""),"")</f>
        <v/>
      </c>
      <c r="O63" t="str">
        <f ca="1">IFERROR(__xludf.DUMMYFUNCTION("""COMPUTED_VALUE"""),"")</f>
        <v/>
      </c>
      <c r="P63" t="str">
        <f ca="1">IFERROR(__xludf.DUMMYFUNCTION("""COMPUTED_VALUE"""),"")</f>
        <v/>
      </c>
      <c r="Q63" t="str">
        <f ca="1">IFERROR(__xludf.DUMMYFUNCTION("""COMPUTED_VALUE"""),"")</f>
        <v/>
      </c>
      <c r="R63" t="str">
        <f ca="1">IFERROR(__xludf.DUMMYFUNCTION("""COMPUTED_VALUE"""),"")</f>
        <v/>
      </c>
    </row>
    <row r="64" spans="1:18" ht="12.3">
      <c r="A64" t="str">
        <f ca="1">IFERROR(__xludf.DUMMYFUNCTION("""COMPUTED_VALUE"""),"")</f>
        <v/>
      </c>
      <c r="B64" t="str">
        <f ca="1">IFERROR(__xludf.DUMMYFUNCTION("""COMPUTED_VALUE"""),"")</f>
        <v/>
      </c>
      <c r="C64" t="str">
        <f ca="1">IFERROR(__xludf.DUMMYFUNCTION("""COMPUTED_VALUE"""),"")</f>
        <v/>
      </c>
      <c r="D64" t="str">
        <f ca="1">IFERROR(__xludf.DUMMYFUNCTION("""COMPUTED_VALUE"""),"")</f>
        <v/>
      </c>
      <c r="E64" t="str">
        <f ca="1">IFERROR(__xludf.DUMMYFUNCTION("""COMPUTED_VALUE"""),"")</f>
        <v/>
      </c>
      <c r="F64" s="125" t="str">
        <f ca="1">IFERROR(__xludf.DUMMYFUNCTION("""COMPUTED_VALUE"""),"")</f>
        <v/>
      </c>
      <c r="G64" t="str">
        <f ca="1">IFERROR(__xludf.DUMMYFUNCTION("""COMPUTED_VALUE"""),"")</f>
        <v/>
      </c>
      <c r="H64" t="str">
        <f ca="1">IFERROR(__xludf.DUMMYFUNCTION("""COMPUTED_VALUE"""),"")</f>
        <v/>
      </c>
      <c r="I64" t="str">
        <f ca="1">IFERROR(__xludf.DUMMYFUNCTION("""COMPUTED_VALUE"""),"")</f>
        <v/>
      </c>
      <c r="J64" t="str">
        <f ca="1">IFERROR(__xludf.DUMMYFUNCTION("""COMPUTED_VALUE"""),"")</f>
        <v/>
      </c>
      <c r="K64" t="str">
        <f ca="1">IFERROR(__xludf.DUMMYFUNCTION("""COMPUTED_VALUE"""),"")</f>
        <v/>
      </c>
      <c r="L64" t="str">
        <f ca="1">IFERROR(__xludf.DUMMYFUNCTION("""COMPUTED_VALUE"""),"")</f>
        <v/>
      </c>
      <c r="M64" t="str">
        <f ca="1">IFERROR(__xludf.DUMMYFUNCTION("""COMPUTED_VALUE"""),"")</f>
        <v/>
      </c>
      <c r="N64" t="str">
        <f ca="1">IFERROR(__xludf.DUMMYFUNCTION("""COMPUTED_VALUE"""),"")</f>
        <v/>
      </c>
      <c r="O64" t="str">
        <f ca="1">IFERROR(__xludf.DUMMYFUNCTION("""COMPUTED_VALUE"""),"")</f>
        <v/>
      </c>
      <c r="P64" t="str">
        <f ca="1">IFERROR(__xludf.DUMMYFUNCTION("""COMPUTED_VALUE"""),"")</f>
        <v/>
      </c>
      <c r="Q64" t="str">
        <f ca="1">IFERROR(__xludf.DUMMYFUNCTION("""COMPUTED_VALUE"""),"")</f>
        <v/>
      </c>
      <c r="R64" t="str">
        <f ca="1">IFERROR(__xludf.DUMMYFUNCTION("""COMPUTED_VALUE"""),"")</f>
        <v/>
      </c>
    </row>
    <row r="65" spans="1:18" ht="12.3">
      <c r="A65" t="str">
        <f ca="1">IFERROR(__xludf.DUMMYFUNCTION("""COMPUTED_VALUE"""),"")</f>
        <v/>
      </c>
      <c r="B65" t="str">
        <f ca="1">IFERROR(__xludf.DUMMYFUNCTION("""COMPUTED_VALUE"""),"")</f>
        <v/>
      </c>
      <c r="C65" t="str">
        <f ca="1">IFERROR(__xludf.DUMMYFUNCTION("""COMPUTED_VALUE"""),"")</f>
        <v/>
      </c>
      <c r="D65" t="str">
        <f ca="1">IFERROR(__xludf.DUMMYFUNCTION("""COMPUTED_VALUE"""),"")</f>
        <v/>
      </c>
      <c r="E65" t="str">
        <f ca="1">IFERROR(__xludf.DUMMYFUNCTION("""COMPUTED_VALUE"""),"")</f>
        <v/>
      </c>
      <c r="F65" s="125" t="str">
        <f ca="1">IFERROR(__xludf.DUMMYFUNCTION("""COMPUTED_VALUE"""),"")</f>
        <v/>
      </c>
      <c r="G65" t="str">
        <f ca="1">IFERROR(__xludf.DUMMYFUNCTION("""COMPUTED_VALUE"""),"")</f>
        <v/>
      </c>
      <c r="H65" t="str">
        <f ca="1">IFERROR(__xludf.DUMMYFUNCTION("""COMPUTED_VALUE"""),"")</f>
        <v/>
      </c>
      <c r="I65" t="str">
        <f ca="1">IFERROR(__xludf.DUMMYFUNCTION("""COMPUTED_VALUE"""),"")</f>
        <v/>
      </c>
      <c r="J65" t="str">
        <f ca="1">IFERROR(__xludf.DUMMYFUNCTION("""COMPUTED_VALUE"""),"")</f>
        <v/>
      </c>
      <c r="K65" t="str">
        <f ca="1">IFERROR(__xludf.DUMMYFUNCTION("""COMPUTED_VALUE"""),"")</f>
        <v/>
      </c>
      <c r="L65" t="str">
        <f ca="1">IFERROR(__xludf.DUMMYFUNCTION("""COMPUTED_VALUE"""),"")</f>
        <v/>
      </c>
      <c r="M65" t="str">
        <f ca="1">IFERROR(__xludf.DUMMYFUNCTION("""COMPUTED_VALUE"""),"")</f>
        <v/>
      </c>
      <c r="N65" t="str">
        <f ca="1">IFERROR(__xludf.DUMMYFUNCTION("""COMPUTED_VALUE"""),"")</f>
        <v/>
      </c>
      <c r="O65" t="str">
        <f ca="1">IFERROR(__xludf.DUMMYFUNCTION("""COMPUTED_VALUE"""),"")</f>
        <v/>
      </c>
      <c r="P65" t="str">
        <f ca="1">IFERROR(__xludf.DUMMYFUNCTION("""COMPUTED_VALUE"""),"")</f>
        <v/>
      </c>
      <c r="Q65" t="str">
        <f ca="1">IFERROR(__xludf.DUMMYFUNCTION("""COMPUTED_VALUE"""),"")</f>
        <v/>
      </c>
      <c r="R65" t="str">
        <f ca="1">IFERROR(__xludf.DUMMYFUNCTION("""COMPUTED_VALUE"""),"")</f>
        <v/>
      </c>
    </row>
    <row r="66" spans="1:18" ht="12.3">
      <c r="A66" t="str">
        <f ca="1">IFERROR(__xludf.DUMMYFUNCTION("""COMPUTED_VALUE"""),"")</f>
        <v/>
      </c>
      <c r="B66" t="str">
        <f ca="1">IFERROR(__xludf.DUMMYFUNCTION("""COMPUTED_VALUE"""),"")</f>
        <v/>
      </c>
      <c r="C66" t="str">
        <f ca="1">IFERROR(__xludf.DUMMYFUNCTION("""COMPUTED_VALUE"""),"")</f>
        <v/>
      </c>
      <c r="D66" t="str">
        <f ca="1">IFERROR(__xludf.DUMMYFUNCTION("""COMPUTED_VALUE"""),"")</f>
        <v/>
      </c>
      <c r="E66" t="str">
        <f ca="1">IFERROR(__xludf.DUMMYFUNCTION("""COMPUTED_VALUE"""),"")</f>
        <v/>
      </c>
      <c r="F66" s="125" t="str">
        <f ca="1">IFERROR(__xludf.DUMMYFUNCTION("""COMPUTED_VALUE"""),"")</f>
        <v/>
      </c>
      <c r="G66" t="str">
        <f ca="1">IFERROR(__xludf.DUMMYFUNCTION("""COMPUTED_VALUE"""),"")</f>
        <v/>
      </c>
      <c r="H66" t="str">
        <f ca="1">IFERROR(__xludf.DUMMYFUNCTION("""COMPUTED_VALUE"""),"")</f>
        <v/>
      </c>
      <c r="I66" t="str">
        <f ca="1">IFERROR(__xludf.DUMMYFUNCTION("""COMPUTED_VALUE"""),"")</f>
        <v/>
      </c>
      <c r="J66" t="str">
        <f ca="1">IFERROR(__xludf.DUMMYFUNCTION("""COMPUTED_VALUE"""),"")</f>
        <v/>
      </c>
      <c r="K66" t="str">
        <f ca="1">IFERROR(__xludf.DUMMYFUNCTION("""COMPUTED_VALUE"""),"")</f>
        <v/>
      </c>
      <c r="L66" t="str">
        <f ca="1">IFERROR(__xludf.DUMMYFUNCTION("""COMPUTED_VALUE"""),"")</f>
        <v/>
      </c>
      <c r="M66" t="str">
        <f ca="1">IFERROR(__xludf.DUMMYFUNCTION("""COMPUTED_VALUE"""),"")</f>
        <v/>
      </c>
      <c r="N66" t="str">
        <f ca="1">IFERROR(__xludf.DUMMYFUNCTION("""COMPUTED_VALUE"""),"")</f>
        <v/>
      </c>
      <c r="O66" t="str">
        <f ca="1">IFERROR(__xludf.DUMMYFUNCTION("""COMPUTED_VALUE"""),"")</f>
        <v/>
      </c>
      <c r="P66" t="str">
        <f ca="1">IFERROR(__xludf.DUMMYFUNCTION("""COMPUTED_VALUE"""),"")</f>
        <v/>
      </c>
      <c r="Q66" t="str">
        <f ca="1">IFERROR(__xludf.DUMMYFUNCTION("""COMPUTED_VALUE"""),"")</f>
        <v/>
      </c>
      <c r="R66" t="str">
        <f ca="1">IFERROR(__xludf.DUMMYFUNCTION("""COMPUTED_VALUE"""),"")</f>
        <v/>
      </c>
    </row>
    <row r="67" spans="1:18" ht="12.3">
      <c r="A67" t="str">
        <f ca="1">IFERROR(__xludf.DUMMYFUNCTION("""COMPUTED_VALUE"""),"")</f>
        <v/>
      </c>
      <c r="B67" t="str">
        <f ca="1">IFERROR(__xludf.DUMMYFUNCTION("""COMPUTED_VALUE"""),"")</f>
        <v/>
      </c>
      <c r="C67" t="str">
        <f ca="1">IFERROR(__xludf.DUMMYFUNCTION("""COMPUTED_VALUE"""),"")</f>
        <v/>
      </c>
      <c r="D67" t="str">
        <f ca="1">IFERROR(__xludf.DUMMYFUNCTION("""COMPUTED_VALUE"""),"")</f>
        <v/>
      </c>
      <c r="E67" t="str">
        <f ca="1">IFERROR(__xludf.DUMMYFUNCTION("""COMPUTED_VALUE"""),"")</f>
        <v/>
      </c>
      <c r="F67" s="125" t="str">
        <f ca="1">IFERROR(__xludf.DUMMYFUNCTION("""COMPUTED_VALUE"""),"")</f>
        <v/>
      </c>
      <c r="G67" t="str">
        <f ca="1">IFERROR(__xludf.DUMMYFUNCTION("""COMPUTED_VALUE"""),"")</f>
        <v/>
      </c>
      <c r="H67" t="str">
        <f ca="1">IFERROR(__xludf.DUMMYFUNCTION("""COMPUTED_VALUE"""),"")</f>
        <v/>
      </c>
      <c r="I67" t="str">
        <f ca="1">IFERROR(__xludf.DUMMYFUNCTION("""COMPUTED_VALUE"""),"")</f>
        <v/>
      </c>
      <c r="J67" t="str">
        <f ca="1">IFERROR(__xludf.DUMMYFUNCTION("""COMPUTED_VALUE"""),"")</f>
        <v/>
      </c>
      <c r="K67" t="str">
        <f ca="1">IFERROR(__xludf.DUMMYFUNCTION("""COMPUTED_VALUE"""),"")</f>
        <v/>
      </c>
      <c r="L67" t="str">
        <f ca="1">IFERROR(__xludf.DUMMYFUNCTION("""COMPUTED_VALUE"""),"")</f>
        <v/>
      </c>
      <c r="M67" t="str">
        <f ca="1">IFERROR(__xludf.DUMMYFUNCTION("""COMPUTED_VALUE"""),"")</f>
        <v/>
      </c>
      <c r="N67" t="str">
        <f ca="1">IFERROR(__xludf.DUMMYFUNCTION("""COMPUTED_VALUE"""),"")</f>
        <v/>
      </c>
      <c r="O67" t="str">
        <f ca="1">IFERROR(__xludf.DUMMYFUNCTION("""COMPUTED_VALUE"""),"")</f>
        <v/>
      </c>
      <c r="P67" t="str">
        <f ca="1">IFERROR(__xludf.DUMMYFUNCTION("""COMPUTED_VALUE"""),"")</f>
        <v/>
      </c>
      <c r="Q67" t="str">
        <f ca="1">IFERROR(__xludf.DUMMYFUNCTION("""COMPUTED_VALUE"""),"")</f>
        <v/>
      </c>
      <c r="R67" t="str">
        <f ca="1">IFERROR(__xludf.DUMMYFUNCTION("""COMPUTED_VALUE"""),"")</f>
        <v/>
      </c>
    </row>
    <row r="68" spans="1:18" ht="12.3">
      <c r="A68" t="str">
        <f ca="1">IFERROR(__xludf.DUMMYFUNCTION("""COMPUTED_VALUE"""),"")</f>
        <v/>
      </c>
      <c r="B68" t="str">
        <f ca="1">IFERROR(__xludf.DUMMYFUNCTION("""COMPUTED_VALUE"""),"")</f>
        <v/>
      </c>
      <c r="C68" t="str">
        <f ca="1">IFERROR(__xludf.DUMMYFUNCTION("""COMPUTED_VALUE"""),"")</f>
        <v/>
      </c>
      <c r="D68" t="str">
        <f ca="1">IFERROR(__xludf.DUMMYFUNCTION("""COMPUTED_VALUE"""),"")</f>
        <v/>
      </c>
      <c r="E68" t="str">
        <f ca="1">IFERROR(__xludf.DUMMYFUNCTION("""COMPUTED_VALUE"""),"")</f>
        <v/>
      </c>
      <c r="F68" s="125" t="str">
        <f ca="1">IFERROR(__xludf.DUMMYFUNCTION("""COMPUTED_VALUE"""),"")</f>
        <v/>
      </c>
      <c r="G68" t="str">
        <f ca="1">IFERROR(__xludf.DUMMYFUNCTION("""COMPUTED_VALUE"""),"")</f>
        <v/>
      </c>
      <c r="H68" t="str">
        <f ca="1">IFERROR(__xludf.DUMMYFUNCTION("""COMPUTED_VALUE"""),"")</f>
        <v/>
      </c>
      <c r="I68" t="str">
        <f ca="1">IFERROR(__xludf.DUMMYFUNCTION("""COMPUTED_VALUE"""),"")</f>
        <v/>
      </c>
      <c r="J68" t="str">
        <f ca="1">IFERROR(__xludf.DUMMYFUNCTION("""COMPUTED_VALUE"""),"")</f>
        <v/>
      </c>
      <c r="K68" t="str">
        <f ca="1">IFERROR(__xludf.DUMMYFUNCTION("""COMPUTED_VALUE"""),"")</f>
        <v/>
      </c>
      <c r="L68" t="str">
        <f ca="1">IFERROR(__xludf.DUMMYFUNCTION("""COMPUTED_VALUE"""),"")</f>
        <v/>
      </c>
      <c r="M68" t="str">
        <f ca="1">IFERROR(__xludf.DUMMYFUNCTION("""COMPUTED_VALUE"""),"")</f>
        <v/>
      </c>
      <c r="N68" t="str">
        <f ca="1">IFERROR(__xludf.DUMMYFUNCTION("""COMPUTED_VALUE"""),"")</f>
        <v/>
      </c>
      <c r="O68" t="str">
        <f ca="1">IFERROR(__xludf.DUMMYFUNCTION("""COMPUTED_VALUE"""),"")</f>
        <v/>
      </c>
      <c r="P68" t="str">
        <f ca="1">IFERROR(__xludf.DUMMYFUNCTION("""COMPUTED_VALUE"""),"")</f>
        <v/>
      </c>
      <c r="Q68" t="str">
        <f ca="1">IFERROR(__xludf.DUMMYFUNCTION("""COMPUTED_VALUE"""),"")</f>
        <v/>
      </c>
      <c r="R68" t="str">
        <f ca="1">IFERROR(__xludf.DUMMYFUNCTION("""COMPUTED_VALUE"""),"")</f>
        <v/>
      </c>
    </row>
    <row r="69" spans="1:18" ht="12.3">
      <c r="A69" t="str">
        <f ca="1">IFERROR(__xludf.DUMMYFUNCTION("""COMPUTED_VALUE"""),"")</f>
        <v/>
      </c>
      <c r="B69" t="str">
        <f ca="1">IFERROR(__xludf.DUMMYFUNCTION("""COMPUTED_VALUE"""),"")</f>
        <v/>
      </c>
      <c r="C69" t="str">
        <f ca="1">IFERROR(__xludf.DUMMYFUNCTION("""COMPUTED_VALUE"""),"")</f>
        <v/>
      </c>
      <c r="D69" t="str">
        <f ca="1">IFERROR(__xludf.DUMMYFUNCTION("""COMPUTED_VALUE"""),"")</f>
        <v/>
      </c>
      <c r="E69" t="str">
        <f ca="1">IFERROR(__xludf.DUMMYFUNCTION("""COMPUTED_VALUE"""),"")</f>
        <v/>
      </c>
      <c r="F69" s="125" t="str">
        <f ca="1">IFERROR(__xludf.DUMMYFUNCTION("""COMPUTED_VALUE"""),"")</f>
        <v/>
      </c>
      <c r="G69" t="str">
        <f ca="1">IFERROR(__xludf.DUMMYFUNCTION("""COMPUTED_VALUE"""),"")</f>
        <v/>
      </c>
      <c r="H69" t="str">
        <f ca="1">IFERROR(__xludf.DUMMYFUNCTION("""COMPUTED_VALUE"""),"")</f>
        <v/>
      </c>
      <c r="I69" t="str">
        <f ca="1">IFERROR(__xludf.DUMMYFUNCTION("""COMPUTED_VALUE"""),"")</f>
        <v/>
      </c>
      <c r="J69" t="str">
        <f ca="1">IFERROR(__xludf.DUMMYFUNCTION("""COMPUTED_VALUE"""),"")</f>
        <v/>
      </c>
      <c r="K69" t="str">
        <f ca="1">IFERROR(__xludf.DUMMYFUNCTION("""COMPUTED_VALUE"""),"")</f>
        <v/>
      </c>
      <c r="L69" t="str">
        <f ca="1">IFERROR(__xludf.DUMMYFUNCTION("""COMPUTED_VALUE"""),"")</f>
        <v/>
      </c>
      <c r="M69" t="str">
        <f ca="1">IFERROR(__xludf.DUMMYFUNCTION("""COMPUTED_VALUE"""),"")</f>
        <v/>
      </c>
      <c r="N69" t="str">
        <f ca="1">IFERROR(__xludf.DUMMYFUNCTION("""COMPUTED_VALUE"""),"")</f>
        <v/>
      </c>
      <c r="O69" t="str">
        <f ca="1">IFERROR(__xludf.DUMMYFUNCTION("""COMPUTED_VALUE"""),"")</f>
        <v/>
      </c>
      <c r="P69" t="str">
        <f ca="1">IFERROR(__xludf.DUMMYFUNCTION("""COMPUTED_VALUE"""),"")</f>
        <v/>
      </c>
      <c r="Q69" t="str">
        <f ca="1">IFERROR(__xludf.DUMMYFUNCTION("""COMPUTED_VALUE"""),"")</f>
        <v/>
      </c>
      <c r="R69" t="str">
        <f ca="1">IFERROR(__xludf.DUMMYFUNCTION("""COMPUTED_VALUE"""),"")</f>
        <v/>
      </c>
    </row>
    <row r="70" spans="1:18" ht="12.3">
      <c r="A70" t="str">
        <f ca="1">IFERROR(__xludf.DUMMYFUNCTION("""COMPUTED_VALUE"""),"")</f>
        <v/>
      </c>
      <c r="B70" t="str">
        <f ca="1">IFERROR(__xludf.DUMMYFUNCTION("""COMPUTED_VALUE"""),"")</f>
        <v/>
      </c>
      <c r="C70" t="str">
        <f ca="1">IFERROR(__xludf.DUMMYFUNCTION("""COMPUTED_VALUE"""),"")</f>
        <v/>
      </c>
      <c r="D70" t="str">
        <f ca="1">IFERROR(__xludf.DUMMYFUNCTION("""COMPUTED_VALUE"""),"")</f>
        <v/>
      </c>
      <c r="E70" t="str">
        <f ca="1">IFERROR(__xludf.DUMMYFUNCTION("""COMPUTED_VALUE"""),"")</f>
        <v/>
      </c>
      <c r="F70" s="125" t="str">
        <f ca="1">IFERROR(__xludf.DUMMYFUNCTION("""COMPUTED_VALUE"""),"")</f>
        <v/>
      </c>
      <c r="G70" t="str">
        <f ca="1">IFERROR(__xludf.DUMMYFUNCTION("""COMPUTED_VALUE"""),"")</f>
        <v/>
      </c>
      <c r="H70" t="str">
        <f ca="1">IFERROR(__xludf.DUMMYFUNCTION("""COMPUTED_VALUE"""),"")</f>
        <v/>
      </c>
      <c r="I70" t="str">
        <f ca="1">IFERROR(__xludf.DUMMYFUNCTION("""COMPUTED_VALUE"""),"")</f>
        <v/>
      </c>
      <c r="J70" t="str">
        <f ca="1">IFERROR(__xludf.DUMMYFUNCTION("""COMPUTED_VALUE"""),"")</f>
        <v/>
      </c>
      <c r="K70" t="str">
        <f ca="1">IFERROR(__xludf.DUMMYFUNCTION("""COMPUTED_VALUE"""),"")</f>
        <v/>
      </c>
      <c r="L70" t="str">
        <f ca="1">IFERROR(__xludf.DUMMYFUNCTION("""COMPUTED_VALUE"""),"")</f>
        <v/>
      </c>
      <c r="M70" t="str">
        <f ca="1">IFERROR(__xludf.DUMMYFUNCTION("""COMPUTED_VALUE"""),"")</f>
        <v/>
      </c>
      <c r="N70" t="str">
        <f ca="1">IFERROR(__xludf.DUMMYFUNCTION("""COMPUTED_VALUE"""),"")</f>
        <v/>
      </c>
      <c r="O70" t="str">
        <f ca="1">IFERROR(__xludf.DUMMYFUNCTION("""COMPUTED_VALUE"""),"")</f>
        <v/>
      </c>
      <c r="P70" t="str">
        <f ca="1">IFERROR(__xludf.DUMMYFUNCTION("""COMPUTED_VALUE"""),"")</f>
        <v/>
      </c>
      <c r="Q70" t="str">
        <f ca="1">IFERROR(__xludf.DUMMYFUNCTION("""COMPUTED_VALUE"""),"")</f>
        <v/>
      </c>
      <c r="R70" t="str">
        <f ca="1">IFERROR(__xludf.DUMMYFUNCTION("""COMPUTED_VALUE"""),"")</f>
        <v/>
      </c>
    </row>
    <row r="71" spans="1:18" ht="12.3">
      <c r="A71" t="str">
        <f ca="1">IFERROR(__xludf.DUMMYFUNCTION("""COMPUTED_VALUE"""),"")</f>
        <v/>
      </c>
      <c r="B71" t="str">
        <f ca="1">IFERROR(__xludf.DUMMYFUNCTION("""COMPUTED_VALUE"""),"")</f>
        <v/>
      </c>
      <c r="C71" t="str">
        <f ca="1">IFERROR(__xludf.DUMMYFUNCTION("""COMPUTED_VALUE"""),"")</f>
        <v/>
      </c>
      <c r="D71" t="str">
        <f ca="1">IFERROR(__xludf.DUMMYFUNCTION("""COMPUTED_VALUE"""),"")</f>
        <v/>
      </c>
      <c r="E71" t="str">
        <f ca="1">IFERROR(__xludf.DUMMYFUNCTION("""COMPUTED_VALUE"""),"")</f>
        <v/>
      </c>
      <c r="F71" s="125" t="str">
        <f ca="1">IFERROR(__xludf.DUMMYFUNCTION("""COMPUTED_VALUE"""),"")</f>
        <v/>
      </c>
      <c r="G71" t="str">
        <f ca="1">IFERROR(__xludf.DUMMYFUNCTION("""COMPUTED_VALUE"""),"")</f>
        <v/>
      </c>
      <c r="H71" t="str">
        <f ca="1">IFERROR(__xludf.DUMMYFUNCTION("""COMPUTED_VALUE"""),"")</f>
        <v/>
      </c>
      <c r="I71" t="str">
        <f ca="1">IFERROR(__xludf.DUMMYFUNCTION("""COMPUTED_VALUE"""),"")</f>
        <v/>
      </c>
      <c r="J71" t="str">
        <f ca="1">IFERROR(__xludf.DUMMYFUNCTION("""COMPUTED_VALUE"""),"")</f>
        <v/>
      </c>
      <c r="K71" t="str">
        <f ca="1">IFERROR(__xludf.DUMMYFUNCTION("""COMPUTED_VALUE"""),"")</f>
        <v/>
      </c>
      <c r="L71" t="str">
        <f ca="1">IFERROR(__xludf.DUMMYFUNCTION("""COMPUTED_VALUE"""),"")</f>
        <v/>
      </c>
      <c r="M71" t="str">
        <f ca="1">IFERROR(__xludf.DUMMYFUNCTION("""COMPUTED_VALUE"""),"")</f>
        <v/>
      </c>
      <c r="N71" t="str">
        <f ca="1">IFERROR(__xludf.DUMMYFUNCTION("""COMPUTED_VALUE"""),"")</f>
        <v/>
      </c>
      <c r="O71" t="str">
        <f ca="1">IFERROR(__xludf.DUMMYFUNCTION("""COMPUTED_VALUE"""),"")</f>
        <v/>
      </c>
      <c r="P71" t="str">
        <f ca="1">IFERROR(__xludf.DUMMYFUNCTION("""COMPUTED_VALUE"""),"")</f>
        <v/>
      </c>
      <c r="Q71" t="str">
        <f ca="1">IFERROR(__xludf.DUMMYFUNCTION("""COMPUTED_VALUE"""),"")</f>
        <v/>
      </c>
      <c r="R71" t="str">
        <f ca="1">IFERROR(__xludf.DUMMYFUNCTION("""COMPUTED_VALUE"""),"")</f>
        <v/>
      </c>
    </row>
    <row r="72" spans="1:18" ht="12.3">
      <c r="A72" t="str">
        <f ca="1">IFERROR(__xludf.DUMMYFUNCTION("""COMPUTED_VALUE"""),"")</f>
        <v/>
      </c>
      <c r="B72" t="str">
        <f ca="1">IFERROR(__xludf.DUMMYFUNCTION("""COMPUTED_VALUE"""),"")</f>
        <v/>
      </c>
      <c r="C72" t="str">
        <f ca="1">IFERROR(__xludf.DUMMYFUNCTION("""COMPUTED_VALUE"""),"")</f>
        <v/>
      </c>
      <c r="D72" t="str">
        <f ca="1">IFERROR(__xludf.DUMMYFUNCTION("""COMPUTED_VALUE"""),"")</f>
        <v/>
      </c>
      <c r="E72" t="str">
        <f ca="1">IFERROR(__xludf.DUMMYFUNCTION("""COMPUTED_VALUE"""),"")</f>
        <v/>
      </c>
      <c r="F72" s="125" t="str">
        <f ca="1">IFERROR(__xludf.DUMMYFUNCTION("""COMPUTED_VALUE"""),"")</f>
        <v/>
      </c>
      <c r="G72" t="str">
        <f ca="1">IFERROR(__xludf.DUMMYFUNCTION("""COMPUTED_VALUE"""),"")</f>
        <v/>
      </c>
      <c r="H72" t="str">
        <f ca="1">IFERROR(__xludf.DUMMYFUNCTION("""COMPUTED_VALUE"""),"")</f>
        <v/>
      </c>
      <c r="I72" t="str">
        <f ca="1">IFERROR(__xludf.DUMMYFUNCTION("""COMPUTED_VALUE"""),"")</f>
        <v/>
      </c>
      <c r="J72" t="str">
        <f ca="1">IFERROR(__xludf.DUMMYFUNCTION("""COMPUTED_VALUE"""),"")</f>
        <v/>
      </c>
      <c r="K72" t="str">
        <f ca="1">IFERROR(__xludf.DUMMYFUNCTION("""COMPUTED_VALUE"""),"")</f>
        <v/>
      </c>
      <c r="L72" t="str">
        <f ca="1">IFERROR(__xludf.DUMMYFUNCTION("""COMPUTED_VALUE"""),"")</f>
        <v/>
      </c>
      <c r="M72" t="str">
        <f ca="1">IFERROR(__xludf.DUMMYFUNCTION("""COMPUTED_VALUE"""),"")</f>
        <v/>
      </c>
      <c r="N72" t="str">
        <f ca="1">IFERROR(__xludf.DUMMYFUNCTION("""COMPUTED_VALUE"""),"")</f>
        <v/>
      </c>
      <c r="O72" t="str">
        <f ca="1">IFERROR(__xludf.DUMMYFUNCTION("""COMPUTED_VALUE"""),"")</f>
        <v/>
      </c>
      <c r="P72" t="str">
        <f ca="1">IFERROR(__xludf.DUMMYFUNCTION("""COMPUTED_VALUE"""),"")</f>
        <v/>
      </c>
      <c r="Q72" t="str">
        <f ca="1">IFERROR(__xludf.DUMMYFUNCTION("""COMPUTED_VALUE"""),"")</f>
        <v/>
      </c>
      <c r="R72" t="str">
        <f ca="1">IFERROR(__xludf.DUMMYFUNCTION("""COMPUTED_VALUE"""),"")</f>
        <v/>
      </c>
    </row>
    <row r="73" spans="1:18" ht="12.3">
      <c r="A73" t="str">
        <f ca="1">IFERROR(__xludf.DUMMYFUNCTION("""COMPUTED_VALUE"""),"")</f>
        <v/>
      </c>
      <c r="B73" t="str">
        <f ca="1">IFERROR(__xludf.DUMMYFUNCTION("""COMPUTED_VALUE"""),"")</f>
        <v/>
      </c>
      <c r="C73" t="str">
        <f ca="1">IFERROR(__xludf.DUMMYFUNCTION("""COMPUTED_VALUE"""),"")</f>
        <v/>
      </c>
      <c r="D73" t="str">
        <f ca="1">IFERROR(__xludf.DUMMYFUNCTION("""COMPUTED_VALUE"""),"")</f>
        <v/>
      </c>
      <c r="E73" t="str">
        <f ca="1">IFERROR(__xludf.DUMMYFUNCTION("""COMPUTED_VALUE"""),"")</f>
        <v/>
      </c>
      <c r="F73" s="125" t="str">
        <f ca="1">IFERROR(__xludf.DUMMYFUNCTION("""COMPUTED_VALUE"""),"")</f>
        <v/>
      </c>
      <c r="G73" t="str">
        <f ca="1">IFERROR(__xludf.DUMMYFUNCTION("""COMPUTED_VALUE"""),"")</f>
        <v/>
      </c>
      <c r="H73" t="str">
        <f ca="1">IFERROR(__xludf.DUMMYFUNCTION("""COMPUTED_VALUE"""),"")</f>
        <v/>
      </c>
      <c r="I73" t="str">
        <f ca="1">IFERROR(__xludf.DUMMYFUNCTION("""COMPUTED_VALUE"""),"")</f>
        <v/>
      </c>
      <c r="J73" t="str">
        <f ca="1">IFERROR(__xludf.DUMMYFUNCTION("""COMPUTED_VALUE"""),"")</f>
        <v/>
      </c>
      <c r="K73" t="str">
        <f ca="1">IFERROR(__xludf.DUMMYFUNCTION("""COMPUTED_VALUE"""),"")</f>
        <v/>
      </c>
      <c r="L73" t="str">
        <f ca="1">IFERROR(__xludf.DUMMYFUNCTION("""COMPUTED_VALUE"""),"")</f>
        <v/>
      </c>
      <c r="M73" t="str">
        <f ca="1">IFERROR(__xludf.DUMMYFUNCTION("""COMPUTED_VALUE"""),"")</f>
        <v/>
      </c>
      <c r="N73" t="str">
        <f ca="1">IFERROR(__xludf.DUMMYFUNCTION("""COMPUTED_VALUE"""),"")</f>
        <v/>
      </c>
      <c r="O73" t="str">
        <f ca="1">IFERROR(__xludf.DUMMYFUNCTION("""COMPUTED_VALUE"""),"")</f>
        <v/>
      </c>
      <c r="P73" t="str">
        <f ca="1">IFERROR(__xludf.DUMMYFUNCTION("""COMPUTED_VALUE"""),"")</f>
        <v/>
      </c>
      <c r="Q73" t="str">
        <f ca="1">IFERROR(__xludf.DUMMYFUNCTION("""COMPUTED_VALUE"""),"")</f>
        <v/>
      </c>
      <c r="R73" t="str">
        <f ca="1">IFERROR(__xludf.DUMMYFUNCTION("""COMPUTED_VALUE"""),"")</f>
        <v/>
      </c>
    </row>
    <row r="74" spans="1:18" ht="12.3">
      <c r="A74" t="str">
        <f ca="1">IFERROR(__xludf.DUMMYFUNCTION("""COMPUTED_VALUE"""),"")</f>
        <v/>
      </c>
      <c r="B74" t="str">
        <f ca="1">IFERROR(__xludf.DUMMYFUNCTION("""COMPUTED_VALUE"""),"")</f>
        <v/>
      </c>
      <c r="C74" t="str">
        <f ca="1">IFERROR(__xludf.DUMMYFUNCTION("""COMPUTED_VALUE"""),"")</f>
        <v/>
      </c>
      <c r="D74" t="str">
        <f ca="1">IFERROR(__xludf.DUMMYFUNCTION("""COMPUTED_VALUE"""),"")</f>
        <v/>
      </c>
      <c r="E74" t="str">
        <f ca="1">IFERROR(__xludf.DUMMYFUNCTION("""COMPUTED_VALUE"""),"")</f>
        <v/>
      </c>
      <c r="F74" s="125" t="str">
        <f ca="1">IFERROR(__xludf.DUMMYFUNCTION("""COMPUTED_VALUE"""),"")</f>
        <v/>
      </c>
      <c r="G74" t="str">
        <f ca="1">IFERROR(__xludf.DUMMYFUNCTION("""COMPUTED_VALUE"""),"")</f>
        <v/>
      </c>
      <c r="H74" t="str">
        <f ca="1">IFERROR(__xludf.DUMMYFUNCTION("""COMPUTED_VALUE"""),"")</f>
        <v/>
      </c>
      <c r="I74" t="str">
        <f ca="1">IFERROR(__xludf.DUMMYFUNCTION("""COMPUTED_VALUE"""),"")</f>
        <v/>
      </c>
      <c r="J74" t="str">
        <f ca="1">IFERROR(__xludf.DUMMYFUNCTION("""COMPUTED_VALUE"""),"")</f>
        <v/>
      </c>
      <c r="K74" t="str">
        <f ca="1">IFERROR(__xludf.DUMMYFUNCTION("""COMPUTED_VALUE"""),"")</f>
        <v/>
      </c>
      <c r="L74" t="str">
        <f ca="1">IFERROR(__xludf.DUMMYFUNCTION("""COMPUTED_VALUE"""),"")</f>
        <v/>
      </c>
      <c r="M74" t="str">
        <f ca="1">IFERROR(__xludf.DUMMYFUNCTION("""COMPUTED_VALUE"""),"")</f>
        <v/>
      </c>
      <c r="N74" t="str">
        <f ca="1">IFERROR(__xludf.DUMMYFUNCTION("""COMPUTED_VALUE"""),"")</f>
        <v/>
      </c>
      <c r="O74" t="str">
        <f ca="1">IFERROR(__xludf.DUMMYFUNCTION("""COMPUTED_VALUE"""),"")</f>
        <v/>
      </c>
      <c r="P74" t="str">
        <f ca="1">IFERROR(__xludf.DUMMYFUNCTION("""COMPUTED_VALUE"""),"")</f>
        <v/>
      </c>
      <c r="Q74" t="str">
        <f ca="1">IFERROR(__xludf.DUMMYFUNCTION("""COMPUTED_VALUE"""),"")</f>
        <v/>
      </c>
      <c r="R74" t="str">
        <f ca="1">IFERROR(__xludf.DUMMYFUNCTION("""COMPUTED_VALUE"""),"")</f>
        <v/>
      </c>
    </row>
    <row r="75" spans="1:18" ht="12.3">
      <c r="A75" t="str">
        <f ca="1">IFERROR(__xludf.DUMMYFUNCTION("""COMPUTED_VALUE"""),"")</f>
        <v/>
      </c>
      <c r="B75" t="str">
        <f ca="1">IFERROR(__xludf.DUMMYFUNCTION("""COMPUTED_VALUE"""),"")</f>
        <v/>
      </c>
      <c r="C75" t="str">
        <f ca="1">IFERROR(__xludf.DUMMYFUNCTION("""COMPUTED_VALUE"""),"")</f>
        <v/>
      </c>
      <c r="D75" t="str">
        <f ca="1">IFERROR(__xludf.DUMMYFUNCTION("""COMPUTED_VALUE"""),"")</f>
        <v/>
      </c>
      <c r="E75" t="str">
        <f ca="1">IFERROR(__xludf.DUMMYFUNCTION("""COMPUTED_VALUE"""),"")</f>
        <v/>
      </c>
      <c r="F75" s="125" t="str">
        <f ca="1">IFERROR(__xludf.DUMMYFUNCTION("""COMPUTED_VALUE"""),"")</f>
        <v/>
      </c>
      <c r="G75" t="str">
        <f ca="1">IFERROR(__xludf.DUMMYFUNCTION("""COMPUTED_VALUE"""),"")</f>
        <v/>
      </c>
      <c r="H75" t="str">
        <f ca="1">IFERROR(__xludf.DUMMYFUNCTION("""COMPUTED_VALUE"""),"")</f>
        <v/>
      </c>
      <c r="I75" t="str">
        <f ca="1">IFERROR(__xludf.DUMMYFUNCTION("""COMPUTED_VALUE"""),"")</f>
        <v/>
      </c>
      <c r="J75" t="str">
        <f ca="1">IFERROR(__xludf.DUMMYFUNCTION("""COMPUTED_VALUE"""),"")</f>
        <v/>
      </c>
      <c r="K75" t="str">
        <f ca="1">IFERROR(__xludf.DUMMYFUNCTION("""COMPUTED_VALUE"""),"")</f>
        <v/>
      </c>
      <c r="L75" t="str">
        <f ca="1">IFERROR(__xludf.DUMMYFUNCTION("""COMPUTED_VALUE"""),"")</f>
        <v/>
      </c>
      <c r="M75" t="str">
        <f ca="1">IFERROR(__xludf.DUMMYFUNCTION("""COMPUTED_VALUE"""),"")</f>
        <v/>
      </c>
      <c r="N75" t="str">
        <f ca="1">IFERROR(__xludf.DUMMYFUNCTION("""COMPUTED_VALUE"""),"")</f>
        <v/>
      </c>
      <c r="O75" t="str">
        <f ca="1">IFERROR(__xludf.DUMMYFUNCTION("""COMPUTED_VALUE"""),"")</f>
        <v/>
      </c>
      <c r="P75" t="str">
        <f ca="1">IFERROR(__xludf.DUMMYFUNCTION("""COMPUTED_VALUE"""),"")</f>
        <v/>
      </c>
      <c r="Q75" t="str">
        <f ca="1">IFERROR(__xludf.DUMMYFUNCTION("""COMPUTED_VALUE"""),"")</f>
        <v/>
      </c>
      <c r="R75" t="str">
        <f ca="1">IFERROR(__xludf.DUMMYFUNCTION("""COMPUTED_VALUE"""),"")</f>
        <v/>
      </c>
    </row>
    <row r="76" spans="1:18" ht="12.3">
      <c r="A76" t="str">
        <f ca="1">IFERROR(__xludf.DUMMYFUNCTION("""COMPUTED_VALUE"""),"")</f>
        <v/>
      </c>
      <c r="B76" t="str">
        <f ca="1">IFERROR(__xludf.DUMMYFUNCTION("""COMPUTED_VALUE"""),"")</f>
        <v/>
      </c>
      <c r="C76" t="str">
        <f ca="1">IFERROR(__xludf.DUMMYFUNCTION("""COMPUTED_VALUE"""),"")</f>
        <v/>
      </c>
      <c r="D76" t="str">
        <f ca="1">IFERROR(__xludf.DUMMYFUNCTION("""COMPUTED_VALUE"""),"")</f>
        <v/>
      </c>
      <c r="E76" t="str">
        <f ca="1">IFERROR(__xludf.DUMMYFUNCTION("""COMPUTED_VALUE"""),"")</f>
        <v/>
      </c>
      <c r="F76" s="125" t="str">
        <f ca="1">IFERROR(__xludf.DUMMYFUNCTION("""COMPUTED_VALUE"""),"")</f>
        <v/>
      </c>
      <c r="G76" t="str">
        <f ca="1">IFERROR(__xludf.DUMMYFUNCTION("""COMPUTED_VALUE"""),"")</f>
        <v/>
      </c>
      <c r="H76" t="str">
        <f ca="1">IFERROR(__xludf.DUMMYFUNCTION("""COMPUTED_VALUE"""),"")</f>
        <v/>
      </c>
      <c r="I76" t="str">
        <f ca="1">IFERROR(__xludf.DUMMYFUNCTION("""COMPUTED_VALUE"""),"")</f>
        <v/>
      </c>
      <c r="J76" t="str">
        <f ca="1">IFERROR(__xludf.DUMMYFUNCTION("""COMPUTED_VALUE"""),"")</f>
        <v/>
      </c>
      <c r="K76" t="str">
        <f ca="1">IFERROR(__xludf.DUMMYFUNCTION("""COMPUTED_VALUE"""),"")</f>
        <v/>
      </c>
      <c r="L76" t="str">
        <f ca="1">IFERROR(__xludf.DUMMYFUNCTION("""COMPUTED_VALUE"""),"")</f>
        <v/>
      </c>
      <c r="M76" t="str">
        <f ca="1">IFERROR(__xludf.DUMMYFUNCTION("""COMPUTED_VALUE"""),"")</f>
        <v/>
      </c>
      <c r="N76" t="str">
        <f ca="1">IFERROR(__xludf.DUMMYFUNCTION("""COMPUTED_VALUE"""),"")</f>
        <v/>
      </c>
      <c r="O76" t="str">
        <f ca="1">IFERROR(__xludf.DUMMYFUNCTION("""COMPUTED_VALUE"""),"")</f>
        <v/>
      </c>
      <c r="P76" t="str">
        <f ca="1">IFERROR(__xludf.DUMMYFUNCTION("""COMPUTED_VALUE"""),"")</f>
        <v/>
      </c>
      <c r="Q76" t="str">
        <f ca="1">IFERROR(__xludf.DUMMYFUNCTION("""COMPUTED_VALUE"""),"")</f>
        <v/>
      </c>
      <c r="R76" t="str">
        <f ca="1">IFERROR(__xludf.DUMMYFUNCTION("""COMPUTED_VALUE"""),"")</f>
        <v/>
      </c>
    </row>
    <row r="77" spans="1:18" ht="12.3">
      <c r="A77" t="str">
        <f ca="1">IFERROR(__xludf.DUMMYFUNCTION("""COMPUTED_VALUE"""),"")</f>
        <v/>
      </c>
      <c r="B77" t="str">
        <f ca="1">IFERROR(__xludf.DUMMYFUNCTION("""COMPUTED_VALUE"""),"")</f>
        <v/>
      </c>
      <c r="C77" t="str">
        <f ca="1">IFERROR(__xludf.DUMMYFUNCTION("""COMPUTED_VALUE"""),"")</f>
        <v/>
      </c>
      <c r="D77" t="str">
        <f ca="1">IFERROR(__xludf.DUMMYFUNCTION("""COMPUTED_VALUE"""),"")</f>
        <v/>
      </c>
      <c r="E77" t="str">
        <f ca="1">IFERROR(__xludf.DUMMYFUNCTION("""COMPUTED_VALUE"""),"")</f>
        <v/>
      </c>
      <c r="F77" s="125" t="str">
        <f ca="1">IFERROR(__xludf.DUMMYFUNCTION("""COMPUTED_VALUE"""),"")</f>
        <v/>
      </c>
      <c r="G77" t="str">
        <f ca="1">IFERROR(__xludf.DUMMYFUNCTION("""COMPUTED_VALUE"""),"")</f>
        <v/>
      </c>
      <c r="H77" t="str">
        <f ca="1">IFERROR(__xludf.DUMMYFUNCTION("""COMPUTED_VALUE"""),"")</f>
        <v/>
      </c>
      <c r="I77" t="str">
        <f ca="1">IFERROR(__xludf.DUMMYFUNCTION("""COMPUTED_VALUE"""),"")</f>
        <v/>
      </c>
      <c r="J77" t="str">
        <f ca="1">IFERROR(__xludf.DUMMYFUNCTION("""COMPUTED_VALUE"""),"")</f>
        <v/>
      </c>
      <c r="K77" t="str">
        <f ca="1">IFERROR(__xludf.DUMMYFUNCTION("""COMPUTED_VALUE"""),"")</f>
        <v/>
      </c>
      <c r="L77" t="str">
        <f ca="1">IFERROR(__xludf.DUMMYFUNCTION("""COMPUTED_VALUE"""),"")</f>
        <v/>
      </c>
      <c r="M77" t="str">
        <f ca="1">IFERROR(__xludf.DUMMYFUNCTION("""COMPUTED_VALUE"""),"")</f>
        <v/>
      </c>
      <c r="N77" t="str">
        <f ca="1">IFERROR(__xludf.DUMMYFUNCTION("""COMPUTED_VALUE"""),"")</f>
        <v/>
      </c>
      <c r="O77" t="str">
        <f ca="1">IFERROR(__xludf.DUMMYFUNCTION("""COMPUTED_VALUE"""),"")</f>
        <v/>
      </c>
      <c r="P77" t="str">
        <f ca="1">IFERROR(__xludf.DUMMYFUNCTION("""COMPUTED_VALUE"""),"")</f>
        <v/>
      </c>
      <c r="Q77" t="str">
        <f ca="1">IFERROR(__xludf.DUMMYFUNCTION("""COMPUTED_VALUE"""),"")</f>
        <v/>
      </c>
      <c r="R77" t="str">
        <f ca="1">IFERROR(__xludf.DUMMYFUNCTION("""COMPUTED_VALUE"""),"")</f>
        <v/>
      </c>
    </row>
    <row r="78" spans="1:18" ht="12.3">
      <c r="A78" t="str">
        <f ca="1">IFERROR(__xludf.DUMMYFUNCTION("""COMPUTED_VALUE"""),"")</f>
        <v/>
      </c>
      <c r="B78" t="str">
        <f ca="1">IFERROR(__xludf.DUMMYFUNCTION("""COMPUTED_VALUE"""),"")</f>
        <v/>
      </c>
      <c r="C78" t="str">
        <f ca="1">IFERROR(__xludf.DUMMYFUNCTION("""COMPUTED_VALUE"""),"")</f>
        <v/>
      </c>
      <c r="D78" t="str">
        <f ca="1">IFERROR(__xludf.DUMMYFUNCTION("""COMPUTED_VALUE"""),"")</f>
        <v/>
      </c>
      <c r="E78" t="str">
        <f ca="1">IFERROR(__xludf.DUMMYFUNCTION("""COMPUTED_VALUE"""),"")</f>
        <v/>
      </c>
      <c r="F78" s="125" t="str">
        <f ca="1">IFERROR(__xludf.DUMMYFUNCTION("""COMPUTED_VALUE"""),"")</f>
        <v/>
      </c>
      <c r="G78" t="str">
        <f ca="1">IFERROR(__xludf.DUMMYFUNCTION("""COMPUTED_VALUE"""),"")</f>
        <v/>
      </c>
      <c r="H78" t="str">
        <f ca="1">IFERROR(__xludf.DUMMYFUNCTION("""COMPUTED_VALUE"""),"")</f>
        <v/>
      </c>
      <c r="I78" t="str">
        <f ca="1">IFERROR(__xludf.DUMMYFUNCTION("""COMPUTED_VALUE"""),"")</f>
        <v/>
      </c>
      <c r="J78" t="str">
        <f ca="1">IFERROR(__xludf.DUMMYFUNCTION("""COMPUTED_VALUE"""),"")</f>
        <v/>
      </c>
      <c r="K78" t="str">
        <f ca="1">IFERROR(__xludf.DUMMYFUNCTION("""COMPUTED_VALUE"""),"")</f>
        <v/>
      </c>
      <c r="L78" t="str">
        <f ca="1">IFERROR(__xludf.DUMMYFUNCTION("""COMPUTED_VALUE"""),"")</f>
        <v/>
      </c>
      <c r="M78" t="str">
        <f ca="1">IFERROR(__xludf.DUMMYFUNCTION("""COMPUTED_VALUE"""),"")</f>
        <v/>
      </c>
      <c r="N78" t="str">
        <f ca="1">IFERROR(__xludf.DUMMYFUNCTION("""COMPUTED_VALUE"""),"")</f>
        <v/>
      </c>
      <c r="O78" t="str">
        <f ca="1">IFERROR(__xludf.DUMMYFUNCTION("""COMPUTED_VALUE"""),"")</f>
        <v/>
      </c>
      <c r="P78" t="str">
        <f ca="1">IFERROR(__xludf.DUMMYFUNCTION("""COMPUTED_VALUE"""),"")</f>
        <v/>
      </c>
      <c r="Q78" t="str">
        <f ca="1">IFERROR(__xludf.DUMMYFUNCTION("""COMPUTED_VALUE"""),"")</f>
        <v/>
      </c>
      <c r="R78" t="str">
        <f ca="1">IFERROR(__xludf.DUMMYFUNCTION("""COMPUTED_VALUE"""),"")</f>
        <v/>
      </c>
    </row>
    <row r="79" spans="1:18" ht="12.3">
      <c r="A79" t="str">
        <f ca="1">IFERROR(__xludf.DUMMYFUNCTION("""COMPUTED_VALUE"""),"")</f>
        <v/>
      </c>
      <c r="B79" t="str">
        <f ca="1">IFERROR(__xludf.DUMMYFUNCTION("""COMPUTED_VALUE"""),"")</f>
        <v/>
      </c>
      <c r="C79" t="str">
        <f ca="1">IFERROR(__xludf.DUMMYFUNCTION("""COMPUTED_VALUE"""),"")</f>
        <v/>
      </c>
      <c r="D79" t="str">
        <f ca="1">IFERROR(__xludf.DUMMYFUNCTION("""COMPUTED_VALUE"""),"")</f>
        <v/>
      </c>
      <c r="E79" t="str">
        <f ca="1">IFERROR(__xludf.DUMMYFUNCTION("""COMPUTED_VALUE"""),"")</f>
        <v/>
      </c>
      <c r="F79" s="125" t="str">
        <f ca="1">IFERROR(__xludf.DUMMYFUNCTION("""COMPUTED_VALUE"""),"")</f>
        <v/>
      </c>
      <c r="G79" t="str">
        <f ca="1">IFERROR(__xludf.DUMMYFUNCTION("""COMPUTED_VALUE"""),"")</f>
        <v/>
      </c>
      <c r="H79" t="str">
        <f ca="1">IFERROR(__xludf.DUMMYFUNCTION("""COMPUTED_VALUE"""),"")</f>
        <v/>
      </c>
      <c r="I79" t="str">
        <f ca="1">IFERROR(__xludf.DUMMYFUNCTION("""COMPUTED_VALUE"""),"")</f>
        <v/>
      </c>
      <c r="J79" t="str">
        <f ca="1">IFERROR(__xludf.DUMMYFUNCTION("""COMPUTED_VALUE"""),"")</f>
        <v/>
      </c>
      <c r="K79" t="str">
        <f ca="1">IFERROR(__xludf.DUMMYFUNCTION("""COMPUTED_VALUE"""),"")</f>
        <v/>
      </c>
      <c r="L79" t="str">
        <f ca="1">IFERROR(__xludf.DUMMYFUNCTION("""COMPUTED_VALUE"""),"")</f>
        <v/>
      </c>
      <c r="M79" t="str">
        <f ca="1">IFERROR(__xludf.DUMMYFUNCTION("""COMPUTED_VALUE"""),"")</f>
        <v/>
      </c>
      <c r="N79" t="str">
        <f ca="1">IFERROR(__xludf.DUMMYFUNCTION("""COMPUTED_VALUE"""),"")</f>
        <v/>
      </c>
      <c r="O79" t="str">
        <f ca="1">IFERROR(__xludf.DUMMYFUNCTION("""COMPUTED_VALUE"""),"")</f>
        <v/>
      </c>
      <c r="P79" t="str">
        <f ca="1">IFERROR(__xludf.DUMMYFUNCTION("""COMPUTED_VALUE"""),"")</f>
        <v/>
      </c>
      <c r="Q79" t="str">
        <f ca="1">IFERROR(__xludf.DUMMYFUNCTION("""COMPUTED_VALUE"""),"")</f>
        <v/>
      </c>
      <c r="R79" t="str">
        <f ca="1">IFERROR(__xludf.DUMMYFUNCTION("""COMPUTED_VALUE"""),"")</f>
        <v/>
      </c>
    </row>
    <row r="80" spans="1:18" ht="12.3">
      <c r="A80" t="str">
        <f ca="1">IFERROR(__xludf.DUMMYFUNCTION("""COMPUTED_VALUE"""),"")</f>
        <v/>
      </c>
      <c r="B80" t="str">
        <f ca="1">IFERROR(__xludf.DUMMYFUNCTION("""COMPUTED_VALUE"""),"")</f>
        <v/>
      </c>
      <c r="C80" t="str">
        <f ca="1">IFERROR(__xludf.DUMMYFUNCTION("""COMPUTED_VALUE"""),"")</f>
        <v/>
      </c>
      <c r="D80" t="str">
        <f ca="1">IFERROR(__xludf.DUMMYFUNCTION("""COMPUTED_VALUE"""),"")</f>
        <v/>
      </c>
      <c r="E80" t="str">
        <f ca="1">IFERROR(__xludf.DUMMYFUNCTION("""COMPUTED_VALUE"""),"")</f>
        <v/>
      </c>
      <c r="F80" s="125" t="str">
        <f ca="1">IFERROR(__xludf.DUMMYFUNCTION("""COMPUTED_VALUE"""),"")</f>
        <v/>
      </c>
      <c r="G80" t="str">
        <f ca="1">IFERROR(__xludf.DUMMYFUNCTION("""COMPUTED_VALUE"""),"")</f>
        <v/>
      </c>
      <c r="H80" t="str">
        <f ca="1">IFERROR(__xludf.DUMMYFUNCTION("""COMPUTED_VALUE"""),"")</f>
        <v/>
      </c>
      <c r="I80" t="str">
        <f ca="1">IFERROR(__xludf.DUMMYFUNCTION("""COMPUTED_VALUE"""),"")</f>
        <v/>
      </c>
      <c r="J80" t="str">
        <f ca="1">IFERROR(__xludf.DUMMYFUNCTION("""COMPUTED_VALUE"""),"")</f>
        <v/>
      </c>
      <c r="K80" t="str">
        <f ca="1">IFERROR(__xludf.DUMMYFUNCTION("""COMPUTED_VALUE"""),"")</f>
        <v/>
      </c>
      <c r="L80" t="str">
        <f ca="1">IFERROR(__xludf.DUMMYFUNCTION("""COMPUTED_VALUE"""),"")</f>
        <v/>
      </c>
      <c r="M80" t="str">
        <f ca="1">IFERROR(__xludf.DUMMYFUNCTION("""COMPUTED_VALUE"""),"")</f>
        <v/>
      </c>
      <c r="N80" t="str">
        <f ca="1">IFERROR(__xludf.DUMMYFUNCTION("""COMPUTED_VALUE"""),"")</f>
        <v/>
      </c>
      <c r="O80" t="str">
        <f ca="1">IFERROR(__xludf.DUMMYFUNCTION("""COMPUTED_VALUE"""),"")</f>
        <v/>
      </c>
      <c r="P80" t="str">
        <f ca="1">IFERROR(__xludf.DUMMYFUNCTION("""COMPUTED_VALUE"""),"")</f>
        <v/>
      </c>
      <c r="Q80" t="str">
        <f ca="1">IFERROR(__xludf.DUMMYFUNCTION("""COMPUTED_VALUE"""),"")</f>
        <v/>
      </c>
      <c r="R80" t="str">
        <f ca="1">IFERROR(__xludf.DUMMYFUNCTION("""COMPUTED_VALUE"""),"")</f>
        <v/>
      </c>
    </row>
    <row r="81" spans="1:18" ht="12.3">
      <c r="A81" t="str">
        <f ca="1">IFERROR(__xludf.DUMMYFUNCTION("""COMPUTED_VALUE"""),"")</f>
        <v/>
      </c>
      <c r="B81" t="str">
        <f ca="1">IFERROR(__xludf.DUMMYFUNCTION("""COMPUTED_VALUE"""),"")</f>
        <v/>
      </c>
      <c r="C81" t="str">
        <f ca="1">IFERROR(__xludf.DUMMYFUNCTION("""COMPUTED_VALUE"""),"")</f>
        <v/>
      </c>
      <c r="D81" t="str">
        <f ca="1">IFERROR(__xludf.DUMMYFUNCTION("""COMPUTED_VALUE"""),"")</f>
        <v/>
      </c>
      <c r="E81" t="str">
        <f ca="1">IFERROR(__xludf.DUMMYFUNCTION("""COMPUTED_VALUE"""),"")</f>
        <v/>
      </c>
      <c r="F81" s="125" t="str">
        <f ca="1">IFERROR(__xludf.DUMMYFUNCTION("""COMPUTED_VALUE"""),"")</f>
        <v/>
      </c>
      <c r="G81" t="str">
        <f ca="1">IFERROR(__xludf.DUMMYFUNCTION("""COMPUTED_VALUE"""),"")</f>
        <v/>
      </c>
      <c r="H81" t="str">
        <f ca="1">IFERROR(__xludf.DUMMYFUNCTION("""COMPUTED_VALUE"""),"")</f>
        <v/>
      </c>
      <c r="I81" t="str">
        <f ca="1">IFERROR(__xludf.DUMMYFUNCTION("""COMPUTED_VALUE"""),"")</f>
        <v/>
      </c>
      <c r="J81" t="str">
        <f ca="1">IFERROR(__xludf.DUMMYFUNCTION("""COMPUTED_VALUE"""),"")</f>
        <v/>
      </c>
      <c r="K81" t="str">
        <f ca="1">IFERROR(__xludf.DUMMYFUNCTION("""COMPUTED_VALUE"""),"")</f>
        <v/>
      </c>
      <c r="L81" t="str">
        <f ca="1">IFERROR(__xludf.DUMMYFUNCTION("""COMPUTED_VALUE"""),"")</f>
        <v/>
      </c>
      <c r="M81" t="str">
        <f ca="1">IFERROR(__xludf.DUMMYFUNCTION("""COMPUTED_VALUE"""),"")</f>
        <v/>
      </c>
      <c r="N81" t="str">
        <f ca="1">IFERROR(__xludf.DUMMYFUNCTION("""COMPUTED_VALUE"""),"")</f>
        <v/>
      </c>
      <c r="O81" t="str">
        <f ca="1">IFERROR(__xludf.DUMMYFUNCTION("""COMPUTED_VALUE"""),"")</f>
        <v/>
      </c>
      <c r="P81" t="str">
        <f ca="1">IFERROR(__xludf.DUMMYFUNCTION("""COMPUTED_VALUE"""),"")</f>
        <v/>
      </c>
      <c r="Q81" t="str">
        <f ca="1">IFERROR(__xludf.DUMMYFUNCTION("""COMPUTED_VALUE"""),"")</f>
        <v/>
      </c>
      <c r="R81" t="str">
        <f ca="1">IFERROR(__xludf.DUMMYFUNCTION("""COMPUTED_VALUE"""),"")</f>
        <v/>
      </c>
    </row>
    <row r="82" spans="1:18" ht="12.3">
      <c r="A82" t="str">
        <f ca="1">IFERROR(__xludf.DUMMYFUNCTION("""COMPUTED_VALUE"""),"")</f>
        <v/>
      </c>
      <c r="B82" t="str">
        <f ca="1">IFERROR(__xludf.DUMMYFUNCTION("""COMPUTED_VALUE"""),"")</f>
        <v/>
      </c>
      <c r="C82" t="str">
        <f ca="1">IFERROR(__xludf.DUMMYFUNCTION("""COMPUTED_VALUE"""),"")</f>
        <v/>
      </c>
      <c r="D82" t="str">
        <f ca="1">IFERROR(__xludf.DUMMYFUNCTION("""COMPUTED_VALUE"""),"")</f>
        <v/>
      </c>
      <c r="E82" t="str">
        <f ca="1">IFERROR(__xludf.DUMMYFUNCTION("""COMPUTED_VALUE"""),"")</f>
        <v/>
      </c>
      <c r="F82" s="125" t="str">
        <f ca="1">IFERROR(__xludf.DUMMYFUNCTION("""COMPUTED_VALUE"""),"")</f>
        <v/>
      </c>
      <c r="G82" t="str">
        <f ca="1">IFERROR(__xludf.DUMMYFUNCTION("""COMPUTED_VALUE"""),"")</f>
        <v/>
      </c>
      <c r="H82" t="str">
        <f ca="1">IFERROR(__xludf.DUMMYFUNCTION("""COMPUTED_VALUE"""),"")</f>
        <v/>
      </c>
      <c r="I82" t="str">
        <f ca="1">IFERROR(__xludf.DUMMYFUNCTION("""COMPUTED_VALUE"""),"")</f>
        <v/>
      </c>
      <c r="J82" t="str">
        <f ca="1">IFERROR(__xludf.DUMMYFUNCTION("""COMPUTED_VALUE"""),"")</f>
        <v/>
      </c>
      <c r="K82" t="str">
        <f ca="1">IFERROR(__xludf.DUMMYFUNCTION("""COMPUTED_VALUE"""),"")</f>
        <v/>
      </c>
      <c r="L82" t="str">
        <f ca="1">IFERROR(__xludf.DUMMYFUNCTION("""COMPUTED_VALUE"""),"")</f>
        <v/>
      </c>
      <c r="M82" t="str">
        <f ca="1">IFERROR(__xludf.DUMMYFUNCTION("""COMPUTED_VALUE"""),"")</f>
        <v/>
      </c>
      <c r="N82" t="str">
        <f ca="1">IFERROR(__xludf.DUMMYFUNCTION("""COMPUTED_VALUE"""),"")</f>
        <v/>
      </c>
      <c r="O82" t="str">
        <f ca="1">IFERROR(__xludf.DUMMYFUNCTION("""COMPUTED_VALUE"""),"")</f>
        <v/>
      </c>
      <c r="P82" t="str">
        <f ca="1">IFERROR(__xludf.DUMMYFUNCTION("""COMPUTED_VALUE"""),"")</f>
        <v/>
      </c>
      <c r="Q82" t="str">
        <f ca="1">IFERROR(__xludf.DUMMYFUNCTION("""COMPUTED_VALUE"""),"")</f>
        <v/>
      </c>
      <c r="R82" t="str">
        <f ca="1">IFERROR(__xludf.DUMMYFUNCTION("""COMPUTED_VALUE"""),"")</f>
        <v/>
      </c>
    </row>
    <row r="83" spans="1:18" ht="12.3">
      <c r="A83" t="str">
        <f ca="1">IFERROR(__xludf.DUMMYFUNCTION("""COMPUTED_VALUE"""),"")</f>
        <v/>
      </c>
      <c r="B83" t="str">
        <f ca="1">IFERROR(__xludf.DUMMYFUNCTION("""COMPUTED_VALUE"""),"")</f>
        <v/>
      </c>
      <c r="C83" t="str">
        <f ca="1">IFERROR(__xludf.DUMMYFUNCTION("""COMPUTED_VALUE"""),"")</f>
        <v/>
      </c>
      <c r="D83" t="str">
        <f ca="1">IFERROR(__xludf.DUMMYFUNCTION("""COMPUTED_VALUE"""),"")</f>
        <v/>
      </c>
      <c r="E83" t="str">
        <f ca="1">IFERROR(__xludf.DUMMYFUNCTION("""COMPUTED_VALUE"""),"")</f>
        <v/>
      </c>
      <c r="F83" s="125" t="str">
        <f ca="1">IFERROR(__xludf.DUMMYFUNCTION("""COMPUTED_VALUE"""),"")</f>
        <v/>
      </c>
      <c r="G83" t="str">
        <f ca="1">IFERROR(__xludf.DUMMYFUNCTION("""COMPUTED_VALUE"""),"")</f>
        <v/>
      </c>
      <c r="H83" t="str">
        <f ca="1">IFERROR(__xludf.DUMMYFUNCTION("""COMPUTED_VALUE"""),"")</f>
        <v/>
      </c>
      <c r="I83" t="str">
        <f ca="1">IFERROR(__xludf.DUMMYFUNCTION("""COMPUTED_VALUE"""),"")</f>
        <v/>
      </c>
      <c r="J83" t="str">
        <f ca="1">IFERROR(__xludf.DUMMYFUNCTION("""COMPUTED_VALUE"""),"")</f>
        <v/>
      </c>
      <c r="K83" t="str">
        <f ca="1">IFERROR(__xludf.DUMMYFUNCTION("""COMPUTED_VALUE"""),"")</f>
        <v/>
      </c>
      <c r="L83" t="str">
        <f ca="1">IFERROR(__xludf.DUMMYFUNCTION("""COMPUTED_VALUE"""),"")</f>
        <v/>
      </c>
      <c r="M83" t="str">
        <f ca="1">IFERROR(__xludf.DUMMYFUNCTION("""COMPUTED_VALUE"""),"")</f>
        <v/>
      </c>
      <c r="N83" t="str">
        <f ca="1">IFERROR(__xludf.DUMMYFUNCTION("""COMPUTED_VALUE"""),"")</f>
        <v/>
      </c>
      <c r="O83" t="str">
        <f ca="1">IFERROR(__xludf.DUMMYFUNCTION("""COMPUTED_VALUE"""),"")</f>
        <v/>
      </c>
      <c r="P83" t="str">
        <f ca="1">IFERROR(__xludf.DUMMYFUNCTION("""COMPUTED_VALUE"""),"")</f>
        <v/>
      </c>
      <c r="Q83" t="str">
        <f ca="1">IFERROR(__xludf.DUMMYFUNCTION("""COMPUTED_VALUE"""),"")</f>
        <v/>
      </c>
      <c r="R83" t="str">
        <f ca="1">IFERROR(__xludf.DUMMYFUNCTION("""COMPUTED_VALUE"""),"")</f>
        <v/>
      </c>
    </row>
    <row r="84" spans="1:18" ht="12.3">
      <c r="A84" t="str">
        <f ca="1">IFERROR(__xludf.DUMMYFUNCTION("""COMPUTED_VALUE"""),"")</f>
        <v/>
      </c>
      <c r="B84" t="str">
        <f ca="1">IFERROR(__xludf.DUMMYFUNCTION("""COMPUTED_VALUE"""),"")</f>
        <v/>
      </c>
      <c r="C84" t="str">
        <f ca="1">IFERROR(__xludf.DUMMYFUNCTION("""COMPUTED_VALUE"""),"")</f>
        <v/>
      </c>
      <c r="D84" t="str">
        <f ca="1">IFERROR(__xludf.DUMMYFUNCTION("""COMPUTED_VALUE"""),"")</f>
        <v/>
      </c>
      <c r="E84" t="str">
        <f ca="1">IFERROR(__xludf.DUMMYFUNCTION("""COMPUTED_VALUE"""),"")</f>
        <v/>
      </c>
      <c r="F84" s="125" t="str">
        <f ca="1">IFERROR(__xludf.DUMMYFUNCTION("""COMPUTED_VALUE"""),"")</f>
        <v/>
      </c>
      <c r="G84" t="str">
        <f ca="1">IFERROR(__xludf.DUMMYFUNCTION("""COMPUTED_VALUE"""),"")</f>
        <v/>
      </c>
      <c r="H84" t="str">
        <f ca="1">IFERROR(__xludf.DUMMYFUNCTION("""COMPUTED_VALUE"""),"")</f>
        <v/>
      </c>
      <c r="I84" t="str">
        <f ca="1">IFERROR(__xludf.DUMMYFUNCTION("""COMPUTED_VALUE"""),"")</f>
        <v/>
      </c>
      <c r="J84" t="str">
        <f ca="1">IFERROR(__xludf.DUMMYFUNCTION("""COMPUTED_VALUE"""),"")</f>
        <v/>
      </c>
      <c r="K84" t="str">
        <f ca="1">IFERROR(__xludf.DUMMYFUNCTION("""COMPUTED_VALUE"""),"")</f>
        <v/>
      </c>
      <c r="L84" t="str">
        <f ca="1">IFERROR(__xludf.DUMMYFUNCTION("""COMPUTED_VALUE"""),"")</f>
        <v/>
      </c>
      <c r="M84" t="str">
        <f ca="1">IFERROR(__xludf.DUMMYFUNCTION("""COMPUTED_VALUE"""),"")</f>
        <v/>
      </c>
      <c r="N84" t="str">
        <f ca="1">IFERROR(__xludf.DUMMYFUNCTION("""COMPUTED_VALUE"""),"")</f>
        <v/>
      </c>
      <c r="O84" t="str">
        <f ca="1">IFERROR(__xludf.DUMMYFUNCTION("""COMPUTED_VALUE"""),"")</f>
        <v/>
      </c>
      <c r="P84" t="str">
        <f ca="1">IFERROR(__xludf.DUMMYFUNCTION("""COMPUTED_VALUE"""),"")</f>
        <v/>
      </c>
      <c r="Q84" t="str">
        <f ca="1">IFERROR(__xludf.DUMMYFUNCTION("""COMPUTED_VALUE"""),"")</f>
        <v/>
      </c>
      <c r="R84" t="str">
        <f ca="1">IFERROR(__xludf.DUMMYFUNCTION("""COMPUTED_VALUE"""),"")</f>
        <v/>
      </c>
    </row>
    <row r="85" spans="1:18" ht="12.3">
      <c r="A85" t="str">
        <f ca="1">IFERROR(__xludf.DUMMYFUNCTION("""COMPUTED_VALUE"""),"")</f>
        <v/>
      </c>
      <c r="B85" t="str">
        <f ca="1">IFERROR(__xludf.DUMMYFUNCTION("""COMPUTED_VALUE"""),"")</f>
        <v/>
      </c>
      <c r="C85" t="str">
        <f ca="1">IFERROR(__xludf.DUMMYFUNCTION("""COMPUTED_VALUE"""),"")</f>
        <v/>
      </c>
      <c r="D85" t="str">
        <f ca="1">IFERROR(__xludf.DUMMYFUNCTION("""COMPUTED_VALUE"""),"")</f>
        <v/>
      </c>
      <c r="E85" t="str">
        <f ca="1">IFERROR(__xludf.DUMMYFUNCTION("""COMPUTED_VALUE"""),"")</f>
        <v/>
      </c>
      <c r="F85" s="125" t="str">
        <f ca="1">IFERROR(__xludf.DUMMYFUNCTION("""COMPUTED_VALUE"""),"")</f>
        <v/>
      </c>
      <c r="G85" t="str">
        <f ca="1">IFERROR(__xludf.DUMMYFUNCTION("""COMPUTED_VALUE"""),"")</f>
        <v/>
      </c>
      <c r="H85" t="str">
        <f ca="1">IFERROR(__xludf.DUMMYFUNCTION("""COMPUTED_VALUE"""),"")</f>
        <v/>
      </c>
      <c r="I85" t="str">
        <f ca="1">IFERROR(__xludf.DUMMYFUNCTION("""COMPUTED_VALUE"""),"")</f>
        <v/>
      </c>
      <c r="J85" t="str">
        <f ca="1">IFERROR(__xludf.DUMMYFUNCTION("""COMPUTED_VALUE"""),"")</f>
        <v/>
      </c>
      <c r="K85" t="str">
        <f ca="1">IFERROR(__xludf.DUMMYFUNCTION("""COMPUTED_VALUE"""),"")</f>
        <v/>
      </c>
      <c r="L85" t="str">
        <f ca="1">IFERROR(__xludf.DUMMYFUNCTION("""COMPUTED_VALUE"""),"")</f>
        <v/>
      </c>
      <c r="M85" t="str">
        <f ca="1">IFERROR(__xludf.DUMMYFUNCTION("""COMPUTED_VALUE"""),"")</f>
        <v/>
      </c>
      <c r="N85" t="str">
        <f ca="1">IFERROR(__xludf.DUMMYFUNCTION("""COMPUTED_VALUE"""),"")</f>
        <v/>
      </c>
      <c r="O85" t="str">
        <f ca="1">IFERROR(__xludf.DUMMYFUNCTION("""COMPUTED_VALUE"""),"")</f>
        <v/>
      </c>
      <c r="P85" t="str">
        <f ca="1">IFERROR(__xludf.DUMMYFUNCTION("""COMPUTED_VALUE"""),"")</f>
        <v/>
      </c>
      <c r="Q85" t="str">
        <f ca="1">IFERROR(__xludf.DUMMYFUNCTION("""COMPUTED_VALUE"""),"")</f>
        <v/>
      </c>
      <c r="R85" t="str">
        <f ca="1">IFERROR(__xludf.DUMMYFUNCTION("""COMPUTED_VALUE"""),"")</f>
        <v/>
      </c>
    </row>
    <row r="86" spans="1:18" ht="12.3">
      <c r="A86" t="str">
        <f ca="1">IFERROR(__xludf.DUMMYFUNCTION("""COMPUTED_VALUE"""),"")</f>
        <v/>
      </c>
      <c r="B86" t="str">
        <f ca="1">IFERROR(__xludf.DUMMYFUNCTION("""COMPUTED_VALUE"""),"")</f>
        <v/>
      </c>
      <c r="C86" t="str">
        <f ca="1">IFERROR(__xludf.DUMMYFUNCTION("""COMPUTED_VALUE"""),"")</f>
        <v/>
      </c>
      <c r="D86" t="str">
        <f ca="1">IFERROR(__xludf.DUMMYFUNCTION("""COMPUTED_VALUE"""),"")</f>
        <v/>
      </c>
      <c r="E86" t="str">
        <f ca="1">IFERROR(__xludf.DUMMYFUNCTION("""COMPUTED_VALUE"""),"")</f>
        <v/>
      </c>
      <c r="F86" s="125" t="str">
        <f ca="1">IFERROR(__xludf.DUMMYFUNCTION("""COMPUTED_VALUE"""),"")</f>
        <v/>
      </c>
      <c r="G86" t="str">
        <f ca="1">IFERROR(__xludf.DUMMYFUNCTION("""COMPUTED_VALUE"""),"")</f>
        <v/>
      </c>
      <c r="H86" t="str">
        <f ca="1">IFERROR(__xludf.DUMMYFUNCTION("""COMPUTED_VALUE"""),"")</f>
        <v/>
      </c>
      <c r="I86" t="str">
        <f ca="1">IFERROR(__xludf.DUMMYFUNCTION("""COMPUTED_VALUE"""),"")</f>
        <v/>
      </c>
      <c r="J86" t="str">
        <f ca="1">IFERROR(__xludf.DUMMYFUNCTION("""COMPUTED_VALUE"""),"")</f>
        <v/>
      </c>
      <c r="K86" t="str">
        <f ca="1">IFERROR(__xludf.DUMMYFUNCTION("""COMPUTED_VALUE"""),"")</f>
        <v/>
      </c>
      <c r="L86" t="str">
        <f ca="1">IFERROR(__xludf.DUMMYFUNCTION("""COMPUTED_VALUE"""),"")</f>
        <v/>
      </c>
      <c r="M86" t="str">
        <f ca="1">IFERROR(__xludf.DUMMYFUNCTION("""COMPUTED_VALUE"""),"")</f>
        <v/>
      </c>
      <c r="N86" t="str">
        <f ca="1">IFERROR(__xludf.DUMMYFUNCTION("""COMPUTED_VALUE"""),"")</f>
        <v/>
      </c>
      <c r="O86" t="str">
        <f ca="1">IFERROR(__xludf.DUMMYFUNCTION("""COMPUTED_VALUE"""),"")</f>
        <v/>
      </c>
      <c r="P86" t="str">
        <f ca="1">IFERROR(__xludf.DUMMYFUNCTION("""COMPUTED_VALUE"""),"")</f>
        <v/>
      </c>
      <c r="Q86" t="str">
        <f ca="1">IFERROR(__xludf.DUMMYFUNCTION("""COMPUTED_VALUE"""),"")</f>
        <v/>
      </c>
      <c r="R86" t="str">
        <f ca="1">IFERROR(__xludf.DUMMYFUNCTION("""COMPUTED_VALUE"""),"")</f>
        <v/>
      </c>
    </row>
    <row r="87" spans="1:18" ht="12.3">
      <c r="A87" t="str">
        <f ca="1">IFERROR(__xludf.DUMMYFUNCTION("""COMPUTED_VALUE"""),"")</f>
        <v/>
      </c>
      <c r="B87" t="str">
        <f ca="1">IFERROR(__xludf.DUMMYFUNCTION("""COMPUTED_VALUE"""),"")</f>
        <v/>
      </c>
      <c r="C87" t="str">
        <f ca="1">IFERROR(__xludf.DUMMYFUNCTION("""COMPUTED_VALUE"""),"")</f>
        <v/>
      </c>
      <c r="D87" t="str">
        <f ca="1">IFERROR(__xludf.DUMMYFUNCTION("""COMPUTED_VALUE"""),"")</f>
        <v/>
      </c>
      <c r="E87" t="str">
        <f ca="1">IFERROR(__xludf.DUMMYFUNCTION("""COMPUTED_VALUE"""),"")</f>
        <v/>
      </c>
      <c r="F87" s="125" t="str">
        <f ca="1">IFERROR(__xludf.DUMMYFUNCTION("""COMPUTED_VALUE"""),"")</f>
        <v/>
      </c>
      <c r="G87" t="str">
        <f ca="1">IFERROR(__xludf.DUMMYFUNCTION("""COMPUTED_VALUE"""),"")</f>
        <v/>
      </c>
      <c r="H87" t="str">
        <f ca="1">IFERROR(__xludf.DUMMYFUNCTION("""COMPUTED_VALUE"""),"")</f>
        <v/>
      </c>
      <c r="I87" t="str">
        <f ca="1">IFERROR(__xludf.DUMMYFUNCTION("""COMPUTED_VALUE"""),"")</f>
        <v/>
      </c>
      <c r="J87" t="str">
        <f ca="1">IFERROR(__xludf.DUMMYFUNCTION("""COMPUTED_VALUE"""),"")</f>
        <v/>
      </c>
      <c r="K87" t="str">
        <f ca="1">IFERROR(__xludf.DUMMYFUNCTION("""COMPUTED_VALUE"""),"")</f>
        <v/>
      </c>
      <c r="L87" t="str">
        <f ca="1">IFERROR(__xludf.DUMMYFUNCTION("""COMPUTED_VALUE"""),"")</f>
        <v/>
      </c>
      <c r="M87" t="str">
        <f ca="1">IFERROR(__xludf.DUMMYFUNCTION("""COMPUTED_VALUE"""),"")</f>
        <v/>
      </c>
      <c r="N87" t="str">
        <f ca="1">IFERROR(__xludf.DUMMYFUNCTION("""COMPUTED_VALUE"""),"")</f>
        <v/>
      </c>
      <c r="O87" t="str">
        <f ca="1">IFERROR(__xludf.DUMMYFUNCTION("""COMPUTED_VALUE"""),"")</f>
        <v/>
      </c>
      <c r="P87" t="str">
        <f ca="1">IFERROR(__xludf.DUMMYFUNCTION("""COMPUTED_VALUE"""),"")</f>
        <v/>
      </c>
      <c r="Q87" t="str">
        <f ca="1">IFERROR(__xludf.DUMMYFUNCTION("""COMPUTED_VALUE"""),"")</f>
        <v/>
      </c>
      <c r="R87" t="str">
        <f ca="1">IFERROR(__xludf.DUMMYFUNCTION("""COMPUTED_VALUE"""),"")</f>
        <v/>
      </c>
    </row>
    <row r="88" spans="1:18" ht="12.3">
      <c r="A88" t="str">
        <f ca="1">IFERROR(__xludf.DUMMYFUNCTION("""COMPUTED_VALUE"""),"")</f>
        <v/>
      </c>
      <c r="B88" t="str">
        <f ca="1">IFERROR(__xludf.DUMMYFUNCTION("""COMPUTED_VALUE"""),"")</f>
        <v/>
      </c>
      <c r="C88" t="str">
        <f ca="1">IFERROR(__xludf.DUMMYFUNCTION("""COMPUTED_VALUE"""),"")</f>
        <v/>
      </c>
      <c r="D88" t="str">
        <f ca="1">IFERROR(__xludf.DUMMYFUNCTION("""COMPUTED_VALUE"""),"")</f>
        <v/>
      </c>
      <c r="E88" t="str">
        <f ca="1">IFERROR(__xludf.DUMMYFUNCTION("""COMPUTED_VALUE"""),"")</f>
        <v/>
      </c>
      <c r="F88" s="125" t="str">
        <f ca="1">IFERROR(__xludf.DUMMYFUNCTION("""COMPUTED_VALUE"""),"")</f>
        <v/>
      </c>
      <c r="G88" t="str">
        <f ca="1">IFERROR(__xludf.DUMMYFUNCTION("""COMPUTED_VALUE"""),"")</f>
        <v/>
      </c>
      <c r="H88" t="str">
        <f ca="1">IFERROR(__xludf.DUMMYFUNCTION("""COMPUTED_VALUE"""),"")</f>
        <v/>
      </c>
      <c r="I88" t="str">
        <f ca="1">IFERROR(__xludf.DUMMYFUNCTION("""COMPUTED_VALUE"""),"")</f>
        <v/>
      </c>
      <c r="J88" t="str">
        <f ca="1">IFERROR(__xludf.DUMMYFUNCTION("""COMPUTED_VALUE"""),"")</f>
        <v/>
      </c>
      <c r="K88" t="str">
        <f ca="1">IFERROR(__xludf.DUMMYFUNCTION("""COMPUTED_VALUE"""),"")</f>
        <v/>
      </c>
      <c r="L88" t="str">
        <f ca="1">IFERROR(__xludf.DUMMYFUNCTION("""COMPUTED_VALUE"""),"")</f>
        <v/>
      </c>
      <c r="M88" t="str">
        <f ca="1">IFERROR(__xludf.DUMMYFUNCTION("""COMPUTED_VALUE"""),"")</f>
        <v/>
      </c>
      <c r="N88" t="str">
        <f ca="1">IFERROR(__xludf.DUMMYFUNCTION("""COMPUTED_VALUE"""),"")</f>
        <v/>
      </c>
      <c r="O88" t="str">
        <f ca="1">IFERROR(__xludf.DUMMYFUNCTION("""COMPUTED_VALUE"""),"")</f>
        <v/>
      </c>
      <c r="P88" t="str">
        <f ca="1">IFERROR(__xludf.DUMMYFUNCTION("""COMPUTED_VALUE"""),"")</f>
        <v/>
      </c>
      <c r="Q88" t="str">
        <f ca="1">IFERROR(__xludf.DUMMYFUNCTION("""COMPUTED_VALUE"""),"")</f>
        <v/>
      </c>
      <c r="R88" t="str">
        <f ca="1">IFERROR(__xludf.DUMMYFUNCTION("""COMPUTED_VALUE"""),"")</f>
        <v/>
      </c>
    </row>
    <row r="89" spans="1:18" ht="12.3">
      <c r="A89" t="str">
        <f ca="1">IFERROR(__xludf.DUMMYFUNCTION("""COMPUTED_VALUE"""),"")</f>
        <v/>
      </c>
      <c r="B89" t="str">
        <f ca="1">IFERROR(__xludf.DUMMYFUNCTION("""COMPUTED_VALUE"""),"")</f>
        <v/>
      </c>
      <c r="C89" t="str">
        <f ca="1">IFERROR(__xludf.DUMMYFUNCTION("""COMPUTED_VALUE"""),"")</f>
        <v/>
      </c>
      <c r="D89" t="str">
        <f ca="1">IFERROR(__xludf.DUMMYFUNCTION("""COMPUTED_VALUE"""),"")</f>
        <v/>
      </c>
      <c r="E89" t="str">
        <f ca="1">IFERROR(__xludf.DUMMYFUNCTION("""COMPUTED_VALUE"""),"")</f>
        <v/>
      </c>
      <c r="F89" s="125" t="str">
        <f ca="1">IFERROR(__xludf.DUMMYFUNCTION("""COMPUTED_VALUE"""),"")</f>
        <v/>
      </c>
      <c r="G89" t="str">
        <f ca="1">IFERROR(__xludf.DUMMYFUNCTION("""COMPUTED_VALUE"""),"")</f>
        <v/>
      </c>
      <c r="H89" t="str">
        <f ca="1">IFERROR(__xludf.DUMMYFUNCTION("""COMPUTED_VALUE"""),"")</f>
        <v/>
      </c>
      <c r="I89" t="str">
        <f ca="1">IFERROR(__xludf.DUMMYFUNCTION("""COMPUTED_VALUE"""),"")</f>
        <v/>
      </c>
      <c r="J89" t="str">
        <f ca="1">IFERROR(__xludf.DUMMYFUNCTION("""COMPUTED_VALUE"""),"")</f>
        <v/>
      </c>
      <c r="K89" t="str">
        <f ca="1">IFERROR(__xludf.DUMMYFUNCTION("""COMPUTED_VALUE"""),"")</f>
        <v/>
      </c>
      <c r="L89" t="str">
        <f ca="1">IFERROR(__xludf.DUMMYFUNCTION("""COMPUTED_VALUE"""),"")</f>
        <v/>
      </c>
      <c r="M89" t="str">
        <f ca="1">IFERROR(__xludf.DUMMYFUNCTION("""COMPUTED_VALUE"""),"")</f>
        <v/>
      </c>
      <c r="N89" t="str">
        <f ca="1">IFERROR(__xludf.DUMMYFUNCTION("""COMPUTED_VALUE"""),"")</f>
        <v/>
      </c>
      <c r="O89" t="str">
        <f ca="1">IFERROR(__xludf.DUMMYFUNCTION("""COMPUTED_VALUE"""),"")</f>
        <v/>
      </c>
      <c r="P89" t="str">
        <f ca="1">IFERROR(__xludf.DUMMYFUNCTION("""COMPUTED_VALUE"""),"")</f>
        <v/>
      </c>
      <c r="Q89" t="str">
        <f ca="1">IFERROR(__xludf.DUMMYFUNCTION("""COMPUTED_VALUE"""),"")</f>
        <v/>
      </c>
      <c r="R89" t="str">
        <f ca="1">IFERROR(__xludf.DUMMYFUNCTION("""COMPUTED_VALUE"""),"")</f>
        <v/>
      </c>
    </row>
    <row r="90" spans="1:18" ht="12.3">
      <c r="A90" t="str">
        <f ca="1">IFERROR(__xludf.DUMMYFUNCTION("""COMPUTED_VALUE"""),"")</f>
        <v/>
      </c>
      <c r="B90" t="str">
        <f ca="1">IFERROR(__xludf.DUMMYFUNCTION("""COMPUTED_VALUE"""),"")</f>
        <v/>
      </c>
      <c r="C90" t="str">
        <f ca="1">IFERROR(__xludf.DUMMYFUNCTION("""COMPUTED_VALUE"""),"")</f>
        <v/>
      </c>
      <c r="D90" t="str">
        <f ca="1">IFERROR(__xludf.DUMMYFUNCTION("""COMPUTED_VALUE"""),"")</f>
        <v/>
      </c>
      <c r="E90" t="str">
        <f ca="1">IFERROR(__xludf.DUMMYFUNCTION("""COMPUTED_VALUE"""),"")</f>
        <v/>
      </c>
      <c r="F90" s="125" t="str">
        <f ca="1">IFERROR(__xludf.DUMMYFUNCTION("""COMPUTED_VALUE"""),"")</f>
        <v/>
      </c>
      <c r="G90" t="str">
        <f ca="1">IFERROR(__xludf.DUMMYFUNCTION("""COMPUTED_VALUE"""),"")</f>
        <v/>
      </c>
      <c r="H90" t="str">
        <f ca="1">IFERROR(__xludf.DUMMYFUNCTION("""COMPUTED_VALUE"""),"")</f>
        <v/>
      </c>
      <c r="I90" t="str">
        <f ca="1">IFERROR(__xludf.DUMMYFUNCTION("""COMPUTED_VALUE"""),"")</f>
        <v/>
      </c>
      <c r="J90" t="str">
        <f ca="1">IFERROR(__xludf.DUMMYFUNCTION("""COMPUTED_VALUE"""),"")</f>
        <v/>
      </c>
      <c r="K90" t="str">
        <f ca="1">IFERROR(__xludf.DUMMYFUNCTION("""COMPUTED_VALUE"""),"")</f>
        <v/>
      </c>
      <c r="L90" t="str">
        <f ca="1">IFERROR(__xludf.DUMMYFUNCTION("""COMPUTED_VALUE"""),"")</f>
        <v/>
      </c>
      <c r="M90" t="str">
        <f ca="1">IFERROR(__xludf.DUMMYFUNCTION("""COMPUTED_VALUE"""),"")</f>
        <v/>
      </c>
      <c r="N90" t="str">
        <f ca="1">IFERROR(__xludf.DUMMYFUNCTION("""COMPUTED_VALUE"""),"")</f>
        <v/>
      </c>
      <c r="O90" t="str">
        <f ca="1">IFERROR(__xludf.DUMMYFUNCTION("""COMPUTED_VALUE"""),"")</f>
        <v/>
      </c>
      <c r="P90" t="str">
        <f ca="1">IFERROR(__xludf.DUMMYFUNCTION("""COMPUTED_VALUE"""),"")</f>
        <v/>
      </c>
      <c r="Q90" t="str">
        <f ca="1">IFERROR(__xludf.DUMMYFUNCTION("""COMPUTED_VALUE"""),"")</f>
        <v/>
      </c>
      <c r="R90" t="str">
        <f ca="1">IFERROR(__xludf.DUMMYFUNCTION("""COMPUTED_VALUE"""),"")</f>
        <v/>
      </c>
    </row>
    <row r="91" spans="1:18" ht="12.3">
      <c r="A91" t="str">
        <f ca="1">IFERROR(__xludf.DUMMYFUNCTION("""COMPUTED_VALUE"""),"")</f>
        <v/>
      </c>
      <c r="B91" t="str">
        <f ca="1">IFERROR(__xludf.DUMMYFUNCTION("""COMPUTED_VALUE"""),"")</f>
        <v/>
      </c>
      <c r="C91" t="str">
        <f ca="1">IFERROR(__xludf.DUMMYFUNCTION("""COMPUTED_VALUE"""),"")</f>
        <v/>
      </c>
      <c r="D91" t="str">
        <f ca="1">IFERROR(__xludf.DUMMYFUNCTION("""COMPUTED_VALUE"""),"")</f>
        <v/>
      </c>
      <c r="E91" t="str">
        <f ca="1">IFERROR(__xludf.DUMMYFUNCTION("""COMPUTED_VALUE"""),"")</f>
        <v/>
      </c>
      <c r="F91" s="125" t="str">
        <f ca="1">IFERROR(__xludf.DUMMYFUNCTION("""COMPUTED_VALUE"""),"")</f>
        <v/>
      </c>
      <c r="G91" t="str">
        <f ca="1">IFERROR(__xludf.DUMMYFUNCTION("""COMPUTED_VALUE"""),"")</f>
        <v/>
      </c>
      <c r="H91" t="str">
        <f ca="1">IFERROR(__xludf.DUMMYFUNCTION("""COMPUTED_VALUE"""),"")</f>
        <v/>
      </c>
      <c r="I91" t="str">
        <f ca="1">IFERROR(__xludf.DUMMYFUNCTION("""COMPUTED_VALUE"""),"")</f>
        <v/>
      </c>
      <c r="J91" t="str">
        <f ca="1">IFERROR(__xludf.DUMMYFUNCTION("""COMPUTED_VALUE"""),"")</f>
        <v/>
      </c>
      <c r="K91" t="str">
        <f ca="1">IFERROR(__xludf.DUMMYFUNCTION("""COMPUTED_VALUE"""),"")</f>
        <v/>
      </c>
      <c r="L91" t="str">
        <f ca="1">IFERROR(__xludf.DUMMYFUNCTION("""COMPUTED_VALUE"""),"")</f>
        <v/>
      </c>
      <c r="M91" t="str">
        <f ca="1">IFERROR(__xludf.DUMMYFUNCTION("""COMPUTED_VALUE"""),"")</f>
        <v/>
      </c>
      <c r="N91" t="str">
        <f ca="1">IFERROR(__xludf.DUMMYFUNCTION("""COMPUTED_VALUE"""),"")</f>
        <v/>
      </c>
      <c r="O91" t="str">
        <f ca="1">IFERROR(__xludf.DUMMYFUNCTION("""COMPUTED_VALUE"""),"")</f>
        <v/>
      </c>
      <c r="P91" t="str">
        <f ca="1">IFERROR(__xludf.DUMMYFUNCTION("""COMPUTED_VALUE"""),"")</f>
        <v/>
      </c>
      <c r="Q91" t="str">
        <f ca="1">IFERROR(__xludf.DUMMYFUNCTION("""COMPUTED_VALUE"""),"")</f>
        <v/>
      </c>
      <c r="R91" t="str">
        <f ca="1">IFERROR(__xludf.DUMMYFUNCTION("""COMPUTED_VALUE"""),"")</f>
        <v/>
      </c>
    </row>
    <row r="92" spans="1:18" ht="12.3">
      <c r="A92" t="str">
        <f ca="1">IFERROR(__xludf.DUMMYFUNCTION("""COMPUTED_VALUE"""),"")</f>
        <v/>
      </c>
      <c r="B92" t="str">
        <f ca="1">IFERROR(__xludf.DUMMYFUNCTION("""COMPUTED_VALUE"""),"")</f>
        <v/>
      </c>
      <c r="C92" t="str">
        <f ca="1">IFERROR(__xludf.DUMMYFUNCTION("""COMPUTED_VALUE"""),"")</f>
        <v/>
      </c>
      <c r="D92" t="str">
        <f ca="1">IFERROR(__xludf.DUMMYFUNCTION("""COMPUTED_VALUE"""),"")</f>
        <v/>
      </c>
      <c r="E92" t="str">
        <f ca="1">IFERROR(__xludf.DUMMYFUNCTION("""COMPUTED_VALUE"""),"")</f>
        <v/>
      </c>
      <c r="F92" s="125" t="str">
        <f ca="1">IFERROR(__xludf.DUMMYFUNCTION("""COMPUTED_VALUE"""),"")</f>
        <v/>
      </c>
      <c r="G92" t="str">
        <f ca="1">IFERROR(__xludf.DUMMYFUNCTION("""COMPUTED_VALUE"""),"")</f>
        <v/>
      </c>
      <c r="H92" t="str">
        <f ca="1">IFERROR(__xludf.DUMMYFUNCTION("""COMPUTED_VALUE"""),"")</f>
        <v/>
      </c>
      <c r="I92" t="str">
        <f ca="1">IFERROR(__xludf.DUMMYFUNCTION("""COMPUTED_VALUE"""),"")</f>
        <v/>
      </c>
      <c r="J92" t="str">
        <f ca="1">IFERROR(__xludf.DUMMYFUNCTION("""COMPUTED_VALUE"""),"")</f>
        <v/>
      </c>
      <c r="K92" t="str">
        <f ca="1">IFERROR(__xludf.DUMMYFUNCTION("""COMPUTED_VALUE"""),"")</f>
        <v/>
      </c>
      <c r="L92" t="str">
        <f ca="1">IFERROR(__xludf.DUMMYFUNCTION("""COMPUTED_VALUE"""),"")</f>
        <v/>
      </c>
      <c r="M92" t="str">
        <f ca="1">IFERROR(__xludf.DUMMYFUNCTION("""COMPUTED_VALUE"""),"")</f>
        <v/>
      </c>
      <c r="N92" t="str">
        <f ca="1">IFERROR(__xludf.DUMMYFUNCTION("""COMPUTED_VALUE"""),"")</f>
        <v/>
      </c>
      <c r="O92" t="str">
        <f ca="1">IFERROR(__xludf.DUMMYFUNCTION("""COMPUTED_VALUE"""),"")</f>
        <v/>
      </c>
      <c r="P92" t="str">
        <f ca="1">IFERROR(__xludf.DUMMYFUNCTION("""COMPUTED_VALUE"""),"")</f>
        <v/>
      </c>
      <c r="Q92" t="str">
        <f ca="1">IFERROR(__xludf.DUMMYFUNCTION("""COMPUTED_VALUE"""),"")</f>
        <v/>
      </c>
      <c r="R92" t="str">
        <f ca="1">IFERROR(__xludf.DUMMYFUNCTION("""COMPUTED_VALUE"""),"")</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47"/>
  <sheetViews>
    <sheetView workbookViewId="0"/>
  </sheetViews>
  <sheetFormatPr defaultColWidth="14.44140625" defaultRowHeight="15.75" customHeight="1"/>
  <cols>
    <col min="1" max="1" width="7.71875" customWidth="1"/>
    <col min="2" max="2" width="45.27734375" customWidth="1"/>
    <col min="3" max="3" width="12.27734375" customWidth="1"/>
    <col min="4" max="4" width="30.44140625" customWidth="1"/>
    <col min="5" max="5" width="19.27734375" customWidth="1"/>
    <col min="6" max="6" width="14.83203125" customWidth="1"/>
    <col min="7" max="8" width="16.27734375" customWidth="1"/>
    <col min="9" max="9" width="14.71875" customWidth="1"/>
    <col min="10" max="10" width="26" customWidth="1"/>
    <col min="11" max="11" width="10.109375" customWidth="1"/>
    <col min="12" max="12" width="11.44140625" customWidth="1"/>
    <col min="13" max="13" width="9.109375" customWidth="1"/>
    <col min="14" max="14" width="19.44140625" customWidth="1"/>
  </cols>
  <sheetData>
    <row r="1" spans="1:26" ht="15.75" customHeight="1">
      <c r="A1" s="109" t="str">
        <f ca="1">IFERROR(__xludf.DUMMYFUNCTION("QUERY(Processed!A1:BP150,""SELECT A, B, C, D, E, AT, AW, BA, BG, BH, BI, BJ, BK, BL, BM, BN, BO, BP, BE WHERE AQ = TRUE"",1)"),"Study ID")</f>
        <v>Study ID</v>
      </c>
      <c r="B1" s="109" t="str">
        <f ca="1">IFERROR(__xludf.DUMMYFUNCTION("""COMPUTED_VALUE"""),"Authors")</f>
        <v>Authors</v>
      </c>
      <c r="C1" s="109" t="str">
        <f ca="1">IFERROR(__xludf.DUMMYFUNCTION("""COMPUTED_VALUE"""),"Subsample ID")</f>
        <v>Subsample ID</v>
      </c>
      <c r="D1" s="109" t="str">
        <f ca="1">IFERROR(__xludf.DUMMYFUNCTION("""COMPUTED_VALUE"""),"Subsample Desciption")</f>
        <v>Subsample Desciption</v>
      </c>
      <c r="E1" s="109" t="str">
        <f ca="1">IFERROR(__xludf.DUMMYFUNCTION("""COMPUTED_VALUE"""),"Interval")</f>
        <v>Interval</v>
      </c>
      <c r="F1" s="109" t="str">
        <f ca="1">IFERROR(__xludf.DUMMYFUNCTION("""COMPUTED_VALUE"""),"IsD n - Final")</f>
        <v>IsD n - Final</v>
      </c>
      <c r="G1" s="109" t="str">
        <f ca="1">IFERROR(__xludf.DUMMYFUNCTION("""COMPUTED_VALUE"""),"IsD r - Final")</f>
        <v>IsD r - Final</v>
      </c>
      <c r="H1" s="109" t="str">
        <f ca="1">IFERROR(__xludf.DUMMYFUNCTION("""COMPUTED_VALUE"""),"IsD PA - Calculated")</f>
        <v>IsD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09" t="str">
        <f ca="1">IFERROR(__xludf.DUMMYFUNCTION("""COMPUTED_VALUE"""),"Gender")</f>
        <v>Gender</v>
      </c>
      <c r="S1" s="114" t="str">
        <f ca="1">IFERROR(__xludf.DUMMYFUNCTION("""COMPUTED_VALUE"""),"IsD k - Final")</f>
        <v>IsD k - Final</v>
      </c>
      <c r="T1" s="114"/>
      <c r="U1" s="114"/>
      <c r="V1" s="114"/>
      <c r="W1" s="114"/>
      <c r="X1" s="114"/>
      <c r="Y1" s="114"/>
      <c r="Z1" s="114"/>
    </row>
    <row r="2" spans="1:26" ht="15.75" customHeight="1">
      <c r="A2" s="56">
        <f ca="1">IFERROR(__xludf.DUMMYFUNCTION("""COMPUTED_VALUE"""),6)</f>
        <v>6</v>
      </c>
      <c r="B2" s="56" t="str">
        <f ca="1">IFERROR(__xludf.DUMMYFUNCTION("""COMPUTED_VALUE"""),"Barnett, Ganiban &amp; Cicchetti (1999)")</f>
        <v>Barnett, Ganiban &amp; Cicchetti (1999)</v>
      </c>
      <c r="C2" s="56">
        <f ca="1">IFERROR(__xludf.DUMMYFUNCTION("""COMPUTED_VALUE"""),1)</f>
        <v>1</v>
      </c>
      <c r="D2" s="56" t="str">
        <f ca="1">IFERROR(__xludf.DUMMYFUNCTION("""COMPUTED_VALUE"""),"Comparison")</f>
        <v>Comparison</v>
      </c>
      <c r="E2" s="56" t="str">
        <f ca="1">IFERROR(__xludf.DUMMYFUNCTION("""COMPUTED_VALUE"""),"Infancy - Toddlerhood")</f>
        <v>Infancy - Toddlerhood</v>
      </c>
      <c r="F2" s="56" t="str">
        <f ca="1">IFERROR(__xludf.DUMMYFUNCTION("""COMPUTED_VALUE"""),"20")</f>
        <v>20</v>
      </c>
      <c r="G2" s="56" t="str">
        <f ca="1">IFERROR(__xludf.DUMMYFUNCTION("""COMPUTED_VALUE"""),"0.5238095238")</f>
        <v>0.5238095238</v>
      </c>
      <c r="H2" s="56" t="str">
        <f ca="1">IFERROR(__xludf.DUMMYFUNCTION("""COMPUTED_VALUE"""),"0.8")</f>
        <v>0.8</v>
      </c>
      <c r="I2" s="56">
        <f ca="1">IFERROR(__xludf.DUMMYFUNCTION("""COMPUTED_VALUE"""),1999)</f>
        <v>1999</v>
      </c>
      <c r="J2" s="56" t="str">
        <f ca="1">IFERROR(__xludf.DUMMYFUNCTION("""COMPUTED_VALUE"""),"USA")</f>
        <v>USA</v>
      </c>
      <c r="K2" s="56" t="str">
        <f ca="1">IFERROR(__xludf.DUMMYFUNCTION("""COMPUTED_VALUE"""),"Ainsworth/Ainsworth")</f>
        <v>Ainsworth/Ainsworth</v>
      </c>
      <c r="L2" s="56">
        <f ca="1">IFERROR(__xludf.DUMMYFUNCTION("""COMPUTED_VALUE"""),1)</f>
        <v>1</v>
      </c>
      <c r="M2" s="56">
        <f ca="1">IFERROR(__xludf.DUMMYFUNCTION("""COMPUTED_VALUE"""),0)</f>
        <v>0</v>
      </c>
      <c r="N2" s="56">
        <f ca="1">IFERROR(__xludf.DUMMYFUNCTION("""COMPUTED_VALUE"""),0)</f>
        <v>0</v>
      </c>
      <c r="O2" s="56">
        <f ca="1">IFERROR(__xludf.DUMMYFUNCTION("""COMPUTED_VALUE"""),1)</f>
        <v>1</v>
      </c>
      <c r="P2" s="56">
        <f ca="1">IFERROR(__xludf.DUMMYFUNCTION("""COMPUTED_VALUE"""),0.895)</f>
        <v>0.89500000000000002</v>
      </c>
      <c r="Q2" s="56">
        <f ca="1">IFERROR(__xludf.DUMMYFUNCTION("""COMPUTED_VALUE"""),0)</f>
        <v>0</v>
      </c>
      <c r="R2" s="56" t="str">
        <f ca="1">IFERROR(__xludf.DUMMYFUNCTION("""COMPUTED_VALUE"""),"Female")</f>
        <v>Female</v>
      </c>
      <c r="S2" t="str">
        <f ca="1">IFERROR(__xludf.DUMMYFUNCTION("""COMPUTED_VALUE"""),"0.5238095238")</f>
        <v>0.5238095238</v>
      </c>
    </row>
    <row r="3" spans="1:26" ht="15.75" customHeight="1">
      <c r="A3" s="56">
        <f ca="1">IFERROR(__xludf.DUMMYFUNCTION("""COMPUTED_VALUE"""),6)</f>
        <v>6</v>
      </c>
      <c r="B3" s="56" t="str">
        <f ca="1">IFERROR(__xludf.DUMMYFUNCTION("""COMPUTED_VALUE"""),"Barnett, Ganiban &amp; Cicchetti (1999)")</f>
        <v>Barnett, Ganiban &amp; Cicchetti (1999)</v>
      </c>
      <c r="C3" s="56">
        <f ca="1">IFERROR(__xludf.DUMMYFUNCTION("""COMPUTED_VALUE"""),2)</f>
        <v>2</v>
      </c>
      <c r="D3" s="56" t="str">
        <f ca="1">IFERROR(__xludf.DUMMYFUNCTION("""COMPUTED_VALUE"""),"Comparison")</f>
        <v>Comparison</v>
      </c>
      <c r="E3" s="56" t="str">
        <f ca="1">IFERROR(__xludf.DUMMYFUNCTION("""COMPUTED_VALUE"""),"Infancy - Infancy")</f>
        <v>Infancy - Infancy</v>
      </c>
      <c r="F3" s="56" t="str">
        <f ca="1">IFERROR(__xludf.DUMMYFUNCTION("""COMPUTED_VALUE"""),"21")</f>
        <v>21</v>
      </c>
      <c r="G3" s="56" t="str">
        <f ca="1">IFERROR(__xludf.DUMMYFUNCTION("""COMPUTED_VALUE"""),"0.5333333333")</f>
        <v>0.5333333333</v>
      </c>
      <c r="H3" s="56" t="str">
        <f ca="1">IFERROR(__xludf.DUMMYFUNCTION("""COMPUTED_VALUE"""),"0.8095238095")</f>
        <v>0.8095238095</v>
      </c>
      <c r="I3" s="56">
        <f ca="1">IFERROR(__xludf.DUMMYFUNCTION("""COMPUTED_VALUE"""),1999)</f>
        <v>1999</v>
      </c>
      <c r="J3" s="56" t="str">
        <f ca="1">IFERROR(__xludf.DUMMYFUNCTION("""COMPUTED_VALUE"""),"USA")</f>
        <v>USA</v>
      </c>
      <c r="K3" s="56" t="str">
        <f ca="1">IFERROR(__xludf.DUMMYFUNCTION("""COMPUTED_VALUE"""),"Ainsworth/Ainsworth")</f>
        <v>Ainsworth/Ainsworth</v>
      </c>
      <c r="L3" s="56">
        <f ca="1">IFERROR(__xludf.DUMMYFUNCTION("""COMPUTED_VALUE"""),1)</f>
        <v>1</v>
      </c>
      <c r="M3" s="56">
        <f ca="1">IFERROR(__xludf.DUMMYFUNCTION("""COMPUTED_VALUE"""),0)</f>
        <v>0</v>
      </c>
      <c r="N3" s="56">
        <f ca="1">IFERROR(__xludf.DUMMYFUNCTION("""COMPUTED_VALUE"""),0)</f>
        <v>0</v>
      </c>
      <c r="O3" s="56">
        <f ca="1">IFERROR(__xludf.DUMMYFUNCTION("""COMPUTED_VALUE"""),1)</f>
        <v>1</v>
      </c>
      <c r="P3" s="56">
        <f ca="1">IFERROR(__xludf.DUMMYFUNCTION("""COMPUTED_VALUE"""),0.865)</f>
        <v>0.86499999999999999</v>
      </c>
      <c r="Q3" s="56">
        <f ca="1">IFERROR(__xludf.DUMMYFUNCTION("""COMPUTED_VALUE"""),0)</f>
        <v>0</v>
      </c>
      <c r="R3" s="56" t="str">
        <f ca="1">IFERROR(__xludf.DUMMYFUNCTION("""COMPUTED_VALUE"""),"Female")</f>
        <v>Female</v>
      </c>
      <c r="S3" t="str">
        <f ca="1">IFERROR(__xludf.DUMMYFUNCTION("""COMPUTED_VALUE"""),"0.5333333333")</f>
        <v>0.5333333333</v>
      </c>
    </row>
    <row r="4" spans="1:26" ht="15.75" customHeight="1">
      <c r="A4" s="56">
        <f ca="1">IFERROR(__xludf.DUMMYFUNCTION("""COMPUTED_VALUE"""),6)</f>
        <v>6</v>
      </c>
      <c r="B4" s="56" t="str">
        <f ca="1">IFERROR(__xludf.DUMMYFUNCTION("""COMPUTED_VALUE"""),"Barnett, Ganiban &amp; Cicchetti (1999)")</f>
        <v>Barnett, Ganiban &amp; Cicchetti (1999)</v>
      </c>
      <c r="C4" s="56">
        <f ca="1">IFERROR(__xludf.DUMMYFUNCTION("""COMPUTED_VALUE"""),3)</f>
        <v>3</v>
      </c>
      <c r="D4" s="56" t="str">
        <f ca="1">IFERROR(__xludf.DUMMYFUNCTION("""COMPUTED_VALUE"""),"Comparison")</f>
        <v>Comparison</v>
      </c>
      <c r="E4" s="56" t="str">
        <f ca="1">IFERROR(__xludf.DUMMYFUNCTION("""COMPUTED_VALUE"""),"Infancy - Toddlerhood")</f>
        <v>Infancy - Toddlerhood</v>
      </c>
      <c r="F4" s="56" t="str">
        <f ca="1">IFERROR(__xludf.DUMMYFUNCTION("""COMPUTED_VALUE"""),"20")</f>
        <v>20</v>
      </c>
      <c r="G4" s="56" t="str">
        <f ca="1">IFERROR(__xludf.DUMMYFUNCTION("""COMPUTED_VALUE"""),"0.5238095238")</f>
        <v>0.5238095238</v>
      </c>
      <c r="H4" s="56" t="str">
        <f ca="1">IFERROR(__xludf.DUMMYFUNCTION("""COMPUTED_VALUE"""),"0.8")</f>
        <v>0.8</v>
      </c>
      <c r="I4" s="56">
        <f ca="1">IFERROR(__xludf.DUMMYFUNCTION("""COMPUTED_VALUE"""),1999)</f>
        <v>1999</v>
      </c>
      <c r="J4" s="56" t="str">
        <f ca="1">IFERROR(__xludf.DUMMYFUNCTION("""COMPUTED_VALUE"""),"USA")</f>
        <v>USA</v>
      </c>
      <c r="K4" s="56" t="str">
        <f ca="1">IFERROR(__xludf.DUMMYFUNCTION("""COMPUTED_VALUE"""),"Ainsworth/Ainsworth")</f>
        <v>Ainsworth/Ainsworth</v>
      </c>
      <c r="L4" s="56">
        <f ca="1">IFERROR(__xludf.DUMMYFUNCTION("""COMPUTED_VALUE"""),1)</f>
        <v>1</v>
      </c>
      <c r="M4" s="56">
        <f ca="1">IFERROR(__xludf.DUMMYFUNCTION("""COMPUTED_VALUE"""),0)</f>
        <v>0</v>
      </c>
      <c r="N4" s="56">
        <f ca="1">IFERROR(__xludf.DUMMYFUNCTION("""COMPUTED_VALUE"""),0)</f>
        <v>0</v>
      </c>
      <c r="O4" s="56">
        <f ca="1">IFERROR(__xludf.DUMMYFUNCTION("""COMPUTED_VALUE"""),1)</f>
        <v>1</v>
      </c>
      <c r="P4" s="56">
        <f ca="1">IFERROR(__xludf.DUMMYFUNCTION("""COMPUTED_VALUE"""),0.88)</f>
        <v>0.88</v>
      </c>
      <c r="Q4" s="56">
        <f ca="1">IFERROR(__xludf.DUMMYFUNCTION("""COMPUTED_VALUE"""),0)</f>
        <v>0</v>
      </c>
      <c r="R4" s="56" t="str">
        <f ca="1">IFERROR(__xludf.DUMMYFUNCTION("""COMPUTED_VALUE"""),"Female")</f>
        <v>Female</v>
      </c>
      <c r="S4" t="str">
        <f ca="1">IFERROR(__xludf.DUMMYFUNCTION("""COMPUTED_VALUE"""),"0.5238095238")</f>
        <v>0.5238095238</v>
      </c>
    </row>
    <row r="5" spans="1:26" ht="15.75" customHeight="1">
      <c r="A5" s="56">
        <f ca="1">IFERROR(__xludf.DUMMYFUNCTION("""COMPUTED_VALUE"""),7)</f>
        <v>7</v>
      </c>
      <c r="B5" s="56" t="str">
        <f ca="1">IFERROR(__xludf.DUMMYFUNCTION("""COMPUTED_VALUE"""),"Barnett, Ganiban &amp; Cicchetti (1999)")</f>
        <v>Barnett, Ganiban &amp; Cicchetti (1999)</v>
      </c>
      <c r="C5" s="56">
        <f ca="1">IFERROR(__xludf.DUMMYFUNCTION("""COMPUTED_VALUE"""),1)</f>
        <v>1</v>
      </c>
      <c r="D5" s="56" t="str">
        <f ca="1">IFERROR(__xludf.DUMMYFUNCTION("""COMPUTED_VALUE"""),"Maltreated")</f>
        <v>Maltreated</v>
      </c>
      <c r="E5" s="56" t="str">
        <f ca="1">IFERROR(__xludf.DUMMYFUNCTION("""COMPUTED_VALUE"""),"Infancy - Toddlerhood")</f>
        <v>Infancy - Toddlerhood</v>
      </c>
      <c r="F5" s="56" t="str">
        <f ca="1">IFERROR(__xludf.DUMMYFUNCTION("""COMPUTED_VALUE"""),"16")</f>
        <v>16</v>
      </c>
      <c r="G5" s="56" t="str">
        <f ca="1">IFERROR(__xludf.DUMMYFUNCTION("""COMPUTED_VALUE"""),"0.6546536707")</f>
        <v>0.6546536707</v>
      </c>
      <c r="H5" s="56" t="str">
        <f ca="1">IFERROR(__xludf.DUMMYFUNCTION("""COMPUTED_VALUE"""),"0.875")</f>
        <v>0.875</v>
      </c>
      <c r="I5" s="56">
        <f ca="1">IFERROR(__xludf.DUMMYFUNCTION("""COMPUTED_VALUE"""),1999)</f>
        <v>1999</v>
      </c>
      <c r="J5" s="56" t="str">
        <f ca="1">IFERROR(__xludf.DUMMYFUNCTION("""COMPUTED_VALUE"""),"USA")</f>
        <v>USA</v>
      </c>
      <c r="K5" s="56" t="str">
        <f ca="1">IFERROR(__xludf.DUMMYFUNCTION("""COMPUTED_VALUE"""),"Ainsworth/Ainsworth")</f>
        <v>Ainsworth/Ainsworth</v>
      </c>
      <c r="L5" s="56">
        <f ca="1">IFERROR(__xludf.DUMMYFUNCTION("""COMPUTED_VALUE"""),1)</f>
        <v>1</v>
      </c>
      <c r="M5" s="56">
        <f ca="1">IFERROR(__xludf.DUMMYFUNCTION("""COMPUTED_VALUE"""),1)</f>
        <v>1</v>
      </c>
      <c r="N5" s="56">
        <f ca="1">IFERROR(__xludf.DUMMYFUNCTION("""COMPUTED_VALUE"""),0)</f>
        <v>0</v>
      </c>
      <c r="O5" s="56">
        <f ca="1">IFERROR(__xludf.DUMMYFUNCTION("""COMPUTED_VALUE"""),1)</f>
        <v>1</v>
      </c>
      <c r="P5" s="56">
        <f ca="1">IFERROR(__xludf.DUMMYFUNCTION("""COMPUTED_VALUE"""),0.895)</f>
        <v>0.89500000000000002</v>
      </c>
      <c r="Q5" s="56">
        <f ca="1">IFERROR(__xludf.DUMMYFUNCTION("""COMPUTED_VALUE"""),0)</f>
        <v>0</v>
      </c>
      <c r="R5" s="56" t="str">
        <f ca="1">IFERROR(__xludf.DUMMYFUNCTION("""COMPUTED_VALUE"""),"Female")</f>
        <v>Female</v>
      </c>
      <c r="S5" t="str">
        <f ca="1">IFERROR(__xludf.DUMMYFUNCTION("""COMPUTED_VALUE"""),"0.6")</f>
        <v>0.6</v>
      </c>
    </row>
    <row r="6" spans="1:26" ht="15.75" customHeight="1">
      <c r="A6" s="56">
        <f ca="1">IFERROR(__xludf.DUMMYFUNCTION("""COMPUTED_VALUE"""),7)</f>
        <v>7</v>
      </c>
      <c r="B6" s="56" t="str">
        <f ca="1">IFERROR(__xludf.DUMMYFUNCTION("""COMPUTED_VALUE"""),"Barnett, Ganiban &amp; Cicchetti (1999)")</f>
        <v>Barnett, Ganiban &amp; Cicchetti (1999)</v>
      </c>
      <c r="C6" s="56">
        <f ca="1">IFERROR(__xludf.DUMMYFUNCTION("""COMPUTED_VALUE"""),2)</f>
        <v>2</v>
      </c>
      <c r="D6" s="56" t="str">
        <f ca="1">IFERROR(__xludf.DUMMYFUNCTION("""COMPUTED_VALUE"""),"Maltreated")</f>
        <v>Maltreated</v>
      </c>
      <c r="E6" s="56" t="str">
        <f ca="1">IFERROR(__xludf.DUMMYFUNCTION("""COMPUTED_VALUE"""),"Infancy - Infancy")</f>
        <v>Infancy - Infancy</v>
      </c>
      <c r="F6" s="56" t="str">
        <f ca="1">IFERROR(__xludf.DUMMYFUNCTION("""COMPUTED_VALUE"""),"18")</f>
        <v>18</v>
      </c>
      <c r="G6" s="56" t="str">
        <f ca="1">IFERROR(__xludf.DUMMYFUNCTION("""COMPUTED_VALUE"""),"0.2548235957")</f>
        <v>0.2548235957</v>
      </c>
      <c r="H6" s="56" t="str">
        <f ca="1">IFERROR(__xludf.DUMMYFUNCTION("""COMPUTED_VALUE"""),"0.6666666667")</f>
        <v>0.6666666667</v>
      </c>
      <c r="I6" s="56">
        <f ca="1">IFERROR(__xludf.DUMMYFUNCTION("""COMPUTED_VALUE"""),1999)</f>
        <v>1999</v>
      </c>
      <c r="J6" s="56" t="str">
        <f ca="1">IFERROR(__xludf.DUMMYFUNCTION("""COMPUTED_VALUE"""),"USA")</f>
        <v>USA</v>
      </c>
      <c r="K6" s="56" t="str">
        <f ca="1">IFERROR(__xludf.DUMMYFUNCTION("""COMPUTED_VALUE"""),"Ainsworth/Ainsworth")</f>
        <v>Ainsworth/Ainsworth</v>
      </c>
      <c r="L6" s="56">
        <f ca="1">IFERROR(__xludf.DUMMYFUNCTION("""COMPUTED_VALUE"""),1)</f>
        <v>1</v>
      </c>
      <c r="M6" s="56">
        <f ca="1">IFERROR(__xludf.DUMMYFUNCTION("""COMPUTED_VALUE"""),1)</f>
        <v>1</v>
      </c>
      <c r="N6" s="56">
        <f ca="1">IFERROR(__xludf.DUMMYFUNCTION("""COMPUTED_VALUE"""),0)</f>
        <v>0</v>
      </c>
      <c r="O6" s="56">
        <f ca="1">IFERROR(__xludf.DUMMYFUNCTION("""COMPUTED_VALUE"""),1)</f>
        <v>1</v>
      </c>
      <c r="P6" s="56">
        <f ca="1">IFERROR(__xludf.DUMMYFUNCTION("""COMPUTED_VALUE"""),0.865)</f>
        <v>0.86499999999999999</v>
      </c>
      <c r="Q6" s="56">
        <f ca="1">IFERROR(__xludf.DUMMYFUNCTION("""COMPUTED_VALUE"""),0)</f>
        <v>0</v>
      </c>
      <c r="R6" s="56" t="str">
        <f ca="1">IFERROR(__xludf.DUMMYFUNCTION("""COMPUTED_VALUE"""),"Female")</f>
        <v>Female</v>
      </c>
      <c r="S6" t="str">
        <f ca="1">IFERROR(__xludf.DUMMYFUNCTION("""COMPUTED_VALUE"""),"0.2173913043")</f>
        <v>0.2173913043</v>
      </c>
    </row>
    <row r="7" spans="1:26" ht="15.75" customHeight="1">
      <c r="A7" s="56">
        <f ca="1">IFERROR(__xludf.DUMMYFUNCTION("""COMPUTED_VALUE"""),7)</f>
        <v>7</v>
      </c>
      <c r="B7" s="56" t="str">
        <f ca="1">IFERROR(__xludf.DUMMYFUNCTION("""COMPUTED_VALUE"""),"Barnett, Ganiban &amp; Cicchetti (1999)")</f>
        <v>Barnett, Ganiban &amp; Cicchetti (1999)</v>
      </c>
      <c r="C7" s="56">
        <f ca="1">IFERROR(__xludf.DUMMYFUNCTION("""COMPUTED_VALUE"""),3)</f>
        <v>3</v>
      </c>
      <c r="D7" s="56" t="str">
        <f ca="1">IFERROR(__xludf.DUMMYFUNCTION("""COMPUTED_VALUE"""),"Maltreated")</f>
        <v>Maltreated</v>
      </c>
      <c r="E7" s="56" t="str">
        <f ca="1">IFERROR(__xludf.DUMMYFUNCTION("""COMPUTED_VALUE"""),"Infancy - Toddlerhood")</f>
        <v>Infancy - Toddlerhood</v>
      </c>
      <c r="F7" s="56" t="str">
        <f ca="1">IFERROR(__xludf.DUMMYFUNCTION("""COMPUTED_VALUE"""),"16")</f>
        <v>16</v>
      </c>
      <c r="G7" s="56" t="str">
        <f ca="1">IFERROR(__xludf.DUMMYFUNCTION("""COMPUTED_VALUE"""),"0.4472135955")</f>
        <v>0.4472135955</v>
      </c>
      <c r="H7" s="56" t="str">
        <f ca="1">IFERROR(__xludf.DUMMYFUNCTION("""COMPUTED_VALUE"""),"0.75")</f>
        <v>0.75</v>
      </c>
      <c r="I7" s="56">
        <f ca="1">IFERROR(__xludf.DUMMYFUNCTION("""COMPUTED_VALUE"""),1999)</f>
        <v>1999</v>
      </c>
      <c r="J7" s="56" t="str">
        <f ca="1">IFERROR(__xludf.DUMMYFUNCTION("""COMPUTED_VALUE"""),"USA")</f>
        <v>USA</v>
      </c>
      <c r="K7" s="56" t="str">
        <f ca="1">IFERROR(__xludf.DUMMYFUNCTION("""COMPUTED_VALUE"""),"Ainsworth/Ainsworth")</f>
        <v>Ainsworth/Ainsworth</v>
      </c>
      <c r="L7" s="56">
        <f ca="1">IFERROR(__xludf.DUMMYFUNCTION("""COMPUTED_VALUE"""),1)</f>
        <v>1</v>
      </c>
      <c r="M7" s="56">
        <f ca="1">IFERROR(__xludf.DUMMYFUNCTION("""COMPUTED_VALUE"""),1)</f>
        <v>1</v>
      </c>
      <c r="N7" s="56">
        <f ca="1">IFERROR(__xludf.DUMMYFUNCTION("""COMPUTED_VALUE"""),0)</f>
        <v>0</v>
      </c>
      <c r="O7" s="56">
        <f ca="1">IFERROR(__xludf.DUMMYFUNCTION("""COMPUTED_VALUE"""),1)</f>
        <v>1</v>
      </c>
      <c r="P7" s="56">
        <f ca="1">IFERROR(__xludf.DUMMYFUNCTION("""COMPUTED_VALUE"""),0.88)</f>
        <v>0.88</v>
      </c>
      <c r="Q7" s="56">
        <f ca="1">IFERROR(__xludf.DUMMYFUNCTION("""COMPUTED_VALUE"""),0)</f>
        <v>0</v>
      </c>
      <c r="R7" s="56" t="str">
        <f ca="1">IFERROR(__xludf.DUMMYFUNCTION("""COMPUTED_VALUE"""),"Female")</f>
        <v>Female</v>
      </c>
      <c r="S7" t="str">
        <f ca="1">IFERROR(__xludf.DUMMYFUNCTION("""COMPUTED_VALUE"""),"0.4285714286")</f>
        <v>0.4285714286</v>
      </c>
    </row>
    <row r="8" spans="1:26" ht="15.75" customHeight="1">
      <c r="A8" s="56">
        <f ca="1">IFERROR(__xludf.DUMMYFUNCTION("""COMPUTED_VALUE"""),8)</f>
        <v>8</v>
      </c>
      <c r="B8" s="56" t="str">
        <f ca="1">IFERROR(__xludf.DUMMYFUNCTION("""COMPUTED_VALUE"""),"Cicchetti &amp; Barnett (1991)")</f>
        <v>Cicchetti &amp; Barnett (1991)</v>
      </c>
      <c r="C8" s="56">
        <f ca="1">IFERROR(__xludf.DUMMYFUNCTION("""COMPUTED_VALUE"""),1)</f>
        <v>1</v>
      </c>
      <c r="D8" s="56" t="str">
        <f ca="1">IFERROR(__xludf.DUMMYFUNCTION("""COMPUTED_VALUE"""),"Maltreated, 18 month interval")</f>
        <v>Maltreated, 18 month interval</v>
      </c>
      <c r="E8" s="56" t="str">
        <f ca="1">IFERROR(__xludf.DUMMYFUNCTION("""COMPUTED_VALUE"""),"Toddlerhood - Preschool")</f>
        <v>Toddlerhood - Preschool</v>
      </c>
      <c r="F8" s="56" t="str">
        <f ca="1">IFERROR(__xludf.DUMMYFUNCTION("""COMPUTED_VALUE"""),"18")</f>
        <v>18</v>
      </c>
      <c r="G8" s="56" t="str">
        <f ca="1">IFERROR(__xludf.DUMMYFUNCTION("""COMPUTED_VALUE"""),"0.2987012987")</f>
        <v>0.2987012987</v>
      </c>
      <c r="H8" s="56" t="str">
        <f ca="1">IFERROR(__xludf.DUMMYFUNCTION("""COMPUTED_VALUE"""),"0.6666666667")</f>
        <v>0.6666666667</v>
      </c>
      <c r="I8" s="56">
        <f ca="1">IFERROR(__xludf.DUMMYFUNCTION("""COMPUTED_VALUE"""),1991)</f>
        <v>1991</v>
      </c>
      <c r="J8" s="56" t="str">
        <f ca="1">IFERROR(__xludf.DUMMYFUNCTION("""COMPUTED_VALUE"""),"USA")</f>
        <v>USA</v>
      </c>
      <c r="K8" s="56" t="str">
        <f ca="1">IFERROR(__xludf.DUMMYFUNCTION("""COMPUTED_VALUE"""),"Cassidy-Marvin/Cassidy-Marvin")</f>
        <v>Cassidy-Marvin/Cassidy-Marvin</v>
      </c>
      <c r="L8" s="56">
        <f ca="1">IFERROR(__xludf.DUMMYFUNCTION("""COMPUTED_VALUE"""),1)</f>
        <v>1</v>
      </c>
      <c r="M8" s="56">
        <f ca="1">IFERROR(__xludf.DUMMYFUNCTION("""COMPUTED_VALUE"""),1)</f>
        <v>1</v>
      </c>
      <c r="N8" s="56">
        <f ca="1">IFERROR(__xludf.DUMMYFUNCTION("""COMPUTED_VALUE"""),0)</f>
        <v>0</v>
      </c>
      <c r="O8" s="56">
        <f ca="1">IFERROR(__xludf.DUMMYFUNCTION("""COMPUTED_VALUE"""),1)</f>
        <v>1</v>
      </c>
      <c r="P8" s="56">
        <f ca="1">IFERROR(__xludf.DUMMYFUNCTION("""COMPUTED_VALUE"""),0.75)</f>
        <v>0.75</v>
      </c>
      <c r="Q8" s="56">
        <f ca="1">IFERROR(__xludf.DUMMYFUNCTION("""COMPUTED_VALUE"""),0)</f>
        <v>0</v>
      </c>
      <c r="R8" s="56" t="str">
        <f ca="1">IFERROR(__xludf.DUMMYFUNCTION("""COMPUTED_VALUE"""),"Mixed")</f>
        <v>Mixed</v>
      </c>
      <c r="S8" t="str">
        <f ca="1">IFERROR(__xludf.DUMMYFUNCTION("""COMPUTED_VALUE"""),"0.2987012987")</f>
        <v>0.2987012987</v>
      </c>
    </row>
    <row r="9" spans="1:26" ht="15.75" customHeight="1">
      <c r="A9" s="56">
        <f ca="1">IFERROR(__xludf.DUMMYFUNCTION("""COMPUTED_VALUE"""),8)</f>
        <v>8</v>
      </c>
      <c r="B9" s="56" t="str">
        <f ca="1">IFERROR(__xludf.DUMMYFUNCTION("""COMPUTED_VALUE"""),"Cicchetti &amp; Barnett (1991)")</f>
        <v>Cicchetti &amp; Barnett (1991)</v>
      </c>
      <c r="C9" s="56">
        <f ca="1">IFERROR(__xludf.DUMMYFUNCTION("""COMPUTED_VALUE"""),2)</f>
        <v>2</v>
      </c>
      <c r="D9" s="56" t="str">
        <f ca="1">IFERROR(__xludf.DUMMYFUNCTION("""COMPUTED_VALUE"""),"Maltreated, 12 month interval")</f>
        <v>Maltreated, 12 month interval</v>
      </c>
      <c r="E9" s="56" t="str">
        <f ca="1">IFERROR(__xludf.DUMMYFUNCTION("""COMPUTED_VALUE"""),"Toddlerhood - Preschool")</f>
        <v>Toddlerhood - Preschool</v>
      </c>
      <c r="F9" s="56" t="str">
        <f ca="1">IFERROR(__xludf.DUMMYFUNCTION("""COMPUTED_VALUE"""),"25")</f>
        <v>25</v>
      </c>
      <c r="G9" s="56" t="str">
        <f ca="1">IFERROR(__xludf.DUMMYFUNCTION("""COMPUTED_VALUE"""),"0.08908708064")</f>
        <v>0.08908708064</v>
      </c>
      <c r="H9" s="56" t="str">
        <f ca="1">IFERROR(__xludf.DUMMYFUNCTION("""COMPUTED_VALUE"""),"0.6")</f>
        <v>0.6</v>
      </c>
      <c r="I9" s="56">
        <f ca="1">IFERROR(__xludf.DUMMYFUNCTION("""COMPUTED_VALUE"""),1991)</f>
        <v>1991</v>
      </c>
      <c r="J9" s="56" t="str">
        <f ca="1">IFERROR(__xludf.DUMMYFUNCTION("""COMPUTED_VALUE"""),"USA")</f>
        <v>USA</v>
      </c>
      <c r="K9" s="56" t="str">
        <f ca="1">IFERROR(__xludf.DUMMYFUNCTION("""COMPUTED_VALUE"""),"Cassidy-Marvin/Cassidy-Marvin")</f>
        <v>Cassidy-Marvin/Cassidy-Marvin</v>
      </c>
      <c r="L9" s="56">
        <f ca="1">IFERROR(__xludf.DUMMYFUNCTION("""COMPUTED_VALUE"""),1)</f>
        <v>1</v>
      </c>
      <c r="M9" s="56">
        <f ca="1">IFERROR(__xludf.DUMMYFUNCTION("""COMPUTED_VALUE"""),1)</f>
        <v>1</v>
      </c>
      <c r="N9" s="56">
        <f ca="1">IFERROR(__xludf.DUMMYFUNCTION("""COMPUTED_VALUE"""),0)</f>
        <v>0</v>
      </c>
      <c r="O9" s="56">
        <f ca="1">IFERROR(__xludf.DUMMYFUNCTION("""COMPUTED_VALUE"""),1)</f>
        <v>1</v>
      </c>
      <c r="P9" s="56">
        <f ca="1">IFERROR(__xludf.DUMMYFUNCTION("""COMPUTED_VALUE"""),0.75)</f>
        <v>0.75</v>
      </c>
      <c r="Q9" s="56">
        <f ca="1">IFERROR(__xludf.DUMMYFUNCTION("""COMPUTED_VALUE"""),0)</f>
        <v>0</v>
      </c>
      <c r="R9" s="56" t="str">
        <f ca="1">IFERROR(__xludf.DUMMYFUNCTION("""COMPUTED_VALUE"""),"Mixed")</f>
        <v>Mixed</v>
      </c>
      <c r="S9" t="str">
        <f ca="1">IFERROR(__xludf.DUMMYFUNCTION("""COMPUTED_VALUE"""),"0.08759124088")</f>
        <v>0.08759124088</v>
      </c>
    </row>
    <row r="10" spans="1:26" ht="15.75" customHeight="1">
      <c r="A10" s="56">
        <f ca="1">IFERROR(__xludf.DUMMYFUNCTION("""COMPUTED_VALUE"""),9)</f>
        <v>9</v>
      </c>
      <c r="B10" s="56" t="str">
        <f ca="1">IFERROR(__xludf.DUMMYFUNCTION("""COMPUTED_VALUE"""),"Cicchetti &amp; Barnett (1991)")</f>
        <v>Cicchetti &amp; Barnett (1991)</v>
      </c>
      <c r="C10" s="56">
        <f ca="1">IFERROR(__xludf.DUMMYFUNCTION("""COMPUTED_VALUE"""),1)</f>
        <v>1</v>
      </c>
      <c r="D10" s="56" t="str">
        <f ca="1">IFERROR(__xludf.DUMMYFUNCTION("""COMPUTED_VALUE"""),"Comparison, 18 month interval")</f>
        <v>Comparison, 18 month interval</v>
      </c>
      <c r="E10" s="56" t="str">
        <f ca="1">IFERROR(__xludf.DUMMYFUNCTION("""COMPUTED_VALUE"""),"Toddlerhood - Preschool")</f>
        <v>Toddlerhood - Preschool</v>
      </c>
      <c r="F10" s="56" t="str">
        <f ca="1">IFERROR(__xludf.DUMMYFUNCTION("""COMPUTED_VALUE"""),"15")</f>
        <v>15</v>
      </c>
      <c r="G10" s="56" t="str">
        <f ca="1">IFERROR(__xludf.DUMMYFUNCTION("""COMPUTED_VALUE"""),"-0.1538461538")</f>
        <v>-0.1538461538</v>
      </c>
      <c r="H10" s="56" t="str">
        <f ca="1">IFERROR(__xludf.DUMMYFUNCTION("""COMPUTED_VALUE"""),"0.7333333333")</f>
        <v>0.7333333333</v>
      </c>
      <c r="I10" s="56">
        <f ca="1">IFERROR(__xludf.DUMMYFUNCTION("""COMPUTED_VALUE"""),1991)</f>
        <v>1991</v>
      </c>
      <c r="J10" s="56" t="str">
        <f ca="1">IFERROR(__xludf.DUMMYFUNCTION("""COMPUTED_VALUE"""),"USA")</f>
        <v>USA</v>
      </c>
      <c r="K10" s="56" t="str">
        <f ca="1">IFERROR(__xludf.DUMMYFUNCTION("""COMPUTED_VALUE"""),"Cassidy-Marvin/Cassidy-Marvin")</f>
        <v>Cassidy-Marvin/Cassidy-Marvin</v>
      </c>
      <c r="L10" s="56">
        <f ca="1">IFERROR(__xludf.DUMMYFUNCTION("""COMPUTED_VALUE"""),1)</f>
        <v>1</v>
      </c>
      <c r="M10" s="56">
        <f ca="1">IFERROR(__xludf.DUMMYFUNCTION("""COMPUTED_VALUE"""),1)</f>
        <v>1</v>
      </c>
      <c r="N10" s="56">
        <f ca="1">IFERROR(__xludf.DUMMYFUNCTION("""COMPUTED_VALUE"""),0)</f>
        <v>0</v>
      </c>
      <c r="O10" s="56">
        <f ca="1">IFERROR(__xludf.DUMMYFUNCTION("""COMPUTED_VALUE"""),1)</f>
        <v>1</v>
      </c>
      <c r="P10" s="56">
        <f ca="1">IFERROR(__xludf.DUMMYFUNCTION("""COMPUTED_VALUE"""),0.75)</f>
        <v>0.75</v>
      </c>
      <c r="Q10" s="56">
        <f ca="1">IFERROR(__xludf.DUMMYFUNCTION("""COMPUTED_VALUE"""),0)</f>
        <v>0</v>
      </c>
      <c r="R10" s="56" t="str">
        <f ca="1">IFERROR(__xludf.DUMMYFUNCTION("""COMPUTED_VALUE"""),"Mixed")</f>
        <v>Mixed</v>
      </c>
      <c r="S10" t="str">
        <f ca="1">IFERROR(__xludf.DUMMYFUNCTION("""COMPUTED_VALUE"""),"-0.1538461538")</f>
        <v>-0.1538461538</v>
      </c>
    </row>
    <row r="11" spans="1:26" ht="15.75" customHeight="1">
      <c r="A11" s="56">
        <f ca="1">IFERROR(__xludf.DUMMYFUNCTION("""COMPUTED_VALUE"""),9)</f>
        <v>9</v>
      </c>
      <c r="B11" s="56" t="str">
        <f ca="1">IFERROR(__xludf.DUMMYFUNCTION("""COMPUTED_VALUE"""),"Cicchetti &amp; Barnett (1991)")</f>
        <v>Cicchetti &amp; Barnett (1991)</v>
      </c>
      <c r="C11" s="56">
        <f ca="1">IFERROR(__xludf.DUMMYFUNCTION("""COMPUTED_VALUE"""),2)</f>
        <v>2</v>
      </c>
      <c r="D11" s="56" t="str">
        <f ca="1">IFERROR(__xludf.DUMMYFUNCTION("""COMPUTED_VALUE"""),"Comparison, 12 month interval")</f>
        <v>Comparison, 12 month interval</v>
      </c>
      <c r="E11" s="56" t="str">
        <f ca="1">IFERROR(__xludf.DUMMYFUNCTION("""COMPUTED_VALUE"""),"Toddlerhood - Preschool")</f>
        <v>Toddlerhood - Preschool</v>
      </c>
      <c r="F11" s="56" t="str">
        <f ca="1">IFERROR(__xludf.DUMMYFUNCTION("""COMPUTED_VALUE"""),"20")</f>
        <v>20</v>
      </c>
      <c r="G11" s="56" t="str">
        <f ca="1">IFERROR(__xludf.DUMMYFUNCTION("""COMPUTED_VALUE"""),"0.5091750772")</f>
        <v>0.5091750772</v>
      </c>
      <c r="H11" s="56" t="str">
        <f ca="1">IFERROR(__xludf.DUMMYFUNCTION("""COMPUTED_VALUE"""),"0.8")</f>
        <v>0.8</v>
      </c>
      <c r="I11" s="56">
        <f ca="1">IFERROR(__xludf.DUMMYFUNCTION("""COMPUTED_VALUE"""),1991)</f>
        <v>1991</v>
      </c>
      <c r="J11" s="56" t="str">
        <f ca="1">IFERROR(__xludf.DUMMYFUNCTION("""COMPUTED_VALUE"""),"USA")</f>
        <v>USA</v>
      </c>
      <c r="K11" s="56" t="str">
        <f ca="1">IFERROR(__xludf.DUMMYFUNCTION("""COMPUTED_VALUE"""),"Cassidy-Marvin/Cassidy-Marvin")</f>
        <v>Cassidy-Marvin/Cassidy-Marvin</v>
      </c>
      <c r="L11" s="56">
        <f ca="1">IFERROR(__xludf.DUMMYFUNCTION("""COMPUTED_VALUE"""),1)</f>
        <v>1</v>
      </c>
      <c r="M11" s="56">
        <f ca="1">IFERROR(__xludf.DUMMYFUNCTION("""COMPUTED_VALUE"""),1)</f>
        <v>1</v>
      </c>
      <c r="N11" s="56">
        <f ca="1">IFERROR(__xludf.DUMMYFUNCTION("""COMPUTED_VALUE"""),0)</f>
        <v>0</v>
      </c>
      <c r="O11" s="56">
        <f ca="1">IFERROR(__xludf.DUMMYFUNCTION("""COMPUTED_VALUE"""),1)</f>
        <v>1</v>
      </c>
      <c r="P11" s="56">
        <f ca="1">IFERROR(__xludf.DUMMYFUNCTION("""COMPUTED_VALUE"""),0.75)</f>
        <v>0.75</v>
      </c>
      <c r="Q11" s="56">
        <f ca="1">IFERROR(__xludf.DUMMYFUNCTION("""COMPUTED_VALUE"""),0)</f>
        <v>0</v>
      </c>
      <c r="R11" s="56" t="str">
        <f ca="1">IFERROR(__xludf.DUMMYFUNCTION("""COMPUTED_VALUE"""),"Mixed")</f>
        <v>Mixed</v>
      </c>
      <c r="S11" t="str">
        <f ca="1">IFERROR(__xludf.DUMMYFUNCTION("""COMPUTED_VALUE"""),"0.4117647059")</f>
        <v>0.4117647059</v>
      </c>
    </row>
    <row r="12" spans="1:26" ht="15.75" customHeight="1">
      <c r="A12" s="56">
        <f ca="1">IFERROR(__xludf.DUMMYFUNCTION("""COMPUTED_VALUE"""),10)</f>
        <v>10</v>
      </c>
      <c r="B12" s="56" t="str">
        <f ca="1">IFERROR(__xludf.DUMMYFUNCTION("""COMPUTED_VALUE"""),"Cicchetti, Rogosch &amp; Toth (2006)")</f>
        <v>Cicchetti, Rogosch &amp; Toth (2006)</v>
      </c>
      <c r="C12" s="56">
        <f ca="1">IFERROR(__xludf.DUMMYFUNCTION("""COMPUTED_VALUE"""),1)</f>
        <v>1</v>
      </c>
      <c r="D12" s="56" t="str">
        <f ca="1">IFERROR(__xludf.DUMMYFUNCTION("""COMPUTED_VALUE"""),"Maltreated")</f>
        <v>Maltreated</v>
      </c>
      <c r="E12" s="56" t="str">
        <f ca="1">IFERROR(__xludf.DUMMYFUNCTION("""COMPUTED_VALUE"""),"Infancy - Toddlerhood")</f>
        <v>Infancy - Toddlerhood</v>
      </c>
      <c r="F12" s="56" t="str">
        <f ca="1">IFERROR(__xludf.DUMMYFUNCTION("""COMPUTED_VALUE"""),"54")</f>
        <v>54</v>
      </c>
      <c r="G12" s="56" t="str">
        <f ca="1">IFERROR(__xludf.DUMMYFUNCTION("""COMPUTED_VALUE"""),"0.2902698051")</f>
        <v>0.2902698051</v>
      </c>
      <c r="H12" s="56" t="str">
        <f ca="1">IFERROR(__xludf.DUMMYFUNCTION("""COMPUTED_VALUE"""),"0.7962962963")</f>
        <v>0.7962962963</v>
      </c>
      <c r="I12" s="56">
        <f ca="1">IFERROR(__xludf.DUMMYFUNCTION("""COMPUTED_VALUE"""),2006)</f>
        <v>2006</v>
      </c>
      <c r="J12" s="56" t="str">
        <f ca="1">IFERROR(__xludf.DUMMYFUNCTION("""COMPUTED_VALUE"""),"USA")</f>
        <v>USA</v>
      </c>
      <c r="K12" s="56" t="str">
        <f ca="1">IFERROR(__xludf.DUMMYFUNCTION("""COMPUTED_VALUE"""),"Ainsworth/Schneider-Rosen")</f>
        <v>Ainsworth/Schneider-Rosen</v>
      </c>
      <c r="L12" s="56">
        <f ca="1">IFERROR(__xludf.DUMMYFUNCTION("""COMPUTED_VALUE"""),1)</f>
        <v>1</v>
      </c>
      <c r="M12" s="56">
        <f ca="1">IFERROR(__xludf.DUMMYFUNCTION("""COMPUTED_VALUE"""),1)</f>
        <v>1</v>
      </c>
      <c r="N12" s="56">
        <f ca="1">IFERROR(__xludf.DUMMYFUNCTION("""COMPUTED_VALUE"""),0)</f>
        <v>0</v>
      </c>
      <c r="O12" s="56">
        <f ca="1">IFERROR(__xludf.DUMMYFUNCTION("""COMPUTED_VALUE"""),1)</f>
        <v>1</v>
      </c>
      <c r="P12" s="56">
        <f ca="1">IFERROR(__xludf.DUMMYFUNCTION("""COMPUTED_VALUE"""),0.88)</f>
        <v>0.88</v>
      </c>
      <c r="Q12" s="56">
        <f ca="1">IFERROR(__xludf.DUMMYFUNCTION("""COMPUTED_VALUE"""),0)</f>
        <v>0</v>
      </c>
      <c r="R12" s="56" t="str">
        <f ca="1">IFERROR(__xludf.DUMMYFUNCTION("""COMPUTED_VALUE"""),"Female")</f>
        <v>Female</v>
      </c>
      <c r="S12" t="str">
        <f ca="1">IFERROR(__xludf.DUMMYFUNCTION("""COMPUTED_VALUE"""),"0.2556390977")</f>
        <v>0.2556390977</v>
      </c>
    </row>
    <row r="13" spans="1:26" ht="15.75" customHeight="1">
      <c r="A13" s="56">
        <f ca="1">IFERROR(__xludf.DUMMYFUNCTION("""COMPUTED_VALUE"""),11)</f>
        <v>11</v>
      </c>
      <c r="B13" s="56" t="str">
        <f ca="1">IFERROR(__xludf.DUMMYFUNCTION("""COMPUTED_VALUE"""),"Cicchetti, Rogosch &amp; Toth (2006)")</f>
        <v>Cicchetti, Rogosch &amp; Toth (2006)</v>
      </c>
      <c r="C13" s="56">
        <f ca="1">IFERROR(__xludf.DUMMYFUNCTION("""COMPUTED_VALUE"""),1)</f>
        <v>1</v>
      </c>
      <c r="D13" s="56" t="str">
        <f ca="1">IFERROR(__xludf.DUMMYFUNCTION("""COMPUTED_VALUE"""),"Comparison")</f>
        <v>Comparison</v>
      </c>
      <c r="E13" s="56" t="str">
        <f ca="1">IFERROR(__xludf.DUMMYFUNCTION("""COMPUTED_VALUE"""),"Infancy - Toddlerhood")</f>
        <v>Infancy - Toddlerhood</v>
      </c>
      <c r="F13" s="56" t="str">
        <f ca="1">IFERROR(__xludf.DUMMYFUNCTION("""COMPUTED_VALUE"""),"44")</f>
        <v>44</v>
      </c>
      <c r="G13" s="56" t="str">
        <f ca="1">IFERROR(__xludf.DUMMYFUNCTION("""COMPUTED_VALUE"""),"0.3099518921")</f>
        <v>0.3099518921</v>
      </c>
      <c r="H13" s="56" t="str">
        <f ca="1">IFERROR(__xludf.DUMMYFUNCTION("""COMPUTED_VALUE"""),"0.6590909091")</f>
        <v>0.6590909091</v>
      </c>
      <c r="I13" s="56">
        <f ca="1">IFERROR(__xludf.DUMMYFUNCTION("""COMPUTED_VALUE"""),2006)</f>
        <v>2006</v>
      </c>
      <c r="J13" s="56" t="str">
        <f ca="1">IFERROR(__xludf.DUMMYFUNCTION("""COMPUTED_VALUE"""),"USA")</f>
        <v>USA</v>
      </c>
      <c r="K13" s="56" t="str">
        <f ca="1">IFERROR(__xludf.DUMMYFUNCTION("""COMPUTED_VALUE"""),"Ainsworth/Schneider-Rosen")</f>
        <v>Ainsworth/Schneider-Rosen</v>
      </c>
      <c r="L13" s="56">
        <f ca="1">IFERROR(__xludf.DUMMYFUNCTION("""COMPUTED_VALUE"""),1)</f>
        <v>1</v>
      </c>
      <c r="M13" s="56">
        <f ca="1">IFERROR(__xludf.DUMMYFUNCTION("""COMPUTED_VALUE"""),0)</f>
        <v>0</v>
      </c>
      <c r="N13" s="56">
        <f ca="1">IFERROR(__xludf.DUMMYFUNCTION("""COMPUTED_VALUE"""),0)</f>
        <v>0</v>
      </c>
      <c r="O13" s="56">
        <f ca="1">IFERROR(__xludf.DUMMYFUNCTION("""COMPUTED_VALUE"""),1)</f>
        <v>1</v>
      </c>
      <c r="P13" s="56">
        <f ca="1">IFERROR(__xludf.DUMMYFUNCTION("""COMPUTED_VALUE"""),0.88)</f>
        <v>0.88</v>
      </c>
      <c r="Q13" s="56">
        <f ca="1">IFERROR(__xludf.DUMMYFUNCTION("""COMPUTED_VALUE"""),0)</f>
        <v>0</v>
      </c>
      <c r="R13" s="56" t="str">
        <f ca="1">IFERROR(__xludf.DUMMYFUNCTION("""COMPUTED_VALUE"""),"Female")</f>
        <v>Female</v>
      </c>
      <c r="S13" t="str">
        <f ca="1">IFERROR(__xludf.DUMMYFUNCTION("""COMPUTED_VALUE"""),"0.309623431")</f>
        <v>0.309623431</v>
      </c>
    </row>
    <row r="14" spans="1:26" ht="15.75" customHeight="1">
      <c r="A14" s="56">
        <f ca="1">IFERROR(__xludf.DUMMYFUNCTION("""COMPUTED_VALUE"""),13)</f>
        <v>13</v>
      </c>
      <c r="B14" s="56" t="str">
        <f ca="1">IFERROR(__xludf.DUMMYFUNCTION("""COMPUTED_VALUE"""),"Fish (2004)")</f>
        <v>Fish (2004)</v>
      </c>
      <c r="C14" s="56">
        <f ca="1">IFERROR(__xludf.DUMMYFUNCTION("""COMPUTED_VALUE"""),1)</f>
        <v>1</v>
      </c>
      <c r="D14" s="56" t="str">
        <f ca="1">IFERROR(__xludf.DUMMYFUNCTION("""COMPUTED_VALUE"""),"Single sample")</f>
        <v>Single sample</v>
      </c>
      <c r="E14" s="56" t="str">
        <f ca="1">IFERROR(__xludf.DUMMYFUNCTION("""COMPUTED_VALUE"""),"Infancy - Preschool")</f>
        <v>Infancy - Preschool</v>
      </c>
      <c r="F14" s="56" t="str">
        <f ca="1">IFERROR(__xludf.DUMMYFUNCTION("""COMPUTED_VALUE"""),"82")</f>
        <v>82</v>
      </c>
      <c r="G14" s="56" t="str">
        <f ca="1">IFERROR(__xludf.DUMMYFUNCTION("""COMPUTED_VALUE"""),"-0.02437486921")</f>
        <v>-0.02437486921</v>
      </c>
      <c r="H14" s="56" t="str">
        <f ca="1">IFERROR(__xludf.DUMMYFUNCTION("""COMPUTED_VALUE"""),"0.6341463415")</f>
        <v>0.6341463415</v>
      </c>
      <c r="I14" s="56">
        <f ca="1">IFERROR(__xludf.DUMMYFUNCTION("""COMPUTED_VALUE"""),2004)</f>
        <v>2004</v>
      </c>
      <c r="J14" s="56" t="str">
        <f ca="1">IFERROR(__xludf.DUMMYFUNCTION("""COMPUTED_VALUE"""),"USA")</f>
        <v>USA</v>
      </c>
      <c r="K14" s="56" t="str">
        <f ca="1">IFERROR(__xludf.DUMMYFUNCTION("""COMPUTED_VALUE"""),"Ainsworth/Cassidy-Marvin")</f>
        <v>Ainsworth/Cassidy-Marvin</v>
      </c>
      <c r="L14" s="56">
        <f ca="1">IFERROR(__xludf.DUMMYFUNCTION("""COMPUTED_VALUE"""),1)</f>
        <v>1</v>
      </c>
      <c r="M14" s="56">
        <f ca="1">IFERROR(__xludf.DUMMYFUNCTION("""COMPUTED_VALUE"""),1)</f>
        <v>1</v>
      </c>
      <c r="N14" s="56">
        <f ca="1">IFERROR(__xludf.DUMMYFUNCTION("""COMPUTED_VALUE"""),0)</f>
        <v>0</v>
      </c>
      <c r="O14" s="56">
        <f ca="1">IFERROR(__xludf.DUMMYFUNCTION("""COMPUTED_VALUE"""),1)</f>
        <v>1</v>
      </c>
      <c r="P14" s="56">
        <f ca="1">IFERROR(__xludf.DUMMYFUNCTION("""COMPUTED_VALUE"""),0.769)</f>
        <v>0.76900000000000002</v>
      </c>
      <c r="Q14" s="56">
        <f ca="1">IFERROR(__xludf.DUMMYFUNCTION("""COMPUTED_VALUE"""),0)</f>
        <v>0</v>
      </c>
      <c r="R14" s="56" t="str">
        <f ca="1">IFERROR(__xludf.DUMMYFUNCTION("""COMPUTED_VALUE"""),"Female")</f>
        <v>Female</v>
      </c>
      <c r="S14" t="str">
        <f ca="1">IFERROR(__xludf.DUMMYFUNCTION("""COMPUTED_VALUE"""),"-0.02414654455")</f>
        <v>-0.02414654455</v>
      </c>
    </row>
    <row r="15" spans="1:26" ht="15.75" customHeight="1">
      <c r="A15" s="56">
        <f ca="1">IFERROR(__xludf.DUMMYFUNCTION("""COMPUTED_VALUE"""),14)</f>
        <v>14</v>
      </c>
      <c r="B15" s="56" t="str">
        <f ca="1">IFERROR(__xludf.DUMMYFUNCTION("""COMPUTED_VALUE"""),"Ganiban, Barnett &amp; Cicchetti (2000)")</f>
        <v>Ganiban, Barnett &amp; Cicchetti (2000)</v>
      </c>
      <c r="C15" s="56">
        <f ca="1">IFERROR(__xludf.DUMMYFUNCTION("""COMPUTED_VALUE"""),1)</f>
        <v>1</v>
      </c>
      <c r="D15" s="56" t="str">
        <f ca="1">IFERROR(__xludf.DUMMYFUNCTION("""COMPUTED_VALUE"""),"Single sample")</f>
        <v>Single sample</v>
      </c>
      <c r="E15" s="56" t="str">
        <f ca="1">IFERROR(__xludf.DUMMYFUNCTION("""COMPUTED_VALUE"""),"Infancy - Toddlerhood")</f>
        <v>Infancy - Toddlerhood</v>
      </c>
      <c r="F15" s="56" t="str">
        <f ca="1">IFERROR(__xludf.DUMMYFUNCTION("""COMPUTED_VALUE"""),"30")</f>
        <v>30</v>
      </c>
      <c r="G15" s="56" t="str">
        <f ca="1">IFERROR(__xludf.DUMMYFUNCTION("""COMPUTED_VALUE"""),"-0.01719797901")</f>
        <v>-0.01719797901</v>
      </c>
      <c r="H15" s="56" t="str">
        <f ca="1">IFERROR(__xludf.DUMMYFUNCTION("""COMPUTED_VALUE"""),"0.6")</f>
        <v>0.6</v>
      </c>
      <c r="I15" s="56">
        <f ca="1">IFERROR(__xludf.DUMMYFUNCTION("""COMPUTED_VALUE"""),2000)</f>
        <v>2000</v>
      </c>
      <c r="J15" s="56" t="str">
        <f ca="1">IFERROR(__xludf.DUMMYFUNCTION("""COMPUTED_VALUE"""),"USA")</f>
        <v>USA</v>
      </c>
      <c r="K15" s="56" t="str">
        <f ca="1">IFERROR(__xludf.DUMMYFUNCTION("""COMPUTED_VALUE"""),"Ainsworth/Ainsworth")</f>
        <v>Ainsworth/Ainsworth</v>
      </c>
      <c r="L15" s="56">
        <f ca="1">IFERROR(__xludf.DUMMYFUNCTION("""COMPUTED_VALUE"""),1)</f>
        <v>1</v>
      </c>
      <c r="M15" s="56">
        <f ca="1">IFERROR(__xludf.DUMMYFUNCTION("""COMPUTED_VALUE"""),0)</f>
        <v>0</v>
      </c>
      <c r="N15" s="56">
        <f ca="1">IFERROR(__xludf.DUMMYFUNCTION("""COMPUTED_VALUE"""),1)</f>
        <v>1</v>
      </c>
      <c r="O15" s="56">
        <f ca="1">IFERROR(__xludf.DUMMYFUNCTION("""COMPUTED_VALUE"""),1)</f>
        <v>1</v>
      </c>
      <c r="P15" s="56">
        <f ca="1">IFERROR(__xludf.DUMMYFUNCTION("""COMPUTED_VALUE"""),1)</f>
        <v>1</v>
      </c>
      <c r="Q15" s="56">
        <f ca="1">IFERROR(__xludf.DUMMYFUNCTION("""COMPUTED_VALUE"""),0)</f>
        <v>0</v>
      </c>
      <c r="R15" s="56" t="str">
        <f ca="1">IFERROR(__xludf.DUMMYFUNCTION("""COMPUTED_VALUE"""),"Female")</f>
        <v>Female</v>
      </c>
      <c r="S15" t="str">
        <f ca="1">IFERROR(__xludf.DUMMYFUNCTION("""COMPUTED_VALUE"""),"-0.01694915254")</f>
        <v>-0.01694915254</v>
      </c>
    </row>
    <row r="16" spans="1:26" ht="15.75" customHeight="1">
      <c r="A16" s="56">
        <f ca="1">IFERROR(__xludf.DUMMYFUNCTION("""COMPUTED_VALUE"""),21)</f>
        <v>21</v>
      </c>
      <c r="B16" s="56" t="str">
        <f ca="1">IFERROR(__xludf.DUMMYFUNCTION("""COMPUTED_VALUE"""),"Levendosky et al. (2011)")</f>
        <v>Levendosky et al. (2011)</v>
      </c>
      <c r="C16" s="56">
        <f ca="1">IFERROR(__xludf.DUMMYFUNCTION("""COMPUTED_VALUE"""),1)</f>
        <v>1</v>
      </c>
      <c r="D16" s="56" t="str">
        <f ca="1">IFERROR(__xludf.DUMMYFUNCTION("""COMPUTED_VALUE"""),"Domestic violence dyads")</f>
        <v>Domestic violence dyads</v>
      </c>
      <c r="E16" s="56" t="str">
        <f ca="1">IFERROR(__xludf.DUMMYFUNCTION("""COMPUTED_VALUE"""),"Infancy - Preschool")</f>
        <v>Infancy - Preschool</v>
      </c>
      <c r="F16" s="56" t="str">
        <f ca="1">IFERROR(__xludf.DUMMYFUNCTION("""COMPUTED_VALUE"""),"150")</f>
        <v>150</v>
      </c>
      <c r="G16" s="56" t="str">
        <f ca="1">IFERROR(__xludf.DUMMYFUNCTION("""COMPUTED_VALUE"""),"0.04730292085")</f>
        <v>0.04730292085</v>
      </c>
      <c r="H16" s="56" t="str">
        <f ca="1">IFERROR(__xludf.DUMMYFUNCTION("""COMPUTED_VALUE"""),"0.7933333333")</f>
        <v>0.7933333333</v>
      </c>
      <c r="I16" s="56">
        <f ca="1">IFERROR(__xludf.DUMMYFUNCTION("""COMPUTED_VALUE"""),2011)</f>
        <v>2011</v>
      </c>
      <c r="J16" s="56" t="str">
        <f ca="1">IFERROR(__xludf.DUMMYFUNCTION("""COMPUTED_VALUE"""),"USA")</f>
        <v>USA</v>
      </c>
      <c r="K16" s="56" t="str">
        <f ca="1">IFERROR(__xludf.DUMMYFUNCTION("""COMPUTED_VALUE"""),"Ainsworth/Cassidy-Marvin")</f>
        <v>Ainsworth/Cassidy-Marvin</v>
      </c>
      <c r="L16" s="56">
        <f ca="1">IFERROR(__xludf.DUMMYFUNCTION("""COMPUTED_VALUE"""),1)</f>
        <v>1</v>
      </c>
      <c r="M16" s="56">
        <f ca="1">IFERROR(__xludf.DUMMYFUNCTION("""COMPUTED_VALUE"""),1)</f>
        <v>1</v>
      </c>
      <c r="N16" s="56">
        <f ca="1">IFERROR(__xludf.DUMMYFUNCTION("""COMPUTED_VALUE"""),0)</f>
        <v>0</v>
      </c>
      <c r="O16" s="56">
        <f ca="1">IFERROR(__xludf.DUMMYFUNCTION("""COMPUTED_VALUE"""),1)</f>
        <v>1</v>
      </c>
      <c r="P16" s="56">
        <f ca="1">IFERROR(__xludf.DUMMYFUNCTION("""COMPUTED_VALUE"""),0.83)</f>
        <v>0.83</v>
      </c>
      <c r="Q16" s="56">
        <f ca="1">IFERROR(__xludf.DUMMYFUNCTION("""COMPUTED_VALUE"""),0)</f>
        <v>0</v>
      </c>
      <c r="R16" s="56" t="str">
        <f ca="1">IFERROR(__xludf.DUMMYFUNCTION("""COMPUTED_VALUE"""),"Female")</f>
        <v>Female</v>
      </c>
      <c r="S16" t="str">
        <f ca="1">IFERROR(__xludf.DUMMYFUNCTION("""COMPUTED_VALUE"""),"0.0467404674")</f>
        <v>0.0467404674</v>
      </c>
    </row>
    <row r="17" spans="1:19" ht="15.75" customHeight="1">
      <c r="A17" s="56">
        <f ca="1">IFERROR(__xludf.DUMMYFUNCTION("""COMPUTED_VALUE"""),23)</f>
        <v>23</v>
      </c>
      <c r="B17" s="56" t="str">
        <f ca="1">IFERROR(__xludf.DUMMYFUNCTION("""COMPUTED_VALUE"""),"Main &amp; Cassidy (1988)")</f>
        <v>Main &amp; Cassidy (1988)</v>
      </c>
      <c r="C17" s="56">
        <f ca="1">IFERROR(__xludf.DUMMYFUNCTION("""COMPUTED_VALUE"""),1)</f>
        <v>1</v>
      </c>
      <c r="D17" s="56" t="str">
        <f ca="1">IFERROR(__xludf.DUMMYFUNCTION("""COMPUTED_VALUE"""),"Mother-child")</f>
        <v>Mother-child</v>
      </c>
      <c r="E17" s="56" t="str">
        <f ca="1">IFERROR(__xludf.DUMMYFUNCTION("""COMPUTED_VALUE"""),"Infancy - Preschool")</f>
        <v>Infancy - Preschool</v>
      </c>
      <c r="F17" s="56" t="str">
        <f ca="1">IFERROR(__xludf.DUMMYFUNCTION("""COMPUTED_VALUE"""),"32")</f>
        <v>32</v>
      </c>
      <c r="G17" s="56" t="str">
        <f ca="1">IFERROR(__xludf.DUMMYFUNCTION("""COMPUTED_VALUE"""),"0.731126155")</f>
        <v>0.731126155</v>
      </c>
      <c r="H17" s="56" t="str">
        <f ca="1">IFERROR(__xludf.DUMMYFUNCTION("""COMPUTED_VALUE"""),"0.875")</f>
        <v>0.875</v>
      </c>
      <c r="I17" s="56">
        <f ca="1">IFERROR(__xludf.DUMMYFUNCTION("""COMPUTED_VALUE"""),1988)</f>
        <v>1988</v>
      </c>
      <c r="J17" s="56" t="str">
        <f ca="1">IFERROR(__xludf.DUMMYFUNCTION("""COMPUTED_VALUE"""),"USA")</f>
        <v>USA</v>
      </c>
      <c r="K17" s="56" t="str">
        <f ca="1">IFERROR(__xludf.DUMMYFUNCTION("""COMPUTED_VALUE"""),"Ainsworth/Main-Cassidy")</f>
        <v>Ainsworth/Main-Cassidy</v>
      </c>
      <c r="L17" s="56">
        <f ca="1">IFERROR(__xludf.DUMMYFUNCTION("""COMPUTED_VALUE"""),1)</f>
        <v>1</v>
      </c>
      <c r="M17" s="56">
        <f ca="1">IFERROR(__xludf.DUMMYFUNCTION("""COMPUTED_VALUE"""),0)</f>
        <v>0</v>
      </c>
      <c r="N17" s="56">
        <f ca="1">IFERROR(__xludf.DUMMYFUNCTION("""COMPUTED_VALUE"""),0)</f>
        <v>0</v>
      </c>
      <c r="O17" s="56">
        <f ca="1">IFERROR(__xludf.DUMMYFUNCTION("""COMPUTED_VALUE"""),1)</f>
        <v>1</v>
      </c>
      <c r="P17" s="56">
        <f ca="1">IFERROR(__xludf.DUMMYFUNCTION("""COMPUTED_VALUE"""),0.83)</f>
        <v>0.83</v>
      </c>
      <c r="Q17" s="56">
        <f ca="1">IFERROR(__xludf.DUMMYFUNCTION("""COMPUTED_VALUE"""),1)</f>
        <v>1</v>
      </c>
      <c r="R17" s="56" t="str">
        <f ca="1">IFERROR(__xludf.DUMMYFUNCTION("""COMPUTED_VALUE"""),"Female")</f>
        <v>Female</v>
      </c>
      <c r="S17" t="str">
        <f ca="1">IFERROR(__xludf.DUMMYFUNCTION("""COMPUTED_VALUE"""),"0.724137931")</f>
        <v>0.724137931</v>
      </c>
    </row>
    <row r="18" spans="1:19" ht="15.75" customHeight="1">
      <c r="A18" s="56">
        <f ca="1">IFERROR(__xludf.DUMMYFUNCTION("""COMPUTED_VALUE"""),23)</f>
        <v>23</v>
      </c>
      <c r="B18" s="56" t="str">
        <f ca="1">IFERROR(__xludf.DUMMYFUNCTION("""COMPUTED_VALUE"""),"Main &amp; Cassidy (1988)")</f>
        <v>Main &amp; Cassidy (1988)</v>
      </c>
      <c r="C18" s="56">
        <f ca="1">IFERROR(__xludf.DUMMYFUNCTION("""COMPUTED_VALUE"""),2)</f>
        <v>2</v>
      </c>
      <c r="D18" s="56" t="str">
        <f ca="1">IFERROR(__xludf.DUMMYFUNCTION("""COMPUTED_VALUE"""),"Father-child")</f>
        <v>Father-child</v>
      </c>
      <c r="E18" s="56" t="str">
        <f ca="1">IFERROR(__xludf.DUMMYFUNCTION("""COMPUTED_VALUE"""),"Infancy - Preschool")</f>
        <v>Infancy - Preschool</v>
      </c>
      <c r="F18" s="56" t="str">
        <f ca="1">IFERROR(__xludf.DUMMYFUNCTION("""COMPUTED_VALUE"""),"33")</f>
        <v>33</v>
      </c>
      <c r="G18" s="56" t="str">
        <f ca="1">IFERROR(__xludf.DUMMYFUNCTION("""COMPUTED_VALUE"""),"0.2468698047")</f>
        <v>0.2468698047</v>
      </c>
      <c r="H18" s="56" t="str">
        <f ca="1">IFERROR(__xludf.DUMMYFUNCTION("""COMPUTED_VALUE"""),"0.8484848485")</f>
        <v>0.8484848485</v>
      </c>
      <c r="I18" s="56">
        <f ca="1">IFERROR(__xludf.DUMMYFUNCTION("""COMPUTED_VALUE"""),1988)</f>
        <v>1988</v>
      </c>
      <c r="J18" s="56" t="str">
        <f ca="1">IFERROR(__xludf.DUMMYFUNCTION("""COMPUTED_VALUE"""),"USA")</f>
        <v>USA</v>
      </c>
      <c r="K18" s="56" t="str">
        <f ca="1">IFERROR(__xludf.DUMMYFUNCTION("""COMPUTED_VALUE"""),"Ainsworth/Main-Cassidy")</f>
        <v>Ainsworth/Main-Cassidy</v>
      </c>
      <c r="L18" s="56">
        <f ca="1">IFERROR(__xludf.DUMMYFUNCTION("""COMPUTED_VALUE"""),1)</f>
        <v>1</v>
      </c>
      <c r="M18" s="56">
        <f ca="1">IFERROR(__xludf.DUMMYFUNCTION("""COMPUTED_VALUE"""),0)</f>
        <v>0</v>
      </c>
      <c r="N18" s="56">
        <f ca="1">IFERROR(__xludf.DUMMYFUNCTION("""COMPUTED_VALUE"""),0)</f>
        <v>0</v>
      </c>
      <c r="O18" s="56">
        <f ca="1">IFERROR(__xludf.DUMMYFUNCTION("""COMPUTED_VALUE"""),1)</f>
        <v>1</v>
      </c>
      <c r="P18" s="56">
        <f ca="1">IFERROR(__xludf.DUMMYFUNCTION("""COMPUTED_VALUE"""),0.77)</f>
        <v>0.77</v>
      </c>
      <c r="Q18" s="56">
        <f ca="1">IFERROR(__xludf.DUMMYFUNCTION("""COMPUTED_VALUE"""),1)</f>
        <v>1</v>
      </c>
      <c r="R18" s="56" t="str">
        <f ca="1">IFERROR(__xludf.DUMMYFUNCTION("""COMPUTED_VALUE"""),"Male")</f>
        <v>Male</v>
      </c>
      <c r="S18" t="str">
        <f ca="1">IFERROR(__xludf.DUMMYFUNCTION("""COMPUTED_VALUE"""),"0.2180094787")</f>
        <v>0.2180094787</v>
      </c>
    </row>
    <row r="19" spans="1:19" ht="15.75" customHeight="1">
      <c r="A19" s="56">
        <f ca="1">IFERROR(__xludf.DUMMYFUNCTION("""COMPUTED_VALUE"""),27)</f>
        <v>27</v>
      </c>
      <c r="B19" s="56" t="str">
        <f ca="1">IFERROR(__xludf.DUMMYFUNCTION("""COMPUTED_VALUE"""),"Milentijevic, Altman &amp; Ward (1995)")</f>
        <v>Milentijevic, Altman &amp; Ward (1995)</v>
      </c>
      <c r="C19" s="56">
        <f ca="1">IFERROR(__xludf.DUMMYFUNCTION("""COMPUTED_VALUE"""),1)</f>
        <v>1</v>
      </c>
      <c r="D19" s="56" t="str">
        <f ca="1">IFERROR(__xludf.DUMMYFUNCTION("""COMPUTED_VALUE"""),"Single sample")</f>
        <v>Single sample</v>
      </c>
      <c r="E19" s="56" t="str">
        <f ca="1">IFERROR(__xludf.DUMMYFUNCTION("""COMPUTED_VALUE"""),"Infancy - Preschool")</f>
        <v>Infancy - Preschool</v>
      </c>
      <c r="F19" s="56" t="str">
        <f ca="1">IFERROR(__xludf.DUMMYFUNCTION("""COMPUTED_VALUE"""),"86")</f>
        <v>86</v>
      </c>
      <c r="G19" s="56" t="str">
        <f ca="1">IFERROR(__xludf.DUMMYFUNCTION("""COMPUTED_VALUE"""),"0.16485939")</f>
        <v>0.16485939</v>
      </c>
      <c r="H19" s="56" t="str">
        <f ca="1">IFERROR(__xludf.DUMMYFUNCTION("""COMPUTED_VALUE"""),"0.6860465116")</f>
        <v>0.6860465116</v>
      </c>
      <c r="I19" s="56">
        <f ca="1">IFERROR(__xludf.DUMMYFUNCTION("""COMPUTED_VALUE"""),1995)</f>
        <v>1995</v>
      </c>
      <c r="J19" s="56" t="str">
        <f ca="1">IFERROR(__xludf.DUMMYFUNCTION("""COMPUTED_VALUE"""),"USA")</f>
        <v>USA</v>
      </c>
      <c r="K19" s="56" t="str">
        <f ca="1">IFERROR(__xludf.DUMMYFUNCTION("""COMPUTED_VALUE"""),"Ainsworth/Cassidy-Marvin")</f>
        <v>Ainsworth/Cassidy-Marvin</v>
      </c>
      <c r="L19" s="56">
        <f ca="1">IFERROR(__xludf.DUMMYFUNCTION("""COMPUTED_VALUE"""),0)</f>
        <v>0</v>
      </c>
      <c r="M19" s="56">
        <f ca="1">IFERROR(__xludf.DUMMYFUNCTION("""COMPUTED_VALUE"""),1)</f>
        <v>1</v>
      </c>
      <c r="N19" s="56">
        <f ca="1">IFERROR(__xludf.DUMMYFUNCTION("""COMPUTED_VALUE"""),0)</f>
        <v>0</v>
      </c>
      <c r="O19" s="56">
        <f ca="1">IFERROR(__xludf.DUMMYFUNCTION("""COMPUTED_VALUE"""),0)</f>
        <v>0</v>
      </c>
      <c r="P19" s="56">
        <f ca="1">IFERROR(__xludf.DUMMYFUNCTION("""COMPUTED_VALUE"""),0.8)</f>
        <v>0.8</v>
      </c>
      <c r="Q19" s="56">
        <f ca="1">IFERROR(__xludf.DUMMYFUNCTION("""COMPUTED_VALUE"""),1)</f>
        <v>1</v>
      </c>
      <c r="R19" s="56" t="str">
        <f ca="1">IFERROR(__xludf.DUMMYFUNCTION("""COMPUTED_VALUE"""),"Female")</f>
        <v>Female</v>
      </c>
      <c r="S19" t="str">
        <f ca="1">IFERROR(__xludf.DUMMYFUNCTION("""COMPUTED_VALUE"""),"0.1641468683")</f>
        <v>0.1641468683</v>
      </c>
    </row>
    <row r="20" spans="1:19" ht="15.75" customHeight="1">
      <c r="A20" s="56">
        <f ca="1">IFERROR(__xludf.DUMMYFUNCTION("""COMPUTED_VALUE"""),28)</f>
        <v>28</v>
      </c>
      <c r="B20" s="56" t="str">
        <f ca="1">IFERROR(__xludf.DUMMYFUNCTION("""COMPUTED_VALUE"""),"Moss et al. (2005)")</f>
        <v>Moss et al. (2005)</v>
      </c>
      <c r="C20" s="56">
        <f ca="1">IFERROR(__xludf.DUMMYFUNCTION("""COMPUTED_VALUE"""),1)</f>
        <v>1</v>
      </c>
      <c r="D20" s="56" t="str">
        <f ca="1">IFERROR(__xludf.DUMMYFUNCTION("""COMPUTED_VALUE"""),"Single sample")</f>
        <v>Single sample</v>
      </c>
      <c r="E20" s="56" t="str">
        <f ca="1">IFERROR(__xludf.DUMMYFUNCTION("""COMPUTED_VALUE"""),"Preschool - Preschool")</f>
        <v>Preschool - Preschool</v>
      </c>
      <c r="F20" s="56" t="str">
        <f ca="1">IFERROR(__xludf.DUMMYFUNCTION("""COMPUTED_VALUE"""),"120")</f>
        <v>120</v>
      </c>
      <c r="G20" s="56" t="str">
        <f ca="1">IFERROR(__xludf.DUMMYFUNCTION("""COMPUTED_VALUE"""),"0.5114597251")</f>
        <v>0.5114597251</v>
      </c>
      <c r="H20" s="56" t="str">
        <f ca="1">IFERROR(__xludf.DUMMYFUNCTION("""COMPUTED_VALUE"""),"0.8666666667")</f>
        <v>0.8666666667</v>
      </c>
      <c r="I20" s="56">
        <f ca="1">IFERROR(__xludf.DUMMYFUNCTION("""COMPUTED_VALUE"""),2005)</f>
        <v>2005</v>
      </c>
      <c r="J20" s="56" t="str">
        <f ca="1">IFERROR(__xludf.DUMMYFUNCTION("""COMPUTED_VALUE"""),"Non-USA")</f>
        <v>Non-USA</v>
      </c>
      <c r="K20" s="56" t="str">
        <f ca="1">IFERROR(__xludf.DUMMYFUNCTION("""COMPUTED_VALUE"""),"Cassidy-Marvin/Main-Cassidy")</f>
        <v>Cassidy-Marvin/Main-Cassidy</v>
      </c>
      <c r="L20" s="56">
        <f ca="1">IFERROR(__xludf.DUMMYFUNCTION("""COMPUTED_VALUE"""),1)</f>
        <v>1</v>
      </c>
      <c r="M20" s="56">
        <f ca="1">IFERROR(__xludf.DUMMYFUNCTION("""COMPUTED_VALUE"""),0)</f>
        <v>0</v>
      </c>
      <c r="N20" s="56">
        <f ca="1">IFERROR(__xludf.DUMMYFUNCTION("""COMPUTED_VALUE"""),0)</f>
        <v>0</v>
      </c>
      <c r="O20" s="56">
        <f ca="1">IFERROR(__xludf.DUMMYFUNCTION("""COMPUTED_VALUE"""),1)</f>
        <v>1</v>
      </c>
      <c r="P20" s="56">
        <f ca="1">IFERROR(__xludf.DUMMYFUNCTION("""COMPUTED_VALUE"""),0.895)</f>
        <v>0.89500000000000002</v>
      </c>
      <c r="Q20" s="56">
        <f ca="1">IFERROR(__xludf.DUMMYFUNCTION("""COMPUTED_VALUE"""),0)</f>
        <v>0</v>
      </c>
      <c r="R20" s="56" t="str">
        <f ca="1">IFERROR(__xludf.DUMMYFUNCTION("""COMPUTED_VALUE"""),"Female")</f>
        <v>Female</v>
      </c>
      <c r="S20" t="str">
        <f ca="1">IFERROR(__xludf.DUMMYFUNCTION("""COMPUTED_VALUE"""),"0.4841483074")</f>
        <v>0.4841483074</v>
      </c>
    </row>
    <row r="21" spans="1:19" ht="15.75" customHeight="1">
      <c r="A21" s="56">
        <f ca="1">IFERROR(__xludf.DUMMYFUNCTION("""COMPUTED_VALUE"""),29)</f>
        <v>29</v>
      </c>
      <c r="B21" s="56" t="str">
        <f ca="1">IFERROR(__xludf.DUMMYFUNCTION("""COMPUTED_VALUE"""),"NICHD (2001)")</f>
        <v>NICHD (2001)</v>
      </c>
      <c r="C21" s="56">
        <f ca="1">IFERROR(__xludf.DUMMYFUNCTION("""COMPUTED_VALUE"""),1)</f>
        <v>1</v>
      </c>
      <c r="D21" s="56" t="str">
        <f ca="1">IFERROR(__xludf.DUMMYFUNCTION("""COMPUTED_VALUE"""),"Single sample")</f>
        <v>Single sample</v>
      </c>
      <c r="E21" s="56" t="str">
        <f ca="1">IFERROR(__xludf.DUMMYFUNCTION("""COMPUTED_VALUE"""),"Infancy - Toddlerhood")</f>
        <v>Infancy - Toddlerhood</v>
      </c>
      <c r="F21" s="56" t="str">
        <f ca="1">IFERROR(__xludf.DUMMYFUNCTION("""COMPUTED_VALUE"""),"1,060")</f>
        <v>1,060</v>
      </c>
      <c r="G21" s="56" t="str">
        <f ca="1">IFERROR(__xludf.DUMMYFUNCTION("""COMPUTED_VALUE"""),"0.0500332833")</f>
        <v>0.0500332833</v>
      </c>
      <c r="H21" s="56" t="str">
        <f ca="1">IFERROR(__xludf.DUMMYFUNCTION("""COMPUTED_VALUE"""),"0.7490566038")</f>
        <v>0.7490566038</v>
      </c>
      <c r="I21" s="56">
        <f ca="1">IFERROR(__xludf.DUMMYFUNCTION("""COMPUTED_VALUE"""),2001)</f>
        <v>2001</v>
      </c>
      <c r="J21" s="56" t="str">
        <f ca="1">IFERROR(__xludf.DUMMYFUNCTION("""COMPUTED_VALUE"""),"USA")</f>
        <v>USA</v>
      </c>
      <c r="K21" s="56" t="str">
        <f ca="1">IFERROR(__xludf.DUMMYFUNCTION("""COMPUTED_VALUE"""),"Ainsworth/Cassidy-Marvin")</f>
        <v>Ainsworth/Cassidy-Marvin</v>
      </c>
      <c r="L21" s="56">
        <f ca="1">IFERROR(__xludf.DUMMYFUNCTION("""COMPUTED_VALUE"""),1)</f>
        <v>1</v>
      </c>
      <c r="M21" s="56">
        <f ca="1">IFERROR(__xludf.DUMMYFUNCTION("""COMPUTED_VALUE"""),0)</f>
        <v>0</v>
      </c>
      <c r="N21" s="56">
        <f ca="1">IFERROR(__xludf.DUMMYFUNCTION("""COMPUTED_VALUE"""),0)</f>
        <v>0</v>
      </c>
      <c r="O21" s="56">
        <f ca="1">IFERROR(__xludf.DUMMYFUNCTION("""COMPUTED_VALUE"""),1)</f>
        <v>1</v>
      </c>
      <c r="P21" s="56">
        <f ca="1">IFERROR(__xludf.DUMMYFUNCTION("""COMPUTED_VALUE"""),0.7885)</f>
        <v>0.78849999999999998</v>
      </c>
      <c r="Q21" s="56">
        <f ca="1">IFERROR(__xludf.DUMMYFUNCTION("""COMPUTED_VALUE"""),0)</f>
        <v>0</v>
      </c>
      <c r="R21" s="56" t="str">
        <f ca="1">IFERROR(__xludf.DUMMYFUNCTION("""COMPUTED_VALUE"""),"Female")</f>
        <v>Female</v>
      </c>
      <c r="S21" t="str">
        <f ca="1">IFERROR(__xludf.DUMMYFUNCTION("""COMPUTED_VALUE"""),"0.05003200701")</f>
        <v>0.05003200701</v>
      </c>
    </row>
    <row r="22" spans="1:19" ht="15.75" customHeight="1">
      <c r="A22" s="56">
        <f ca="1">IFERROR(__xludf.DUMMYFUNCTION("""COMPUTED_VALUE"""),30)</f>
        <v>30</v>
      </c>
      <c r="B22" s="56" t="str">
        <f ca="1">IFERROR(__xludf.DUMMYFUNCTION("""COMPUTED_VALUE"""),"Rauh et al. (2000)")</f>
        <v>Rauh et al. (2000)</v>
      </c>
      <c r="C22" s="56">
        <f ca="1">IFERROR(__xludf.DUMMYFUNCTION("""COMPUTED_VALUE"""),1)</f>
        <v>1</v>
      </c>
      <c r="D22" s="56" t="str">
        <f ca="1">IFERROR(__xludf.DUMMYFUNCTION("""COMPUTED_VALUE"""),"Ainsworth-Ainsworth")</f>
        <v>Ainsworth-Ainsworth</v>
      </c>
      <c r="E22" s="56" t="str">
        <f ca="1">IFERROR(__xludf.DUMMYFUNCTION("""COMPUTED_VALUE"""),"Infancy - Toddlerhood")</f>
        <v>Infancy - Toddlerhood</v>
      </c>
      <c r="F22" s="56" t="str">
        <f ca="1">IFERROR(__xludf.DUMMYFUNCTION("""COMPUTED_VALUE"""),"75")</f>
        <v>75</v>
      </c>
      <c r="G22" s="56" t="str">
        <f ca="1">IFERROR(__xludf.DUMMYFUNCTION("""COMPUTED_VALUE"""),"-0.05455447256")</f>
        <v>-0.05455447256</v>
      </c>
      <c r="H22" s="56" t="str">
        <f ca="1">IFERROR(__xludf.DUMMYFUNCTION("""COMPUTED_VALUE"""),"0.8933333333")</f>
        <v>0.8933333333</v>
      </c>
      <c r="I22" s="56">
        <f ca="1">IFERROR(__xludf.DUMMYFUNCTION("""COMPUTED_VALUE"""),2000)</f>
        <v>2000</v>
      </c>
      <c r="J22" s="56" t="str">
        <f ca="1">IFERROR(__xludf.DUMMYFUNCTION("""COMPUTED_VALUE"""),"Non-USA")</f>
        <v>Non-USA</v>
      </c>
      <c r="K22" s="56" t="str">
        <f ca="1">IFERROR(__xludf.DUMMYFUNCTION("""COMPUTED_VALUE"""),"Ainsworth/Ainsworth")</f>
        <v>Ainsworth/Ainsworth</v>
      </c>
      <c r="L22" s="56">
        <f ca="1">IFERROR(__xludf.DUMMYFUNCTION("""COMPUTED_VALUE"""),1)</f>
        <v>1</v>
      </c>
      <c r="M22" s="56">
        <f ca="1">IFERROR(__xludf.DUMMYFUNCTION("""COMPUTED_VALUE"""),0)</f>
        <v>0</v>
      </c>
      <c r="N22" s="56">
        <f ca="1">IFERROR(__xludf.DUMMYFUNCTION("""COMPUTED_VALUE"""),0)</f>
        <v>0</v>
      </c>
      <c r="O22" s="56">
        <f ca="1">IFERROR(__xludf.DUMMYFUNCTION("""COMPUTED_VALUE"""),1)</f>
        <v>1</v>
      </c>
      <c r="P22" s="56">
        <f ca="1">IFERROR(__xludf.DUMMYFUNCTION("""COMPUTED_VALUE"""),0.94)</f>
        <v>0.94</v>
      </c>
      <c r="Q22" s="56">
        <f ca="1">IFERROR(__xludf.DUMMYFUNCTION("""COMPUTED_VALUE"""),1)</f>
        <v>1</v>
      </c>
      <c r="R22" s="56" t="str">
        <f ca="1">IFERROR(__xludf.DUMMYFUNCTION("""COMPUTED_VALUE"""),"Female")</f>
        <v>Female</v>
      </c>
      <c r="S22" t="str">
        <f ca="1">IFERROR(__xludf.DUMMYFUNCTION("""COMPUTED_VALUE"""),"-0.05263157895")</f>
        <v>-0.05263157895</v>
      </c>
    </row>
    <row r="23" spans="1:19" ht="15.75" customHeight="1">
      <c r="A23" s="56">
        <f ca="1">IFERROR(__xludf.DUMMYFUNCTION("""COMPUTED_VALUE"""),30)</f>
        <v>30</v>
      </c>
      <c r="B23" s="56" t="str">
        <f ca="1">IFERROR(__xludf.DUMMYFUNCTION("""COMPUTED_VALUE"""),"Rauh et al. (2000)")</f>
        <v>Rauh et al. (2000)</v>
      </c>
      <c r="C23" s="56">
        <f ca="1">IFERROR(__xludf.DUMMYFUNCTION("""COMPUTED_VALUE"""),2)</f>
        <v>2</v>
      </c>
      <c r="D23" s="56" t="str">
        <f ca="1">IFERROR(__xludf.DUMMYFUNCTION("""COMPUTED_VALUE"""),"Main-Main")</f>
        <v>Main-Main</v>
      </c>
      <c r="E23" s="56" t="str">
        <f ca="1">IFERROR(__xludf.DUMMYFUNCTION("""COMPUTED_VALUE"""),"Infancy - Toddlerhood")</f>
        <v>Infancy - Toddlerhood</v>
      </c>
      <c r="F23" s="56" t="str">
        <f ca="1">IFERROR(__xludf.DUMMYFUNCTION("""COMPUTED_VALUE"""),"75")</f>
        <v>75</v>
      </c>
      <c r="G23" s="56" t="str">
        <f ca="1">IFERROR(__xludf.DUMMYFUNCTION("""COMPUTED_VALUE"""),"0.3411747262")</f>
        <v>0.3411747262</v>
      </c>
      <c r="H23" s="56" t="str">
        <f ca="1">IFERROR(__xludf.DUMMYFUNCTION("""COMPUTED_VALUE"""),"0.68")</f>
        <v>0.68</v>
      </c>
      <c r="I23" s="56">
        <f ca="1">IFERROR(__xludf.DUMMYFUNCTION("""COMPUTED_VALUE"""),2000)</f>
        <v>2000</v>
      </c>
      <c r="J23" s="56" t="str">
        <f ca="1">IFERROR(__xludf.DUMMYFUNCTION("""COMPUTED_VALUE"""),"Non-USA")</f>
        <v>Non-USA</v>
      </c>
      <c r="K23" s="56" t="str">
        <f ca="1">IFERROR(__xludf.DUMMYFUNCTION("""COMPUTED_VALUE"""),"Main-Cassidy/Main-Cassidy")</f>
        <v>Main-Cassidy/Main-Cassidy</v>
      </c>
      <c r="L23" s="56">
        <f ca="1">IFERROR(__xludf.DUMMYFUNCTION("""COMPUTED_VALUE"""),1)</f>
        <v>1</v>
      </c>
      <c r="M23" s="56">
        <f ca="1">IFERROR(__xludf.DUMMYFUNCTION("""COMPUTED_VALUE"""),0)</f>
        <v>0</v>
      </c>
      <c r="N23" s="56">
        <f ca="1">IFERROR(__xludf.DUMMYFUNCTION("""COMPUTED_VALUE"""),0)</f>
        <v>0</v>
      </c>
      <c r="O23" s="56">
        <f ca="1">IFERROR(__xludf.DUMMYFUNCTION("""COMPUTED_VALUE"""),1)</f>
        <v>1</v>
      </c>
      <c r="P23" s="56">
        <f ca="1">IFERROR(__xludf.DUMMYFUNCTION("""COMPUTED_VALUE"""),0.94)</f>
        <v>0.94</v>
      </c>
      <c r="Q23" s="56">
        <f ca="1">IFERROR(__xludf.DUMMYFUNCTION("""COMPUTED_VALUE"""),0)</f>
        <v>0</v>
      </c>
      <c r="R23" s="56" t="str">
        <f ca="1">IFERROR(__xludf.DUMMYFUNCTION("""COMPUTED_VALUE"""),"Female")</f>
        <v>Female</v>
      </c>
      <c r="S23" t="str">
        <f ca="1">IFERROR(__xludf.DUMMYFUNCTION("""COMPUTED_VALUE"""),"0.3406593407")</f>
        <v>0.3406593407</v>
      </c>
    </row>
    <row r="24" spans="1:19" ht="15.75" customHeight="1">
      <c r="A24" s="56">
        <f ca="1">IFERROR(__xludf.DUMMYFUNCTION("""COMPUTED_VALUE"""),30)</f>
        <v>30</v>
      </c>
      <c r="B24" s="56" t="str">
        <f ca="1">IFERROR(__xludf.DUMMYFUNCTION("""COMPUTED_VALUE"""),"Rauh et al. (2000)")</f>
        <v>Rauh et al. (2000)</v>
      </c>
      <c r="C24" s="56">
        <f ca="1">IFERROR(__xludf.DUMMYFUNCTION("""COMPUTED_VALUE"""),3)</f>
        <v>3</v>
      </c>
      <c r="D24" s="56" t="str">
        <f ca="1">IFERROR(__xludf.DUMMYFUNCTION("""COMPUTED_VALUE"""),"Main-Ainsworth")</f>
        <v>Main-Ainsworth</v>
      </c>
      <c r="E24" s="56" t="str">
        <f ca="1">IFERROR(__xludf.DUMMYFUNCTION("""COMPUTED_VALUE"""),"Infancy - Toddlerhood")</f>
        <v>Infancy - Toddlerhood</v>
      </c>
      <c r="F24" s="56" t="str">
        <f ca="1">IFERROR(__xludf.DUMMYFUNCTION("""COMPUTED_VALUE"""),"75")</f>
        <v>75</v>
      </c>
      <c r="G24" s="56" t="str">
        <f ca="1">IFERROR(__xludf.DUMMYFUNCTION("""COMPUTED_VALUE"""),"-0.02777777778")</f>
        <v>-0.02777777778</v>
      </c>
      <c r="H24" s="56" t="str">
        <f ca="1">IFERROR(__xludf.DUMMYFUNCTION("""COMPUTED_VALUE"""),"0.5866666667")</f>
        <v>0.5866666667</v>
      </c>
      <c r="I24" s="56">
        <f ca="1">IFERROR(__xludf.DUMMYFUNCTION("""COMPUTED_VALUE"""),2000)</f>
        <v>2000</v>
      </c>
      <c r="J24" s="56" t="str">
        <f ca="1">IFERROR(__xludf.DUMMYFUNCTION("""COMPUTED_VALUE"""),"Non-USA")</f>
        <v>Non-USA</v>
      </c>
      <c r="K24" s="56" t="str">
        <f ca="1">IFERROR(__xludf.DUMMYFUNCTION("""COMPUTED_VALUE"""),"Main-Cassidy/Ainsworth")</f>
        <v>Main-Cassidy/Ainsworth</v>
      </c>
      <c r="L24" s="56">
        <f ca="1">IFERROR(__xludf.DUMMYFUNCTION("""COMPUTED_VALUE"""),1)</f>
        <v>1</v>
      </c>
      <c r="M24" s="56">
        <f ca="1">IFERROR(__xludf.DUMMYFUNCTION("""COMPUTED_VALUE"""),0)</f>
        <v>0</v>
      </c>
      <c r="N24" s="56">
        <f ca="1">IFERROR(__xludf.DUMMYFUNCTION("""COMPUTED_VALUE"""),0)</f>
        <v>0</v>
      </c>
      <c r="O24" s="56">
        <f ca="1">IFERROR(__xludf.DUMMYFUNCTION("""COMPUTED_VALUE"""),1)</f>
        <v>1</v>
      </c>
      <c r="P24" s="56">
        <f ca="1">IFERROR(__xludf.DUMMYFUNCTION("""COMPUTED_VALUE"""),0.94)</f>
        <v>0.94</v>
      </c>
      <c r="Q24" s="56">
        <f ca="1">IFERROR(__xludf.DUMMYFUNCTION("""COMPUTED_VALUE"""),0)</f>
        <v>0</v>
      </c>
      <c r="R24" s="56" t="str">
        <f ca="1">IFERROR(__xludf.DUMMYFUNCTION("""COMPUTED_VALUE"""),"Female")</f>
        <v>Female</v>
      </c>
      <c r="S24" t="str">
        <f ca="1">IFERROR(__xludf.DUMMYFUNCTION("""COMPUTED_VALUE"""),"-0.01307189542")</f>
        <v>-0.01307189542</v>
      </c>
    </row>
    <row r="25" spans="1:19" ht="15.75" customHeight="1">
      <c r="A25" s="56">
        <f ca="1">IFERROR(__xludf.DUMMYFUNCTION("""COMPUTED_VALUE"""),30)</f>
        <v>30</v>
      </c>
      <c r="B25" s="56" t="str">
        <f ca="1">IFERROR(__xludf.DUMMYFUNCTION("""COMPUTED_VALUE"""),"Rauh et al. (2000)")</f>
        <v>Rauh et al. (2000)</v>
      </c>
      <c r="C25" s="56">
        <f ca="1">IFERROR(__xludf.DUMMYFUNCTION("""COMPUTED_VALUE"""),4)</f>
        <v>4</v>
      </c>
      <c r="D25" s="56" t="str">
        <f ca="1">IFERROR(__xludf.DUMMYFUNCTION("""COMPUTED_VALUE"""),"Ainsworth-Main")</f>
        <v>Ainsworth-Main</v>
      </c>
      <c r="E25" s="56" t="str">
        <f ca="1">IFERROR(__xludf.DUMMYFUNCTION("""COMPUTED_VALUE"""),"Infancy - Toddlerhood")</f>
        <v>Infancy - Toddlerhood</v>
      </c>
      <c r="F25" s="56" t="str">
        <f ca="1">IFERROR(__xludf.DUMMYFUNCTION("""COMPUTED_VALUE"""),"75")</f>
        <v>75</v>
      </c>
      <c r="G25" s="56" t="str">
        <f ca="1">IFERROR(__xludf.DUMMYFUNCTION("""COMPUTED_VALUE"""),"0.09366344288")</f>
        <v>0.09366344288</v>
      </c>
      <c r="H25" s="56" t="str">
        <f ca="1">IFERROR(__xludf.DUMMYFUNCTION("""COMPUTED_VALUE"""),"0.5866666667")</f>
        <v>0.5866666667</v>
      </c>
      <c r="I25" s="56">
        <f ca="1">IFERROR(__xludf.DUMMYFUNCTION("""COMPUTED_VALUE"""),2000)</f>
        <v>2000</v>
      </c>
      <c r="J25" s="56" t="str">
        <f ca="1">IFERROR(__xludf.DUMMYFUNCTION("""COMPUTED_VALUE"""),"Non-USA")</f>
        <v>Non-USA</v>
      </c>
      <c r="K25" s="56" t="str">
        <f ca="1">IFERROR(__xludf.DUMMYFUNCTION("""COMPUTED_VALUE"""),"Ainsworth/Main-Cassidy")</f>
        <v>Ainsworth/Main-Cassidy</v>
      </c>
      <c r="L25" s="56">
        <f ca="1">IFERROR(__xludf.DUMMYFUNCTION("""COMPUTED_VALUE"""),1)</f>
        <v>1</v>
      </c>
      <c r="M25" s="56">
        <f ca="1">IFERROR(__xludf.DUMMYFUNCTION("""COMPUTED_VALUE"""),0)</f>
        <v>0</v>
      </c>
      <c r="N25" s="56">
        <f ca="1">IFERROR(__xludf.DUMMYFUNCTION("""COMPUTED_VALUE"""),0)</f>
        <v>0</v>
      </c>
      <c r="O25" s="56">
        <f ca="1">IFERROR(__xludf.DUMMYFUNCTION("""COMPUTED_VALUE"""),1)</f>
        <v>1</v>
      </c>
      <c r="P25" s="56">
        <f ca="1">IFERROR(__xludf.DUMMYFUNCTION("""COMPUTED_VALUE"""),0.94)</f>
        <v>0.94</v>
      </c>
      <c r="Q25" s="56">
        <f ca="1">IFERROR(__xludf.DUMMYFUNCTION("""COMPUTED_VALUE"""),0)</f>
        <v>0</v>
      </c>
      <c r="R25" s="56" t="str">
        <f ca="1">IFERROR(__xludf.DUMMYFUNCTION("""COMPUTED_VALUE"""),"Female")</f>
        <v>Female</v>
      </c>
      <c r="S25" t="str">
        <f ca="1">IFERROR(__xludf.DUMMYFUNCTION("""COMPUTED_VALUE"""),"0.05295315682")</f>
        <v>0.05295315682</v>
      </c>
    </row>
    <row r="26" spans="1:19" ht="15.75" customHeight="1">
      <c r="A26" s="56">
        <f ca="1">IFERROR(__xludf.DUMMYFUNCTION("""COMPUTED_VALUE"""),30)</f>
        <v>30</v>
      </c>
      <c r="B26" s="56" t="str">
        <f ca="1">IFERROR(__xludf.DUMMYFUNCTION("""COMPUTED_VALUE"""),"Rauh et al. (2000)")</f>
        <v>Rauh et al. (2000)</v>
      </c>
      <c r="C26" s="56">
        <f ca="1">IFERROR(__xludf.DUMMYFUNCTION("""COMPUTED_VALUE"""),5)</f>
        <v>5</v>
      </c>
      <c r="D26" s="56" t="str">
        <f ca="1">IFERROR(__xludf.DUMMYFUNCTION("""COMPUTED_VALUE"""),"Main-Crittenden")</f>
        <v>Main-Crittenden</v>
      </c>
      <c r="E26" s="56" t="str">
        <f ca="1">IFERROR(__xludf.DUMMYFUNCTION("""COMPUTED_VALUE"""),"Infancy - Toddlerhood")</f>
        <v>Infancy - Toddlerhood</v>
      </c>
      <c r="F26" s="56" t="str">
        <f ca="1">IFERROR(__xludf.DUMMYFUNCTION("""COMPUTED_VALUE"""),"75")</f>
        <v>75</v>
      </c>
      <c r="G26" s="56" t="str">
        <f ca="1">IFERROR(__xludf.DUMMYFUNCTION("""COMPUTED_VALUE"""),"-0.05025189076")</f>
        <v>-0.05025189076</v>
      </c>
      <c r="H26" s="56" t="str">
        <f ca="1">IFERROR(__xludf.DUMMYFUNCTION("""COMPUTED_VALUE"""),"0.56")</f>
        <v>0.56</v>
      </c>
      <c r="I26" s="56">
        <f ca="1">IFERROR(__xludf.DUMMYFUNCTION("""COMPUTED_VALUE"""),2000)</f>
        <v>2000</v>
      </c>
      <c r="J26" s="56" t="str">
        <f ca="1">IFERROR(__xludf.DUMMYFUNCTION("""COMPUTED_VALUE"""),"Non-USA")</f>
        <v>Non-USA</v>
      </c>
      <c r="K26" s="56" t="str">
        <f ca="1">IFERROR(__xludf.DUMMYFUNCTION("""COMPUTED_VALUE"""),"Main-Cassidy/Crittenden")</f>
        <v>Main-Cassidy/Crittenden</v>
      </c>
      <c r="L26" s="56">
        <f ca="1">IFERROR(__xludf.DUMMYFUNCTION("""COMPUTED_VALUE"""),1)</f>
        <v>1</v>
      </c>
      <c r="M26" s="56">
        <f ca="1">IFERROR(__xludf.DUMMYFUNCTION("""COMPUTED_VALUE"""),0)</f>
        <v>0</v>
      </c>
      <c r="N26" s="56">
        <f ca="1">IFERROR(__xludf.DUMMYFUNCTION("""COMPUTED_VALUE"""),0)</f>
        <v>0</v>
      </c>
      <c r="O26" s="56">
        <f ca="1">IFERROR(__xludf.DUMMYFUNCTION("""COMPUTED_VALUE"""),1)</f>
        <v>1</v>
      </c>
      <c r="P26" s="56">
        <f ca="1">IFERROR(__xludf.DUMMYFUNCTION("""COMPUTED_VALUE"""),0.94)</f>
        <v>0.94</v>
      </c>
      <c r="Q26" s="56">
        <f ca="1">IFERROR(__xludf.DUMMYFUNCTION("""COMPUTED_VALUE"""),0)</f>
        <v>0</v>
      </c>
      <c r="R26" s="56" t="str">
        <f ca="1">IFERROR(__xludf.DUMMYFUNCTION("""COMPUTED_VALUE"""),"Female")</f>
        <v>Female</v>
      </c>
      <c r="S26" t="str">
        <f ca="1">IFERROR(__xludf.DUMMYFUNCTION("""COMPUTED_VALUE"""),"-0.03773584906")</f>
        <v>-0.03773584906</v>
      </c>
    </row>
    <row r="27" spans="1:19" ht="12.9">
      <c r="A27" s="56">
        <f ca="1">IFERROR(__xludf.DUMMYFUNCTION("""COMPUTED_VALUE"""),30)</f>
        <v>30</v>
      </c>
      <c r="B27" s="56" t="str">
        <f ca="1">IFERROR(__xludf.DUMMYFUNCTION("""COMPUTED_VALUE"""),"Rauh et al. (2000)")</f>
        <v>Rauh et al. (2000)</v>
      </c>
      <c r="C27" s="56">
        <f ca="1">IFERROR(__xludf.DUMMYFUNCTION("""COMPUTED_VALUE"""),6)</f>
        <v>6</v>
      </c>
      <c r="D27" s="56" t="str">
        <f ca="1">IFERROR(__xludf.DUMMYFUNCTION("""COMPUTED_VALUE"""),"Ainsworth-Crittenden")</f>
        <v>Ainsworth-Crittenden</v>
      </c>
      <c r="E27" s="56" t="str">
        <f ca="1">IFERROR(__xludf.DUMMYFUNCTION("""COMPUTED_VALUE"""),"Infancy - Toddlerhood")</f>
        <v>Infancy - Toddlerhood</v>
      </c>
      <c r="F27" s="56" t="str">
        <f ca="1">IFERROR(__xludf.DUMMYFUNCTION("""COMPUTED_VALUE"""),"75")</f>
        <v>75</v>
      </c>
      <c r="G27" s="56" t="str">
        <f ca="1">IFERROR(__xludf.DUMMYFUNCTION("""COMPUTED_VALUE"""),"0.0657951695")</f>
        <v>0.0657951695</v>
      </c>
      <c r="H27" s="56" t="str">
        <f ca="1">IFERROR(__xludf.DUMMYFUNCTION("""COMPUTED_VALUE"""),"0.84")</f>
        <v>0.84</v>
      </c>
      <c r="I27" s="56">
        <f ca="1">IFERROR(__xludf.DUMMYFUNCTION("""COMPUTED_VALUE"""),2000)</f>
        <v>2000</v>
      </c>
      <c r="J27" s="56" t="str">
        <f ca="1">IFERROR(__xludf.DUMMYFUNCTION("""COMPUTED_VALUE"""),"Non-USA")</f>
        <v>Non-USA</v>
      </c>
      <c r="K27" s="56" t="str">
        <f ca="1">IFERROR(__xludf.DUMMYFUNCTION("""COMPUTED_VALUE"""),"Ainsworth/Crittenden")</f>
        <v>Ainsworth/Crittenden</v>
      </c>
      <c r="L27" s="56">
        <f ca="1">IFERROR(__xludf.DUMMYFUNCTION("""COMPUTED_VALUE"""),1)</f>
        <v>1</v>
      </c>
      <c r="M27" s="56">
        <f ca="1">IFERROR(__xludf.DUMMYFUNCTION("""COMPUTED_VALUE"""),0)</f>
        <v>0</v>
      </c>
      <c r="N27" s="56">
        <f ca="1">IFERROR(__xludf.DUMMYFUNCTION("""COMPUTED_VALUE"""),0)</f>
        <v>0</v>
      </c>
      <c r="O27" s="56">
        <f ca="1">IFERROR(__xludf.DUMMYFUNCTION("""COMPUTED_VALUE"""),1)</f>
        <v>1</v>
      </c>
      <c r="P27" s="56">
        <f ca="1">IFERROR(__xludf.DUMMYFUNCTION("""COMPUTED_VALUE"""),0.94)</f>
        <v>0.94</v>
      </c>
      <c r="Q27" s="56">
        <f ca="1">IFERROR(__xludf.DUMMYFUNCTION("""COMPUTED_VALUE"""),0)</f>
        <v>0</v>
      </c>
      <c r="R27" s="56" t="str">
        <f ca="1">IFERROR(__xludf.DUMMYFUNCTION("""COMPUTED_VALUE"""),"Female")</f>
        <v>Female</v>
      </c>
      <c r="S27" t="str">
        <f ca="1">IFERROR(__xludf.DUMMYFUNCTION("""COMPUTED_VALUE"""),"0.0625")</f>
        <v>0.0625</v>
      </c>
    </row>
    <row r="28" spans="1:19" ht="12.9">
      <c r="A28" s="56">
        <f ca="1">IFERROR(__xludf.DUMMYFUNCTION("""COMPUTED_VALUE"""),31)</f>
        <v>31</v>
      </c>
      <c r="B28" s="56" t="str">
        <f ca="1">IFERROR(__xludf.DUMMYFUNCTION("""COMPUTED_VALUE"""),"Seifer et al. (2004) ")</f>
        <v xml:space="preserve">Seifer et al. (2004) </v>
      </c>
      <c r="C28" s="56">
        <f ca="1">IFERROR(__xludf.DUMMYFUNCTION("""COMPUTED_VALUE"""),1)</f>
        <v>1</v>
      </c>
      <c r="D28" s="56" t="str">
        <f ca="1">IFERROR(__xludf.DUMMYFUNCTION("""COMPUTED_VALUE"""),"Single sample")</f>
        <v>Single sample</v>
      </c>
      <c r="E28" s="56" t="str">
        <f ca="1">IFERROR(__xludf.DUMMYFUNCTION("""COMPUTED_VALUE"""),"Infancy - Toddlerhood")</f>
        <v>Infancy - Toddlerhood</v>
      </c>
      <c r="F28" s="56" t="str">
        <f ca="1">IFERROR(__xludf.DUMMYFUNCTION("""COMPUTED_VALUE"""),"601")</f>
        <v>601</v>
      </c>
      <c r="G28" s="56" t="str">
        <f ca="1">IFERROR(__xludf.DUMMYFUNCTION("""COMPUTED_VALUE"""),"-0.0603951486")</f>
        <v>-0.0603951486</v>
      </c>
      <c r="H28" s="56" t="str">
        <f ca="1">IFERROR(__xludf.DUMMYFUNCTION("""COMPUTED_VALUE"""),"0.8086522463")</f>
        <v>0.8086522463</v>
      </c>
      <c r="I28" s="56">
        <f ca="1">IFERROR(__xludf.DUMMYFUNCTION("""COMPUTED_VALUE"""),2004)</f>
        <v>2004</v>
      </c>
      <c r="J28" s="56" t="str">
        <f ca="1">IFERROR(__xludf.DUMMYFUNCTION("""COMPUTED_VALUE"""),"USA")</f>
        <v>USA</v>
      </c>
      <c r="K28" s="56" t="str">
        <f ca="1">IFERROR(__xludf.DUMMYFUNCTION("""COMPUTED_VALUE"""),"Ainsworth/Cassidy-Marvin")</f>
        <v>Ainsworth/Cassidy-Marvin</v>
      </c>
      <c r="L28" s="56">
        <f ca="1">IFERROR(__xludf.DUMMYFUNCTION("""COMPUTED_VALUE"""),1)</f>
        <v>1</v>
      </c>
      <c r="M28" s="56">
        <f ca="1">IFERROR(__xludf.DUMMYFUNCTION("""COMPUTED_VALUE"""),1)</f>
        <v>1</v>
      </c>
      <c r="N28" s="56">
        <f ca="1">IFERROR(__xludf.DUMMYFUNCTION("""COMPUTED_VALUE"""),0)</f>
        <v>0</v>
      </c>
      <c r="O28" s="56">
        <f ca="1">IFERROR(__xludf.DUMMYFUNCTION("""COMPUTED_VALUE"""),1)</f>
        <v>1</v>
      </c>
      <c r="P28" s="56">
        <f ca="1">IFERROR(__xludf.DUMMYFUNCTION("""COMPUTED_VALUE"""),0.900244462224634)</f>
        <v>0.90024446222463395</v>
      </c>
      <c r="Q28" s="56">
        <f ca="1">IFERROR(__xludf.DUMMYFUNCTION("""COMPUTED_VALUE"""),0)</f>
        <v>0</v>
      </c>
      <c r="R28" s="56" t="str">
        <f ca="1">IFERROR(__xludf.DUMMYFUNCTION("""COMPUTED_VALUE"""),"Female")</f>
        <v>Female</v>
      </c>
      <c r="S28" t="str">
        <f ca="1">IFERROR(__xludf.DUMMYFUNCTION("""COMPUTED_VALUE"""),"-0.05449857346")</f>
        <v>-0.05449857346</v>
      </c>
    </row>
    <row r="29" spans="1:19" ht="12.9">
      <c r="A29" s="56">
        <f ca="1">IFERROR(__xludf.DUMMYFUNCTION("""COMPUTED_VALUE"""),32)</f>
        <v>32</v>
      </c>
      <c r="B29" s="56" t="str">
        <f ca="1">IFERROR(__xludf.DUMMYFUNCTION("""COMPUTED_VALUE"""),"Steele, Steele &amp; Fonagy (1996)")</f>
        <v>Steele, Steele &amp; Fonagy (1996)</v>
      </c>
      <c r="C29" s="56">
        <f ca="1">IFERROR(__xludf.DUMMYFUNCTION("""COMPUTED_VALUE"""),1)</f>
        <v>1</v>
      </c>
      <c r="D29" s="56" t="str">
        <f ca="1">IFERROR(__xludf.DUMMYFUNCTION("""COMPUTED_VALUE"""),"Mother-child")</f>
        <v>Mother-child</v>
      </c>
      <c r="E29" s="56" t="str">
        <f ca="1">IFERROR(__xludf.DUMMYFUNCTION("""COMPUTED_VALUE"""),"Infancy - Preschool")</f>
        <v>Infancy - Preschool</v>
      </c>
      <c r="F29" s="56" t="str">
        <f ca="1">IFERROR(__xludf.DUMMYFUNCTION("""COMPUTED_VALUE"""),"88")</f>
        <v>88</v>
      </c>
      <c r="G29" s="56" t="str">
        <f ca="1">IFERROR(__xludf.DUMMYFUNCTION("""COMPUTED_VALUE"""),"0.2062730446")</f>
        <v>0.2062730446</v>
      </c>
      <c r="H29" s="56" t="str">
        <f ca="1">IFERROR(__xludf.DUMMYFUNCTION("""COMPUTED_VALUE"""),"0.875")</f>
        <v>0.875</v>
      </c>
      <c r="I29" s="56">
        <f ca="1">IFERROR(__xludf.DUMMYFUNCTION("""COMPUTED_VALUE"""),1996)</f>
        <v>1996</v>
      </c>
      <c r="J29" s="56" t="str">
        <f ca="1">IFERROR(__xludf.DUMMYFUNCTION("""COMPUTED_VALUE"""),"Non-USA")</f>
        <v>Non-USA</v>
      </c>
      <c r="K29" s="56" t="str">
        <f ca="1">IFERROR(__xludf.DUMMYFUNCTION("""COMPUTED_VALUE"""),"Ainsworth/Cassidy-Marvin")</f>
        <v>Ainsworth/Cassidy-Marvin</v>
      </c>
      <c r="L29" s="56">
        <f ca="1">IFERROR(__xludf.DUMMYFUNCTION("""COMPUTED_VALUE"""),0)</f>
        <v>0</v>
      </c>
      <c r="M29" s="56">
        <f ca="1">IFERROR(__xludf.DUMMYFUNCTION("""COMPUTED_VALUE"""),0)</f>
        <v>0</v>
      </c>
      <c r="N29" s="56">
        <f ca="1">IFERROR(__xludf.DUMMYFUNCTION("""COMPUTED_VALUE"""),0)</f>
        <v>0</v>
      </c>
      <c r="O29" s="56">
        <f ca="1">IFERROR(__xludf.DUMMYFUNCTION("""COMPUTED_VALUE"""),0)</f>
        <v>0</v>
      </c>
      <c r="P29" s="56">
        <f ca="1">IFERROR(__xludf.DUMMYFUNCTION("""COMPUTED_VALUE"""),0.91)</f>
        <v>0.91</v>
      </c>
      <c r="Q29" s="56">
        <f ca="1">IFERROR(__xludf.DUMMYFUNCTION("""COMPUTED_VALUE"""),1)</f>
        <v>1</v>
      </c>
      <c r="R29" s="56" t="str">
        <f ca="1">IFERROR(__xludf.DUMMYFUNCTION("""COMPUTED_VALUE"""),"Female")</f>
        <v>Female</v>
      </c>
      <c r="S29" t="str">
        <f ca="1">IFERROR(__xludf.DUMMYFUNCTION("""COMPUTED_VALUE"""),"0.201320132")</f>
        <v>0.201320132</v>
      </c>
    </row>
    <row r="30" spans="1:19" ht="12.9">
      <c r="A30" s="56">
        <f ca="1">IFERROR(__xludf.DUMMYFUNCTION("""COMPUTED_VALUE"""),32)</f>
        <v>32</v>
      </c>
      <c r="B30" s="56" t="str">
        <f ca="1">IFERROR(__xludf.DUMMYFUNCTION("""COMPUTED_VALUE"""),"Steele, Steele &amp; Fonagy (1996)")</f>
        <v>Steele, Steele &amp; Fonagy (1996)</v>
      </c>
      <c r="C30" s="56">
        <f ca="1">IFERROR(__xludf.DUMMYFUNCTION("""COMPUTED_VALUE"""),1)</f>
        <v>1</v>
      </c>
      <c r="D30" s="56" t="str">
        <f ca="1">IFERROR(__xludf.DUMMYFUNCTION("""COMPUTED_VALUE"""),"Father-child")</f>
        <v>Father-child</v>
      </c>
      <c r="E30" s="56" t="str">
        <f ca="1">IFERROR(__xludf.DUMMYFUNCTION("""COMPUTED_VALUE"""),"Infancy - Preschool")</f>
        <v>Infancy - Preschool</v>
      </c>
      <c r="F30" s="56" t="str">
        <f ca="1">IFERROR(__xludf.DUMMYFUNCTION("""COMPUTED_VALUE"""),"68")</f>
        <v>68</v>
      </c>
      <c r="G30" s="56" t="str">
        <f ca="1">IFERROR(__xludf.DUMMYFUNCTION("""COMPUTED_VALUE"""),"0")</f>
        <v>0</v>
      </c>
      <c r="H30" s="56" t="str">
        <f ca="1">IFERROR(__xludf.DUMMYFUNCTION("""COMPUTED_VALUE"""),"0.9411764706")</f>
        <v>0.9411764706</v>
      </c>
      <c r="I30" s="56">
        <f ca="1">IFERROR(__xludf.DUMMYFUNCTION("""COMPUTED_VALUE"""),1996)</f>
        <v>1996</v>
      </c>
      <c r="J30" s="56" t="str">
        <f ca="1">IFERROR(__xludf.DUMMYFUNCTION("""COMPUTED_VALUE"""),"Non-USA")</f>
        <v>Non-USA</v>
      </c>
      <c r="K30" s="56" t="str">
        <f ca="1">IFERROR(__xludf.DUMMYFUNCTION("""COMPUTED_VALUE"""),"Ainsworth/Cassidy-Marvin")</f>
        <v>Ainsworth/Cassidy-Marvin</v>
      </c>
      <c r="L30" s="56">
        <f ca="1">IFERROR(__xludf.DUMMYFUNCTION("""COMPUTED_VALUE"""),0)</f>
        <v>0</v>
      </c>
      <c r="M30" s="56">
        <f ca="1">IFERROR(__xludf.DUMMYFUNCTION("""COMPUTED_VALUE"""),0)</f>
        <v>0</v>
      </c>
      <c r="N30" s="56">
        <f ca="1">IFERROR(__xludf.DUMMYFUNCTION("""COMPUTED_VALUE"""),0)</f>
        <v>0</v>
      </c>
      <c r="O30" s="56">
        <f ca="1">IFERROR(__xludf.DUMMYFUNCTION("""COMPUTED_VALUE"""),0)</f>
        <v>0</v>
      </c>
      <c r="P30" s="56">
        <f ca="1">IFERROR(__xludf.DUMMYFUNCTION("""COMPUTED_VALUE"""),0.91)</f>
        <v>0.91</v>
      </c>
      <c r="Q30" s="56">
        <f ca="1">IFERROR(__xludf.DUMMYFUNCTION("""COMPUTED_VALUE"""),1)</f>
        <v>1</v>
      </c>
      <c r="R30" s="56" t="str">
        <f ca="1">IFERROR(__xludf.DUMMYFUNCTION("""COMPUTED_VALUE"""),"Male")</f>
        <v>Male</v>
      </c>
      <c r="S30" t="str">
        <f ca="1">IFERROR(__xludf.DUMMYFUNCTION("""COMPUTED_VALUE"""),"0")</f>
        <v>0</v>
      </c>
    </row>
    <row r="31" spans="1:19" ht="12.9">
      <c r="A31" s="56">
        <f ca="1">IFERROR(__xludf.DUMMYFUNCTION("""COMPUTED_VALUE"""),33)</f>
        <v>33</v>
      </c>
      <c r="B31" s="56" t="str">
        <f ca="1">IFERROR(__xludf.DUMMYFUNCTION("""COMPUTED_VALUE"""),"Stevenson-Hinde &amp; Shouldice (1990)")</f>
        <v>Stevenson-Hinde &amp; Shouldice (1990)</v>
      </c>
      <c r="C31" s="56">
        <f ca="1">IFERROR(__xludf.DUMMYFUNCTION("""COMPUTED_VALUE"""),1)</f>
        <v>1</v>
      </c>
      <c r="D31" s="56" t="str">
        <f ca="1">IFERROR(__xludf.DUMMYFUNCTION("""COMPUTED_VALUE"""),"Single sample")</f>
        <v>Single sample</v>
      </c>
      <c r="E31" s="56" t="str">
        <f ca="1">IFERROR(__xludf.DUMMYFUNCTION("""COMPUTED_VALUE"""),"Toddlerhood - Preschool")</f>
        <v>Toddlerhood - Preschool</v>
      </c>
      <c r="F31" s="56" t="str">
        <f ca="1">IFERROR(__xludf.DUMMYFUNCTION("""COMPUTED_VALUE"""),"78")</f>
        <v>78</v>
      </c>
      <c r="G31" s="56" t="str">
        <f ca="1">IFERROR(__xludf.DUMMYFUNCTION("""COMPUTED_VALUE"""),"0.4813650975")</f>
        <v>0.4813650975</v>
      </c>
      <c r="H31" s="56" t="str">
        <f ca="1">IFERROR(__xludf.DUMMYFUNCTION("""COMPUTED_VALUE"""),"0.8333333333")</f>
        <v>0.8333333333</v>
      </c>
      <c r="I31" s="56">
        <f ca="1">IFERROR(__xludf.DUMMYFUNCTION("""COMPUTED_VALUE"""),1990)</f>
        <v>1990</v>
      </c>
      <c r="J31" s="56" t="str">
        <f ca="1">IFERROR(__xludf.DUMMYFUNCTION("""COMPUTED_VALUE"""),"Non-USA")</f>
        <v>Non-USA</v>
      </c>
      <c r="K31" s="56" t="str">
        <f ca="1">IFERROR(__xludf.DUMMYFUNCTION("""COMPUTED_VALUE"""),"Ainsworth/Cassidy-Marvin")</f>
        <v>Ainsworth/Cassidy-Marvin</v>
      </c>
      <c r="L31" s="56">
        <f ca="1">IFERROR(__xludf.DUMMYFUNCTION("""COMPUTED_VALUE"""),1)</f>
        <v>1</v>
      </c>
      <c r="M31" s="56">
        <f ca="1">IFERROR(__xludf.DUMMYFUNCTION("""COMPUTED_VALUE"""),0)</f>
        <v>0</v>
      </c>
      <c r="N31" s="56">
        <f ca="1">IFERROR(__xludf.DUMMYFUNCTION("""COMPUTED_VALUE"""),0)</f>
        <v>0</v>
      </c>
      <c r="O31" s="56">
        <f ca="1">IFERROR(__xludf.DUMMYFUNCTION("""COMPUTED_VALUE"""),1)</f>
        <v>1</v>
      </c>
      <c r="P31" s="56">
        <f ca="1">IFERROR(__xludf.DUMMYFUNCTION("""COMPUTED_VALUE"""),0.88)</f>
        <v>0.88</v>
      </c>
      <c r="Q31" s="56">
        <f ca="1">IFERROR(__xludf.DUMMYFUNCTION("""COMPUTED_VALUE"""),0)</f>
        <v>0</v>
      </c>
      <c r="R31" s="56" t="str">
        <f ca="1">IFERROR(__xludf.DUMMYFUNCTION("""COMPUTED_VALUE"""),"Female")</f>
        <v>Female</v>
      </c>
      <c r="S31" t="str">
        <f ca="1">IFERROR(__xludf.DUMMYFUNCTION("""COMPUTED_VALUE"""),"0.4778578785")</f>
        <v>0.4778578785</v>
      </c>
    </row>
    <row r="32" spans="1:19" ht="12.9">
      <c r="A32" s="56">
        <f ca="1">IFERROR(__xludf.DUMMYFUNCTION("""COMPUTED_VALUE"""),35)</f>
        <v>35</v>
      </c>
      <c r="B32" s="56" t="str">
        <f ca="1">IFERROR(__xludf.DUMMYFUNCTION("""COMPUTED_VALUE"""),"Wartner et al. (1994) ")</f>
        <v xml:space="preserve">Wartner et al. (1994) </v>
      </c>
      <c r="C32" s="56">
        <f ca="1">IFERROR(__xludf.DUMMYFUNCTION("""COMPUTED_VALUE"""),1)</f>
        <v>1</v>
      </c>
      <c r="D32" s="56" t="str">
        <f ca="1">IFERROR(__xludf.DUMMYFUNCTION("""COMPUTED_VALUE"""),"Single sample")</f>
        <v>Single sample</v>
      </c>
      <c r="E32" s="56" t="str">
        <f ca="1">IFERROR(__xludf.DUMMYFUNCTION("""COMPUTED_VALUE"""),"Infancy - Preschool")</f>
        <v>Infancy - Preschool</v>
      </c>
      <c r="F32" s="56" t="str">
        <f ca="1">IFERROR(__xludf.DUMMYFUNCTION("""COMPUTED_VALUE"""),"39")</f>
        <v>39</v>
      </c>
      <c r="G32" s="56" t="str">
        <f ca="1">IFERROR(__xludf.DUMMYFUNCTION("""COMPUTED_VALUE"""),"0.589255651")</f>
        <v>0.589255651</v>
      </c>
      <c r="H32" s="56" t="str">
        <f ca="1">IFERROR(__xludf.DUMMYFUNCTION("""COMPUTED_VALUE"""),"0.8205128205")</f>
        <v>0.8205128205</v>
      </c>
      <c r="I32" s="56">
        <f ca="1">IFERROR(__xludf.DUMMYFUNCTION("""COMPUTED_VALUE"""),1994)</f>
        <v>1994</v>
      </c>
      <c r="J32" s="56" t="str">
        <f ca="1">IFERROR(__xludf.DUMMYFUNCTION("""COMPUTED_VALUE"""),"Non-USA")</f>
        <v>Non-USA</v>
      </c>
      <c r="K32" s="56" t="str">
        <f ca="1">IFERROR(__xludf.DUMMYFUNCTION("""COMPUTED_VALUE"""),"Ainsworth/Main-Cassidy")</f>
        <v>Ainsworth/Main-Cassidy</v>
      </c>
      <c r="L32" s="56">
        <f ca="1">IFERROR(__xludf.DUMMYFUNCTION("""COMPUTED_VALUE"""),0)</f>
        <v>0</v>
      </c>
      <c r="M32" s="56">
        <f ca="1">IFERROR(__xludf.DUMMYFUNCTION("""COMPUTED_VALUE"""),0)</f>
        <v>0</v>
      </c>
      <c r="N32" s="56">
        <f ca="1">IFERROR(__xludf.DUMMYFUNCTION("""COMPUTED_VALUE"""),0)</f>
        <v>0</v>
      </c>
      <c r="O32" s="56">
        <f ca="1">IFERROR(__xludf.DUMMYFUNCTION("""COMPUTED_VALUE"""),1)</f>
        <v>1</v>
      </c>
      <c r="P32" s="56">
        <f ca="1">IFERROR(__xludf.DUMMYFUNCTION("""COMPUTED_VALUE"""),0.97)</f>
        <v>0.97</v>
      </c>
      <c r="Q32" s="56">
        <f ca="1">IFERROR(__xludf.DUMMYFUNCTION("""COMPUTED_VALUE"""),1)</f>
        <v>1</v>
      </c>
      <c r="R32" s="56" t="str">
        <f ca="1">IFERROR(__xludf.DUMMYFUNCTION("""COMPUTED_VALUE"""),"Female")</f>
        <v>Female</v>
      </c>
      <c r="S32" t="str">
        <f ca="1">IFERROR(__xludf.DUMMYFUNCTION("""COMPUTED_VALUE"""),"0.5882352941")</f>
        <v>0.5882352941</v>
      </c>
    </row>
    <row r="33" spans="1:19" ht="12.9">
      <c r="A33" s="56">
        <f ca="1">IFERROR(__xludf.DUMMYFUNCTION("""COMPUTED_VALUE"""),36)</f>
        <v>36</v>
      </c>
      <c r="B33" s="56" t="str">
        <f ca="1">IFERROR(__xludf.DUMMYFUNCTION("""COMPUTED_VALUE"""),"Waters &amp; Valenzuela (1999)")</f>
        <v>Waters &amp; Valenzuela (1999)</v>
      </c>
      <c r="C33" s="56">
        <f ca="1">IFERROR(__xludf.DUMMYFUNCTION("""COMPUTED_VALUE"""),1)</f>
        <v>1</v>
      </c>
      <c r="D33" s="56" t="str">
        <f ca="1">IFERROR(__xludf.DUMMYFUNCTION("""COMPUTED_VALUE"""),"Well nourished")</f>
        <v>Well nourished</v>
      </c>
      <c r="E33" s="56" t="str">
        <f ca="1">IFERROR(__xludf.DUMMYFUNCTION("""COMPUTED_VALUE"""),"Infancy - Toddlerhood")</f>
        <v>Infancy - Toddlerhood</v>
      </c>
      <c r="F33" s="56" t="str">
        <f ca="1">IFERROR(__xludf.DUMMYFUNCTION("""COMPUTED_VALUE"""),"34")</f>
        <v>34</v>
      </c>
      <c r="G33" s="56" t="str">
        <f ca="1">IFERROR(__xludf.DUMMYFUNCTION("""COMPUTED_VALUE"""),"-0.07228181235")</f>
        <v>-0.07228181235</v>
      </c>
      <c r="H33" s="56" t="str">
        <f ca="1">IFERROR(__xludf.DUMMYFUNCTION("""COMPUTED_VALUE"""),"0.8235294118")</f>
        <v>0.8235294118</v>
      </c>
      <c r="I33" s="56">
        <f ca="1">IFERROR(__xludf.DUMMYFUNCTION("""COMPUTED_VALUE"""),1999)</f>
        <v>1999</v>
      </c>
      <c r="J33" s="56" t="str">
        <f ca="1">IFERROR(__xludf.DUMMYFUNCTION("""COMPUTED_VALUE"""),"Non-USA")</f>
        <v>Non-USA</v>
      </c>
      <c r="K33" s="56" t="str">
        <f ca="1">IFERROR(__xludf.DUMMYFUNCTION("""COMPUTED_VALUE"""),"Ainsworth/Ainsworth")</f>
        <v>Ainsworth/Ainsworth</v>
      </c>
      <c r="L33" s="56">
        <f ca="1">IFERROR(__xludf.DUMMYFUNCTION("""COMPUTED_VALUE"""),0)</f>
        <v>0</v>
      </c>
      <c r="M33" s="56">
        <f ca="1">IFERROR(__xludf.DUMMYFUNCTION("""COMPUTED_VALUE"""),1)</f>
        <v>1</v>
      </c>
      <c r="N33" s="56">
        <f ca="1">IFERROR(__xludf.DUMMYFUNCTION("""COMPUTED_VALUE"""),0)</f>
        <v>0</v>
      </c>
      <c r="O33" s="56">
        <f ca="1">IFERROR(__xludf.DUMMYFUNCTION("""COMPUTED_VALUE"""),1)</f>
        <v>1</v>
      </c>
      <c r="P33" s="56">
        <f ca="1">IFERROR(__xludf.DUMMYFUNCTION("""COMPUTED_VALUE"""),0.859499999999999)</f>
        <v>0.85949999999999904</v>
      </c>
      <c r="Q33" s="56">
        <f ca="1">IFERROR(__xludf.DUMMYFUNCTION("""COMPUTED_VALUE"""),0)</f>
        <v>0</v>
      </c>
      <c r="R33" s="56" t="str">
        <f ca="1">IFERROR(__xludf.DUMMYFUNCTION("""COMPUTED_VALUE"""),"Female")</f>
        <v>Female</v>
      </c>
      <c r="S33" t="str">
        <f ca="1">IFERROR(__xludf.DUMMYFUNCTION("""COMPUTED_VALUE"""),"-0.05154639175")</f>
        <v>-0.05154639175</v>
      </c>
    </row>
    <row r="34" spans="1:19" ht="12.9">
      <c r="A34" s="56">
        <f ca="1">IFERROR(__xludf.DUMMYFUNCTION("""COMPUTED_VALUE"""),37)</f>
        <v>37</v>
      </c>
      <c r="B34" s="56" t="str">
        <f ca="1">IFERROR(__xludf.DUMMYFUNCTION("""COMPUTED_VALUE"""),"Waters &amp; Valenzuela (1999)")</f>
        <v>Waters &amp; Valenzuela (1999)</v>
      </c>
      <c r="C34" s="56">
        <f ca="1">IFERROR(__xludf.DUMMYFUNCTION("""COMPUTED_VALUE"""),1)</f>
        <v>1</v>
      </c>
      <c r="D34" s="56" t="str">
        <f ca="1">IFERROR(__xludf.DUMMYFUNCTION("""COMPUTED_VALUE"""),"Undernourished")</f>
        <v>Undernourished</v>
      </c>
      <c r="E34" s="56" t="str">
        <f ca="1">IFERROR(__xludf.DUMMYFUNCTION("""COMPUTED_VALUE"""),"Infancy - Toddlerhood")</f>
        <v>Infancy - Toddlerhood</v>
      </c>
      <c r="F34" s="56" t="str">
        <f ca="1">IFERROR(__xludf.DUMMYFUNCTION("""COMPUTED_VALUE"""),"37")</f>
        <v>37</v>
      </c>
      <c r="G34" s="56" t="str">
        <f ca="1">IFERROR(__xludf.DUMMYFUNCTION("""COMPUTED_VALUE"""),"0.003764616262")</f>
        <v>0.003764616262</v>
      </c>
      <c r="H34" s="56" t="str">
        <f ca="1">IFERROR(__xludf.DUMMYFUNCTION("""COMPUTED_VALUE"""),"0.4594594595")</f>
        <v>0.4594594595</v>
      </c>
      <c r="I34" s="56">
        <f ca="1">IFERROR(__xludf.DUMMYFUNCTION("""COMPUTED_VALUE"""),1999)</f>
        <v>1999</v>
      </c>
      <c r="J34" s="56" t="str">
        <f ca="1">IFERROR(__xludf.DUMMYFUNCTION("""COMPUTED_VALUE"""),"Non-USA")</f>
        <v>Non-USA</v>
      </c>
      <c r="K34" s="56" t="str">
        <f ca="1">IFERROR(__xludf.DUMMYFUNCTION("""COMPUTED_VALUE"""),"Ainsworth/Ainsworth")</f>
        <v>Ainsworth/Ainsworth</v>
      </c>
      <c r="L34" s="56">
        <f ca="1">IFERROR(__xludf.DUMMYFUNCTION("""COMPUTED_VALUE"""),0)</f>
        <v>0</v>
      </c>
      <c r="M34" s="56">
        <f ca="1">IFERROR(__xludf.DUMMYFUNCTION("""COMPUTED_VALUE"""),1)</f>
        <v>1</v>
      </c>
      <c r="N34" s="56">
        <f ca="1">IFERROR(__xludf.DUMMYFUNCTION("""COMPUTED_VALUE"""),1)</f>
        <v>1</v>
      </c>
      <c r="O34" s="56">
        <f ca="1">IFERROR(__xludf.DUMMYFUNCTION("""COMPUTED_VALUE"""),1)</f>
        <v>1</v>
      </c>
      <c r="P34" s="56">
        <f ca="1">IFERROR(__xludf.DUMMYFUNCTION("""COMPUTED_VALUE"""),0.859499999999999)</f>
        <v>0.85949999999999904</v>
      </c>
      <c r="Q34" s="56">
        <f ca="1">IFERROR(__xludf.DUMMYFUNCTION("""COMPUTED_VALUE"""),0)</f>
        <v>0</v>
      </c>
      <c r="R34" s="56" t="str">
        <f ca="1">IFERROR(__xludf.DUMMYFUNCTION("""COMPUTED_VALUE"""),"Female")</f>
        <v>Female</v>
      </c>
      <c r="S34" t="str">
        <f ca="1">IFERROR(__xludf.DUMMYFUNCTION("""COMPUTED_VALUE"""),"0.00269541779")</f>
        <v>0.00269541779</v>
      </c>
    </row>
    <row r="35" spans="1:19" ht="12.9">
      <c r="A35" s="56">
        <f ca="1">IFERROR(__xludf.DUMMYFUNCTION("""COMPUTED_VALUE"""),38)</f>
        <v>38</v>
      </c>
      <c r="B35" s="56" t="str">
        <f ca="1">IFERROR(__xludf.DUMMYFUNCTION("""COMPUTED_VALUE"""),"Vondra et al. (2001)")</f>
        <v>Vondra et al. (2001)</v>
      </c>
      <c r="C35" s="56">
        <f ca="1">IFERROR(__xludf.DUMMYFUNCTION("""COMPUTED_VALUE"""),1)</f>
        <v>1</v>
      </c>
      <c r="D35" s="56" t="str">
        <f ca="1">IFERROR(__xludf.DUMMYFUNCTION("""COMPUTED_VALUE"""),"12/24 months (12 month interval)")</f>
        <v>12/24 months (12 month interval)</v>
      </c>
      <c r="E35" s="56" t="str">
        <f ca="1">IFERROR(__xludf.DUMMYFUNCTION("""COMPUTED_VALUE"""),"Infancy - Toddlerhood")</f>
        <v>Infancy - Toddlerhood</v>
      </c>
      <c r="F35" s="56" t="str">
        <f ca="1">IFERROR(__xludf.DUMMYFUNCTION("""COMPUTED_VALUE"""),"198")</f>
        <v>198</v>
      </c>
      <c r="G35" s="56" t="str">
        <f ca="1">IFERROR(__xludf.DUMMYFUNCTION("""COMPUTED_VALUE"""),"0.08770580193")</f>
        <v>0.08770580193</v>
      </c>
      <c r="H35" s="56" t="str">
        <f ca="1">IFERROR(__xludf.DUMMYFUNCTION("""COMPUTED_VALUE"""),"0.8838383838")</f>
        <v>0.8838383838</v>
      </c>
      <c r="I35" s="56">
        <f ca="1">IFERROR(__xludf.DUMMYFUNCTION("""COMPUTED_VALUE"""),2001)</f>
        <v>2001</v>
      </c>
      <c r="J35" s="56" t="str">
        <f ca="1">IFERROR(__xludf.DUMMYFUNCTION("""COMPUTED_VALUE"""),"USA")</f>
        <v>USA</v>
      </c>
      <c r="K35" s="56" t="str">
        <f ca="1">IFERROR(__xludf.DUMMYFUNCTION("""COMPUTED_VALUE"""),"Ainsworth/Crittenden")</f>
        <v>Ainsworth/Crittenden</v>
      </c>
      <c r="L35" s="56">
        <f ca="1">IFERROR(__xludf.DUMMYFUNCTION("""COMPUTED_VALUE"""),0)</f>
        <v>0</v>
      </c>
      <c r="M35" s="56">
        <f ca="1">IFERROR(__xludf.DUMMYFUNCTION("""COMPUTED_VALUE"""),1)</f>
        <v>1</v>
      </c>
      <c r="N35" s="56">
        <f ca="1">IFERROR(__xludf.DUMMYFUNCTION("""COMPUTED_VALUE"""),0)</f>
        <v>0</v>
      </c>
      <c r="O35" s="56">
        <f ca="1">IFERROR(__xludf.DUMMYFUNCTION("""COMPUTED_VALUE"""),1)</f>
        <v>1</v>
      </c>
      <c r="P35" s="56">
        <f ca="1">IFERROR(__xludf.DUMMYFUNCTION("""COMPUTED_VALUE"""),0.695)</f>
        <v>0.69499999999999995</v>
      </c>
      <c r="Q35" s="56">
        <f ca="1">IFERROR(__xludf.DUMMYFUNCTION("""COMPUTED_VALUE"""),0)</f>
        <v>0</v>
      </c>
      <c r="R35" s="56" t="str">
        <f ca="1">IFERROR(__xludf.DUMMYFUNCTION("""COMPUTED_VALUE"""),"Female")</f>
        <v>Female</v>
      </c>
      <c r="S35" t="str">
        <f ca="1">IFERROR(__xludf.DUMMYFUNCTION("""COMPUTED_VALUE"""),"0.05479452055")</f>
        <v>0.05479452055</v>
      </c>
    </row>
    <row r="36" spans="1:19" ht="12.9">
      <c r="A36" s="56">
        <f ca="1">IFERROR(__xludf.DUMMYFUNCTION("""COMPUTED_VALUE"""),38)</f>
        <v>38</v>
      </c>
      <c r="B36" s="56" t="str">
        <f ca="1">IFERROR(__xludf.DUMMYFUNCTION("""COMPUTED_VALUE"""),"Vondra et al. (2001)")</f>
        <v>Vondra et al. (2001)</v>
      </c>
      <c r="C36" s="56">
        <f ca="1">IFERROR(__xludf.DUMMYFUNCTION("""COMPUTED_VALUE"""),2)</f>
        <v>2</v>
      </c>
      <c r="D36" s="56" t="str">
        <f ca="1">IFERROR(__xludf.DUMMYFUNCTION("""COMPUTED_VALUE"""),"12/18 months (6 month interval)")</f>
        <v>12/18 months (6 month interval)</v>
      </c>
      <c r="E36" s="56" t="str">
        <f ca="1">IFERROR(__xludf.DUMMYFUNCTION("""COMPUTED_VALUE"""),"Infancy - Infancy")</f>
        <v>Infancy - Infancy</v>
      </c>
      <c r="F36" s="56" t="str">
        <f ca="1">IFERROR(__xludf.DUMMYFUNCTION("""COMPUTED_VALUE"""),"195")</f>
        <v>195</v>
      </c>
      <c r="G36" s="56" t="str">
        <f ca="1">IFERROR(__xludf.DUMMYFUNCTION("""COMPUTED_VALUE"""),"0.3113799576")</f>
        <v>0.3113799576</v>
      </c>
      <c r="H36" s="56" t="str">
        <f ca="1">IFERROR(__xludf.DUMMYFUNCTION("""COMPUTED_VALUE"""),"0.7948717949")</f>
        <v>0.7948717949</v>
      </c>
      <c r="I36" s="56">
        <f ca="1">IFERROR(__xludf.DUMMYFUNCTION("""COMPUTED_VALUE"""),2001)</f>
        <v>2001</v>
      </c>
      <c r="J36" s="56" t="str">
        <f ca="1">IFERROR(__xludf.DUMMYFUNCTION("""COMPUTED_VALUE"""),"USA")</f>
        <v>USA</v>
      </c>
      <c r="K36" s="56" t="str">
        <f ca="1">IFERROR(__xludf.DUMMYFUNCTION("""COMPUTED_VALUE"""),"Ainsworth/Ainsworth")</f>
        <v>Ainsworth/Ainsworth</v>
      </c>
      <c r="L36" s="56">
        <f ca="1">IFERROR(__xludf.DUMMYFUNCTION("""COMPUTED_VALUE"""),1)</f>
        <v>1</v>
      </c>
      <c r="M36" s="56">
        <f ca="1">IFERROR(__xludf.DUMMYFUNCTION("""COMPUTED_VALUE"""),1)</f>
        <v>1</v>
      </c>
      <c r="N36" s="56">
        <f ca="1">IFERROR(__xludf.DUMMYFUNCTION("""COMPUTED_VALUE"""),0)</f>
        <v>0</v>
      </c>
      <c r="O36" s="56">
        <f ca="1">IFERROR(__xludf.DUMMYFUNCTION("""COMPUTED_VALUE"""),1)</f>
        <v>1</v>
      </c>
      <c r="P36" s="56">
        <f ca="1">IFERROR(__xludf.DUMMYFUNCTION("""COMPUTED_VALUE"""),0.77)</f>
        <v>0.77</v>
      </c>
      <c r="Q36" s="56">
        <f ca="1">IFERROR(__xludf.DUMMYFUNCTION("""COMPUTED_VALUE"""),0)</f>
        <v>0</v>
      </c>
      <c r="R36" s="56" t="str">
        <f ca="1">IFERROR(__xludf.DUMMYFUNCTION("""COMPUTED_VALUE"""),"Female")</f>
        <v>Female</v>
      </c>
      <c r="S36" t="str">
        <f ca="1">IFERROR(__xludf.DUMMYFUNCTION("""COMPUTED_VALUE"""),"0.3066666667")</f>
        <v>0.3066666667</v>
      </c>
    </row>
    <row r="37" spans="1:19" ht="12.9">
      <c r="A37" s="56">
        <f ca="1">IFERROR(__xludf.DUMMYFUNCTION("""COMPUTED_VALUE"""),39)</f>
        <v>39</v>
      </c>
      <c r="B37" s="56" t="str">
        <f ca="1">IFERROR(__xludf.DUMMYFUNCTION("""COMPUTED_VALUE"""),"Xue (2010)")</f>
        <v>Xue (2010)</v>
      </c>
      <c r="C37" s="56">
        <f ca="1">IFERROR(__xludf.DUMMYFUNCTION("""COMPUTED_VALUE"""),1)</f>
        <v>1</v>
      </c>
      <c r="D37" s="56" t="str">
        <f ca="1">IFERROR(__xludf.DUMMYFUNCTION("""COMPUTED_VALUE"""),"13/42 months (29 month interval)")</f>
        <v>13/42 months (29 month interval)</v>
      </c>
      <c r="E37" s="56" t="str">
        <f ca="1">IFERROR(__xludf.DUMMYFUNCTION("""COMPUTED_VALUE"""),"Infancy - Preschool")</f>
        <v>Infancy - Preschool</v>
      </c>
      <c r="F37" s="56" t="str">
        <f ca="1">IFERROR(__xludf.DUMMYFUNCTION("""COMPUTED_VALUE"""),"46")</f>
        <v>46</v>
      </c>
      <c r="G37" s="56" t="str">
        <f ca="1">IFERROR(__xludf.DUMMYFUNCTION("""COMPUTED_VALUE"""),"-0.03178208631")</f>
        <v>-0.03178208631</v>
      </c>
      <c r="H37" s="56" t="str">
        <f ca="1">IFERROR(__xludf.DUMMYFUNCTION("""COMPUTED_VALUE"""),"0.5434782609")</f>
        <v>0.5434782609</v>
      </c>
      <c r="I37" s="56">
        <f ca="1">IFERROR(__xludf.DUMMYFUNCTION("""COMPUTED_VALUE"""),2010)</f>
        <v>2010</v>
      </c>
      <c r="J37" s="56" t="str">
        <f ca="1">IFERROR(__xludf.DUMMYFUNCTION("""COMPUTED_VALUE"""),"Non-USA")</f>
        <v>Non-USA</v>
      </c>
      <c r="K37" s="56" t="str">
        <f ca="1">IFERROR(__xludf.DUMMYFUNCTION("""COMPUTED_VALUE"""),"Ainsworth/Cassidy-Marvin")</f>
        <v>Ainsworth/Cassidy-Marvin</v>
      </c>
      <c r="L37" s="56">
        <f ca="1">IFERROR(__xludf.DUMMYFUNCTION("""COMPUTED_VALUE"""),0)</f>
        <v>0</v>
      </c>
      <c r="M37" s="56">
        <f ca="1">IFERROR(__xludf.DUMMYFUNCTION("""COMPUTED_VALUE"""),0)</f>
        <v>0</v>
      </c>
      <c r="N37" s="56">
        <f ca="1">IFERROR(__xludf.DUMMYFUNCTION("""COMPUTED_VALUE"""),0)</f>
        <v>0</v>
      </c>
      <c r="O37" s="56">
        <f ca="1">IFERROR(__xludf.DUMMYFUNCTION("""COMPUTED_VALUE"""),0)</f>
        <v>0</v>
      </c>
      <c r="P37" s="56">
        <f ca="1">IFERROR(__xludf.DUMMYFUNCTION("""COMPUTED_VALUE"""),0.89)</f>
        <v>0.89</v>
      </c>
      <c r="Q37" s="56">
        <f ca="1">IFERROR(__xludf.DUMMYFUNCTION("""COMPUTED_VALUE"""),0)</f>
        <v>0</v>
      </c>
      <c r="R37" s="56" t="str">
        <f ca="1">IFERROR(__xludf.DUMMYFUNCTION("""COMPUTED_VALUE"""),"Female")</f>
        <v>Female</v>
      </c>
      <c r="S37" t="str">
        <f ca="1">IFERROR(__xludf.DUMMYFUNCTION("""COMPUTED_VALUE"""),"-0.02985074627")</f>
        <v>-0.02985074627</v>
      </c>
    </row>
    <row r="38" spans="1:19"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IFERROR(__xludf.DUMMYFUNCTION("""COMPUTED_VALUE"""),"0.2246153846")</f>
        <v>0.2246153846</v>
      </c>
      <c r="H38" t="str">
        <f ca="1">IFERROR(__xludf.DUMMYFUNCTION("""COMPUTED_VALUE"""),"0.746031746")</f>
        <v>0.746031746</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c r="S38" t="str">
        <f ca="1">IFERROR(__xludf.DUMMYFUNCTION("""COMPUTED_VALUE"""),"0.2246153846")</f>
        <v>0.2246153846</v>
      </c>
    </row>
    <row r="39" spans="1:19"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IFERROR(__xludf.DUMMYFUNCTION("""COMPUTED_VALUE"""),"0.2883446431")</f>
        <v>0.2883446431</v>
      </c>
      <c r="H39" t="str">
        <f ca="1">IFERROR(__xludf.DUMMYFUNCTION("""COMPUTED_VALUE"""),"0.6481481481")</f>
        <v>0.6481481481</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c r="S39" t="str">
        <f ca="1">IFERROR(__xludf.DUMMYFUNCTION("""COMPUTED_VALUE"""),"0.2865090403")</f>
        <v>0.2865090403</v>
      </c>
    </row>
    <row r="40" spans="1:19"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IFERROR(__xludf.DUMMYFUNCTION("""COMPUTED_VALUE"""),"0.2653367254")</f>
        <v>0.2653367254</v>
      </c>
      <c r="H40" t="str">
        <f ca="1">IFERROR(__xludf.DUMMYFUNCTION("""COMPUTED_VALUE"""),"0.7169811321")</f>
        <v>0.7169811321</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c r="S40" t="str">
        <f ca="1">IFERROR(__xludf.DUMMYFUNCTION("""COMPUTED_VALUE"""),"0.2601209865")</f>
        <v>0.2601209865</v>
      </c>
    </row>
    <row r="41" spans="1:19"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IFERROR(__xludf.DUMMYFUNCTION("""COMPUTED_VALUE"""),"0.2708032083")</f>
        <v>0.2708032083</v>
      </c>
      <c r="H41" t="str">
        <f ca="1">IFERROR(__xludf.DUMMYFUNCTION("""COMPUTED_VALUE"""),"0.5483870968")</f>
        <v>0.5483870968</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c r="S41" t="str">
        <f ca="1">IFERROR(__xludf.DUMMYFUNCTION("""COMPUTED_VALUE"""),"0.1962962963")</f>
        <v>0.1962962963</v>
      </c>
    </row>
    <row r="42" spans="1:19"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IFERROR(__xludf.DUMMYFUNCTION("""COMPUTED_VALUE"""),"0.2978931276")</f>
        <v>0.2978931276</v>
      </c>
      <c r="H42" t="str">
        <f ca="1">IFERROR(__xludf.DUMMYFUNCTION("""COMPUTED_VALUE"""),"0.756097561")</f>
        <v>0.756097561</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c r="S42" t="str">
        <f ca="1">IFERROR(__xludf.DUMMYFUNCTION("""COMPUTED_VALUE"""),"0.2456301748")</f>
        <v>0.2456301748</v>
      </c>
    </row>
    <row r="43" spans="1:19"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IFERROR(__xludf.DUMMYFUNCTION("""COMPUTED_VALUE"""),"0.09677843389")</f>
        <v>0.09677843389</v>
      </c>
      <c r="H43" t="str">
        <f ca="1">IFERROR(__xludf.DUMMYFUNCTION("""COMPUTED_VALUE"""),"0.7734375")</f>
        <v>0.7734375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c r="S43" t="str">
        <f ca="1">IFERROR(__xludf.DUMMYFUNCTION("""COMPUTED_VALUE"""),"0.09286412512")</f>
        <v>0.09286412512</v>
      </c>
    </row>
    <row r="44" spans="1:19"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IFERROR(__xludf.DUMMYFUNCTION("""COMPUTED_VALUE"""),"0.2769558547")</f>
        <v>0.2769558547</v>
      </c>
      <c r="H44" t="str">
        <f ca="1">IFERROR(__xludf.DUMMYFUNCTION("""COMPUTED_VALUE"""),"0.7142857143")</f>
        <v>0.7142857143</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c r="S44" t="str">
        <f ca="1">IFERROR(__xludf.DUMMYFUNCTION("""COMPUTED_VALUE"""),"0.2647058824")</f>
        <v>0.2647058824</v>
      </c>
    </row>
    <row r="45" spans="1:19"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IFERROR(__xludf.DUMMYFUNCTION("""COMPUTED_VALUE"""),"0.1946146346")</f>
        <v>0.1946146346</v>
      </c>
      <c r="H45" t="str">
        <f ca="1">IFERROR(__xludf.DUMMYFUNCTION("""COMPUTED_VALUE"""),"0.8525345622")</f>
        <v>0.8525345622</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c r="S45" t="str">
        <f ca="1">IFERROR(__xludf.DUMMYFUNCTION("""COMPUTED_VALUE"""),"0.1923703187")</f>
        <v>0.1923703187</v>
      </c>
    </row>
    <row r="46" spans="1:19"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IFERROR(__xludf.DUMMYFUNCTION("""COMPUTED_VALUE"""),"0.1982826293")</f>
        <v>0.1982826293</v>
      </c>
      <c r="H46" t="str">
        <f ca="1">IFERROR(__xludf.DUMMYFUNCTION("""COMPUTED_VALUE"""),"0.8317307692")</f>
        <v>0.8317307692</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c r="S46" t="str">
        <f ca="1">IFERROR(__xludf.DUMMYFUNCTION("""COMPUTED_VALUE"""),"0.1939769708")</f>
        <v>0.1939769708</v>
      </c>
    </row>
    <row r="47" spans="1:19"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IFERROR(__xludf.DUMMYFUNCTION("""COMPUTED_VALUE"""),"0.4167467872")</f>
        <v>0.4167467872</v>
      </c>
      <c r="H47" t="str">
        <f ca="1">IFERROR(__xludf.DUMMYFUNCTION("""COMPUTED_VALUE"""),"0.7777777778")</f>
        <v>0.7777777778</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c r="S47" t="str">
        <f ca="1">IFERROR(__xludf.DUMMYFUNCTION("""COMPUTED_VALUE"""),"0.4047619048")</f>
        <v>0.4047619048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47"/>
  <sheetViews>
    <sheetView workbookViewId="0"/>
  </sheetViews>
  <sheetFormatPr defaultColWidth="14.44140625" defaultRowHeight="15.75" customHeight="1"/>
  <cols>
    <col min="1" max="1" width="7.83203125" customWidth="1"/>
    <col min="2" max="2" width="44.109375" customWidth="1"/>
    <col min="3" max="3" width="12.109375" customWidth="1"/>
    <col min="4" max="4" width="26.71875" customWidth="1"/>
    <col min="5" max="5" width="5.109375" customWidth="1"/>
    <col min="6" max="6" width="15.109375" customWidth="1"/>
    <col min="7" max="8" width="16.27734375" customWidth="1"/>
    <col min="9" max="9" width="8.27734375" customWidth="1"/>
    <col min="10" max="10" width="25.5546875" customWidth="1"/>
    <col min="11" max="11" width="26.109375" customWidth="1"/>
    <col min="12" max="12" width="10.109375" customWidth="1"/>
    <col min="13" max="13" width="11.44140625" customWidth="1"/>
    <col min="14" max="14" width="9.109375" customWidth="1"/>
    <col min="15" max="15" width="21.27734375" customWidth="1"/>
  </cols>
  <sheetData>
    <row r="1" spans="1:26" ht="15.75" customHeight="1">
      <c r="A1" s="109" t="str">
        <f ca="1">IFERROR(__xludf.DUMMYFUNCTION("QUERY(Processed!A1:BP150,""SELECT A, B, C, D, E, AT, BE, BA, BG, BH, BI, BJ, BK, BL, BM, BN, BO, BP WHERE AY = TRUE"",1)"),"Study ID")</f>
        <v>Study ID</v>
      </c>
      <c r="B1" s="109" t="str">
        <f ca="1">IFERROR(__xludf.DUMMYFUNCTION("""COMPUTED_VALUE"""),"Authors")</f>
        <v>Authors</v>
      </c>
      <c r="C1" s="109" t="str">
        <f ca="1">IFERROR(__xludf.DUMMYFUNCTION("""COMPUTED_VALUE"""),"Subsample ID")</f>
        <v>Subsample ID</v>
      </c>
      <c r="D1" s="109" t="str">
        <f ca="1">IFERROR(__xludf.DUMMYFUNCTION("""COMPUTED_VALUE"""),"Subsample Desciption")</f>
        <v>Subsample Desciption</v>
      </c>
      <c r="E1" s="109" t="str">
        <f ca="1">IFERROR(__xludf.DUMMYFUNCTION("""COMPUTED_VALUE"""),"Interval")</f>
        <v>Interval</v>
      </c>
      <c r="F1" s="109" t="str">
        <f ca="1">IFERROR(__xludf.DUMMYFUNCTION("""COMPUTED_VALUE"""),"IsD n - Final")</f>
        <v>IsD n - Final</v>
      </c>
      <c r="G1" s="109" t="str">
        <f ca="1">IFERROR(__xludf.DUMMYFUNCTION("""COMPUTED_VALUE"""),"IsD k - Final")</f>
        <v>IsD k - Final</v>
      </c>
      <c r="H1" s="109" t="str">
        <f ca="1">IFERROR(__xludf.DUMMYFUNCTION("""COMPUTED_VALUE"""),"IsD PA - Calculated")</f>
        <v>IsD PA - Calculated</v>
      </c>
      <c r="I1" s="109" t="str">
        <f ca="1">IFERROR(__xludf.DUMMYFUNCTION("""COMPUTED_VALUE"""),"Year")</f>
        <v>Year</v>
      </c>
      <c r="J1" s="109" t="str">
        <f ca="1">IFERROR(__xludf.DUMMYFUNCTION("""COMPUTED_VALUE"""),"Country")</f>
        <v>Country</v>
      </c>
      <c r="K1" s="109" t="str">
        <f ca="1">IFERROR(__xludf.DUMMYFUNCTION("""COMPUTED_VALUE"""),"Coding Method")</f>
        <v>Coding Method</v>
      </c>
      <c r="L1" s="109" t="str">
        <f ca="1">IFERROR(__xludf.DUMMYFUNCTION("""COMPUTED_VALUE"""),"Included in Prior Meta-analysis S/IS")</f>
        <v>Included in Prior Meta-analysis S/IS</v>
      </c>
      <c r="M1" s="109" t="str">
        <f ca="1">IFERROR(__xludf.DUMMYFUNCTION("""COMPUTED_VALUE"""),"Social Risk")</f>
        <v>Social Risk</v>
      </c>
      <c r="N1" s="109" t="str">
        <f ca="1">IFERROR(__xludf.DUMMYFUNCTION("""COMPUTED_VALUE"""),"Medical Risk")</f>
        <v>Medical Risk</v>
      </c>
      <c r="O1" s="109" t="str">
        <f ca="1">IFERROR(__xludf.DUMMYFUNCTION("""COMPUTED_VALUE"""),"Published")</f>
        <v>Published</v>
      </c>
      <c r="P1" s="109" t="str">
        <f ca="1">IFERROR(__xludf.DUMMYFUNCTION("""COMPUTED_VALUE"""),"Interrater Reliability - PA")</f>
        <v>Interrater Reliability - PA</v>
      </c>
      <c r="Q1" s="109" t="str">
        <f ca="1">IFERROR(__xludf.DUMMYFUNCTION("""COMPUTED_VALUE"""),"Included in Prior Meta-analysis D/O")</f>
        <v>Included in Prior Meta-analysis D/O</v>
      </c>
      <c r="R1" s="114" t="str">
        <f ca="1">IFERROR(__xludf.DUMMYFUNCTION("""COMPUTED_VALUE"""),"Gender")</f>
        <v>Gender</v>
      </c>
      <c r="S1" s="114"/>
      <c r="T1" s="114"/>
      <c r="U1" s="114"/>
      <c r="V1" s="114"/>
      <c r="W1" s="114"/>
      <c r="X1" s="114"/>
      <c r="Y1" s="114"/>
      <c r="Z1" s="114"/>
    </row>
    <row r="2" spans="1:26" ht="15.75" customHeight="1">
      <c r="A2" s="56">
        <f ca="1">IFERROR(__xludf.DUMMYFUNCTION("""COMPUTED_VALUE"""),6)</f>
        <v>6</v>
      </c>
      <c r="B2" s="56" t="str">
        <f ca="1">IFERROR(__xludf.DUMMYFUNCTION("""COMPUTED_VALUE"""),"Barnett, Ganiban &amp; Cicchetti (1999)")</f>
        <v>Barnett, Ganiban &amp; Cicchetti (1999)</v>
      </c>
      <c r="C2" s="56">
        <f ca="1">IFERROR(__xludf.DUMMYFUNCTION("""COMPUTED_VALUE"""),1)</f>
        <v>1</v>
      </c>
      <c r="D2" s="56" t="str">
        <f ca="1">IFERROR(__xludf.DUMMYFUNCTION("""COMPUTED_VALUE"""),"Comparison")</f>
        <v>Comparison</v>
      </c>
      <c r="E2" s="56" t="str">
        <f ca="1">IFERROR(__xludf.DUMMYFUNCTION("""COMPUTED_VALUE"""),"Infancy - Toddlerhood")</f>
        <v>Infancy - Toddlerhood</v>
      </c>
      <c r="F2" s="56" t="str">
        <f ca="1">IFERROR(__xludf.DUMMYFUNCTION("""COMPUTED_VALUE"""),"20")</f>
        <v>20</v>
      </c>
      <c r="G2" s="56" t="str">
        <f ca="1">IFERROR(__xludf.DUMMYFUNCTION("""COMPUTED_VALUE"""),"0.5238095238")</f>
        <v>0.5238095238</v>
      </c>
      <c r="H2" s="56" t="str">
        <f ca="1">IFERROR(__xludf.DUMMYFUNCTION("""COMPUTED_VALUE"""),"0.8")</f>
        <v>0.8</v>
      </c>
      <c r="I2" s="56">
        <f ca="1">IFERROR(__xludf.DUMMYFUNCTION("""COMPUTED_VALUE"""),1999)</f>
        <v>1999</v>
      </c>
      <c r="J2" s="56" t="str">
        <f ca="1">IFERROR(__xludf.DUMMYFUNCTION("""COMPUTED_VALUE"""),"USA")</f>
        <v>USA</v>
      </c>
      <c r="K2" s="56" t="str">
        <f ca="1">IFERROR(__xludf.DUMMYFUNCTION("""COMPUTED_VALUE"""),"Ainsworth/Ainsworth")</f>
        <v>Ainsworth/Ainsworth</v>
      </c>
      <c r="L2" s="56">
        <f ca="1">IFERROR(__xludf.DUMMYFUNCTION("""COMPUTED_VALUE"""),1)</f>
        <v>1</v>
      </c>
      <c r="M2" s="56">
        <f ca="1">IFERROR(__xludf.DUMMYFUNCTION("""COMPUTED_VALUE"""),0)</f>
        <v>0</v>
      </c>
      <c r="N2" s="56">
        <f ca="1">IFERROR(__xludf.DUMMYFUNCTION("""COMPUTED_VALUE"""),0)</f>
        <v>0</v>
      </c>
      <c r="O2" s="56">
        <f ca="1">IFERROR(__xludf.DUMMYFUNCTION("""COMPUTED_VALUE"""),1)</f>
        <v>1</v>
      </c>
      <c r="P2" s="56">
        <f ca="1">IFERROR(__xludf.DUMMYFUNCTION("""COMPUTED_VALUE"""),0.895)</f>
        <v>0.89500000000000002</v>
      </c>
      <c r="Q2" s="56">
        <f ca="1">IFERROR(__xludf.DUMMYFUNCTION("""COMPUTED_VALUE"""),0)</f>
        <v>0</v>
      </c>
      <c r="R2" t="str">
        <f ca="1">IFERROR(__xludf.DUMMYFUNCTION("""COMPUTED_VALUE"""),"Female")</f>
        <v>Female</v>
      </c>
    </row>
    <row r="3" spans="1:26" ht="15.75" customHeight="1">
      <c r="A3" s="56">
        <f ca="1">IFERROR(__xludf.DUMMYFUNCTION("""COMPUTED_VALUE"""),6)</f>
        <v>6</v>
      </c>
      <c r="B3" s="56" t="str">
        <f ca="1">IFERROR(__xludf.DUMMYFUNCTION("""COMPUTED_VALUE"""),"Barnett, Ganiban &amp; Cicchetti (1999)")</f>
        <v>Barnett, Ganiban &amp; Cicchetti (1999)</v>
      </c>
      <c r="C3" s="56">
        <f ca="1">IFERROR(__xludf.DUMMYFUNCTION("""COMPUTED_VALUE"""),2)</f>
        <v>2</v>
      </c>
      <c r="D3" s="56" t="str">
        <f ca="1">IFERROR(__xludf.DUMMYFUNCTION("""COMPUTED_VALUE"""),"Comparison")</f>
        <v>Comparison</v>
      </c>
      <c r="E3" s="56" t="str">
        <f ca="1">IFERROR(__xludf.DUMMYFUNCTION("""COMPUTED_VALUE"""),"Infancy - Infancy")</f>
        <v>Infancy - Infancy</v>
      </c>
      <c r="F3" s="56" t="str">
        <f ca="1">IFERROR(__xludf.DUMMYFUNCTION("""COMPUTED_VALUE"""),"21")</f>
        <v>21</v>
      </c>
      <c r="G3" s="56" t="str">
        <f ca="1">IFERROR(__xludf.DUMMYFUNCTION("""COMPUTED_VALUE"""),"0.5333333333")</f>
        <v>0.5333333333</v>
      </c>
      <c r="H3" s="56" t="str">
        <f ca="1">IFERROR(__xludf.DUMMYFUNCTION("""COMPUTED_VALUE"""),"0.8095238095")</f>
        <v>0.8095238095</v>
      </c>
      <c r="I3" s="56">
        <f ca="1">IFERROR(__xludf.DUMMYFUNCTION("""COMPUTED_VALUE"""),1999)</f>
        <v>1999</v>
      </c>
      <c r="J3" s="56" t="str">
        <f ca="1">IFERROR(__xludf.DUMMYFUNCTION("""COMPUTED_VALUE"""),"USA")</f>
        <v>USA</v>
      </c>
      <c r="K3" s="56" t="str">
        <f ca="1">IFERROR(__xludf.DUMMYFUNCTION("""COMPUTED_VALUE"""),"Ainsworth/Ainsworth")</f>
        <v>Ainsworth/Ainsworth</v>
      </c>
      <c r="L3" s="56">
        <f ca="1">IFERROR(__xludf.DUMMYFUNCTION("""COMPUTED_VALUE"""),1)</f>
        <v>1</v>
      </c>
      <c r="M3" s="56">
        <f ca="1">IFERROR(__xludf.DUMMYFUNCTION("""COMPUTED_VALUE"""),0)</f>
        <v>0</v>
      </c>
      <c r="N3" s="56">
        <f ca="1">IFERROR(__xludf.DUMMYFUNCTION("""COMPUTED_VALUE"""),0)</f>
        <v>0</v>
      </c>
      <c r="O3" s="56">
        <f ca="1">IFERROR(__xludf.DUMMYFUNCTION("""COMPUTED_VALUE"""),1)</f>
        <v>1</v>
      </c>
      <c r="P3" s="56">
        <f ca="1">IFERROR(__xludf.DUMMYFUNCTION("""COMPUTED_VALUE"""),0.865)</f>
        <v>0.86499999999999999</v>
      </c>
      <c r="Q3" s="56">
        <f ca="1">IFERROR(__xludf.DUMMYFUNCTION("""COMPUTED_VALUE"""),0)</f>
        <v>0</v>
      </c>
      <c r="R3" t="str">
        <f ca="1">IFERROR(__xludf.DUMMYFUNCTION("""COMPUTED_VALUE"""),"Female")</f>
        <v>Female</v>
      </c>
    </row>
    <row r="4" spans="1:26" ht="15.75" customHeight="1">
      <c r="A4" s="56">
        <f ca="1">IFERROR(__xludf.DUMMYFUNCTION("""COMPUTED_VALUE"""),6)</f>
        <v>6</v>
      </c>
      <c r="B4" s="56" t="str">
        <f ca="1">IFERROR(__xludf.DUMMYFUNCTION("""COMPUTED_VALUE"""),"Barnett, Ganiban &amp; Cicchetti (1999)")</f>
        <v>Barnett, Ganiban &amp; Cicchetti (1999)</v>
      </c>
      <c r="C4" s="56">
        <f ca="1">IFERROR(__xludf.DUMMYFUNCTION("""COMPUTED_VALUE"""),3)</f>
        <v>3</v>
      </c>
      <c r="D4" s="56" t="str">
        <f ca="1">IFERROR(__xludf.DUMMYFUNCTION("""COMPUTED_VALUE"""),"Comparison")</f>
        <v>Comparison</v>
      </c>
      <c r="E4" s="56" t="str">
        <f ca="1">IFERROR(__xludf.DUMMYFUNCTION("""COMPUTED_VALUE"""),"Infancy - Toddlerhood")</f>
        <v>Infancy - Toddlerhood</v>
      </c>
      <c r="F4" s="56" t="str">
        <f ca="1">IFERROR(__xludf.DUMMYFUNCTION("""COMPUTED_VALUE"""),"20")</f>
        <v>20</v>
      </c>
      <c r="G4" s="56" t="str">
        <f ca="1">IFERROR(__xludf.DUMMYFUNCTION("""COMPUTED_VALUE"""),"0.5238095238")</f>
        <v>0.5238095238</v>
      </c>
      <c r="H4" s="56" t="str">
        <f ca="1">IFERROR(__xludf.DUMMYFUNCTION("""COMPUTED_VALUE"""),"0.8")</f>
        <v>0.8</v>
      </c>
      <c r="I4" s="56">
        <f ca="1">IFERROR(__xludf.DUMMYFUNCTION("""COMPUTED_VALUE"""),1999)</f>
        <v>1999</v>
      </c>
      <c r="J4" s="56" t="str">
        <f ca="1">IFERROR(__xludf.DUMMYFUNCTION("""COMPUTED_VALUE"""),"USA")</f>
        <v>USA</v>
      </c>
      <c r="K4" s="56" t="str">
        <f ca="1">IFERROR(__xludf.DUMMYFUNCTION("""COMPUTED_VALUE"""),"Ainsworth/Ainsworth")</f>
        <v>Ainsworth/Ainsworth</v>
      </c>
      <c r="L4" s="56">
        <f ca="1">IFERROR(__xludf.DUMMYFUNCTION("""COMPUTED_VALUE"""),1)</f>
        <v>1</v>
      </c>
      <c r="M4" s="56">
        <f ca="1">IFERROR(__xludf.DUMMYFUNCTION("""COMPUTED_VALUE"""),0)</f>
        <v>0</v>
      </c>
      <c r="N4" s="56">
        <f ca="1">IFERROR(__xludf.DUMMYFUNCTION("""COMPUTED_VALUE"""),0)</f>
        <v>0</v>
      </c>
      <c r="O4" s="56">
        <f ca="1">IFERROR(__xludf.DUMMYFUNCTION("""COMPUTED_VALUE"""),1)</f>
        <v>1</v>
      </c>
      <c r="P4" s="56">
        <f ca="1">IFERROR(__xludf.DUMMYFUNCTION("""COMPUTED_VALUE"""),0.88)</f>
        <v>0.88</v>
      </c>
      <c r="Q4" s="56">
        <f ca="1">IFERROR(__xludf.DUMMYFUNCTION("""COMPUTED_VALUE"""),0)</f>
        <v>0</v>
      </c>
      <c r="R4" t="str">
        <f ca="1">IFERROR(__xludf.DUMMYFUNCTION("""COMPUTED_VALUE"""),"Female")</f>
        <v>Female</v>
      </c>
    </row>
    <row r="5" spans="1:26" ht="15.75" customHeight="1">
      <c r="A5" s="56">
        <f ca="1">IFERROR(__xludf.DUMMYFUNCTION("""COMPUTED_VALUE"""),7)</f>
        <v>7</v>
      </c>
      <c r="B5" s="56" t="str">
        <f ca="1">IFERROR(__xludf.DUMMYFUNCTION("""COMPUTED_VALUE"""),"Barnett, Ganiban &amp; Cicchetti (1999)")</f>
        <v>Barnett, Ganiban &amp; Cicchetti (1999)</v>
      </c>
      <c r="C5" s="56">
        <f ca="1">IFERROR(__xludf.DUMMYFUNCTION("""COMPUTED_VALUE"""),1)</f>
        <v>1</v>
      </c>
      <c r="D5" s="56" t="str">
        <f ca="1">IFERROR(__xludf.DUMMYFUNCTION("""COMPUTED_VALUE"""),"Maltreated")</f>
        <v>Maltreated</v>
      </c>
      <c r="E5" s="56" t="str">
        <f ca="1">IFERROR(__xludf.DUMMYFUNCTION("""COMPUTED_VALUE"""),"Infancy - Toddlerhood")</f>
        <v>Infancy - Toddlerhood</v>
      </c>
      <c r="F5" s="56" t="str">
        <f ca="1">IFERROR(__xludf.DUMMYFUNCTION("""COMPUTED_VALUE"""),"16")</f>
        <v>16</v>
      </c>
      <c r="G5" s="56" t="str">
        <f ca="1">IFERROR(__xludf.DUMMYFUNCTION("""COMPUTED_VALUE"""),"0.6")</f>
        <v>0.6</v>
      </c>
      <c r="H5" s="56" t="str">
        <f ca="1">IFERROR(__xludf.DUMMYFUNCTION("""COMPUTED_VALUE"""),"0.875")</f>
        <v>0.875</v>
      </c>
      <c r="I5" s="56">
        <f ca="1">IFERROR(__xludf.DUMMYFUNCTION("""COMPUTED_VALUE"""),1999)</f>
        <v>1999</v>
      </c>
      <c r="J5" s="56" t="str">
        <f ca="1">IFERROR(__xludf.DUMMYFUNCTION("""COMPUTED_VALUE"""),"USA")</f>
        <v>USA</v>
      </c>
      <c r="K5" s="56" t="str">
        <f ca="1">IFERROR(__xludf.DUMMYFUNCTION("""COMPUTED_VALUE"""),"Ainsworth/Ainsworth")</f>
        <v>Ainsworth/Ainsworth</v>
      </c>
      <c r="L5" s="56">
        <f ca="1">IFERROR(__xludf.DUMMYFUNCTION("""COMPUTED_VALUE"""),1)</f>
        <v>1</v>
      </c>
      <c r="M5" s="56">
        <f ca="1">IFERROR(__xludf.DUMMYFUNCTION("""COMPUTED_VALUE"""),1)</f>
        <v>1</v>
      </c>
      <c r="N5" s="56">
        <f ca="1">IFERROR(__xludf.DUMMYFUNCTION("""COMPUTED_VALUE"""),0)</f>
        <v>0</v>
      </c>
      <c r="O5" s="56">
        <f ca="1">IFERROR(__xludf.DUMMYFUNCTION("""COMPUTED_VALUE"""),1)</f>
        <v>1</v>
      </c>
      <c r="P5" s="56">
        <f ca="1">IFERROR(__xludf.DUMMYFUNCTION("""COMPUTED_VALUE"""),0.895)</f>
        <v>0.89500000000000002</v>
      </c>
      <c r="Q5" s="56">
        <f ca="1">IFERROR(__xludf.DUMMYFUNCTION("""COMPUTED_VALUE"""),0)</f>
        <v>0</v>
      </c>
      <c r="R5" t="str">
        <f ca="1">IFERROR(__xludf.DUMMYFUNCTION("""COMPUTED_VALUE"""),"Female")</f>
        <v>Female</v>
      </c>
    </row>
    <row r="6" spans="1:26" ht="15.75" customHeight="1">
      <c r="A6" s="56">
        <f ca="1">IFERROR(__xludf.DUMMYFUNCTION("""COMPUTED_VALUE"""),7)</f>
        <v>7</v>
      </c>
      <c r="B6" s="56" t="str">
        <f ca="1">IFERROR(__xludf.DUMMYFUNCTION("""COMPUTED_VALUE"""),"Barnett, Ganiban &amp; Cicchetti (1999)")</f>
        <v>Barnett, Ganiban &amp; Cicchetti (1999)</v>
      </c>
      <c r="C6" s="56">
        <f ca="1">IFERROR(__xludf.DUMMYFUNCTION("""COMPUTED_VALUE"""),2)</f>
        <v>2</v>
      </c>
      <c r="D6" s="56" t="str">
        <f ca="1">IFERROR(__xludf.DUMMYFUNCTION("""COMPUTED_VALUE"""),"Maltreated")</f>
        <v>Maltreated</v>
      </c>
      <c r="E6" s="56" t="str">
        <f ca="1">IFERROR(__xludf.DUMMYFUNCTION("""COMPUTED_VALUE"""),"Infancy - Infancy")</f>
        <v>Infancy - Infancy</v>
      </c>
      <c r="F6" s="56" t="str">
        <f ca="1">IFERROR(__xludf.DUMMYFUNCTION("""COMPUTED_VALUE"""),"18")</f>
        <v>18</v>
      </c>
      <c r="G6" s="56" t="str">
        <f ca="1">IFERROR(__xludf.DUMMYFUNCTION("""COMPUTED_VALUE"""),"0.2173913043")</f>
        <v>0.2173913043</v>
      </c>
      <c r="H6" s="56" t="str">
        <f ca="1">IFERROR(__xludf.DUMMYFUNCTION("""COMPUTED_VALUE"""),"0.6666666667")</f>
        <v>0.6666666667</v>
      </c>
      <c r="I6" s="56">
        <f ca="1">IFERROR(__xludf.DUMMYFUNCTION("""COMPUTED_VALUE"""),1999)</f>
        <v>1999</v>
      </c>
      <c r="J6" s="56" t="str">
        <f ca="1">IFERROR(__xludf.DUMMYFUNCTION("""COMPUTED_VALUE"""),"USA")</f>
        <v>USA</v>
      </c>
      <c r="K6" s="56" t="str">
        <f ca="1">IFERROR(__xludf.DUMMYFUNCTION("""COMPUTED_VALUE"""),"Ainsworth/Ainsworth")</f>
        <v>Ainsworth/Ainsworth</v>
      </c>
      <c r="L6" s="56">
        <f ca="1">IFERROR(__xludf.DUMMYFUNCTION("""COMPUTED_VALUE"""),1)</f>
        <v>1</v>
      </c>
      <c r="M6" s="56">
        <f ca="1">IFERROR(__xludf.DUMMYFUNCTION("""COMPUTED_VALUE"""),1)</f>
        <v>1</v>
      </c>
      <c r="N6" s="56">
        <f ca="1">IFERROR(__xludf.DUMMYFUNCTION("""COMPUTED_VALUE"""),0)</f>
        <v>0</v>
      </c>
      <c r="O6" s="56">
        <f ca="1">IFERROR(__xludf.DUMMYFUNCTION("""COMPUTED_VALUE"""),1)</f>
        <v>1</v>
      </c>
      <c r="P6" s="56">
        <f ca="1">IFERROR(__xludf.DUMMYFUNCTION("""COMPUTED_VALUE"""),0.865)</f>
        <v>0.86499999999999999</v>
      </c>
      <c r="Q6" s="56">
        <f ca="1">IFERROR(__xludf.DUMMYFUNCTION("""COMPUTED_VALUE"""),0)</f>
        <v>0</v>
      </c>
      <c r="R6" t="str">
        <f ca="1">IFERROR(__xludf.DUMMYFUNCTION("""COMPUTED_VALUE"""),"Female")</f>
        <v>Female</v>
      </c>
    </row>
    <row r="7" spans="1:26" ht="15.75" customHeight="1">
      <c r="A7" s="56">
        <f ca="1">IFERROR(__xludf.DUMMYFUNCTION("""COMPUTED_VALUE"""),7)</f>
        <v>7</v>
      </c>
      <c r="B7" s="56" t="str">
        <f ca="1">IFERROR(__xludf.DUMMYFUNCTION("""COMPUTED_VALUE"""),"Barnett, Ganiban &amp; Cicchetti (1999)")</f>
        <v>Barnett, Ganiban &amp; Cicchetti (1999)</v>
      </c>
      <c r="C7" s="56">
        <f ca="1">IFERROR(__xludf.DUMMYFUNCTION("""COMPUTED_VALUE"""),3)</f>
        <v>3</v>
      </c>
      <c r="D7" s="56" t="str">
        <f ca="1">IFERROR(__xludf.DUMMYFUNCTION("""COMPUTED_VALUE"""),"Maltreated")</f>
        <v>Maltreated</v>
      </c>
      <c r="E7" s="56" t="str">
        <f ca="1">IFERROR(__xludf.DUMMYFUNCTION("""COMPUTED_VALUE"""),"Infancy - Toddlerhood")</f>
        <v>Infancy - Toddlerhood</v>
      </c>
      <c r="F7" s="56" t="str">
        <f ca="1">IFERROR(__xludf.DUMMYFUNCTION("""COMPUTED_VALUE"""),"16")</f>
        <v>16</v>
      </c>
      <c r="G7" s="56" t="str">
        <f ca="1">IFERROR(__xludf.DUMMYFUNCTION("""COMPUTED_VALUE"""),"0.4285714286")</f>
        <v>0.4285714286</v>
      </c>
      <c r="H7" s="56" t="str">
        <f ca="1">IFERROR(__xludf.DUMMYFUNCTION("""COMPUTED_VALUE"""),"0.75")</f>
        <v>0.75</v>
      </c>
      <c r="I7" s="56">
        <f ca="1">IFERROR(__xludf.DUMMYFUNCTION("""COMPUTED_VALUE"""),1999)</f>
        <v>1999</v>
      </c>
      <c r="J7" s="56" t="str">
        <f ca="1">IFERROR(__xludf.DUMMYFUNCTION("""COMPUTED_VALUE"""),"USA")</f>
        <v>USA</v>
      </c>
      <c r="K7" s="56" t="str">
        <f ca="1">IFERROR(__xludf.DUMMYFUNCTION("""COMPUTED_VALUE"""),"Ainsworth/Ainsworth")</f>
        <v>Ainsworth/Ainsworth</v>
      </c>
      <c r="L7" s="56">
        <f ca="1">IFERROR(__xludf.DUMMYFUNCTION("""COMPUTED_VALUE"""),1)</f>
        <v>1</v>
      </c>
      <c r="M7" s="56">
        <f ca="1">IFERROR(__xludf.DUMMYFUNCTION("""COMPUTED_VALUE"""),1)</f>
        <v>1</v>
      </c>
      <c r="N7" s="56">
        <f ca="1">IFERROR(__xludf.DUMMYFUNCTION("""COMPUTED_VALUE"""),0)</f>
        <v>0</v>
      </c>
      <c r="O7" s="56">
        <f ca="1">IFERROR(__xludf.DUMMYFUNCTION("""COMPUTED_VALUE"""),1)</f>
        <v>1</v>
      </c>
      <c r="P7" s="56">
        <f ca="1">IFERROR(__xludf.DUMMYFUNCTION("""COMPUTED_VALUE"""),0.88)</f>
        <v>0.88</v>
      </c>
      <c r="Q7" s="56">
        <f ca="1">IFERROR(__xludf.DUMMYFUNCTION("""COMPUTED_VALUE"""),0)</f>
        <v>0</v>
      </c>
      <c r="R7" t="str">
        <f ca="1">IFERROR(__xludf.DUMMYFUNCTION("""COMPUTED_VALUE"""),"Female")</f>
        <v>Female</v>
      </c>
    </row>
    <row r="8" spans="1:26" ht="15.75" customHeight="1">
      <c r="A8" s="56">
        <f ca="1">IFERROR(__xludf.DUMMYFUNCTION("""COMPUTED_VALUE"""),8)</f>
        <v>8</v>
      </c>
      <c r="B8" s="56" t="str">
        <f ca="1">IFERROR(__xludf.DUMMYFUNCTION("""COMPUTED_VALUE"""),"Cicchetti &amp; Barnett (1991)")</f>
        <v>Cicchetti &amp; Barnett (1991)</v>
      </c>
      <c r="C8" s="56">
        <f ca="1">IFERROR(__xludf.DUMMYFUNCTION("""COMPUTED_VALUE"""),1)</f>
        <v>1</v>
      </c>
      <c r="D8" s="56" t="str">
        <f ca="1">IFERROR(__xludf.DUMMYFUNCTION("""COMPUTED_VALUE"""),"Maltreated, 18 month interval")</f>
        <v>Maltreated, 18 month interval</v>
      </c>
      <c r="E8" s="56" t="str">
        <f ca="1">IFERROR(__xludf.DUMMYFUNCTION("""COMPUTED_VALUE"""),"Toddlerhood - Preschool")</f>
        <v>Toddlerhood - Preschool</v>
      </c>
      <c r="F8" s="56" t="str">
        <f ca="1">IFERROR(__xludf.DUMMYFUNCTION("""COMPUTED_VALUE"""),"18")</f>
        <v>18</v>
      </c>
      <c r="G8" s="56" t="str">
        <f ca="1">IFERROR(__xludf.DUMMYFUNCTION("""COMPUTED_VALUE"""),"0.2987012987")</f>
        <v>0.2987012987</v>
      </c>
      <c r="H8" s="56" t="str">
        <f ca="1">IFERROR(__xludf.DUMMYFUNCTION("""COMPUTED_VALUE"""),"0.6666666667")</f>
        <v>0.6666666667</v>
      </c>
      <c r="I8" s="56">
        <f ca="1">IFERROR(__xludf.DUMMYFUNCTION("""COMPUTED_VALUE"""),1991)</f>
        <v>1991</v>
      </c>
      <c r="J8" s="56" t="str">
        <f ca="1">IFERROR(__xludf.DUMMYFUNCTION("""COMPUTED_VALUE"""),"USA")</f>
        <v>USA</v>
      </c>
      <c r="K8" s="56" t="str">
        <f ca="1">IFERROR(__xludf.DUMMYFUNCTION("""COMPUTED_VALUE"""),"Cassidy-Marvin/Cassidy-Marvin")</f>
        <v>Cassidy-Marvin/Cassidy-Marvin</v>
      </c>
      <c r="L8" s="56">
        <f ca="1">IFERROR(__xludf.DUMMYFUNCTION("""COMPUTED_VALUE"""),1)</f>
        <v>1</v>
      </c>
      <c r="M8" s="56">
        <f ca="1">IFERROR(__xludf.DUMMYFUNCTION("""COMPUTED_VALUE"""),1)</f>
        <v>1</v>
      </c>
      <c r="N8" s="56">
        <f ca="1">IFERROR(__xludf.DUMMYFUNCTION("""COMPUTED_VALUE"""),0)</f>
        <v>0</v>
      </c>
      <c r="O8" s="56">
        <f ca="1">IFERROR(__xludf.DUMMYFUNCTION("""COMPUTED_VALUE"""),1)</f>
        <v>1</v>
      </c>
      <c r="P8" s="56">
        <f ca="1">IFERROR(__xludf.DUMMYFUNCTION("""COMPUTED_VALUE"""),0.75)</f>
        <v>0.75</v>
      </c>
      <c r="Q8" s="56">
        <f ca="1">IFERROR(__xludf.DUMMYFUNCTION("""COMPUTED_VALUE"""),0)</f>
        <v>0</v>
      </c>
      <c r="R8" t="str">
        <f ca="1">IFERROR(__xludf.DUMMYFUNCTION("""COMPUTED_VALUE"""),"Mixed")</f>
        <v>Mixed</v>
      </c>
    </row>
    <row r="9" spans="1:26" ht="15.75" customHeight="1">
      <c r="A9" s="56">
        <f ca="1">IFERROR(__xludf.DUMMYFUNCTION("""COMPUTED_VALUE"""),8)</f>
        <v>8</v>
      </c>
      <c r="B9" s="56" t="str">
        <f ca="1">IFERROR(__xludf.DUMMYFUNCTION("""COMPUTED_VALUE"""),"Cicchetti &amp; Barnett (1991)")</f>
        <v>Cicchetti &amp; Barnett (1991)</v>
      </c>
      <c r="C9" s="56">
        <f ca="1">IFERROR(__xludf.DUMMYFUNCTION("""COMPUTED_VALUE"""),2)</f>
        <v>2</v>
      </c>
      <c r="D9" s="56" t="str">
        <f ca="1">IFERROR(__xludf.DUMMYFUNCTION("""COMPUTED_VALUE"""),"Maltreated, 12 month interval")</f>
        <v>Maltreated, 12 month interval</v>
      </c>
      <c r="E9" s="56" t="str">
        <f ca="1">IFERROR(__xludf.DUMMYFUNCTION("""COMPUTED_VALUE"""),"Toddlerhood - Preschool")</f>
        <v>Toddlerhood - Preschool</v>
      </c>
      <c r="F9" s="56" t="str">
        <f ca="1">IFERROR(__xludf.DUMMYFUNCTION("""COMPUTED_VALUE"""),"25")</f>
        <v>25</v>
      </c>
      <c r="G9" s="56" t="str">
        <f ca="1">IFERROR(__xludf.DUMMYFUNCTION("""COMPUTED_VALUE"""),"0.08759124088")</f>
        <v>0.08759124088</v>
      </c>
      <c r="H9" s="56" t="str">
        <f ca="1">IFERROR(__xludf.DUMMYFUNCTION("""COMPUTED_VALUE"""),"0.6")</f>
        <v>0.6</v>
      </c>
      <c r="I9" s="56">
        <f ca="1">IFERROR(__xludf.DUMMYFUNCTION("""COMPUTED_VALUE"""),1991)</f>
        <v>1991</v>
      </c>
      <c r="J9" s="56" t="str">
        <f ca="1">IFERROR(__xludf.DUMMYFUNCTION("""COMPUTED_VALUE"""),"USA")</f>
        <v>USA</v>
      </c>
      <c r="K9" s="56" t="str">
        <f ca="1">IFERROR(__xludf.DUMMYFUNCTION("""COMPUTED_VALUE"""),"Cassidy-Marvin/Cassidy-Marvin")</f>
        <v>Cassidy-Marvin/Cassidy-Marvin</v>
      </c>
      <c r="L9" s="56">
        <f ca="1">IFERROR(__xludf.DUMMYFUNCTION("""COMPUTED_VALUE"""),1)</f>
        <v>1</v>
      </c>
      <c r="M9" s="56">
        <f ca="1">IFERROR(__xludf.DUMMYFUNCTION("""COMPUTED_VALUE"""),1)</f>
        <v>1</v>
      </c>
      <c r="N9" s="56">
        <f ca="1">IFERROR(__xludf.DUMMYFUNCTION("""COMPUTED_VALUE"""),0)</f>
        <v>0</v>
      </c>
      <c r="O9" s="56">
        <f ca="1">IFERROR(__xludf.DUMMYFUNCTION("""COMPUTED_VALUE"""),1)</f>
        <v>1</v>
      </c>
      <c r="P9" s="56">
        <f ca="1">IFERROR(__xludf.DUMMYFUNCTION("""COMPUTED_VALUE"""),0.75)</f>
        <v>0.75</v>
      </c>
      <c r="Q9" s="56">
        <f ca="1">IFERROR(__xludf.DUMMYFUNCTION("""COMPUTED_VALUE"""),0)</f>
        <v>0</v>
      </c>
      <c r="R9" t="str">
        <f ca="1">IFERROR(__xludf.DUMMYFUNCTION("""COMPUTED_VALUE"""),"Mixed")</f>
        <v>Mixed</v>
      </c>
    </row>
    <row r="10" spans="1:26" ht="15.75" customHeight="1">
      <c r="A10" s="56">
        <f ca="1">IFERROR(__xludf.DUMMYFUNCTION("""COMPUTED_VALUE"""),9)</f>
        <v>9</v>
      </c>
      <c r="B10" s="56" t="str">
        <f ca="1">IFERROR(__xludf.DUMMYFUNCTION("""COMPUTED_VALUE"""),"Cicchetti &amp; Barnett (1991)")</f>
        <v>Cicchetti &amp; Barnett (1991)</v>
      </c>
      <c r="C10" s="56">
        <f ca="1">IFERROR(__xludf.DUMMYFUNCTION("""COMPUTED_VALUE"""),1)</f>
        <v>1</v>
      </c>
      <c r="D10" s="56" t="str">
        <f ca="1">IFERROR(__xludf.DUMMYFUNCTION("""COMPUTED_VALUE"""),"Comparison, 18 month interval")</f>
        <v>Comparison, 18 month interval</v>
      </c>
      <c r="E10" s="56" t="str">
        <f ca="1">IFERROR(__xludf.DUMMYFUNCTION("""COMPUTED_VALUE"""),"Toddlerhood - Preschool")</f>
        <v>Toddlerhood - Preschool</v>
      </c>
      <c r="F10" s="56" t="str">
        <f ca="1">IFERROR(__xludf.DUMMYFUNCTION("""COMPUTED_VALUE"""),"15")</f>
        <v>15</v>
      </c>
      <c r="G10" s="56" t="str">
        <f ca="1">IFERROR(__xludf.DUMMYFUNCTION("""COMPUTED_VALUE"""),"-0.1538461538")</f>
        <v>-0.1538461538</v>
      </c>
      <c r="H10" s="56" t="str">
        <f ca="1">IFERROR(__xludf.DUMMYFUNCTION("""COMPUTED_VALUE"""),"0.7333333333")</f>
        <v>0.7333333333</v>
      </c>
      <c r="I10" s="56">
        <f ca="1">IFERROR(__xludf.DUMMYFUNCTION("""COMPUTED_VALUE"""),1991)</f>
        <v>1991</v>
      </c>
      <c r="J10" s="56" t="str">
        <f ca="1">IFERROR(__xludf.DUMMYFUNCTION("""COMPUTED_VALUE"""),"USA")</f>
        <v>USA</v>
      </c>
      <c r="K10" s="56" t="str">
        <f ca="1">IFERROR(__xludf.DUMMYFUNCTION("""COMPUTED_VALUE"""),"Cassidy-Marvin/Cassidy-Marvin")</f>
        <v>Cassidy-Marvin/Cassidy-Marvin</v>
      </c>
      <c r="L10" s="56">
        <f ca="1">IFERROR(__xludf.DUMMYFUNCTION("""COMPUTED_VALUE"""),1)</f>
        <v>1</v>
      </c>
      <c r="M10" s="56">
        <f ca="1">IFERROR(__xludf.DUMMYFUNCTION("""COMPUTED_VALUE"""),1)</f>
        <v>1</v>
      </c>
      <c r="N10" s="56">
        <f ca="1">IFERROR(__xludf.DUMMYFUNCTION("""COMPUTED_VALUE"""),0)</f>
        <v>0</v>
      </c>
      <c r="O10" s="56">
        <f ca="1">IFERROR(__xludf.DUMMYFUNCTION("""COMPUTED_VALUE"""),1)</f>
        <v>1</v>
      </c>
      <c r="P10" s="56">
        <f ca="1">IFERROR(__xludf.DUMMYFUNCTION("""COMPUTED_VALUE"""),0.75)</f>
        <v>0.75</v>
      </c>
      <c r="Q10" s="56">
        <f ca="1">IFERROR(__xludf.DUMMYFUNCTION("""COMPUTED_VALUE"""),0)</f>
        <v>0</v>
      </c>
      <c r="R10" t="str">
        <f ca="1">IFERROR(__xludf.DUMMYFUNCTION("""COMPUTED_VALUE"""),"Mixed")</f>
        <v>Mixed</v>
      </c>
    </row>
    <row r="11" spans="1:26" ht="15.75" customHeight="1">
      <c r="A11" s="56">
        <f ca="1">IFERROR(__xludf.DUMMYFUNCTION("""COMPUTED_VALUE"""),9)</f>
        <v>9</v>
      </c>
      <c r="B11" s="56" t="str">
        <f ca="1">IFERROR(__xludf.DUMMYFUNCTION("""COMPUTED_VALUE"""),"Cicchetti &amp; Barnett (1991)")</f>
        <v>Cicchetti &amp; Barnett (1991)</v>
      </c>
      <c r="C11" s="56">
        <f ca="1">IFERROR(__xludf.DUMMYFUNCTION("""COMPUTED_VALUE"""),2)</f>
        <v>2</v>
      </c>
      <c r="D11" s="56" t="str">
        <f ca="1">IFERROR(__xludf.DUMMYFUNCTION("""COMPUTED_VALUE"""),"Comparison, 12 month interval")</f>
        <v>Comparison, 12 month interval</v>
      </c>
      <c r="E11" s="56" t="str">
        <f ca="1">IFERROR(__xludf.DUMMYFUNCTION("""COMPUTED_VALUE"""),"Toddlerhood - Preschool")</f>
        <v>Toddlerhood - Preschool</v>
      </c>
      <c r="F11" s="56" t="str">
        <f ca="1">IFERROR(__xludf.DUMMYFUNCTION("""COMPUTED_VALUE"""),"20")</f>
        <v>20</v>
      </c>
      <c r="G11" s="56" t="str">
        <f ca="1">IFERROR(__xludf.DUMMYFUNCTION("""COMPUTED_VALUE"""),"0.4117647059")</f>
        <v>0.4117647059</v>
      </c>
      <c r="H11" s="56" t="str">
        <f ca="1">IFERROR(__xludf.DUMMYFUNCTION("""COMPUTED_VALUE"""),"0.8")</f>
        <v>0.8</v>
      </c>
      <c r="I11" s="56">
        <f ca="1">IFERROR(__xludf.DUMMYFUNCTION("""COMPUTED_VALUE"""),1991)</f>
        <v>1991</v>
      </c>
      <c r="J11" s="56" t="str">
        <f ca="1">IFERROR(__xludf.DUMMYFUNCTION("""COMPUTED_VALUE"""),"USA")</f>
        <v>USA</v>
      </c>
      <c r="K11" s="56" t="str">
        <f ca="1">IFERROR(__xludf.DUMMYFUNCTION("""COMPUTED_VALUE"""),"Cassidy-Marvin/Cassidy-Marvin")</f>
        <v>Cassidy-Marvin/Cassidy-Marvin</v>
      </c>
      <c r="L11" s="56">
        <f ca="1">IFERROR(__xludf.DUMMYFUNCTION("""COMPUTED_VALUE"""),1)</f>
        <v>1</v>
      </c>
      <c r="M11" s="56">
        <f ca="1">IFERROR(__xludf.DUMMYFUNCTION("""COMPUTED_VALUE"""),1)</f>
        <v>1</v>
      </c>
      <c r="N11" s="56">
        <f ca="1">IFERROR(__xludf.DUMMYFUNCTION("""COMPUTED_VALUE"""),0)</f>
        <v>0</v>
      </c>
      <c r="O11" s="56">
        <f ca="1">IFERROR(__xludf.DUMMYFUNCTION("""COMPUTED_VALUE"""),1)</f>
        <v>1</v>
      </c>
      <c r="P11" s="56">
        <f ca="1">IFERROR(__xludf.DUMMYFUNCTION("""COMPUTED_VALUE"""),0.75)</f>
        <v>0.75</v>
      </c>
      <c r="Q11" s="56">
        <f ca="1">IFERROR(__xludf.DUMMYFUNCTION("""COMPUTED_VALUE"""),0)</f>
        <v>0</v>
      </c>
      <c r="R11" t="str">
        <f ca="1">IFERROR(__xludf.DUMMYFUNCTION("""COMPUTED_VALUE"""),"Mixed")</f>
        <v>Mixed</v>
      </c>
    </row>
    <row r="12" spans="1:26" ht="15.75" customHeight="1">
      <c r="A12" s="56">
        <f ca="1">IFERROR(__xludf.DUMMYFUNCTION("""COMPUTED_VALUE"""),10)</f>
        <v>10</v>
      </c>
      <c r="B12" s="56" t="str">
        <f ca="1">IFERROR(__xludf.DUMMYFUNCTION("""COMPUTED_VALUE"""),"Cicchetti, Rogosch &amp; Toth (2006)")</f>
        <v>Cicchetti, Rogosch &amp; Toth (2006)</v>
      </c>
      <c r="C12" s="56">
        <f ca="1">IFERROR(__xludf.DUMMYFUNCTION("""COMPUTED_VALUE"""),1)</f>
        <v>1</v>
      </c>
      <c r="D12" s="56" t="str">
        <f ca="1">IFERROR(__xludf.DUMMYFUNCTION("""COMPUTED_VALUE"""),"Maltreated")</f>
        <v>Maltreated</v>
      </c>
      <c r="E12" s="56" t="str">
        <f ca="1">IFERROR(__xludf.DUMMYFUNCTION("""COMPUTED_VALUE"""),"Infancy - Toddlerhood")</f>
        <v>Infancy - Toddlerhood</v>
      </c>
      <c r="F12" s="56" t="str">
        <f ca="1">IFERROR(__xludf.DUMMYFUNCTION("""COMPUTED_VALUE"""),"54")</f>
        <v>54</v>
      </c>
      <c r="G12" s="56" t="str">
        <f ca="1">IFERROR(__xludf.DUMMYFUNCTION("""COMPUTED_VALUE"""),"0.2556390977")</f>
        <v>0.2556390977</v>
      </c>
      <c r="H12" s="56" t="str">
        <f ca="1">IFERROR(__xludf.DUMMYFUNCTION("""COMPUTED_VALUE"""),"0.7962962963")</f>
        <v>0.7962962963</v>
      </c>
      <c r="I12" s="56">
        <f ca="1">IFERROR(__xludf.DUMMYFUNCTION("""COMPUTED_VALUE"""),2006)</f>
        <v>2006</v>
      </c>
      <c r="J12" s="56" t="str">
        <f ca="1">IFERROR(__xludf.DUMMYFUNCTION("""COMPUTED_VALUE"""),"USA")</f>
        <v>USA</v>
      </c>
      <c r="K12" s="56" t="str">
        <f ca="1">IFERROR(__xludf.DUMMYFUNCTION("""COMPUTED_VALUE"""),"Ainsworth/Schneider-Rosen")</f>
        <v>Ainsworth/Schneider-Rosen</v>
      </c>
      <c r="L12" s="56">
        <f ca="1">IFERROR(__xludf.DUMMYFUNCTION("""COMPUTED_VALUE"""),1)</f>
        <v>1</v>
      </c>
      <c r="M12" s="56">
        <f ca="1">IFERROR(__xludf.DUMMYFUNCTION("""COMPUTED_VALUE"""),1)</f>
        <v>1</v>
      </c>
      <c r="N12" s="56">
        <f ca="1">IFERROR(__xludf.DUMMYFUNCTION("""COMPUTED_VALUE"""),0)</f>
        <v>0</v>
      </c>
      <c r="O12" s="56">
        <f ca="1">IFERROR(__xludf.DUMMYFUNCTION("""COMPUTED_VALUE"""),1)</f>
        <v>1</v>
      </c>
      <c r="P12" s="56">
        <f ca="1">IFERROR(__xludf.DUMMYFUNCTION("""COMPUTED_VALUE"""),0.88)</f>
        <v>0.88</v>
      </c>
      <c r="Q12" s="56">
        <f ca="1">IFERROR(__xludf.DUMMYFUNCTION("""COMPUTED_VALUE"""),0)</f>
        <v>0</v>
      </c>
      <c r="R12" t="str">
        <f ca="1">IFERROR(__xludf.DUMMYFUNCTION("""COMPUTED_VALUE"""),"Female")</f>
        <v>Female</v>
      </c>
    </row>
    <row r="13" spans="1:26" ht="15.75" customHeight="1">
      <c r="A13" s="56">
        <f ca="1">IFERROR(__xludf.DUMMYFUNCTION("""COMPUTED_VALUE"""),11)</f>
        <v>11</v>
      </c>
      <c r="B13" s="56" t="str">
        <f ca="1">IFERROR(__xludf.DUMMYFUNCTION("""COMPUTED_VALUE"""),"Cicchetti, Rogosch &amp; Toth (2006)")</f>
        <v>Cicchetti, Rogosch &amp; Toth (2006)</v>
      </c>
      <c r="C13" s="56">
        <f ca="1">IFERROR(__xludf.DUMMYFUNCTION("""COMPUTED_VALUE"""),1)</f>
        <v>1</v>
      </c>
      <c r="D13" s="56" t="str">
        <f ca="1">IFERROR(__xludf.DUMMYFUNCTION("""COMPUTED_VALUE"""),"Comparison")</f>
        <v>Comparison</v>
      </c>
      <c r="E13" s="56" t="str">
        <f ca="1">IFERROR(__xludf.DUMMYFUNCTION("""COMPUTED_VALUE"""),"Infancy - Toddlerhood")</f>
        <v>Infancy - Toddlerhood</v>
      </c>
      <c r="F13" s="56" t="str">
        <f ca="1">IFERROR(__xludf.DUMMYFUNCTION("""COMPUTED_VALUE"""),"44")</f>
        <v>44</v>
      </c>
      <c r="G13" s="56" t="str">
        <f ca="1">IFERROR(__xludf.DUMMYFUNCTION("""COMPUTED_VALUE"""),"0.309623431")</f>
        <v>0.309623431</v>
      </c>
      <c r="H13" s="56" t="str">
        <f ca="1">IFERROR(__xludf.DUMMYFUNCTION("""COMPUTED_VALUE"""),"0.6590909091")</f>
        <v>0.6590909091</v>
      </c>
      <c r="I13" s="56">
        <f ca="1">IFERROR(__xludf.DUMMYFUNCTION("""COMPUTED_VALUE"""),2006)</f>
        <v>2006</v>
      </c>
      <c r="J13" s="56" t="str">
        <f ca="1">IFERROR(__xludf.DUMMYFUNCTION("""COMPUTED_VALUE"""),"USA")</f>
        <v>USA</v>
      </c>
      <c r="K13" s="56" t="str">
        <f ca="1">IFERROR(__xludf.DUMMYFUNCTION("""COMPUTED_VALUE"""),"Ainsworth/Schneider-Rosen")</f>
        <v>Ainsworth/Schneider-Rosen</v>
      </c>
      <c r="L13" s="56">
        <f ca="1">IFERROR(__xludf.DUMMYFUNCTION("""COMPUTED_VALUE"""),1)</f>
        <v>1</v>
      </c>
      <c r="M13" s="56">
        <f ca="1">IFERROR(__xludf.DUMMYFUNCTION("""COMPUTED_VALUE"""),0)</f>
        <v>0</v>
      </c>
      <c r="N13" s="56">
        <f ca="1">IFERROR(__xludf.DUMMYFUNCTION("""COMPUTED_VALUE"""),0)</f>
        <v>0</v>
      </c>
      <c r="O13" s="56">
        <f ca="1">IFERROR(__xludf.DUMMYFUNCTION("""COMPUTED_VALUE"""),1)</f>
        <v>1</v>
      </c>
      <c r="P13" s="56">
        <f ca="1">IFERROR(__xludf.DUMMYFUNCTION("""COMPUTED_VALUE"""),0.88)</f>
        <v>0.88</v>
      </c>
      <c r="Q13" s="56">
        <f ca="1">IFERROR(__xludf.DUMMYFUNCTION("""COMPUTED_VALUE"""),0)</f>
        <v>0</v>
      </c>
      <c r="R13" t="str">
        <f ca="1">IFERROR(__xludf.DUMMYFUNCTION("""COMPUTED_VALUE"""),"Female")</f>
        <v>Female</v>
      </c>
    </row>
    <row r="14" spans="1:26" ht="15.75" customHeight="1">
      <c r="A14" s="56">
        <f ca="1">IFERROR(__xludf.DUMMYFUNCTION("""COMPUTED_VALUE"""),13)</f>
        <v>13</v>
      </c>
      <c r="B14" s="56" t="str">
        <f ca="1">IFERROR(__xludf.DUMMYFUNCTION("""COMPUTED_VALUE"""),"Fish (2004)")</f>
        <v>Fish (2004)</v>
      </c>
      <c r="C14" s="56">
        <f ca="1">IFERROR(__xludf.DUMMYFUNCTION("""COMPUTED_VALUE"""),1)</f>
        <v>1</v>
      </c>
      <c r="D14" s="56" t="str">
        <f ca="1">IFERROR(__xludf.DUMMYFUNCTION("""COMPUTED_VALUE"""),"Single sample")</f>
        <v>Single sample</v>
      </c>
      <c r="E14" s="56" t="str">
        <f ca="1">IFERROR(__xludf.DUMMYFUNCTION("""COMPUTED_VALUE"""),"Infancy - Preschool")</f>
        <v>Infancy - Preschool</v>
      </c>
      <c r="F14" s="56" t="str">
        <f ca="1">IFERROR(__xludf.DUMMYFUNCTION("""COMPUTED_VALUE"""),"82")</f>
        <v>82</v>
      </c>
      <c r="G14" s="56" t="str">
        <f ca="1">IFERROR(__xludf.DUMMYFUNCTION("""COMPUTED_VALUE"""),"-0.02414654455")</f>
        <v>-0.02414654455</v>
      </c>
      <c r="H14" s="56" t="str">
        <f ca="1">IFERROR(__xludf.DUMMYFUNCTION("""COMPUTED_VALUE"""),"0.6341463415")</f>
        <v>0.6341463415</v>
      </c>
      <c r="I14" s="56">
        <f ca="1">IFERROR(__xludf.DUMMYFUNCTION("""COMPUTED_VALUE"""),2004)</f>
        <v>2004</v>
      </c>
      <c r="J14" s="56" t="str">
        <f ca="1">IFERROR(__xludf.DUMMYFUNCTION("""COMPUTED_VALUE"""),"USA")</f>
        <v>USA</v>
      </c>
      <c r="K14" s="56" t="str">
        <f ca="1">IFERROR(__xludf.DUMMYFUNCTION("""COMPUTED_VALUE"""),"Ainsworth/Cassidy-Marvin")</f>
        <v>Ainsworth/Cassidy-Marvin</v>
      </c>
      <c r="L14" s="56">
        <f ca="1">IFERROR(__xludf.DUMMYFUNCTION("""COMPUTED_VALUE"""),1)</f>
        <v>1</v>
      </c>
      <c r="M14" s="56">
        <f ca="1">IFERROR(__xludf.DUMMYFUNCTION("""COMPUTED_VALUE"""),1)</f>
        <v>1</v>
      </c>
      <c r="N14" s="56">
        <f ca="1">IFERROR(__xludf.DUMMYFUNCTION("""COMPUTED_VALUE"""),0)</f>
        <v>0</v>
      </c>
      <c r="O14" s="56">
        <f ca="1">IFERROR(__xludf.DUMMYFUNCTION("""COMPUTED_VALUE"""),1)</f>
        <v>1</v>
      </c>
      <c r="P14" s="56">
        <f ca="1">IFERROR(__xludf.DUMMYFUNCTION("""COMPUTED_VALUE"""),0.769)</f>
        <v>0.76900000000000002</v>
      </c>
      <c r="Q14" s="56">
        <f ca="1">IFERROR(__xludf.DUMMYFUNCTION("""COMPUTED_VALUE"""),0)</f>
        <v>0</v>
      </c>
      <c r="R14" t="str">
        <f ca="1">IFERROR(__xludf.DUMMYFUNCTION("""COMPUTED_VALUE"""),"Female")</f>
        <v>Female</v>
      </c>
    </row>
    <row r="15" spans="1:26" ht="15.75" customHeight="1">
      <c r="A15" s="56">
        <f ca="1">IFERROR(__xludf.DUMMYFUNCTION("""COMPUTED_VALUE"""),14)</f>
        <v>14</v>
      </c>
      <c r="B15" s="56" t="str">
        <f ca="1">IFERROR(__xludf.DUMMYFUNCTION("""COMPUTED_VALUE"""),"Ganiban, Barnett &amp; Cicchetti (2000)")</f>
        <v>Ganiban, Barnett &amp; Cicchetti (2000)</v>
      </c>
      <c r="C15" s="56">
        <f ca="1">IFERROR(__xludf.DUMMYFUNCTION("""COMPUTED_VALUE"""),1)</f>
        <v>1</v>
      </c>
      <c r="D15" s="56" t="str">
        <f ca="1">IFERROR(__xludf.DUMMYFUNCTION("""COMPUTED_VALUE"""),"Single sample")</f>
        <v>Single sample</v>
      </c>
      <c r="E15" s="56" t="str">
        <f ca="1">IFERROR(__xludf.DUMMYFUNCTION("""COMPUTED_VALUE"""),"Infancy - Toddlerhood")</f>
        <v>Infancy - Toddlerhood</v>
      </c>
      <c r="F15" s="56" t="str">
        <f ca="1">IFERROR(__xludf.DUMMYFUNCTION("""COMPUTED_VALUE"""),"30")</f>
        <v>30</v>
      </c>
      <c r="G15" s="56" t="str">
        <f ca="1">IFERROR(__xludf.DUMMYFUNCTION("""COMPUTED_VALUE"""),"-0.01694915254")</f>
        <v>-0.01694915254</v>
      </c>
      <c r="H15" s="56" t="str">
        <f ca="1">IFERROR(__xludf.DUMMYFUNCTION("""COMPUTED_VALUE"""),"0.6")</f>
        <v>0.6</v>
      </c>
      <c r="I15" s="56">
        <f ca="1">IFERROR(__xludf.DUMMYFUNCTION("""COMPUTED_VALUE"""),2000)</f>
        <v>2000</v>
      </c>
      <c r="J15" s="56" t="str">
        <f ca="1">IFERROR(__xludf.DUMMYFUNCTION("""COMPUTED_VALUE"""),"USA")</f>
        <v>USA</v>
      </c>
      <c r="K15" s="56" t="str">
        <f ca="1">IFERROR(__xludf.DUMMYFUNCTION("""COMPUTED_VALUE"""),"Ainsworth/Ainsworth")</f>
        <v>Ainsworth/Ainsworth</v>
      </c>
      <c r="L15" s="56">
        <f ca="1">IFERROR(__xludf.DUMMYFUNCTION("""COMPUTED_VALUE"""),1)</f>
        <v>1</v>
      </c>
      <c r="M15" s="56">
        <f ca="1">IFERROR(__xludf.DUMMYFUNCTION("""COMPUTED_VALUE"""),0)</f>
        <v>0</v>
      </c>
      <c r="N15" s="56">
        <f ca="1">IFERROR(__xludf.DUMMYFUNCTION("""COMPUTED_VALUE"""),1)</f>
        <v>1</v>
      </c>
      <c r="O15" s="56">
        <f ca="1">IFERROR(__xludf.DUMMYFUNCTION("""COMPUTED_VALUE"""),1)</f>
        <v>1</v>
      </c>
      <c r="P15" s="56">
        <f ca="1">IFERROR(__xludf.DUMMYFUNCTION("""COMPUTED_VALUE"""),1)</f>
        <v>1</v>
      </c>
      <c r="Q15" s="56">
        <f ca="1">IFERROR(__xludf.DUMMYFUNCTION("""COMPUTED_VALUE"""),0)</f>
        <v>0</v>
      </c>
      <c r="R15" t="str">
        <f ca="1">IFERROR(__xludf.DUMMYFUNCTION("""COMPUTED_VALUE"""),"Female")</f>
        <v>Female</v>
      </c>
    </row>
    <row r="16" spans="1:26" ht="15.75" customHeight="1">
      <c r="A16" s="56">
        <f ca="1">IFERROR(__xludf.DUMMYFUNCTION("""COMPUTED_VALUE"""),21)</f>
        <v>21</v>
      </c>
      <c r="B16" s="56" t="str">
        <f ca="1">IFERROR(__xludf.DUMMYFUNCTION("""COMPUTED_VALUE"""),"Levendosky et al. (2011)")</f>
        <v>Levendosky et al. (2011)</v>
      </c>
      <c r="C16" s="56">
        <f ca="1">IFERROR(__xludf.DUMMYFUNCTION("""COMPUTED_VALUE"""),1)</f>
        <v>1</v>
      </c>
      <c r="D16" s="56" t="str">
        <f ca="1">IFERROR(__xludf.DUMMYFUNCTION("""COMPUTED_VALUE"""),"Domestic violence dyads")</f>
        <v>Domestic violence dyads</v>
      </c>
      <c r="E16" s="56" t="str">
        <f ca="1">IFERROR(__xludf.DUMMYFUNCTION("""COMPUTED_VALUE"""),"Infancy - Preschool")</f>
        <v>Infancy - Preschool</v>
      </c>
      <c r="F16" s="56" t="str">
        <f ca="1">IFERROR(__xludf.DUMMYFUNCTION("""COMPUTED_VALUE"""),"150")</f>
        <v>150</v>
      </c>
      <c r="G16" s="56" t="str">
        <f ca="1">IFERROR(__xludf.DUMMYFUNCTION("""COMPUTED_VALUE"""),"0.0467404674")</f>
        <v>0.0467404674</v>
      </c>
      <c r="H16" s="56" t="str">
        <f ca="1">IFERROR(__xludf.DUMMYFUNCTION("""COMPUTED_VALUE"""),"0.7933333333")</f>
        <v>0.7933333333</v>
      </c>
      <c r="I16" s="56">
        <f ca="1">IFERROR(__xludf.DUMMYFUNCTION("""COMPUTED_VALUE"""),2011)</f>
        <v>2011</v>
      </c>
      <c r="J16" s="56" t="str">
        <f ca="1">IFERROR(__xludf.DUMMYFUNCTION("""COMPUTED_VALUE"""),"USA")</f>
        <v>USA</v>
      </c>
      <c r="K16" s="56" t="str">
        <f ca="1">IFERROR(__xludf.DUMMYFUNCTION("""COMPUTED_VALUE"""),"Ainsworth/Cassidy-Marvin")</f>
        <v>Ainsworth/Cassidy-Marvin</v>
      </c>
      <c r="L16" s="56">
        <f ca="1">IFERROR(__xludf.DUMMYFUNCTION("""COMPUTED_VALUE"""),1)</f>
        <v>1</v>
      </c>
      <c r="M16" s="56">
        <f ca="1">IFERROR(__xludf.DUMMYFUNCTION("""COMPUTED_VALUE"""),1)</f>
        <v>1</v>
      </c>
      <c r="N16" s="56">
        <f ca="1">IFERROR(__xludf.DUMMYFUNCTION("""COMPUTED_VALUE"""),0)</f>
        <v>0</v>
      </c>
      <c r="O16" s="56">
        <f ca="1">IFERROR(__xludf.DUMMYFUNCTION("""COMPUTED_VALUE"""),1)</f>
        <v>1</v>
      </c>
      <c r="P16" s="56">
        <f ca="1">IFERROR(__xludf.DUMMYFUNCTION("""COMPUTED_VALUE"""),0.83)</f>
        <v>0.83</v>
      </c>
      <c r="Q16" s="56">
        <f ca="1">IFERROR(__xludf.DUMMYFUNCTION("""COMPUTED_VALUE"""),0)</f>
        <v>0</v>
      </c>
      <c r="R16" t="str">
        <f ca="1">IFERROR(__xludf.DUMMYFUNCTION("""COMPUTED_VALUE"""),"Female")</f>
        <v>Female</v>
      </c>
    </row>
    <row r="17" spans="1:18" ht="15.75" customHeight="1">
      <c r="A17" s="56">
        <f ca="1">IFERROR(__xludf.DUMMYFUNCTION("""COMPUTED_VALUE"""),23)</f>
        <v>23</v>
      </c>
      <c r="B17" s="56" t="str">
        <f ca="1">IFERROR(__xludf.DUMMYFUNCTION("""COMPUTED_VALUE"""),"Main &amp; Cassidy (1988)")</f>
        <v>Main &amp; Cassidy (1988)</v>
      </c>
      <c r="C17" s="56">
        <f ca="1">IFERROR(__xludf.DUMMYFUNCTION("""COMPUTED_VALUE"""),1)</f>
        <v>1</v>
      </c>
      <c r="D17" s="56" t="str">
        <f ca="1">IFERROR(__xludf.DUMMYFUNCTION("""COMPUTED_VALUE"""),"Mother-child")</f>
        <v>Mother-child</v>
      </c>
      <c r="E17" s="56" t="str">
        <f ca="1">IFERROR(__xludf.DUMMYFUNCTION("""COMPUTED_VALUE"""),"Infancy - Preschool")</f>
        <v>Infancy - Preschool</v>
      </c>
      <c r="F17" s="56" t="str">
        <f ca="1">IFERROR(__xludf.DUMMYFUNCTION("""COMPUTED_VALUE"""),"32")</f>
        <v>32</v>
      </c>
      <c r="G17" s="56" t="str">
        <f ca="1">IFERROR(__xludf.DUMMYFUNCTION("""COMPUTED_VALUE"""),"0.724137931")</f>
        <v>0.724137931</v>
      </c>
      <c r="H17" s="56" t="str">
        <f ca="1">IFERROR(__xludf.DUMMYFUNCTION("""COMPUTED_VALUE"""),"0.875")</f>
        <v>0.875</v>
      </c>
      <c r="I17" s="56">
        <f ca="1">IFERROR(__xludf.DUMMYFUNCTION("""COMPUTED_VALUE"""),1988)</f>
        <v>1988</v>
      </c>
      <c r="J17" s="56" t="str">
        <f ca="1">IFERROR(__xludf.DUMMYFUNCTION("""COMPUTED_VALUE"""),"USA")</f>
        <v>USA</v>
      </c>
      <c r="K17" s="56" t="str">
        <f ca="1">IFERROR(__xludf.DUMMYFUNCTION("""COMPUTED_VALUE"""),"Ainsworth/Main-Cassidy")</f>
        <v>Ainsworth/Main-Cassidy</v>
      </c>
      <c r="L17" s="56">
        <f ca="1">IFERROR(__xludf.DUMMYFUNCTION("""COMPUTED_VALUE"""),1)</f>
        <v>1</v>
      </c>
      <c r="M17" s="56">
        <f ca="1">IFERROR(__xludf.DUMMYFUNCTION("""COMPUTED_VALUE"""),0)</f>
        <v>0</v>
      </c>
      <c r="N17" s="56">
        <f ca="1">IFERROR(__xludf.DUMMYFUNCTION("""COMPUTED_VALUE"""),0)</f>
        <v>0</v>
      </c>
      <c r="O17" s="56">
        <f ca="1">IFERROR(__xludf.DUMMYFUNCTION("""COMPUTED_VALUE"""),1)</f>
        <v>1</v>
      </c>
      <c r="P17" s="56">
        <f ca="1">IFERROR(__xludf.DUMMYFUNCTION("""COMPUTED_VALUE"""),0.83)</f>
        <v>0.83</v>
      </c>
      <c r="Q17" s="56">
        <f ca="1">IFERROR(__xludf.DUMMYFUNCTION("""COMPUTED_VALUE"""),1)</f>
        <v>1</v>
      </c>
      <c r="R17" t="str">
        <f ca="1">IFERROR(__xludf.DUMMYFUNCTION("""COMPUTED_VALUE"""),"Female")</f>
        <v>Female</v>
      </c>
    </row>
    <row r="18" spans="1:18" ht="15.75" customHeight="1">
      <c r="A18" s="56">
        <f ca="1">IFERROR(__xludf.DUMMYFUNCTION("""COMPUTED_VALUE"""),23)</f>
        <v>23</v>
      </c>
      <c r="B18" s="56" t="str">
        <f ca="1">IFERROR(__xludf.DUMMYFUNCTION("""COMPUTED_VALUE"""),"Main &amp; Cassidy (1988)")</f>
        <v>Main &amp; Cassidy (1988)</v>
      </c>
      <c r="C18" s="56">
        <f ca="1">IFERROR(__xludf.DUMMYFUNCTION("""COMPUTED_VALUE"""),2)</f>
        <v>2</v>
      </c>
      <c r="D18" s="56" t="str">
        <f ca="1">IFERROR(__xludf.DUMMYFUNCTION("""COMPUTED_VALUE"""),"Father-child")</f>
        <v>Father-child</v>
      </c>
      <c r="E18" s="56" t="str">
        <f ca="1">IFERROR(__xludf.DUMMYFUNCTION("""COMPUTED_VALUE"""),"Infancy - Preschool")</f>
        <v>Infancy - Preschool</v>
      </c>
      <c r="F18" s="56" t="str">
        <f ca="1">IFERROR(__xludf.DUMMYFUNCTION("""COMPUTED_VALUE"""),"33")</f>
        <v>33</v>
      </c>
      <c r="G18" s="56" t="str">
        <f ca="1">IFERROR(__xludf.DUMMYFUNCTION("""COMPUTED_VALUE"""),"0.2180094787")</f>
        <v>0.2180094787</v>
      </c>
      <c r="H18" s="56" t="str">
        <f ca="1">IFERROR(__xludf.DUMMYFUNCTION("""COMPUTED_VALUE"""),"0.8484848485")</f>
        <v>0.8484848485</v>
      </c>
      <c r="I18" s="56">
        <f ca="1">IFERROR(__xludf.DUMMYFUNCTION("""COMPUTED_VALUE"""),1988)</f>
        <v>1988</v>
      </c>
      <c r="J18" s="56" t="str">
        <f ca="1">IFERROR(__xludf.DUMMYFUNCTION("""COMPUTED_VALUE"""),"USA")</f>
        <v>USA</v>
      </c>
      <c r="K18" s="56" t="str">
        <f ca="1">IFERROR(__xludf.DUMMYFUNCTION("""COMPUTED_VALUE"""),"Ainsworth/Main-Cassidy")</f>
        <v>Ainsworth/Main-Cassidy</v>
      </c>
      <c r="L18" s="56">
        <f ca="1">IFERROR(__xludf.DUMMYFUNCTION("""COMPUTED_VALUE"""),1)</f>
        <v>1</v>
      </c>
      <c r="M18" s="56">
        <f ca="1">IFERROR(__xludf.DUMMYFUNCTION("""COMPUTED_VALUE"""),0)</f>
        <v>0</v>
      </c>
      <c r="N18" s="56">
        <f ca="1">IFERROR(__xludf.DUMMYFUNCTION("""COMPUTED_VALUE"""),0)</f>
        <v>0</v>
      </c>
      <c r="O18" s="56">
        <f ca="1">IFERROR(__xludf.DUMMYFUNCTION("""COMPUTED_VALUE"""),1)</f>
        <v>1</v>
      </c>
      <c r="P18" s="56">
        <f ca="1">IFERROR(__xludf.DUMMYFUNCTION("""COMPUTED_VALUE"""),0.77)</f>
        <v>0.77</v>
      </c>
      <c r="Q18" s="56">
        <f ca="1">IFERROR(__xludf.DUMMYFUNCTION("""COMPUTED_VALUE"""),1)</f>
        <v>1</v>
      </c>
      <c r="R18" t="str">
        <f ca="1">IFERROR(__xludf.DUMMYFUNCTION("""COMPUTED_VALUE"""),"Male")</f>
        <v>Male</v>
      </c>
    </row>
    <row r="19" spans="1:18" ht="15.75" customHeight="1">
      <c r="A19" s="56">
        <f ca="1">IFERROR(__xludf.DUMMYFUNCTION("""COMPUTED_VALUE"""),27)</f>
        <v>27</v>
      </c>
      <c r="B19" s="56" t="str">
        <f ca="1">IFERROR(__xludf.DUMMYFUNCTION("""COMPUTED_VALUE"""),"Milentijevic, Altman &amp; Ward (1995)")</f>
        <v>Milentijevic, Altman &amp; Ward (1995)</v>
      </c>
      <c r="C19" s="56">
        <f ca="1">IFERROR(__xludf.DUMMYFUNCTION("""COMPUTED_VALUE"""),1)</f>
        <v>1</v>
      </c>
      <c r="D19" s="56" t="str">
        <f ca="1">IFERROR(__xludf.DUMMYFUNCTION("""COMPUTED_VALUE"""),"Single sample")</f>
        <v>Single sample</v>
      </c>
      <c r="E19" s="56" t="str">
        <f ca="1">IFERROR(__xludf.DUMMYFUNCTION("""COMPUTED_VALUE"""),"Infancy - Preschool")</f>
        <v>Infancy - Preschool</v>
      </c>
      <c r="F19" s="56" t="str">
        <f ca="1">IFERROR(__xludf.DUMMYFUNCTION("""COMPUTED_VALUE"""),"86")</f>
        <v>86</v>
      </c>
      <c r="G19" s="56" t="str">
        <f ca="1">IFERROR(__xludf.DUMMYFUNCTION("""COMPUTED_VALUE"""),"0.1641468683")</f>
        <v>0.1641468683</v>
      </c>
      <c r="H19" s="56" t="str">
        <f ca="1">IFERROR(__xludf.DUMMYFUNCTION("""COMPUTED_VALUE"""),"0.6860465116")</f>
        <v>0.6860465116</v>
      </c>
      <c r="I19" s="56">
        <f ca="1">IFERROR(__xludf.DUMMYFUNCTION("""COMPUTED_VALUE"""),1995)</f>
        <v>1995</v>
      </c>
      <c r="J19" s="56" t="str">
        <f ca="1">IFERROR(__xludf.DUMMYFUNCTION("""COMPUTED_VALUE"""),"USA")</f>
        <v>USA</v>
      </c>
      <c r="K19" s="56" t="str">
        <f ca="1">IFERROR(__xludf.DUMMYFUNCTION("""COMPUTED_VALUE"""),"Ainsworth/Cassidy-Marvin")</f>
        <v>Ainsworth/Cassidy-Marvin</v>
      </c>
      <c r="L19" s="56">
        <f ca="1">IFERROR(__xludf.DUMMYFUNCTION("""COMPUTED_VALUE"""),0)</f>
        <v>0</v>
      </c>
      <c r="M19" s="56">
        <f ca="1">IFERROR(__xludf.DUMMYFUNCTION("""COMPUTED_VALUE"""),1)</f>
        <v>1</v>
      </c>
      <c r="N19" s="56">
        <f ca="1">IFERROR(__xludf.DUMMYFUNCTION("""COMPUTED_VALUE"""),0)</f>
        <v>0</v>
      </c>
      <c r="O19" s="56">
        <f ca="1">IFERROR(__xludf.DUMMYFUNCTION("""COMPUTED_VALUE"""),0)</f>
        <v>0</v>
      </c>
      <c r="P19" s="56">
        <f ca="1">IFERROR(__xludf.DUMMYFUNCTION("""COMPUTED_VALUE"""),0.8)</f>
        <v>0.8</v>
      </c>
      <c r="Q19" s="56">
        <f ca="1">IFERROR(__xludf.DUMMYFUNCTION("""COMPUTED_VALUE"""),1)</f>
        <v>1</v>
      </c>
      <c r="R19" t="str">
        <f ca="1">IFERROR(__xludf.DUMMYFUNCTION("""COMPUTED_VALUE"""),"Female")</f>
        <v>Female</v>
      </c>
    </row>
    <row r="20" spans="1:18" ht="15.75" customHeight="1">
      <c r="A20" s="56">
        <f ca="1">IFERROR(__xludf.DUMMYFUNCTION("""COMPUTED_VALUE"""),28)</f>
        <v>28</v>
      </c>
      <c r="B20" s="56" t="str">
        <f ca="1">IFERROR(__xludf.DUMMYFUNCTION("""COMPUTED_VALUE"""),"Moss et al. (2005)")</f>
        <v>Moss et al. (2005)</v>
      </c>
      <c r="C20" s="56">
        <f ca="1">IFERROR(__xludf.DUMMYFUNCTION("""COMPUTED_VALUE"""),1)</f>
        <v>1</v>
      </c>
      <c r="D20" s="56" t="str">
        <f ca="1">IFERROR(__xludf.DUMMYFUNCTION("""COMPUTED_VALUE"""),"Single sample")</f>
        <v>Single sample</v>
      </c>
      <c r="E20" s="56" t="str">
        <f ca="1">IFERROR(__xludf.DUMMYFUNCTION("""COMPUTED_VALUE"""),"Preschool - Preschool")</f>
        <v>Preschool - Preschool</v>
      </c>
      <c r="F20" s="56" t="str">
        <f ca="1">IFERROR(__xludf.DUMMYFUNCTION("""COMPUTED_VALUE"""),"120")</f>
        <v>120</v>
      </c>
      <c r="G20" s="56" t="str">
        <f ca="1">IFERROR(__xludf.DUMMYFUNCTION("""COMPUTED_VALUE"""),"0.4841483074")</f>
        <v>0.4841483074</v>
      </c>
      <c r="H20" s="56" t="str">
        <f ca="1">IFERROR(__xludf.DUMMYFUNCTION("""COMPUTED_VALUE"""),"0.8666666667")</f>
        <v>0.8666666667</v>
      </c>
      <c r="I20" s="56">
        <f ca="1">IFERROR(__xludf.DUMMYFUNCTION("""COMPUTED_VALUE"""),2005)</f>
        <v>2005</v>
      </c>
      <c r="J20" s="56" t="str">
        <f ca="1">IFERROR(__xludf.DUMMYFUNCTION("""COMPUTED_VALUE"""),"Non-USA")</f>
        <v>Non-USA</v>
      </c>
      <c r="K20" s="56" t="str">
        <f ca="1">IFERROR(__xludf.DUMMYFUNCTION("""COMPUTED_VALUE"""),"Cassidy-Marvin/Main-Cassidy")</f>
        <v>Cassidy-Marvin/Main-Cassidy</v>
      </c>
      <c r="L20" s="56">
        <f ca="1">IFERROR(__xludf.DUMMYFUNCTION("""COMPUTED_VALUE"""),1)</f>
        <v>1</v>
      </c>
      <c r="M20" s="56">
        <f ca="1">IFERROR(__xludf.DUMMYFUNCTION("""COMPUTED_VALUE"""),0)</f>
        <v>0</v>
      </c>
      <c r="N20" s="56">
        <f ca="1">IFERROR(__xludf.DUMMYFUNCTION("""COMPUTED_VALUE"""),0)</f>
        <v>0</v>
      </c>
      <c r="O20" s="56">
        <f ca="1">IFERROR(__xludf.DUMMYFUNCTION("""COMPUTED_VALUE"""),1)</f>
        <v>1</v>
      </c>
      <c r="P20" s="56">
        <f ca="1">IFERROR(__xludf.DUMMYFUNCTION("""COMPUTED_VALUE"""),0.895)</f>
        <v>0.89500000000000002</v>
      </c>
      <c r="Q20" s="56">
        <f ca="1">IFERROR(__xludf.DUMMYFUNCTION("""COMPUTED_VALUE"""),0)</f>
        <v>0</v>
      </c>
      <c r="R20" t="str">
        <f ca="1">IFERROR(__xludf.DUMMYFUNCTION("""COMPUTED_VALUE"""),"Female")</f>
        <v>Female</v>
      </c>
    </row>
    <row r="21" spans="1:18" ht="15.75" customHeight="1">
      <c r="A21" s="56">
        <f ca="1">IFERROR(__xludf.DUMMYFUNCTION("""COMPUTED_VALUE"""),29)</f>
        <v>29</v>
      </c>
      <c r="B21" s="56" t="str">
        <f ca="1">IFERROR(__xludf.DUMMYFUNCTION("""COMPUTED_VALUE"""),"NICHD (2001)")</f>
        <v>NICHD (2001)</v>
      </c>
      <c r="C21" s="56">
        <f ca="1">IFERROR(__xludf.DUMMYFUNCTION("""COMPUTED_VALUE"""),1)</f>
        <v>1</v>
      </c>
      <c r="D21" s="56" t="str">
        <f ca="1">IFERROR(__xludf.DUMMYFUNCTION("""COMPUTED_VALUE"""),"Single sample")</f>
        <v>Single sample</v>
      </c>
      <c r="E21" s="56" t="str">
        <f ca="1">IFERROR(__xludf.DUMMYFUNCTION("""COMPUTED_VALUE"""),"Infancy - Toddlerhood")</f>
        <v>Infancy - Toddlerhood</v>
      </c>
      <c r="F21" s="56" t="str">
        <f ca="1">IFERROR(__xludf.DUMMYFUNCTION("""COMPUTED_VALUE"""),"1,060")</f>
        <v>1,060</v>
      </c>
      <c r="G21" s="56" t="str">
        <f ca="1">IFERROR(__xludf.DUMMYFUNCTION("""COMPUTED_VALUE"""),"0.05003200701")</f>
        <v>0.05003200701</v>
      </c>
      <c r="H21" s="56" t="str">
        <f ca="1">IFERROR(__xludf.DUMMYFUNCTION("""COMPUTED_VALUE"""),"0.7490566038")</f>
        <v>0.7490566038</v>
      </c>
      <c r="I21" s="56">
        <f ca="1">IFERROR(__xludf.DUMMYFUNCTION("""COMPUTED_VALUE"""),2001)</f>
        <v>2001</v>
      </c>
      <c r="J21" s="56" t="str">
        <f ca="1">IFERROR(__xludf.DUMMYFUNCTION("""COMPUTED_VALUE"""),"USA")</f>
        <v>USA</v>
      </c>
      <c r="K21" s="56" t="str">
        <f ca="1">IFERROR(__xludf.DUMMYFUNCTION("""COMPUTED_VALUE"""),"Ainsworth/Cassidy-Marvin")</f>
        <v>Ainsworth/Cassidy-Marvin</v>
      </c>
      <c r="L21" s="56">
        <f ca="1">IFERROR(__xludf.DUMMYFUNCTION("""COMPUTED_VALUE"""),1)</f>
        <v>1</v>
      </c>
      <c r="M21" s="56">
        <f ca="1">IFERROR(__xludf.DUMMYFUNCTION("""COMPUTED_VALUE"""),0)</f>
        <v>0</v>
      </c>
      <c r="N21" s="56">
        <f ca="1">IFERROR(__xludf.DUMMYFUNCTION("""COMPUTED_VALUE"""),0)</f>
        <v>0</v>
      </c>
      <c r="O21" s="56">
        <f ca="1">IFERROR(__xludf.DUMMYFUNCTION("""COMPUTED_VALUE"""),1)</f>
        <v>1</v>
      </c>
      <c r="P21" s="56">
        <f ca="1">IFERROR(__xludf.DUMMYFUNCTION("""COMPUTED_VALUE"""),0.7885)</f>
        <v>0.78849999999999998</v>
      </c>
      <c r="Q21" s="56">
        <f ca="1">IFERROR(__xludf.DUMMYFUNCTION("""COMPUTED_VALUE"""),0)</f>
        <v>0</v>
      </c>
      <c r="R21" t="str">
        <f ca="1">IFERROR(__xludf.DUMMYFUNCTION("""COMPUTED_VALUE"""),"Female")</f>
        <v>Female</v>
      </c>
    </row>
    <row r="22" spans="1:18" ht="15.75" customHeight="1">
      <c r="A22" s="56">
        <f ca="1">IFERROR(__xludf.DUMMYFUNCTION("""COMPUTED_VALUE"""),30)</f>
        <v>30</v>
      </c>
      <c r="B22" s="56" t="str">
        <f ca="1">IFERROR(__xludf.DUMMYFUNCTION("""COMPUTED_VALUE"""),"Rauh et al. (2000)")</f>
        <v>Rauh et al. (2000)</v>
      </c>
      <c r="C22" s="56">
        <f ca="1">IFERROR(__xludf.DUMMYFUNCTION("""COMPUTED_VALUE"""),1)</f>
        <v>1</v>
      </c>
      <c r="D22" s="56" t="str">
        <f ca="1">IFERROR(__xludf.DUMMYFUNCTION("""COMPUTED_VALUE"""),"Ainsworth-Ainsworth")</f>
        <v>Ainsworth-Ainsworth</v>
      </c>
      <c r="E22" s="56" t="str">
        <f ca="1">IFERROR(__xludf.DUMMYFUNCTION("""COMPUTED_VALUE"""),"Infancy - Toddlerhood")</f>
        <v>Infancy - Toddlerhood</v>
      </c>
      <c r="F22" s="56" t="str">
        <f ca="1">IFERROR(__xludf.DUMMYFUNCTION("""COMPUTED_VALUE"""),"75")</f>
        <v>75</v>
      </c>
      <c r="G22" s="56" t="str">
        <f ca="1">IFERROR(__xludf.DUMMYFUNCTION("""COMPUTED_VALUE"""),"-0.05263157895")</f>
        <v>-0.05263157895</v>
      </c>
      <c r="H22" s="56" t="str">
        <f ca="1">IFERROR(__xludf.DUMMYFUNCTION("""COMPUTED_VALUE"""),"0.8933333333")</f>
        <v>0.8933333333</v>
      </c>
      <c r="I22" s="56">
        <f ca="1">IFERROR(__xludf.DUMMYFUNCTION("""COMPUTED_VALUE"""),2000)</f>
        <v>2000</v>
      </c>
      <c r="J22" s="56" t="str">
        <f ca="1">IFERROR(__xludf.DUMMYFUNCTION("""COMPUTED_VALUE"""),"Non-USA")</f>
        <v>Non-USA</v>
      </c>
      <c r="K22" s="56" t="str">
        <f ca="1">IFERROR(__xludf.DUMMYFUNCTION("""COMPUTED_VALUE"""),"Ainsworth/Ainsworth")</f>
        <v>Ainsworth/Ainsworth</v>
      </c>
      <c r="L22" s="56">
        <f ca="1">IFERROR(__xludf.DUMMYFUNCTION("""COMPUTED_VALUE"""),1)</f>
        <v>1</v>
      </c>
      <c r="M22" s="56">
        <f ca="1">IFERROR(__xludf.DUMMYFUNCTION("""COMPUTED_VALUE"""),0)</f>
        <v>0</v>
      </c>
      <c r="N22" s="56">
        <f ca="1">IFERROR(__xludf.DUMMYFUNCTION("""COMPUTED_VALUE"""),0)</f>
        <v>0</v>
      </c>
      <c r="O22" s="56">
        <f ca="1">IFERROR(__xludf.DUMMYFUNCTION("""COMPUTED_VALUE"""),1)</f>
        <v>1</v>
      </c>
      <c r="P22" s="56">
        <f ca="1">IFERROR(__xludf.DUMMYFUNCTION("""COMPUTED_VALUE"""),0.94)</f>
        <v>0.94</v>
      </c>
      <c r="Q22" s="56">
        <f ca="1">IFERROR(__xludf.DUMMYFUNCTION("""COMPUTED_VALUE"""),1)</f>
        <v>1</v>
      </c>
      <c r="R22" t="str">
        <f ca="1">IFERROR(__xludf.DUMMYFUNCTION("""COMPUTED_VALUE"""),"Female")</f>
        <v>Female</v>
      </c>
    </row>
    <row r="23" spans="1:18" ht="15.75" customHeight="1">
      <c r="A23" s="56">
        <f ca="1">IFERROR(__xludf.DUMMYFUNCTION("""COMPUTED_VALUE"""),30)</f>
        <v>30</v>
      </c>
      <c r="B23" s="56" t="str">
        <f ca="1">IFERROR(__xludf.DUMMYFUNCTION("""COMPUTED_VALUE"""),"Rauh et al. (2000)")</f>
        <v>Rauh et al. (2000)</v>
      </c>
      <c r="C23" s="56">
        <f ca="1">IFERROR(__xludf.DUMMYFUNCTION("""COMPUTED_VALUE"""),2)</f>
        <v>2</v>
      </c>
      <c r="D23" s="56" t="str">
        <f ca="1">IFERROR(__xludf.DUMMYFUNCTION("""COMPUTED_VALUE"""),"Main-Main")</f>
        <v>Main-Main</v>
      </c>
      <c r="E23" s="56" t="str">
        <f ca="1">IFERROR(__xludf.DUMMYFUNCTION("""COMPUTED_VALUE"""),"Infancy - Toddlerhood")</f>
        <v>Infancy - Toddlerhood</v>
      </c>
      <c r="F23" s="56" t="str">
        <f ca="1">IFERROR(__xludf.DUMMYFUNCTION("""COMPUTED_VALUE"""),"75")</f>
        <v>75</v>
      </c>
      <c r="G23" s="56" t="str">
        <f ca="1">IFERROR(__xludf.DUMMYFUNCTION("""COMPUTED_VALUE"""),"0.3406593407")</f>
        <v>0.3406593407</v>
      </c>
      <c r="H23" s="56" t="str">
        <f ca="1">IFERROR(__xludf.DUMMYFUNCTION("""COMPUTED_VALUE"""),"0.68")</f>
        <v>0.68</v>
      </c>
      <c r="I23" s="56">
        <f ca="1">IFERROR(__xludf.DUMMYFUNCTION("""COMPUTED_VALUE"""),2000)</f>
        <v>2000</v>
      </c>
      <c r="J23" s="56" t="str">
        <f ca="1">IFERROR(__xludf.DUMMYFUNCTION("""COMPUTED_VALUE"""),"Non-USA")</f>
        <v>Non-USA</v>
      </c>
      <c r="K23" s="56" t="str">
        <f ca="1">IFERROR(__xludf.DUMMYFUNCTION("""COMPUTED_VALUE"""),"Main-Cassidy/Main-Cassidy")</f>
        <v>Main-Cassidy/Main-Cassidy</v>
      </c>
      <c r="L23" s="56">
        <f ca="1">IFERROR(__xludf.DUMMYFUNCTION("""COMPUTED_VALUE"""),1)</f>
        <v>1</v>
      </c>
      <c r="M23" s="56">
        <f ca="1">IFERROR(__xludf.DUMMYFUNCTION("""COMPUTED_VALUE"""),0)</f>
        <v>0</v>
      </c>
      <c r="N23" s="56">
        <f ca="1">IFERROR(__xludf.DUMMYFUNCTION("""COMPUTED_VALUE"""),0)</f>
        <v>0</v>
      </c>
      <c r="O23" s="56">
        <f ca="1">IFERROR(__xludf.DUMMYFUNCTION("""COMPUTED_VALUE"""),1)</f>
        <v>1</v>
      </c>
      <c r="P23" s="56">
        <f ca="1">IFERROR(__xludf.DUMMYFUNCTION("""COMPUTED_VALUE"""),0.94)</f>
        <v>0.94</v>
      </c>
      <c r="Q23" s="56">
        <f ca="1">IFERROR(__xludf.DUMMYFUNCTION("""COMPUTED_VALUE"""),0)</f>
        <v>0</v>
      </c>
      <c r="R23" t="str">
        <f ca="1">IFERROR(__xludf.DUMMYFUNCTION("""COMPUTED_VALUE"""),"Female")</f>
        <v>Female</v>
      </c>
    </row>
    <row r="24" spans="1:18" ht="15.75" customHeight="1">
      <c r="A24" s="56">
        <f ca="1">IFERROR(__xludf.DUMMYFUNCTION("""COMPUTED_VALUE"""),30)</f>
        <v>30</v>
      </c>
      <c r="B24" s="56" t="str">
        <f ca="1">IFERROR(__xludf.DUMMYFUNCTION("""COMPUTED_VALUE"""),"Rauh et al. (2000)")</f>
        <v>Rauh et al. (2000)</v>
      </c>
      <c r="C24" s="56">
        <f ca="1">IFERROR(__xludf.DUMMYFUNCTION("""COMPUTED_VALUE"""),3)</f>
        <v>3</v>
      </c>
      <c r="D24" s="56" t="str">
        <f ca="1">IFERROR(__xludf.DUMMYFUNCTION("""COMPUTED_VALUE"""),"Main-Ainsworth")</f>
        <v>Main-Ainsworth</v>
      </c>
      <c r="E24" s="56" t="str">
        <f ca="1">IFERROR(__xludf.DUMMYFUNCTION("""COMPUTED_VALUE"""),"Infancy - Toddlerhood")</f>
        <v>Infancy - Toddlerhood</v>
      </c>
      <c r="F24" s="56" t="str">
        <f ca="1">IFERROR(__xludf.DUMMYFUNCTION("""COMPUTED_VALUE"""),"75")</f>
        <v>75</v>
      </c>
      <c r="G24" s="56" t="str">
        <f ca="1">IFERROR(__xludf.DUMMYFUNCTION("""COMPUTED_VALUE"""),"-0.01307189542")</f>
        <v>-0.01307189542</v>
      </c>
      <c r="H24" s="56" t="str">
        <f ca="1">IFERROR(__xludf.DUMMYFUNCTION("""COMPUTED_VALUE"""),"0.5866666667")</f>
        <v>0.5866666667</v>
      </c>
      <c r="I24" s="56">
        <f ca="1">IFERROR(__xludf.DUMMYFUNCTION("""COMPUTED_VALUE"""),2000)</f>
        <v>2000</v>
      </c>
      <c r="J24" s="56" t="str">
        <f ca="1">IFERROR(__xludf.DUMMYFUNCTION("""COMPUTED_VALUE"""),"Non-USA")</f>
        <v>Non-USA</v>
      </c>
      <c r="K24" s="56" t="str">
        <f ca="1">IFERROR(__xludf.DUMMYFUNCTION("""COMPUTED_VALUE"""),"Main-Cassidy/Ainsworth")</f>
        <v>Main-Cassidy/Ainsworth</v>
      </c>
      <c r="L24" s="56">
        <f ca="1">IFERROR(__xludf.DUMMYFUNCTION("""COMPUTED_VALUE"""),1)</f>
        <v>1</v>
      </c>
      <c r="M24" s="56">
        <f ca="1">IFERROR(__xludf.DUMMYFUNCTION("""COMPUTED_VALUE"""),0)</f>
        <v>0</v>
      </c>
      <c r="N24" s="56">
        <f ca="1">IFERROR(__xludf.DUMMYFUNCTION("""COMPUTED_VALUE"""),0)</f>
        <v>0</v>
      </c>
      <c r="O24" s="56">
        <f ca="1">IFERROR(__xludf.DUMMYFUNCTION("""COMPUTED_VALUE"""),1)</f>
        <v>1</v>
      </c>
      <c r="P24" s="56">
        <f ca="1">IFERROR(__xludf.DUMMYFUNCTION("""COMPUTED_VALUE"""),0.94)</f>
        <v>0.94</v>
      </c>
      <c r="Q24" s="56">
        <f ca="1">IFERROR(__xludf.DUMMYFUNCTION("""COMPUTED_VALUE"""),0)</f>
        <v>0</v>
      </c>
      <c r="R24" t="str">
        <f ca="1">IFERROR(__xludf.DUMMYFUNCTION("""COMPUTED_VALUE"""),"Female")</f>
        <v>Female</v>
      </c>
    </row>
    <row r="25" spans="1:18" ht="15.75" customHeight="1">
      <c r="A25" s="56">
        <f ca="1">IFERROR(__xludf.DUMMYFUNCTION("""COMPUTED_VALUE"""),30)</f>
        <v>30</v>
      </c>
      <c r="B25" s="56" t="str">
        <f ca="1">IFERROR(__xludf.DUMMYFUNCTION("""COMPUTED_VALUE"""),"Rauh et al. (2000)")</f>
        <v>Rauh et al. (2000)</v>
      </c>
      <c r="C25" s="56">
        <f ca="1">IFERROR(__xludf.DUMMYFUNCTION("""COMPUTED_VALUE"""),4)</f>
        <v>4</v>
      </c>
      <c r="D25" s="56" t="str">
        <f ca="1">IFERROR(__xludf.DUMMYFUNCTION("""COMPUTED_VALUE"""),"Ainsworth-Main")</f>
        <v>Ainsworth-Main</v>
      </c>
      <c r="E25" s="56" t="str">
        <f ca="1">IFERROR(__xludf.DUMMYFUNCTION("""COMPUTED_VALUE"""),"Infancy - Toddlerhood")</f>
        <v>Infancy - Toddlerhood</v>
      </c>
      <c r="F25" s="56" t="str">
        <f ca="1">IFERROR(__xludf.DUMMYFUNCTION("""COMPUTED_VALUE"""),"75")</f>
        <v>75</v>
      </c>
      <c r="G25" s="56" t="str">
        <f ca="1">IFERROR(__xludf.DUMMYFUNCTION("""COMPUTED_VALUE"""),"0.05295315682")</f>
        <v>0.05295315682</v>
      </c>
      <c r="H25" s="56" t="str">
        <f ca="1">IFERROR(__xludf.DUMMYFUNCTION("""COMPUTED_VALUE"""),"0.5866666667")</f>
        <v>0.5866666667</v>
      </c>
      <c r="I25" s="56">
        <f ca="1">IFERROR(__xludf.DUMMYFUNCTION("""COMPUTED_VALUE"""),2000)</f>
        <v>2000</v>
      </c>
      <c r="J25" s="56" t="str">
        <f ca="1">IFERROR(__xludf.DUMMYFUNCTION("""COMPUTED_VALUE"""),"Non-USA")</f>
        <v>Non-USA</v>
      </c>
      <c r="K25" s="56" t="str">
        <f ca="1">IFERROR(__xludf.DUMMYFUNCTION("""COMPUTED_VALUE"""),"Ainsworth/Main-Cassidy")</f>
        <v>Ainsworth/Main-Cassidy</v>
      </c>
      <c r="L25" s="56">
        <f ca="1">IFERROR(__xludf.DUMMYFUNCTION("""COMPUTED_VALUE"""),1)</f>
        <v>1</v>
      </c>
      <c r="M25" s="56">
        <f ca="1">IFERROR(__xludf.DUMMYFUNCTION("""COMPUTED_VALUE"""),0)</f>
        <v>0</v>
      </c>
      <c r="N25" s="56">
        <f ca="1">IFERROR(__xludf.DUMMYFUNCTION("""COMPUTED_VALUE"""),0)</f>
        <v>0</v>
      </c>
      <c r="O25" s="56">
        <f ca="1">IFERROR(__xludf.DUMMYFUNCTION("""COMPUTED_VALUE"""),1)</f>
        <v>1</v>
      </c>
      <c r="P25" s="56">
        <f ca="1">IFERROR(__xludf.DUMMYFUNCTION("""COMPUTED_VALUE"""),0.94)</f>
        <v>0.94</v>
      </c>
      <c r="Q25" s="56">
        <f ca="1">IFERROR(__xludf.DUMMYFUNCTION("""COMPUTED_VALUE"""),0)</f>
        <v>0</v>
      </c>
      <c r="R25" t="str">
        <f ca="1">IFERROR(__xludf.DUMMYFUNCTION("""COMPUTED_VALUE"""),"Female")</f>
        <v>Female</v>
      </c>
    </row>
    <row r="26" spans="1:18" ht="15.75" customHeight="1">
      <c r="A26" s="56">
        <f ca="1">IFERROR(__xludf.DUMMYFUNCTION("""COMPUTED_VALUE"""),30)</f>
        <v>30</v>
      </c>
      <c r="B26" s="56" t="str">
        <f ca="1">IFERROR(__xludf.DUMMYFUNCTION("""COMPUTED_VALUE"""),"Rauh et al. (2000)")</f>
        <v>Rauh et al. (2000)</v>
      </c>
      <c r="C26" s="56">
        <f ca="1">IFERROR(__xludf.DUMMYFUNCTION("""COMPUTED_VALUE"""),5)</f>
        <v>5</v>
      </c>
      <c r="D26" s="56" t="str">
        <f ca="1">IFERROR(__xludf.DUMMYFUNCTION("""COMPUTED_VALUE"""),"Main-Crittenden")</f>
        <v>Main-Crittenden</v>
      </c>
      <c r="E26" s="56" t="str">
        <f ca="1">IFERROR(__xludf.DUMMYFUNCTION("""COMPUTED_VALUE"""),"Infancy - Toddlerhood")</f>
        <v>Infancy - Toddlerhood</v>
      </c>
      <c r="F26" s="56" t="str">
        <f ca="1">IFERROR(__xludf.DUMMYFUNCTION("""COMPUTED_VALUE"""),"75")</f>
        <v>75</v>
      </c>
      <c r="G26" s="56" t="str">
        <f ca="1">IFERROR(__xludf.DUMMYFUNCTION("""COMPUTED_VALUE"""),"-0.03773584906")</f>
        <v>-0.03773584906</v>
      </c>
      <c r="H26" s="56" t="str">
        <f ca="1">IFERROR(__xludf.DUMMYFUNCTION("""COMPUTED_VALUE"""),"0.56")</f>
        <v>0.56</v>
      </c>
      <c r="I26" s="56">
        <f ca="1">IFERROR(__xludf.DUMMYFUNCTION("""COMPUTED_VALUE"""),2000)</f>
        <v>2000</v>
      </c>
      <c r="J26" s="56" t="str">
        <f ca="1">IFERROR(__xludf.DUMMYFUNCTION("""COMPUTED_VALUE"""),"Non-USA")</f>
        <v>Non-USA</v>
      </c>
      <c r="K26" s="56" t="str">
        <f ca="1">IFERROR(__xludf.DUMMYFUNCTION("""COMPUTED_VALUE"""),"Main-Cassidy/Crittenden")</f>
        <v>Main-Cassidy/Crittenden</v>
      </c>
      <c r="L26" s="56">
        <f ca="1">IFERROR(__xludf.DUMMYFUNCTION("""COMPUTED_VALUE"""),1)</f>
        <v>1</v>
      </c>
      <c r="M26" s="56">
        <f ca="1">IFERROR(__xludf.DUMMYFUNCTION("""COMPUTED_VALUE"""),0)</f>
        <v>0</v>
      </c>
      <c r="N26" s="56">
        <f ca="1">IFERROR(__xludf.DUMMYFUNCTION("""COMPUTED_VALUE"""),0)</f>
        <v>0</v>
      </c>
      <c r="O26" s="56">
        <f ca="1">IFERROR(__xludf.DUMMYFUNCTION("""COMPUTED_VALUE"""),1)</f>
        <v>1</v>
      </c>
      <c r="P26" s="56">
        <f ca="1">IFERROR(__xludf.DUMMYFUNCTION("""COMPUTED_VALUE"""),0.94)</f>
        <v>0.94</v>
      </c>
      <c r="Q26" s="56">
        <f ca="1">IFERROR(__xludf.DUMMYFUNCTION("""COMPUTED_VALUE"""),0)</f>
        <v>0</v>
      </c>
      <c r="R26" t="str">
        <f ca="1">IFERROR(__xludf.DUMMYFUNCTION("""COMPUTED_VALUE"""),"Female")</f>
        <v>Female</v>
      </c>
    </row>
    <row r="27" spans="1:18" ht="12.9">
      <c r="A27" s="56">
        <f ca="1">IFERROR(__xludf.DUMMYFUNCTION("""COMPUTED_VALUE"""),30)</f>
        <v>30</v>
      </c>
      <c r="B27" s="56" t="str">
        <f ca="1">IFERROR(__xludf.DUMMYFUNCTION("""COMPUTED_VALUE"""),"Rauh et al. (2000)")</f>
        <v>Rauh et al. (2000)</v>
      </c>
      <c r="C27" s="56">
        <f ca="1">IFERROR(__xludf.DUMMYFUNCTION("""COMPUTED_VALUE"""),6)</f>
        <v>6</v>
      </c>
      <c r="D27" s="56" t="str">
        <f ca="1">IFERROR(__xludf.DUMMYFUNCTION("""COMPUTED_VALUE"""),"Ainsworth-Crittenden")</f>
        <v>Ainsworth-Crittenden</v>
      </c>
      <c r="E27" s="56" t="str">
        <f ca="1">IFERROR(__xludf.DUMMYFUNCTION("""COMPUTED_VALUE"""),"Infancy - Toddlerhood")</f>
        <v>Infancy - Toddlerhood</v>
      </c>
      <c r="F27" s="56" t="str">
        <f ca="1">IFERROR(__xludf.DUMMYFUNCTION("""COMPUTED_VALUE"""),"75")</f>
        <v>75</v>
      </c>
      <c r="G27" s="56" t="str">
        <f ca="1">IFERROR(__xludf.DUMMYFUNCTION("""COMPUTED_VALUE"""),"0.0625")</f>
        <v>0.0625</v>
      </c>
      <c r="H27" s="56" t="str">
        <f ca="1">IFERROR(__xludf.DUMMYFUNCTION("""COMPUTED_VALUE"""),"0.84")</f>
        <v>0.84</v>
      </c>
      <c r="I27" s="56">
        <f ca="1">IFERROR(__xludf.DUMMYFUNCTION("""COMPUTED_VALUE"""),2000)</f>
        <v>2000</v>
      </c>
      <c r="J27" s="56" t="str">
        <f ca="1">IFERROR(__xludf.DUMMYFUNCTION("""COMPUTED_VALUE"""),"Non-USA")</f>
        <v>Non-USA</v>
      </c>
      <c r="K27" s="56" t="str">
        <f ca="1">IFERROR(__xludf.DUMMYFUNCTION("""COMPUTED_VALUE"""),"Ainsworth/Crittenden")</f>
        <v>Ainsworth/Crittenden</v>
      </c>
      <c r="L27" s="56">
        <f ca="1">IFERROR(__xludf.DUMMYFUNCTION("""COMPUTED_VALUE"""),1)</f>
        <v>1</v>
      </c>
      <c r="M27" s="56">
        <f ca="1">IFERROR(__xludf.DUMMYFUNCTION("""COMPUTED_VALUE"""),0)</f>
        <v>0</v>
      </c>
      <c r="N27" s="56">
        <f ca="1">IFERROR(__xludf.DUMMYFUNCTION("""COMPUTED_VALUE"""),0)</f>
        <v>0</v>
      </c>
      <c r="O27" s="56">
        <f ca="1">IFERROR(__xludf.DUMMYFUNCTION("""COMPUTED_VALUE"""),1)</f>
        <v>1</v>
      </c>
      <c r="P27" s="56">
        <f ca="1">IFERROR(__xludf.DUMMYFUNCTION("""COMPUTED_VALUE"""),0.94)</f>
        <v>0.94</v>
      </c>
      <c r="Q27" s="56">
        <f ca="1">IFERROR(__xludf.DUMMYFUNCTION("""COMPUTED_VALUE"""),0)</f>
        <v>0</v>
      </c>
      <c r="R27" t="str">
        <f ca="1">IFERROR(__xludf.DUMMYFUNCTION("""COMPUTED_VALUE"""),"Female")</f>
        <v>Female</v>
      </c>
    </row>
    <row r="28" spans="1:18" ht="12.9">
      <c r="A28" s="56">
        <f ca="1">IFERROR(__xludf.DUMMYFUNCTION("""COMPUTED_VALUE"""),31)</f>
        <v>31</v>
      </c>
      <c r="B28" s="56" t="str">
        <f ca="1">IFERROR(__xludf.DUMMYFUNCTION("""COMPUTED_VALUE"""),"Seifer et al. (2004) ")</f>
        <v xml:space="preserve">Seifer et al. (2004) </v>
      </c>
      <c r="C28" s="56">
        <f ca="1">IFERROR(__xludf.DUMMYFUNCTION("""COMPUTED_VALUE"""),1)</f>
        <v>1</v>
      </c>
      <c r="D28" s="56" t="str">
        <f ca="1">IFERROR(__xludf.DUMMYFUNCTION("""COMPUTED_VALUE"""),"Single sample")</f>
        <v>Single sample</v>
      </c>
      <c r="E28" s="56" t="str">
        <f ca="1">IFERROR(__xludf.DUMMYFUNCTION("""COMPUTED_VALUE"""),"Infancy - Toddlerhood")</f>
        <v>Infancy - Toddlerhood</v>
      </c>
      <c r="F28" s="56" t="str">
        <f ca="1">IFERROR(__xludf.DUMMYFUNCTION("""COMPUTED_VALUE"""),"601")</f>
        <v>601</v>
      </c>
      <c r="G28" s="56" t="str">
        <f ca="1">IFERROR(__xludf.DUMMYFUNCTION("""COMPUTED_VALUE"""),"-0.05449857346")</f>
        <v>-0.05449857346</v>
      </c>
      <c r="H28" s="56" t="str">
        <f ca="1">IFERROR(__xludf.DUMMYFUNCTION("""COMPUTED_VALUE"""),"0.8086522463")</f>
        <v>0.8086522463</v>
      </c>
      <c r="I28" s="56">
        <f ca="1">IFERROR(__xludf.DUMMYFUNCTION("""COMPUTED_VALUE"""),2004)</f>
        <v>2004</v>
      </c>
      <c r="J28" s="56" t="str">
        <f ca="1">IFERROR(__xludf.DUMMYFUNCTION("""COMPUTED_VALUE"""),"USA")</f>
        <v>USA</v>
      </c>
      <c r="K28" s="56" t="str">
        <f ca="1">IFERROR(__xludf.DUMMYFUNCTION("""COMPUTED_VALUE"""),"Ainsworth/Cassidy-Marvin")</f>
        <v>Ainsworth/Cassidy-Marvin</v>
      </c>
      <c r="L28" s="56">
        <f ca="1">IFERROR(__xludf.DUMMYFUNCTION("""COMPUTED_VALUE"""),1)</f>
        <v>1</v>
      </c>
      <c r="M28" s="56">
        <f ca="1">IFERROR(__xludf.DUMMYFUNCTION("""COMPUTED_VALUE"""),1)</f>
        <v>1</v>
      </c>
      <c r="N28" s="56">
        <f ca="1">IFERROR(__xludf.DUMMYFUNCTION("""COMPUTED_VALUE"""),0)</f>
        <v>0</v>
      </c>
      <c r="O28" s="56">
        <f ca="1">IFERROR(__xludf.DUMMYFUNCTION("""COMPUTED_VALUE"""),1)</f>
        <v>1</v>
      </c>
      <c r="P28" s="56">
        <f ca="1">IFERROR(__xludf.DUMMYFUNCTION("""COMPUTED_VALUE"""),0.900244462224634)</f>
        <v>0.90024446222463395</v>
      </c>
      <c r="Q28" s="56">
        <f ca="1">IFERROR(__xludf.DUMMYFUNCTION("""COMPUTED_VALUE"""),0)</f>
        <v>0</v>
      </c>
      <c r="R28" t="str">
        <f ca="1">IFERROR(__xludf.DUMMYFUNCTION("""COMPUTED_VALUE"""),"Female")</f>
        <v>Female</v>
      </c>
    </row>
    <row r="29" spans="1:18" ht="12.9">
      <c r="A29" s="56">
        <f ca="1">IFERROR(__xludf.DUMMYFUNCTION("""COMPUTED_VALUE"""),32)</f>
        <v>32</v>
      </c>
      <c r="B29" s="56" t="str">
        <f ca="1">IFERROR(__xludf.DUMMYFUNCTION("""COMPUTED_VALUE"""),"Steele, Steele &amp; Fonagy (1996)")</f>
        <v>Steele, Steele &amp; Fonagy (1996)</v>
      </c>
      <c r="C29" s="56">
        <f ca="1">IFERROR(__xludf.DUMMYFUNCTION("""COMPUTED_VALUE"""),1)</f>
        <v>1</v>
      </c>
      <c r="D29" s="56" t="str">
        <f ca="1">IFERROR(__xludf.DUMMYFUNCTION("""COMPUTED_VALUE"""),"Mother-child")</f>
        <v>Mother-child</v>
      </c>
      <c r="E29" s="56" t="str">
        <f ca="1">IFERROR(__xludf.DUMMYFUNCTION("""COMPUTED_VALUE"""),"Infancy - Preschool")</f>
        <v>Infancy - Preschool</v>
      </c>
      <c r="F29" s="56" t="str">
        <f ca="1">IFERROR(__xludf.DUMMYFUNCTION("""COMPUTED_VALUE"""),"88")</f>
        <v>88</v>
      </c>
      <c r="G29" s="56" t="str">
        <f ca="1">IFERROR(__xludf.DUMMYFUNCTION("""COMPUTED_VALUE"""),"0.201320132")</f>
        <v>0.201320132</v>
      </c>
      <c r="H29" s="56" t="str">
        <f ca="1">IFERROR(__xludf.DUMMYFUNCTION("""COMPUTED_VALUE"""),"0.875")</f>
        <v>0.875</v>
      </c>
      <c r="I29" s="56">
        <f ca="1">IFERROR(__xludf.DUMMYFUNCTION("""COMPUTED_VALUE"""),1996)</f>
        <v>1996</v>
      </c>
      <c r="J29" s="56" t="str">
        <f ca="1">IFERROR(__xludf.DUMMYFUNCTION("""COMPUTED_VALUE"""),"Non-USA")</f>
        <v>Non-USA</v>
      </c>
      <c r="K29" s="56" t="str">
        <f ca="1">IFERROR(__xludf.DUMMYFUNCTION("""COMPUTED_VALUE"""),"Ainsworth/Cassidy-Marvin")</f>
        <v>Ainsworth/Cassidy-Marvin</v>
      </c>
      <c r="L29" s="56">
        <f ca="1">IFERROR(__xludf.DUMMYFUNCTION("""COMPUTED_VALUE"""),0)</f>
        <v>0</v>
      </c>
      <c r="M29" s="56">
        <f ca="1">IFERROR(__xludf.DUMMYFUNCTION("""COMPUTED_VALUE"""),0)</f>
        <v>0</v>
      </c>
      <c r="N29" s="56">
        <f ca="1">IFERROR(__xludf.DUMMYFUNCTION("""COMPUTED_VALUE"""),0)</f>
        <v>0</v>
      </c>
      <c r="O29" s="56">
        <f ca="1">IFERROR(__xludf.DUMMYFUNCTION("""COMPUTED_VALUE"""),0)</f>
        <v>0</v>
      </c>
      <c r="P29" s="56">
        <f ca="1">IFERROR(__xludf.DUMMYFUNCTION("""COMPUTED_VALUE"""),0.91)</f>
        <v>0.91</v>
      </c>
      <c r="Q29" s="56">
        <f ca="1">IFERROR(__xludf.DUMMYFUNCTION("""COMPUTED_VALUE"""),1)</f>
        <v>1</v>
      </c>
      <c r="R29" t="str">
        <f ca="1">IFERROR(__xludf.DUMMYFUNCTION("""COMPUTED_VALUE"""),"Female")</f>
        <v>Female</v>
      </c>
    </row>
    <row r="30" spans="1:18" ht="12.9">
      <c r="A30" s="56">
        <f ca="1">IFERROR(__xludf.DUMMYFUNCTION("""COMPUTED_VALUE"""),32)</f>
        <v>32</v>
      </c>
      <c r="B30" s="56" t="str">
        <f ca="1">IFERROR(__xludf.DUMMYFUNCTION("""COMPUTED_VALUE"""),"Steele, Steele &amp; Fonagy (1996)")</f>
        <v>Steele, Steele &amp; Fonagy (1996)</v>
      </c>
      <c r="C30" s="56">
        <f ca="1">IFERROR(__xludf.DUMMYFUNCTION("""COMPUTED_VALUE"""),1)</f>
        <v>1</v>
      </c>
      <c r="D30" s="56" t="str">
        <f ca="1">IFERROR(__xludf.DUMMYFUNCTION("""COMPUTED_VALUE"""),"Father-child")</f>
        <v>Father-child</v>
      </c>
      <c r="E30" s="56" t="str">
        <f ca="1">IFERROR(__xludf.DUMMYFUNCTION("""COMPUTED_VALUE"""),"Infancy - Preschool")</f>
        <v>Infancy - Preschool</v>
      </c>
      <c r="F30" s="56" t="str">
        <f ca="1">IFERROR(__xludf.DUMMYFUNCTION("""COMPUTED_VALUE"""),"68")</f>
        <v>68</v>
      </c>
      <c r="G30" s="56" t="str">
        <f ca="1">IFERROR(__xludf.DUMMYFUNCTION("""COMPUTED_VALUE"""),"0")</f>
        <v>0</v>
      </c>
      <c r="H30" s="56" t="str">
        <f ca="1">IFERROR(__xludf.DUMMYFUNCTION("""COMPUTED_VALUE"""),"0.9411764706")</f>
        <v>0.9411764706</v>
      </c>
      <c r="I30" s="56">
        <f ca="1">IFERROR(__xludf.DUMMYFUNCTION("""COMPUTED_VALUE"""),1996)</f>
        <v>1996</v>
      </c>
      <c r="J30" s="56" t="str">
        <f ca="1">IFERROR(__xludf.DUMMYFUNCTION("""COMPUTED_VALUE"""),"Non-USA")</f>
        <v>Non-USA</v>
      </c>
      <c r="K30" s="56" t="str">
        <f ca="1">IFERROR(__xludf.DUMMYFUNCTION("""COMPUTED_VALUE"""),"Ainsworth/Cassidy-Marvin")</f>
        <v>Ainsworth/Cassidy-Marvin</v>
      </c>
      <c r="L30" s="56">
        <f ca="1">IFERROR(__xludf.DUMMYFUNCTION("""COMPUTED_VALUE"""),0)</f>
        <v>0</v>
      </c>
      <c r="M30" s="56">
        <f ca="1">IFERROR(__xludf.DUMMYFUNCTION("""COMPUTED_VALUE"""),0)</f>
        <v>0</v>
      </c>
      <c r="N30" s="56">
        <f ca="1">IFERROR(__xludf.DUMMYFUNCTION("""COMPUTED_VALUE"""),0)</f>
        <v>0</v>
      </c>
      <c r="O30" s="56">
        <f ca="1">IFERROR(__xludf.DUMMYFUNCTION("""COMPUTED_VALUE"""),0)</f>
        <v>0</v>
      </c>
      <c r="P30" s="56">
        <f ca="1">IFERROR(__xludf.DUMMYFUNCTION("""COMPUTED_VALUE"""),0.91)</f>
        <v>0.91</v>
      </c>
      <c r="Q30" s="56">
        <f ca="1">IFERROR(__xludf.DUMMYFUNCTION("""COMPUTED_VALUE"""),1)</f>
        <v>1</v>
      </c>
      <c r="R30" t="str">
        <f ca="1">IFERROR(__xludf.DUMMYFUNCTION("""COMPUTED_VALUE"""),"Male")</f>
        <v>Male</v>
      </c>
    </row>
    <row r="31" spans="1:18" ht="12.9">
      <c r="A31" s="56">
        <f ca="1">IFERROR(__xludf.DUMMYFUNCTION("""COMPUTED_VALUE"""),33)</f>
        <v>33</v>
      </c>
      <c r="B31" s="56" t="str">
        <f ca="1">IFERROR(__xludf.DUMMYFUNCTION("""COMPUTED_VALUE"""),"Stevenson-Hinde &amp; Shouldice (1990)")</f>
        <v>Stevenson-Hinde &amp; Shouldice (1990)</v>
      </c>
      <c r="C31" s="56">
        <f ca="1">IFERROR(__xludf.DUMMYFUNCTION("""COMPUTED_VALUE"""),1)</f>
        <v>1</v>
      </c>
      <c r="D31" s="56" t="str">
        <f ca="1">IFERROR(__xludf.DUMMYFUNCTION("""COMPUTED_VALUE"""),"Single sample")</f>
        <v>Single sample</v>
      </c>
      <c r="E31" s="56" t="str">
        <f ca="1">IFERROR(__xludf.DUMMYFUNCTION("""COMPUTED_VALUE"""),"Toddlerhood - Preschool")</f>
        <v>Toddlerhood - Preschool</v>
      </c>
      <c r="F31" s="56" t="str">
        <f ca="1">IFERROR(__xludf.DUMMYFUNCTION("""COMPUTED_VALUE"""),"78")</f>
        <v>78</v>
      </c>
      <c r="G31" s="56" t="str">
        <f ca="1">IFERROR(__xludf.DUMMYFUNCTION("""COMPUTED_VALUE"""),"0.4778578785")</f>
        <v>0.4778578785</v>
      </c>
      <c r="H31" s="56" t="str">
        <f ca="1">IFERROR(__xludf.DUMMYFUNCTION("""COMPUTED_VALUE"""),"0.8333333333")</f>
        <v>0.8333333333</v>
      </c>
      <c r="I31" s="56">
        <f ca="1">IFERROR(__xludf.DUMMYFUNCTION("""COMPUTED_VALUE"""),1990)</f>
        <v>1990</v>
      </c>
      <c r="J31" s="56" t="str">
        <f ca="1">IFERROR(__xludf.DUMMYFUNCTION("""COMPUTED_VALUE"""),"Non-USA")</f>
        <v>Non-USA</v>
      </c>
      <c r="K31" s="56" t="str">
        <f ca="1">IFERROR(__xludf.DUMMYFUNCTION("""COMPUTED_VALUE"""),"Ainsworth/Cassidy-Marvin")</f>
        <v>Ainsworth/Cassidy-Marvin</v>
      </c>
      <c r="L31" s="56">
        <f ca="1">IFERROR(__xludf.DUMMYFUNCTION("""COMPUTED_VALUE"""),1)</f>
        <v>1</v>
      </c>
      <c r="M31" s="56">
        <f ca="1">IFERROR(__xludf.DUMMYFUNCTION("""COMPUTED_VALUE"""),0)</f>
        <v>0</v>
      </c>
      <c r="N31" s="56">
        <f ca="1">IFERROR(__xludf.DUMMYFUNCTION("""COMPUTED_VALUE"""),0)</f>
        <v>0</v>
      </c>
      <c r="O31" s="56">
        <f ca="1">IFERROR(__xludf.DUMMYFUNCTION("""COMPUTED_VALUE"""),1)</f>
        <v>1</v>
      </c>
      <c r="P31" s="56">
        <f ca="1">IFERROR(__xludf.DUMMYFUNCTION("""COMPUTED_VALUE"""),0.88)</f>
        <v>0.88</v>
      </c>
      <c r="Q31" s="56">
        <f ca="1">IFERROR(__xludf.DUMMYFUNCTION("""COMPUTED_VALUE"""),0)</f>
        <v>0</v>
      </c>
      <c r="R31" t="str">
        <f ca="1">IFERROR(__xludf.DUMMYFUNCTION("""COMPUTED_VALUE"""),"Female")</f>
        <v>Female</v>
      </c>
    </row>
    <row r="32" spans="1:18" ht="12.9">
      <c r="A32" s="56">
        <f ca="1">IFERROR(__xludf.DUMMYFUNCTION("""COMPUTED_VALUE"""),35)</f>
        <v>35</v>
      </c>
      <c r="B32" s="56" t="str">
        <f ca="1">IFERROR(__xludf.DUMMYFUNCTION("""COMPUTED_VALUE"""),"Wartner et al. (1994) ")</f>
        <v xml:space="preserve">Wartner et al. (1994) </v>
      </c>
      <c r="C32" s="56">
        <f ca="1">IFERROR(__xludf.DUMMYFUNCTION("""COMPUTED_VALUE"""),1)</f>
        <v>1</v>
      </c>
      <c r="D32" s="56" t="str">
        <f ca="1">IFERROR(__xludf.DUMMYFUNCTION("""COMPUTED_VALUE"""),"Single sample")</f>
        <v>Single sample</v>
      </c>
      <c r="E32" s="56" t="str">
        <f ca="1">IFERROR(__xludf.DUMMYFUNCTION("""COMPUTED_VALUE"""),"Infancy - Preschool")</f>
        <v>Infancy - Preschool</v>
      </c>
      <c r="F32" s="56" t="str">
        <f ca="1">IFERROR(__xludf.DUMMYFUNCTION("""COMPUTED_VALUE"""),"39")</f>
        <v>39</v>
      </c>
      <c r="G32" s="56" t="str">
        <f ca="1">IFERROR(__xludf.DUMMYFUNCTION("""COMPUTED_VALUE"""),"0.5882352941")</f>
        <v>0.5882352941</v>
      </c>
      <c r="H32" s="56" t="str">
        <f ca="1">IFERROR(__xludf.DUMMYFUNCTION("""COMPUTED_VALUE"""),"0.8205128205")</f>
        <v>0.8205128205</v>
      </c>
      <c r="I32" s="56">
        <f ca="1">IFERROR(__xludf.DUMMYFUNCTION("""COMPUTED_VALUE"""),1994)</f>
        <v>1994</v>
      </c>
      <c r="J32" s="56" t="str">
        <f ca="1">IFERROR(__xludf.DUMMYFUNCTION("""COMPUTED_VALUE"""),"Non-USA")</f>
        <v>Non-USA</v>
      </c>
      <c r="K32" s="56" t="str">
        <f ca="1">IFERROR(__xludf.DUMMYFUNCTION("""COMPUTED_VALUE"""),"Ainsworth/Main-Cassidy")</f>
        <v>Ainsworth/Main-Cassidy</v>
      </c>
      <c r="L32" s="56">
        <f ca="1">IFERROR(__xludf.DUMMYFUNCTION("""COMPUTED_VALUE"""),0)</f>
        <v>0</v>
      </c>
      <c r="M32" s="56">
        <f ca="1">IFERROR(__xludf.DUMMYFUNCTION("""COMPUTED_VALUE"""),0)</f>
        <v>0</v>
      </c>
      <c r="N32" s="56">
        <f ca="1">IFERROR(__xludf.DUMMYFUNCTION("""COMPUTED_VALUE"""),0)</f>
        <v>0</v>
      </c>
      <c r="O32" s="56">
        <f ca="1">IFERROR(__xludf.DUMMYFUNCTION("""COMPUTED_VALUE"""),1)</f>
        <v>1</v>
      </c>
      <c r="P32" s="56">
        <f ca="1">IFERROR(__xludf.DUMMYFUNCTION("""COMPUTED_VALUE"""),0.97)</f>
        <v>0.97</v>
      </c>
      <c r="Q32" s="56">
        <f ca="1">IFERROR(__xludf.DUMMYFUNCTION("""COMPUTED_VALUE"""),1)</f>
        <v>1</v>
      </c>
      <c r="R32" t="str">
        <f ca="1">IFERROR(__xludf.DUMMYFUNCTION("""COMPUTED_VALUE"""),"Female")</f>
        <v>Female</v>
      </c>
    </row>
    <row r="33" spans="1:18" ht="12.9">
      <c r="A33" s="56">
        <f ca="1">IFERROR(__xludf.DUMMYFUNCTION("""COMPUTED_VALUE"""),36)</f>
        <v>36</v>
      </c>
      <c r="B33" s="56" t="str">
        <f ca="1">IFERROR(__xludf.DUMMYFUNCTION("""COMPUTED_VALUE"""),"Waters &amp; Valenzuela (1999)")</f>
        <v>Waters &amp; Valenzuela (1999)</v>
      </c>
      <c r="C33" s="56">
        <f ca="1">IFERROR(__xludf.DUMMYFUNCTION("""COMPUTED_VALUE"""),1)</f>
        <v>1</v>
      </c>
      <c r="D33" s="56" t="str">
        <f ca="1">IFERROR(__xludf.DUMMYFUNCTION("""COMPUTED_VALUE"""),"Well nourished")</f>
        <v>Well nourished</v>
      </c>
      <c r="E33" s="56" t="str">
        <f ca="1">IFERROR(__xludf.DUMMYFUNCTION("""COMPUTED_VALUE"""),"Infancy - Toddlerhood")</f>
        <v>Infancy - Toddlerhood</v>
      </c>
      <c r="F33" s="56" t="str">
        <f ca="1">IFERROR(__xludf.DUMMYFUNCTION("""COMPUTED_VALUE"""),"34")</f>
        <v>34</v>
      </c>
      <c r="G33" s="56" t="str">
        <f ca="1">IFERROR(__xludf.DUMMYFUNCTION("""COMPUTED_VALUE"""),"-0.05154639175")</f>
        <v>-0.05154639175</v>
      </c>
      <c r="H33" s="56" t="str">
        <f ca="1">IFERROR(__xludf.DUMMYFUNCTION("""COMPUTED_VALUE"""),"0.8235294118")</f>
        <v>0.8235294118</v>
      </c>
      <c r="I33" s="56">
        <f ca="1">IFERROR(__xludf.DUMMYFUNCTION("""COMPUTED_VALUE"""),1999)</f>
        <v>1999</v>
      </c>
      <c r="J33" s="56" t="str">
        <f ca="1">IFERROR(__xludf.DUMMYFUNCTION("""COMPUTED_VALUE"""),"Non-USA")</f>
        <v>Non-USA</v>
      </c>
      <c r="K33" s="56" t="str">
        <f ca="1">IFERROR(__xludf.DUMMYFUNCTION("""COMPUTED_VALUE"""),"Ainsworth/Ainsworth")</f>
        <v>Ainsworth/Ainsworth</v>
      </c>
      <c r="L33" s="56">
        <f ca="1">IFERROR(__xludf.DUMMYFUNCTION("""COMPUTED_VALUE"""),0)</f>
        <v>0</v>
      </c>
      <c r="M33" s="56">
        <f ca="1">IFERROR(__xludf.DUMMYFUNCTION("""COMPUTED_VALUE"""),1)</f>
        <v>1</v>
      </c>
      <c r="N33" s="56">
        <f ca="1">IFERROR(__xludf.DUMMYFUNCTION("""COMPUTED_VALUE"""),0)</f>
        <v>0</v>
      </c>
      <c r="O33" s="56">
        <f ca="1">IFERROR(__xludf.DUMMYFUNCTION("""COMPUTED_VALUE"""),1)</f>
        <v>1</v>
      </c>
      <c r="P33" s="56">
        <f ca="1">IFERROR(__xludf.DUMMYFUNCTION("""COMPUTED_VALUE"""),0.859499999999999)</f>
        <v>0.85949999999999904</v>
      </c>
      <c r="Q33" s="56">
        <f ca="1">IFERROR(__xludf.DUMMYFUNCTION("""COMPUTED_VALUE"""),0)</f>
        <v>0</v>
      </c>
      <c r="R33" t="str">
        <f ca="1">IFERROR(__xludf.DUMMYFUNCTION("""COMPUTED_VALUE"""),"Female")</f>
        <v>Female</v>
      </c>
    </row>
    <row r="34" spans="1:18" ht="12.9">
      <c r="A34" s="56">
        <f ca="1">IFERROR(__xludf.DUMMYFUNCTION("""COMPUTED_VALUE"""),37)</f>
        <v>37</v>
      </c>
      <c r="B34" s="56" t="str">
        <f ca="1">IFERROR(__xludf.DUMMYFUNCTION("""COMPUTED_VALUE"""),"Waters &amp; Valenzuela (1999)")</f>
        <v>Waters &amp; Valenzuela (1999)</v>
      </c>
      <c r="C34" s="56">
        <f ca="1">IFERROR(__xludf.DUMMYFUNCTION("""COMPUTED_VALUE"""),1)</f>
        <v>1</v>
      </c>
      <c r="D34" s="56" t="str">
        <f ca="1">IFERROR(__xludf.DUMMYFUNCTION("""COMPUTED_VALUE"""),"Undernourished")</f>
        <v>Undernourished</v>
      </c>
      <c r="E34" s="56" t="str">
        <f ca="1">IFERROR(__xludf.DUMMYFUNCTION("""COMPUTED_VALUE"""),"Infancy - Toddlerhood")</f>
        <v>Infancy - Toddlerhood</v>
      </c>
      <c r="F34" s="56" t="str">
        <f ca="1">IFERROR(__xludf.DUMMYFUNCTION("""COMPUTED_VALUE"""),"37")</f>
        <v>37</v>
      </c>
      <c r="G34" s="56" t="str">
        <f ca="1">IFERROR(__xludf.DUMMYFUNCTION("""COMPUTED_VALUE"""),"0.00269541779")</f>
        <v>0.00269541779</v>
      </c>
      <c r="H34" s="56" t="str">
        <f ca="1">IFERROR(__xludf.DUMMYFUNCTION("""COMPUTED_VALUE"""),"0.4594594595")</f>
        <v>0.4594594595</v>
      </c>
      <c r="I34" s="56">
        <f ca="1">IFERROR(__xludf.DUMMYFUNCTION("""COMPUTED_VALUE"""),1999)</f>
        <v>1999</v>
      </c>
      <c r="J34" s="56" t="str">
        <f ca="1">IFERROR(__xludf.DUMMYFUNCTION("""COMPUTED_VALUE"""),"Non-USA")</f>
        <v>Non-USA</v>
      </c>
      <c r="K34" s="56" t="str">
        <f ca="1">IFERROR(__xludf.DUMMYFUNCTION("""COMPUTED_VALUE"""),"Ainsworth/Ainsworth")</f>
        <v>Ainsworth/Ainsworth</v>
      </c>
      <c r="L34" s="56">
        <f ca="1">IFERROR(__xludf.DUMMYFUNCTION("""COMPUTED_VALUE"""),0)</f>
        <v>0</v>
      </c>
      <c r="M34" s="56">
        <f ca="1">IFERROR(__xludf.DUMMYFUNCTION("""COMPUTED_VALUE"""),1)</f>
        <v>1</v>
      </c>
      <c r="N34" s="56">
        <f ca="1">IFERROR(__xludf.DUMMYFUNCTION("""COMPUTED_VALUE"""),1)</f>
        <v>1</v>
      </c>
      <c r="O34" s="56">
        <f ca="1">IFERROR(__xludf.DUMMYFUNCTION("""COMPUTED_VALUE"""),1)</f>
        <v>1</v>
      </c>
      <c r="P34" s="56">
        <f ca="1">IFERROR(__xludf.DUMMYFUNCTION("""COMPUTED_VALUE"""),0.859499999999999)</f>
        <v>0.85949999999999904</v>
      </c>
      <c r="Q34" s="56">
        <f ca="1">IFERROR(__xludf.DUMMYFUNCTION("""COMPUTED_VALUE"""),0)</f>
        <v>0</v>
      </c>
      <c r="R34" t="str">
        <f ca="1">IFERROR(__xludf.DUMMYFUNCTION("""COMPUTED_VALUE"""),"Female")</f>
        <v>Female</v>
      </c>
    </row>
    <row r="35" spans="1:18" ht="12.9">
      <c r="A35" s="56">
        <f ca="1">IFERROR(__xludf.DUMMYFUNCTION("""COMPUTED_VALUE"""),38)</f>
        <v>38</v>
      </c>
      <c r="B35" s="56" t="str">
        <f ca="1">IFERROR(__xludf.DUMMYFUNCTION("""COMPUTED_VALUE"""),"Vondra et al. (2001)")</f>
        <v>Vondra et al. (2001)</v>
      </c>
      <c r="C35" s="56">
        <f ca="1">IFERROR(__xludf.DUMMYFUNCTION("""COMPUTED_VALUE"""),1)</f>
        <v>1</v>
      </c>
      <c r="D35" s="56" t="str">
        <f ca="1">IFERROR(__xludf.DUMMYFUNCTION("""COMPUTED_VALUE"""),"12/24 months (12 month interval)")</f>
        <v>12/24 months (12 month interval)</v>
      </c>
      <c r="E35" s="56" t="str">
        <f ca="1">IFERROR(__xludf.DUMMYFUNCTION("""COMPUTED_VALUE"""),"Infancy - Toddlerhood")</f>
        <v>Infancy - Toddlerhood</v>
      </c>
      <c r="F35" s="56" t="str">
        <f ca="1">IFERROR(__xludf.DUMMYFUNCTION("""COMPUTED_VALUE"""),"198")</f>
        <v>198</v>
      </c>
      <c r="G35" s="56" t="str">
        <f ca="1">IFERROR(__xludf.DUMMYFUNCTION("""COMPUTED_VALUE"""),"0.05479452055")</f>
        <v>0.05479452055</v>
      </c>
      <c r="H35" s="56" t="str">
        <f ca="1">IFERROR(__xludf.DUMMYFUNCTION("""COMPUTED_VALUE"""),"0.8838383838")</f>
        <v>0.8838383838</v>
      </c>
      <c r="I35" s="56">
        <f ca="1">IFERROR(__xludf.DUMMYFUNCTION("""COMPUTED_VALUE"""),2001)</f>
        <v>2001</v>
      </c>
      <c r="J35" s="56" t="str">
        <f ca="1">IFERROR(__xludf.DUMMYFUNCTION("""COMPUTED_VALUE"""),"USA")</f>
        <v>USA</v>
      </c>
      <c r="K35" s="56" t="str">
        <f ca="1">IFERROR(__xludf.DUMMYFUNCTION("""COMPUTED_VALUE"""),"Ainsworth/Crittenden")</f>
        <v>Ainsworth/Crittenden</v>
      </c>
      <c r="L35" s="56">
        <f ca="1">IFERROR(__xludf.DUMMYFUNCTION("""COMPUTED_VALUE"""),0)</f>
        <v>0</v>
      </c>
      <c r="M35" s="56">
        <f ca="1">IFERROR(__xludf.DUMMYFUNCTION("""COMPUTED_VALUE"""),1)</f>
        <v>1</v>
      </c>
      <c r="N35" s="56">
        <f ca="1">IFERROR(__xludf.DUMMYFUNCTION("""COMPUTED_VALUE"""),0)</f>
        <v>0</v>
      </c>
      <c r="O35" s="56">
        <f ca="1">IFERROR(__xludf.DUMMYFUNCTION("""COMPUTED_VALUE"""),1)</f>
        <v>1</v>
      </c>
      <c r="P35" s="56">
        <f ca="1">IFERROR(__xludf.DUMMYFUNCTION("""COMPUTED_VALUE"""),0.695)</f>
        <v>0.69499999999999995</v>
      </c>
      <c r="Q35" s="56">
        <f ca="1">IFERROR(__xludf.DUMMYFUNCTION("""COMPUTED_VALUE"""),0)</f>
        <v>0</v>
      </c>
      <c r="R35" t="str">
        <f ca="1">IFERROR(__xludf.DUMMYFUNCTION("""COMPUTED_VALUE"""),"Female")</f>
        <v>Female</v>
      </c>
    </row>
    <row r="36" spans="1:18" ht="12.9">
      <c r="A36" s="56">
        <f ca="1">IFERROR(__xludf.DUMMYFUNCTION("""COMPUTED_VALUE"""),38)</f>
        <v>38</v>
      </c>
      <c r="B36" s="56" t="str">
        <f ca="1">IFERROR(__xludf.DUMMYFUNCTION("""COMPUTED_VALUE"""),"Vondra et al. (2001)")</f>
        <v>Vondra et al. (2001)</v>
      </c>
      <c r="C36" s="56">
        <f ca="1">IFERROR(__xludf.DUMMYFUNCTION("""COMPUTED_VALUE"""),2)</f>
        <v>2</v>
      </c>
      <c r="D36" s="56" t="str">
        <f ca="1">IFERROR(__xludf.DUMMYFUNCTION("""COMPUTED_VALUE"""),"12/18 months (6 month interval)")</f>
        <v>12/18 months (6 month interval)</v>
      </c>
      <c r="E36" s="56" t="str">
        <f ca="1">IFERROR(__xludf.DUMMYFUNCTION("""COMPUTED_VALUE"""),"Infancy - Infancy")</f>
        <v>Infancy - Infancy</v>
      </c>
      <c r="F36" s="56" t="str">
        <f ca="1">IFERROR(__xludf.DUMMYFUNCTION("""COMPUTED_VALUE"""),"195")</f>
        <v>195</v>
      </c>
      <c r="G36" s="56" t="str">
        <f ca="1">IFERROR(__xludf.DUMMYFUNCTION("""COMPUTED_VALUE"""),"0.3066666667")</f>
        <v>0.3066666667</v>
      </c>
      <c r="H36" s="56" t="str">
        <f ca="1">IFERROR(__xludf.DUMMYFUNCTION("""COMPUTED_VALUE"""),"0.7948717949")</f>
        <v>0.7948717949</v>
      </c>
      <c r="I36" s="56">
        <f ca="1">IFERROR(__xludf.DUMMYFUNCTION("""COMPUTED_VALUE"""),2001)</f>
        <v>2001</v>
      </c>
      <c r="J36" s="56" t="str">
        <f ca="1">IFERROR(__xludf.DUMMYFUNCTION("""COMPUTED_VALUE"""),"USA")</f>
        <v>USA</v>
      </c>
      <c r="K36" s="56" t="str">
        <f ca="1">IFERROR(__xludf.DUMMYFUNCTION("""COMPUTED_VALUE"""),"Ainsworth/Ainsworth")</f>
        <v>Ainsworth/Ainsworth</v>
      </c>
      <c r="L36" s="56">
        <f ca="1">IFERROR(__xludf.DUMMYFUNCTION("""COMPUTED_VALUE"""),1)</f>
        <v>1</v>
      </c>
      <c r="M36" s="56">
        <f ca="1">IFERROR(__xludf.DUMMYFUNCTION("""COMPUTED_VALUE"""),1)</f>
        <v>1</v>
      </c>
      <c r="N36" s="56">
        <f ca="1">IFERROR(__xludf.DUMMYFUNCTION("""COMPUTED_VALUE"""),0)</f>
        <v>0</v>
      </c>
      <c r="O36" s="56">
        <f ca="1">IFERROR(__xludf.DUMMYFUNCTION("""COMPUTED_VALUE"""),1)</f>
        <v>1</v>
      </c>
      <c r="P36" s="56">
        <f ca="1">IFERROR(__xludf.DUMMYFUNCTION("""COMPUTED_VALUE"""),0.77)</f>
        <v>0.77</v>
      </c>
      <c r="Q36" s="56">
        <f ca="1">IFERROR(__xludf.DUMMYFUNCTION("""COMPUTED_VALUE"""),0)</f>
        <v>0</v>
      </c>
      <c r="R36" t="str">
        <f ca="1">IFERROR(__xludf.DUMMYFUNCTION("""COMPUTED_VALUE"""),"Female")</f>
        <v>Female</v>
      </c>
    </row>
    <row r="37" spans="1:18" ht="12.9">
      <c r="A37" s="56">
        <f ca="1">IFERROR(__xludf.DUMMYFUNCTION("""COMPUTED_VALUE"""),39)</f>
        <v>39</v>
      </c>
      <c r="B37" s="56" t="str">
        <f ca="1">IFERROR(__xludf.DUMMYFUNCTION("""COMPUTED_VALUE"""),"Xue (2010)")</f>
        <v>Xue (2010)</v>
      </c>
      <c r="C37" s="56">
        <f ca="1">IFERROR(__xludf.DUMMYFUNCTION("""COMPUTED_VALUE"""),1)</f>
        <v>1</v>
      </c>
      <c r="D37" s="56" t="str">
        <f ca="1">IFERROR(__xludf.DUMMYFUNCTION("""COMPUTED_VALUE"""),"13/42 months (29 month interval)")</f>
        <v>13/42 months (29 month interval)</v>
      </c>
      <c r="E37" s="56" t="str">
        <f ca="1">IFERROR(__xludf.DUMMYFUNCTION("""COMPUTED_VALUE"""),"Infancy - Preschool")</f>
        <v>Infancy - Preschool</v>
      </c>
      <c r="F37" s="56" t="str">
        <f ca="1">IFERROR(__xludf.DUMMYFUNCTION("""COMPUTED_VALUE"""),"46")</f>
        <v>46</v>
      </c>
      <c r="G37" s="56" t="str">
        <f ca="1">IFERROR(__xludf.DUMMYFUNCTION("""COMPUTED_VALUE"""),"-0.02985074627")</f>
        <v>-0.02985074627</v>
      </c>
      <c r="H37" s="56" t="str">
        <f ca="1">IFERROR(__xludf.DUMMYFUNCTION("""COMPUTED_VALUE"""),"0.5434782609")</f>
        <v>0.5434782609</v>
      </c>
      <c r="I37" s="56">
        <f ca="1">IFERROR(__xludf.DUMMYFUNCTION("""COMPUTED_VALUE"""),2010)</f>
        <v>2010</v>
      </c>
      <c r="J37" s="56" t="str">
        <f ca="1">IFERROR(__xludf.DUMMYFUNCTION("""COMPUTED_VALUE"""),"Non-USA")</f>
        <v>Non-USA</v>
      </c>
      <c r="K37" s="56" t="str">
        <f ca="1">IFERROR(__xludf.DUMMYFUNCTION("""COMPUTED_VALUE"""),"Ainsworth/Cassidy-Marvin")</f>
        <v>Ainsworth/Cassidy-Marvin</v>
      </c>
      <c r="L37" s="56">
        <f ca="1">IFERROR(__xludf.DUMMYFUNCTION("""COMPUTED_VALUE"""),0)</f>
        <v>0</v>
      </c>
      <c r="M37" s="56">
        <f ca="1">IFERROR(__xludf.DUMMYFUNCTION("""COMPUTED_VALUE"""),0)</f>
        <v>0</v>
      </c>
      <c r="N37" s="56">
        <f ca="1">IFERROR(__xludf.DUMMYFUNCTION("""COMPUTED_VALUE"""),0)</f>
        <v>0</v>
      </c>
      <c r="O37" s="56">
        <f ca="1">IFERROR(__xludf.DUMMYFUNCTION("""COMPUTED_VALUE"""),0)</f>
        <v>0</v>
      </c>
      <c r="P37" s="56">
        <f ca="1">IFERROR(__xludf.DUMMYFUNCTION("""COMPUTED_VALUE"""),0.89)</f>
        <v>0.89</v>
      </c>
      <c r="Q37" s="56">
        <f ca="1">IFERROR(__xludf.DUMMYFUNCTION("""COMPUTED_VALUE"""),0)</f>
        <v>0</v>
      </c>
      <c r="R37" t="str">
        <f ca="1">IFERROR(__xludf.DUMMYFUNCTION("""COMPUTED_VALUE"""),"Female")</f>
        <v>Female</v>
      </c>
    </row>
    <row r="38" spans="1:18"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IFERROR(__xludf.DUMMYFUNCTION("""COMPUTED_VALUE"""),"0.2246153846")</f>
        <v>0.2246153846</v>
      </c>
      <c r="H38" t="str">
        <f ca="1">IFERROR(__xludf.DUMMYFUNCTION("""COMPUTED_VALUE"""),"0.746031746")</f>
        <v>0.746031746</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row>
    <row r="39" spans="1:18"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IFERROR(__xludf.DUMMYFUNCTION("""COMPUTED_VALUE"""),"0.2865090403")</f>
        <v>0.2865090403</v>
      </c>
      <c r="H39" t="str">
        <f ca="1">IFERROR(__xludf.DUMMYFUNCTION("""COMPUTED_VALUE"""),"0.6481481481")</f>
        <v>0.6481481481</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row>
    <row r="40" spans="1:18"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IFERROR(__xludf.DUMMYFUNCTION("""COMPUTED_VALUE"""),"0.2601209865")</f>
        <v>0.2601209865</v>
      </c>
      <c r="H40" t="str">
        <f ca="1">IFERROR(__xludf.DUMMYFUNCTION("""COMPUTED_VALUE"""),"0.7169811321")</f>
        <v>0.7169811321</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row>
    <row r="41" spans="1:18"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IFERROR(__xludf.DUMMYFUNCTION("""COMPUTED_VALUE"""),"0.1962962963")</f>
        <v>0.1962962963</v>
      </c>
      <c r="H41" t="str">
        <f ca="1">IFERROR(__xludf.DUMMYFUNCTION("""COMPUTED_VALUE"""),"0.5483870968")</f>
        <v>0.5483870968</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row>
    <row r="42" spans="1:18"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IFERROR(__xludf.DUMMYFUNCTION("""COMPUTED_VALUE"""),"0.2456301748")</f>
        <v>0.2456301748</v>
      </c>
      <c r="H42" t="str">
        <f ca="1">IFERROR(__xludf.DUMMYFUNCTION("""COMPUTED_VALUE"""),"0.756097561")</f>
        <v>0.756097561</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row>
    <row r="43" spans="1:18"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IFERROR(__xludf.DUMMYFUNCTION("""COMPUTED_VALUE"""),"0.09286412512")</f>
        <v>0.09286412512</v>
      </c>
      <c r="H43" t="str">
        <f ca="1">IFERROR(__xludf.DUMMYFUNCTION("""COMPUTED_VALUE"""),"0.7734375")</f>
        <v>0.7734375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row>
    <row r="44" spans="1:18"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IFERROR(__xludf.DUMMYFUNCTION("""COMPUTED_VALUE"""),"0.2647058824")</f>
        <v>0.2647058824</v>
      </c>
      <c r="H44" t="str">
        <f ca="1">IFERROR(__xludf.DUMMYFUNCTION("""COMPUTED_VALUE"""),"0.7142857143")</f>
        <v>0.7142857143</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row>
    <row r="45" spans="1:18"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IFERROR(__xludf.DUMMYFUNCTION("""COMPUTED_VALUE"""),"0.1923703187")</f>
        <v>0.1923703187</v>
      </c>
      <c r="H45" t="str">
        <f ca="1">IFERROR(__xludf.DUMMYFUNCTION("""COMPUTED_VALUE"""),"0.8525345622")</f>
        <v>0.8525345622</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row>
    <row r="46" spans="1:18"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IFERROR(__xludf.DUMMYFUNCTION("""COMPUTED_VALUE"""),"0.1939769708")</f>
        <v>0.1939769708</v>
      </c>
      <c r="H46" t="str">
        <f ca="1">IFERROR(__xludf.DUMMYFUNCTION("""COMPUTED_VALUE"""),"0.8317307692")</f>
        <v>0.8317307692</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row>
    <row r="47" spans="1:18"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IFERROR(__xludf.DUMMYFUNCTION("""COMPUTED_VALUE"""),"0.4047619048")</f>
        <v>0.4047619048</v>
      </c>
      <c r="H47" t="str">
        <f ca="1">IFERROR(__xludf.DUMMYFUNCTION("""COMPUTED_VALUE"""),"0.7777777778")</f>
        <v>0.7777777778</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S47"/>
  <sheetViews>
    <sheetView workbookViewId="0"/>
  </sheetViews>
  <sheetFormatPr defaultColWidth="14.44140625" defaultRowHeight="15.75" customHeight="1"/>
  <cols>
    <col min="1" max="1" width="8.27734375" customWidth="1"/>
    <col min="2" max="2" width="31.71875" customWidth="1"/>
    <col min="3" max="3" width="12.83203125" customWidth="1"/>
    <col min="4" max="4" width="28.44140625" customWidth="1"/>
    <col min="5" max="5" width="21.27734375" customWidth="1"/>
    <col min="6" max="6" width="15.5546875" customWidth="1"/>
    <col min="7" max="7" width="15.109375" customWidth="1"/>
    <col min="8" max="8" width="16.83203125" customWidth="1"/>
  </cols>
  <sheetData>
    <row r="1" spans="1:19" ht="15.75" customHeight="1">
      <c r="A1" t="str">
        <f ca="1">IFERROR(__xludf.DUMMYFUNCTION("QUERY(Processed!A1:BW150,""SELECT A, B, C, D, E, BS, BT, BU, BG, BH, BI, BJ, BK, BL, BM, BN, BO, BP, BW WHERE BQ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IFERROR(__xludf.DUMMYFUNCTION("""COMPUTED_VALUE"""),"AA n - Calculated")</f>
        <v>AA n - Calculated</v>
      </c>
      <c r="G1" t="str">
        <f ca="1">IFERROR(__xludf.DUMMYFUNCTION("""COMPUTED_VALUE"""),"AA r - Calculated")</f>
        <v>AA r - Calculated</v>
      </c>
      <c r="H1" t="str">
        <f ca="1">IFERROR(__xludf.DUMMYFUNCTION("""COMPUTED_VALUE"""),"AA PA - Calculated")</f>
        <v>AA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c r="S1" t="str">
        <f ca="1">IFERROR(__xludf.DUMMYFUNCTION("""COMPUTED_VALUE"""),"AA k - Calculated")</f>
        <v>AA k - Calculated</v>
      </c>
    </row>
    <row r="2" spans="1:19"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IFERROR(__xludf.DUMMYFUNCTION("""COMPUTED_VALUE"""),"-0.09637388493")</f>
        <v>-0.09637388493</v>
      </c>
      <c r="H2" t="str">
        <f ca="1">IFERROR(__xludf.DUMMYFUNCTION("""COMPUTED_VALUE"""),"0.8")</f>
        <v>0.8</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c r="S2" t="str">
        <f ca="1">IFERROR(__xludf.DUMMYFUNCTION("""COMPUTED_VALUE"""),"-0.08108108108")</f>
        <v>-0.08108108108</v>
      </c>
    </row>
    <row r="3" spans="1:19"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IFERROR(__xludf.DUMMYFUNCTION("""COMPUTED_VALUE"""),"-0.09128709292")</f>
        <v>-0.09128709292</v>
      </c>
      <c r="H3" t="str">
        <f ca="1">IFERROR(__xludf.DUMMYFUNCTION("""COMPUTED_VALUE"""),"0.8095238095")</f>
        <v>0.8095238095</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c r="S3" t="str">
        <f ca="1">IFERROR(__xludf.DUMMYFUNCTION("""COMPUTED_VALUE"""),"-0.07692307692")</f>
        <v>-0.07692307692</v>
      </c>
    </row>
    <row r="4" spans="1:19"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IFERROR(__xludf.DUMMYFUNCTION("""COMPUTED_VALUE"""),"1")</f>
        <v>1</v>
      </c>
      <c r="H4" t="str">
        <f ca="1">IFERROR(__xludf.DUMMYFUNCTION("""COMPUTED_VALUE"""),"1")</f>
        <v>1</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c r="S4" t="str">
        <f ca="1">IFERROR(__xludf.DUMMYFUNCTION("""COMPUTED_VALUE"""),"1")</f>
        <v>1</v>
      </c>
    </row>
    <row r="5" spans="1:19"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IFERROR(__xludf.DUMMYFUNCTION("""COMPUTED_VALUE"""),"0")</f>
        <v>0</v>
      </c>
      <c r="H5" t="str">
        <f ca="1">IFERROR(__xludf.DUMMYFUNCTION("""COMPUTED_VALUE"""),"0.9375")</f>
        <v>0.9375</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c r="S5" t="str">
        <f ca="1">IFERROR(__xludf.DUMMYFUNCTION("""COMPUTED_VALUE"""),"0")</f>
        <v>0</v>
      </c>
    </row>
    <row r="6" spans="1:19"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f>
        <v>0</v>
      </c>
      <c r="H6" t="str">
        <f ca="1">IFERROR(__xludf.DUMMYFUNCTION("""COMPUTED_VALUE"""),"0.9444444444")</f>
        <v>0.9444444444</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c r="S6" t="str">
        <f ca="1">IFERROR(__xludf.DUMMYFUNCTION("""COMPUTED_VALUE"""),"0")</f>
        <v>0</v>
      </c>
    </row>
    <row r="7" spans="1:19"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IFERROR(__xludf.DUMMYFUNCTION("""COMPUTED_VALUE"""),"-0.06666666667")</f>
        <v>-0.06666666667</v>
      </c>
      <c r="H7" t="str">
        <f ca="1">IFERROR(__xludf.DUMMYFUNCTION("""COMPUTED_VALUE"""),"0.875")</f>
        <v>0.875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c r="S7" t="str">
        <f ca="1">IFERROR(__xludf.DUMMYFUNCTION("""COMPUTED_VALUE"""),"-0.06666666667")</f>
        <v>-0.06666666667</v>
      </c>
    </row>
    <row r="8" spans="1:19"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IFERROR(__xludf.DUMMYFUNCTION("""COMPUTED_VALUE"""),"0.5635445125")</f>
        <v>0.5635445125</v>
      </c>
      <c r="H8" t="str">
        <f ca="1">IFERROR(__xludf.DUMMYFUNCTION("""COMPUTED_VALUE"""),"0.8333333333")</f>
        <v>0.8333333333</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c r="S8" t="str">
        <f ca="1">IFERROR(__xludf.DUMMYFUNCTION("""COMPUTED_VALUE"""),"0.5573770492")</f>
        <v>0.5573770492</v>
      </c>
    </row>
    <row r="9" spans="1:19"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IFERROR(__xludf.DUMMYFUNCTION("""COMPUTED_VALUE"""),"0.3361227822")</f>
        <v>0.3361227822</v>
      </c>
      <c r="H9" t="str">
        <f ca="1">IFERROR(__xludf.DUMMYFUNCTION("""COMPUTED_VALUE"""),"0.72")</f>
        <v>0.72</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c r="S9" t="str">
        <f ca="1">IFERROR(__xludf.DUMMYFUNCTION("""COMPUTED_VALUE"""),"0.3346007605")</f>
        <v>0.3346007605</v>
      </c>
    </row>
    <row r="10" spans="1:19"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IFERROR(__xludf.DUMMYFUNCTION("""COMPUTED_VALUE"""),"-0.1048284837")</f>
        <v>-0.1048284837</v>
      </c>
      <c r="H10" t="str">
        <f ca="1">IFERROR(__xludf.DUMMYFUNCTION("""COMPUTED_VALUE"""),"0.8")</f>
        <v>0.8</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c r="S10" t="str">
        <f ca="1">IFERROR(__xludf.DUMMYFUNCTION("""COMPUTED_VALUE"""),"-0.09756097561")</f>
        <v>-0.09756097561</v>
      </c>
    </row>
    <row r="11" spans="1:19"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f>
        <v>0</v>
      </c>
      <c r="H11" t="str">
        <f ca="1">IFERROR(__xludf.DUMMYFUNCTION("""COMPUTED_VALUE"""),"0.9")</f>
        <v>0.9</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c r="S11" t="str">
        <f ca="1">IFERROR(__xludf.DUMMYFUNCTION("""COMPUTED_VALUE"""),"0")</f>
        <v>0</v>
      </c>
    </row>
    <row r="12" spans="1:19"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IFERROR(__xludf.DUMMYFUNCTION("""COMPUTED_VALUE"""),"0.3006232385")</f>
        <v>0.3006232385</v>
      </c>
      <c r="H12" t="str">
        <f ca="1">IFERROR(__xludf.DUMMYFUNCTION("""COMPUTED_VALUE"""),"0.8333333333")</f>
        <v>0.8333333333</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c r="S12" t="str">
        <f ca="1">IFERROR(__xludf.DUMMYFUNCTION("""COMPUTED_VALUE"""),"0.2429906542")</f>
        <v>0.2429906542</v>
      </c>
    </row>
    <row r="13" spans="1:19"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IFERROR(__xludf.DUMMYFUNCTION("""COMPUTED_VALUE"""),"0.3837796525")</f>
        <v>0.3837796525</v>
      </c>
      <c r="H13" t="str">
        <f ca="1">IFERROR(__xludf.DUMMYFUNCTION("""COMPUTED_VALUE"""),"0.8863636364")</f>
        <v>0.8863636364</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c r="S13" t="str">
        <f ca="1">IFERROR(__xludf.DUMMYFUNCTION("""COMPUTED_VALUE"""),"0.2567567568")</f>
        <v>0.2567567568</v>
      </c>
    </row>
    <row r="14" spans="1:19"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IFERROR(__xludf.DUMMYFUNCTION("""COMPUTED_VALUE"""),"-0.02263194384")</f>
        <v>-0.02263194384</v>
      </c>
      <c r="H14" t="str">
        <f ca="1">IFERROR(__xludf.DUMMYFUNCTION("""COMPUTED_VALUE"""),"0.7682926829")</f>
        <v>0.7682926829</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c r="S14" t="str">
        <f ca="1">IFERROR(__xludf.DUMMYFUNCTION("""COMPUTED_VALUE"""),"-0.02096985583")</f>
        <v>-0.02096985583</v>
      </c>
    </row>
    <row r="15" spans="1:19"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IFERROR(__xludf.DUMMYFUNCTION("""COMPUTED_VALUE"""),"0.6042179781")</f>
        <v>0.6042179781</v>
      </c>
      <c r="H15" t="str">
        <f ca="1">IFERROR(__xludf.DUMMYFUNCTION("""COMPUTED_VALUE"""),"0.8666666667")</f>
        <v>0.8666666667</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c r="S15" t="str">
        <f ca="1">IFERROR(__xludf.DUMMYFUNCTION("""COMPUTED_VALUE"""),"0.5348837209")</f>
        <v>0.5348837209</v>
      </c>
    </row>
    <row r="16" spans="1:19"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IFERROR(__xludf.DUMMYFUNCTION("""COMPUTED_VALUE"""),"0.006629278025")</f>
        <v>0.006629278025</v>
      </c>
      <c r="H16" t="str">
        <f ca="1">IFERROR(__xludf.DUMMYFUNCTION("""COMPUTED_VALUE"""),"0.7066666667")</f>
        <v>0.7066666667</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c r="S16" t="str">
        <f ca="1">IFERROR(__xludf.DUMMYFUNCTION("""COMPUTED_VALUE"""),"0.006622516556")</f>
        <v>0.006622516556</v>
      </c>
    </row>
    <row r="17" spans="1:19"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IFERROR(__xludf.DUMMYFUNCTION("""COMPUTED_VALUE"""),"0.7419408268")</f>
        <v>0.7419408268</v>
      </c>
      <c r="H17" t="str">
        <f ca="1">IFERROR(__xludf.DUMMYFUNCTION("""COMPUTED_VALUE"""),"0.90625")</f>
        <v>0.90625</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c r="S17" t="str">
        <f ca="1">IFERROR(__xludf.DUMMYFUNCTION("""COMPUTED_VALUE"""),"0.7391304348")</f>
        <v>0.7391304348</v>
      </c>
    </row>
    <row r="18" spans="1:19"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IFERROR(__xludf.DUMMYFUNCTION("""COMPUTED_VALUE"""),"0.1884336657")</f>
        <v>0.1884336657</v>
      </c>
      <c r="H18" t="str">
        <f ca="1">IFERROR(__xludf.DUMMYFUNCTION("""COMPUTED_VALUE"""),"0.6666666667")</f>
        <v>0.6666666667</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c r="S18" t="str">
        <f ca="1">IFERROR(__xludf.DUMMYFUNCTION("""COMPUTED_VALUE"""),"0.1879194631")</f>
        <v>0.1879194631</v>
      </c>
    </row>
    <row r="19" spans="1:19"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IFERROR(__xludf.DUMMYFUNCTION("""COMPUTED_VALUE"""),"0.1438886158")</f>
        <v>0.1438886158</v>
      </c>
      <c r="H19" t="str">
        <f ca="1">IFERROR(__xludf.DUMMYFUNCTION("""COMPUTED_VALUE"""),"0.7325581395")</f>
        <v>0.7325581395</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c r="S19" t="str">
        <f ca="1">IFERROR(__xludf.DUMMYFUNCTION("""COMPUTED_VALUE"""),"0.1082055906")</f>
        <v>0.1082055906</v>
      </c>
    </row>
    <row r="20" spans="1:19"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IFERROR(__xludf.DUMMYFUNCTION("""COMPUTED_VALUE"""),"0.3327580738")</f>
        <v>0.3327580738</v>
      </c>
      <c r="H20" t="str">
        <f ca="1">IFERROR(__xludf.DUMMYFUNCTION("""COMPUTED_VALUE"""),"0.8416666667")</f>
        <v>0.8416666667</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c r="S20" t="str">
        <f ca="1">IFERROR(__xludf.DUMMYFUNCTION("""COMPUTED_VALUE"""),"0.3325526932")</f>
        <v>0.3325526932</v>
      </c>
    </row>
    <row r="21" spans="1:19"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t="str">
        <f ca="1">IFERROR(__xludf.DUMMYFUNCTION("""COMPUTED_VALUE"""),"1,060")</f>
        <v>1,060</v>
      </c>
      <c r="G21" t="str">
        <f ca="1">IFERROR(__xludf.DUMMYFUNCTION("""COMPUTED_VALUE"""),"0.09597211408")</f>
        <v>0.09597211408</v>
      </c>
      <c r="H21" t="str">
        <f ca="1">IFERROR(__xludf.DUMMYFUNCTION("""COMPUTED_VALUE"""),"0.841509434")</f>
        <v>0.841509434</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c r="S21" t="str">
        <f ca="1">IFERROR(__xludf.DUMMYFUNCTION("""COMPUTED_VALUE"""),"0.08361121403")</f>
        <v>0.08361121403</v>
      </c>
    </row>
    <row r="22" spans="1:19"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IFERROR(__xludf.DUMMYFUNCTION("""COMPUTED_VALUE"""),"0.1092267329")</f>
        <v>0.1092267329</v>
      </c>
      <c r="H22" t="str">
        <f ca="1">IFERROR(__xludf.DUMMYFUNCTION("""COMPUTED_VALUE"""),"0.7333333333")</f>
        <v>0.7333333333</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c r="S22" t="str">
        <f ca="1">IFERROR(__xludf.DUMMYFUNCTION("""COMPUTED_VALUE"""),"0.09747292419")</f>
        <v>0.09747292419</v>
      </c>
    </row>
    <row r="23" spans="1:19"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IFERROR(__xludf.DUMMYFUNCTION("""COMPUTED_VALUE"""),"-0.06862145517")</f>
        <v>-0.06862145517</v>
      </c>
      <c r="H23" t="str">
        <f ca="1">IFERROR(__xludf.DUMMYFUNCTION("""COMPUTED_VALUE"""),"0.8266666667")</f>
        <v>0.8266666667</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c r="S23" t="str">
        <f ca="1">IFERROR(__xludf.DUMMYFUNCTION("""COMPUTED_VALUE"""),"-0.04726100967")</f>
        <v>-0.04726100967</v>
      </c>
    </row>
    <row r="24" spans="1:19"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IFERROR(__xludf.DUMMYFUNCTION("""COMPUTED_VALUE"""),"0.1009306256")</f>
        <v>0.1009306256</v>
      </c>
      <c r="H24" t="str">
        <f ca="1">IFERROR(__xludf.DUMMYFUNCTION("""COMPUTED_VALUE"""),"0.8")</f>
        <v>0.8</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c r="S24" t="str">
        <f ca="1">IFERROR(__xludf.DUMMYFUNCTION("""COMPUTED_VALUE"""),"0.09927942354")</f>
        <v>0.09927942354</v>
      </c>
    </row>
    <row r="25" spans="1:19"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IFERROR(__xludf.DUMMYFUNCTION("""COMPUTED_VALUE"""),"-0.09301487194")</f>
        <v>-0.09301487194</v>
      </c>
      <c r="H25" t="str">
        <f ca="1">IFERROR(__xludf.DUMMYFUNCTION("""COMPUTED_VALUE"""),"0.7333333333")</f>
        <v>0.7333333333</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c r="S25" t="str">
        <f ca="1">IFERROR(__xludf.DUMMYFUNCTION("""COMPUTED_VALUE"""),"-0.05042016807")</f>
        <v>-0.05042016807</v>
      </c>
    </row>
    <row r="26" spans="1:19"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IFERROR(__xludf.DUMMYFUNCTION("""COMPUTED_VALUE"""),"-0.03051448973")</f>
        <v>-0.03051448973</v>
      </c>
      <c r="H26" t="str">
        <f ca="1">IFERROR(__xludf.DUMMYFUNCTION("""COMPUTED_VALUE"""),"0.6266666667")</f>
        <v>0.6266666667</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c r="S26" t="str">
        <f ca="1">IFERROR(__xludf.DUMMYFUNCTION("""COMPUTED_VALUE"""),"-0.02739726027")</f>
        <v>-0.02739726027</v>
      </c>
    </row>
    <row r="27" spans="1:19"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IFERROR(__xludf.DUMMYFUNCTION("""COMPUTED_VALUE"""),"-0.03520670139")</f>
        <v>-0.03520670139</v>
      </c>
      <c r="H27" t="str">
        <f ca="1">IFERROR(__xludf.DUMMYFUNCTION("""COMPUTED_VALUE"""),"0.5866666667")</f>
        <v>0.5866666667</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c r="S27" t="str">
        <f ca="1">IFERROR(__xludf.DUMMYFUNCTION("""COMPUTED_VALUE"""),"-0.0347129506")</f>
        <v>-0.0347129506</v>
      </c>
    </row>
    <row r="28" spans="1:19"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IFERROR(__xludf.DUMMYFUNCTION("""COMPUTED_VALUE"""),"0.1083035631")</f>
        <v>0.1083035631</v>
      </c>
      <c r="H28" t="str">
        <f ca="1">IFERROR(__xludf.DUMMYFUNCTION("""COMPUTED_VALUE"""),"0.8352745424")</f>
        <v>0.8352745424</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c r="S28" t="str">
        <f ca="1">IFERROR(__xludf.DUMMYFUNCTION("""COMPUTED_VALUE"""),"0.1063398369")</f>
        <v>0.1063398369</v>
      </c>
    </row>
    <row r="29" spans="1:19"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IFERROR(__xludf.DUMMYFUNCTION("""COMPUTED_VALUE"""),"0.08392202721")</f>
        <v>0.08392202721</v>
      </c>
      <c r="H29" t="str">
        <f ca="1">IFERROR(__xludf.DUMMYFUNCTION("""COMPUTED_VALUE"""),"0.6477272727")</f>
        <v>0.6477272727</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c r="S29" t="str">
        <f ca="1">IFERROR(__xludf.DUMMYFUNCTION("""COMPUTED_VALUE"""),"0.08209959623")</f>
        <v>0.08209959623</v>
      </c>
    </row>
    <row r="30" spans="1:19"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IFERROR(__xludf.DUMMYFUNCTION("""COMPUTED_VALUE"""),"0.2482767355")</f>
        <v>0.2482767355</v>
      </c>
      <c r="H30" t="str">
        <f ca="1">IFERROR(__xludf.DUMMYFUNCTION("""COMPUTED_VALUE"""),"0.6911764706")</f>
        <v>0.6911764706</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c r="S30" t="str">
        <f ca="1">IFERROR(__xludf.DUMMYFUNCTION("""COMPUTED_VALUE"""),"0.246835443")</f>
        <v>0.246835443</v>
      </c>
    </row>
    <row r="31" spans="1:19"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IFERROR(__xludf.DUMMYFUNCTION("""COMPUTED_VALUE"""),"0.2215961627")</f>
        <v>0.2215961627</v>
      </c>
      <c r="H31" t="str">
        <f ca="1">IFERROR(__xludf.DUMMYFUNCTION("""COMPUTED_VALUE"""),"0.8333333333")</f>
        <v>0.8333333333</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c r="S31" t="str">
        <f ca="1">IFERROR(__xludf.DUMMYFUNCTION("""COMPUTED_VALUE"""),"0.2211981567")</f>
        <v>0.2211981567</v>
      </c>
    </row>
    <row r="32" spans="1:19"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IFERROR(__xludf.DUMMYFUNCTION("""COMPUTED_VALUE"""),"0.7264986749")</f>
        <v>0.7264986749</v>
      </c>
      <c r="H32" t="str">
        <f ca="1">IFERROR(__xludf.DUMMYFUNCTION("""COMPUTED_VALUE"""),"0.9230769231")</f>
        <v>0.9230769231</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c r="S32" t="str">
        <f ca="1">IFERROR(__xludf.DUMMYFUNCTION("""COMPUTED_VALUE"""),"0.7234042553")</f>
        <v>0.7234042553</v>
      </c>
    </row>
    <row r="33" spans="1:19"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IFERROR(__xludf.DUMMYFUNCTION("""COMPUTED_VALUE"""),"0.5952380952")</f>
        <v>0.5952380952</v>
      </c>
      <c r="H33" t="str">
        <f ca="1">IFERROR(__xludf.DUMMYFUNCTION("""COMPUTED_VALUE"""),"0.8823529412")</f>
        <v>0.8823529412</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c r="S33" t="str">
        <f ca="1">IFERROR(__xludf.DUMMYFUNCTION("""COMPUTED_VALUE"""),"0.5952380952")</f>
        <v>0.5952380952</v>
      </c>
    </row>
    <row r="34" spans="1:19"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IFERROR(__xludf.DUMMYFUNCTION("""COMPUTED_VALUE"""),"0.3555284535")</f>
        <v>0.3555284535</v>
      </c>
      <c r="H34" t="str">
        <f ca="1">IFERROR(__xludf.DUMMYFUNCTION("""COMPUTED_VALUE"""),"0.7567567568")</f>
        <v>0.7567567568</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c r="S34" t="str">
        <f ca="1">IFERROR(__xludf.DUMMYFUNCTION("""COMPUTED_VALUE"""),"0.3299798793")</f>
        <v>0.3299798793</v>
      </c>
    </row>
    <row r="35" spans="1:19"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IFERROR(__xludf.DUMMYFUNCTION("""COMPUTED_VALUE"""),"0.1114877181")</f>
        <v>0.1114877181</v>
      </c>
      <c r="H35" t="str">
        <f ca="1">IFERROR(__xludf.DUMMYFUNCTION("""COMPUTED_VALUE"""),"0.6262626263")</f>
        <v>0.6262626263</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c r="S35" t="str">
        <f ca="1">IFERROR(__xludf.DUMMYFUNCTION("""COMPUTED_VALUE"""),"0.1015452539")</f>
        <v>0.1015452539</v>
      </c>
    </row>
    <row r="36" spans="1:19"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IFERROR(__xludf.DUMMYFUNCTION("""COMPUTED_VALUE"""),"0.109202917")</f>
        <v>0.109202917</v>
      </c>
      <c r="H36" t="str">
        <f ca="1">IFERROR(__xludf.DUMMYFUNCTION("""COMPUTED_VALUE"""),"0.7025641026")</f>
        <v>0.7025641026</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c r="S36" t="str">
        <f ca="1">IFERROR(__xludf.DUMMYFUNCTION("""COMPUTED_VALUE"""),"0.1079034548")</f>
        <v>0.1079034548</v>
      </c>
    </row>
    <row r="37" spans="1:19"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f>
        <v>0</v>
      </c>
      <c r="H37" t="str">
        <f ca="1">IFERROR(__xludf.DUMMYFUNCTION("""COMPUTED_VALUE"""),"0.8695652174")</f>
        <v>0.8695652174</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c r="S37" t="str">
        <f ca="1">IFERROR(__xludf.DUMMYFUNCTION("""COMPUTED_VALUE"""),"0")</f>
        <v>0</v>
      </c>
    </row>
    <row r="38" spans="1:19"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IFERROR(__xludf.DUMMYFUNCTION("""COMPUTED_VALUE"""),"0.2431550663")</f>
        <v>0.2431550663</v>
      </c>
      <c r="H38" t="str">
        <f ca="1">IFERROR(__xludf.DUMMYFUNCTION("""COMPUTED_VALUE"""),"0.7301587302")</f>
        <v>0.7301587302</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c r="S38" t="str">
        <f ca="1">IFERROR(__xludf.DUMMYFUNCTION("""COMPUTED_VALUE"""),"0.2409638554")</f>
        <v>0.2409638554</v>
      </c>
    </row>
    <row r="39" spans="1:19"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IFERROR(__xludf.DUMMYFUNCTION("""COMPUTED_VALUE"""),"0.3605104389")</f>
        <v>0.3605104389</v>
      </c>
      <c r="H39" t="str">
        <f ca="1">IFERROR(__xludf.DUMMYFUNCTION("""COMPUTED_VALUE"""),"0.7222222222")</f>
        <v>0.7222222222</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c r="S39" t="str">
        <f ca="1">IFERROR(__xludf.DUMMYFUNCTION("""COMPUTED_VALUE"""),"0.352")</f>
        <v>0.352</v>
      </c>
    </row>
    <row r="40" spans="1:19"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IFERROR(__xludf.DUMMYFUNCTION("""COMPUTED_VALUE"""),"0.1782608636")</f>
        <v>0.1782608636</v>
      </c>
      <c r="H40" t="str">
        <f ca="1">IFERROR(__xludf.DUMMYFUNCTION("""COMPUTED_VALUE"""),"0.8113207547")</f>
        <v>0.8113207547</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c r="S40" t="str">
        <f ca="1">IFERROR(__xludf.DUMMYFUNCTION("""COMPUTED_VALUE"""),"0.1776570985")</f>
        <v>0.1776570985</v>
      </c>
    </row>
    <row r="41" spans="1:19"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IFERROR(__xludf.DUMMYFUNCTION("""COMPUTED_VALUE"""),"-0.05976143047")</f>
        <v>-0.05976143047</v>
      </c>
      <c r="H41" t="str">
        <f ca="1">IFERROR(__xludf.DUMMYFUNCTION("""COMPUTED_VALUE"""),"0.8709677419")</f>
        <v>0.8709677419</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c r="S41" t="str">
        <f ca="1">IFERROR(__xludf.DUMMYFUNCTION("""COMPUTED_VALUE"""),"-0.05084745763")</f>
        <v>-0.05084745763</v>
      </c>
    </row>
    <row r="42" spans="1:19"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IFERROR(__xludf.DUMMYFUNCTION("""COMPUTED_VALUE"""),"0.1883826906")</f>
        <v>0.1883826906</v>
      </c>
      <c r="H42" t="str">
        <f ca="1">IFERROR(__xludf.DUMMYFUNCTION("""COMPUTED_VALUE"""),"0.8109756098")</f>
        <v>0.8109756098</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c r="S42" t="str">
        <f ca="1">IFERROR(__xludf.DUMMYFUNCTION("""COMPUTED_VALUE"""),"0.1616094987")</f>
        <v>0.1616094987</v>
      </c>
    </row>
    <row r="43" spans="1:19"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IFERROR(__xludf.DUMMYFUNCTION("""COMPUTED_VALUE"""),"0.07430592667")</f>
        <v>0.07430592667</v>
      </c>
      <c r="H43" t="str">
        <f ca="1">IFERROR(__xludf.DUMMYFUNCTION("""COMPUTED_VALUE"""),"0.78125")</f>
        <v>0.78125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c r="S43" t="str">
        <f ca="1">IFERROR(__xludf.DUMMYFUNCTION("""COMPUTED_VALUE"""),"0.06812272491")</f>
        <v>0.06812272491</v>
      </c>
    </row>
    <row r="44" spans="1:19"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IFERROR(__xludf.DUMMYFUNCTION("""COMPUTED_VALUE"""),"0.3024642905")</f>
        <v>0.3024642905</v>
      </c>
      <c r="H44" t="str">
        <f ca="1">IFERROR(__xludf.DUMMYFUNCTION("""COMPUTED_VALUE"""),"0.7428571429")</f>
        <v>0.7428571429</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c r="S44" t="str">
        <f ca="1">IFERROR(__xludf.DUMMYFUNCTION("""COMPUTED_VALUE"""),"0.3015521064")</f>
        <v>0.3015521064</v>
      </c>
    </row>
    <row r="45" spans="1:19"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IFERROR(__xludf.DUMMYFUNCTION("""COMPUTED_VALUE"""),"0.2124211732")</f>
        <v>0.2124211732</v>
      </c>
      <c r="H45" t="str">
        <f ca="1">IFERROR(__xludf.DUMMYFUNCTION("""COMPUTED_VALUE"""),"0.8202764977")</f>
        <v>0.8202764977</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c r="S45" t="str">
        <f ca="1">IFERROR(__xludf.DUMMYFUNCTION("""COMPUTED_VALUE"""),"0.2123778502")</f>
        <v>0.2123778502</v>
      </c>
    </row>
    <row r="46" spans="1:19"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IFERROR(__xludf.DUMMYFUNCTION("""COMPUTED_VALUE"""),"0.1050724638")</f>
        <v>0.1050724638</v>
      </c>
      <c r="H46" t="str">
        <f ca="1">IFERROR(__xludf.DUMMYFUNCTION("""COMPUTED_VALUE"""),"0.8173076923")</f>
        <v>0.8173076923</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c r="S46" t="str">
        <f ca="1">IFERROR(__xludf.DUMMYFUNCTION("""COMPUTED_VALUE"""),"0.1050724638")</f>
        <v>0.1050724638</v>
      </c>
    </row>
    <row r="47" spans="1:19"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IFERROR(__xludf.DUMMYFUNCTION("""COMPUTED_VALUE"""),"0.1604990789")</f>
        <v>0.1604990789</v>
      </c>
      <c r="H47" t="str">
        <f ca="1">IFERROR(__xludf.DUMMYFUNCTION("""COMPUTED_VALUE"""),"0.7444444444")</f>
        <v>0.7444444444</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c r="S47" t="str">
        <f ca="1">IFERROR(__xludf.DUMMYFUNCTION("""COMPUTED_VALUE"""),"0.1551020408")</f>
        <v>0.1551020408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R47"/>
  <sheetViews>
    <sheetView workbookViewId="0"/>
  </sheetViews>
  <sheetFormatPr defaultColWidth="14.44140625" defaultRowHeight="15.75" customHeight="1"/>
  <cols>
    <col min="1" max="1" width="8.27734375" customWidth="1"/>
    <col min="2" max="2" width="31.71875" customWidth="1"/>
    <col min="3" max="3" width="12.83203125" customWidth="1"/>
    <col min="4" max="4" width="28.44140625" customWidth="1"/>
    <col min="5" max="5" width="21.27734375" customWidth="1"/>
    <col min="6" max="6" width="15.5546875" customWidth="1"/>
    <col min="7" max="7" width="15.44140625" customWidth="1"/>
    <col min="8" max="8" width="16.83203125" customWidth="1"/>
  </cols>
  <sheetData>
    <row r="1" spans="1:18" ht="15.75" customHeight="1">
      <c r="A1" t="str">
        <f ca="1">IFERROR(__xludf.DUMMYFUNCTION("QUERY(Processed!A1:BW150,""SELECT A, B, C, D, E, BS, BW, BU, BG, BH, BI, BJ, BK, BL, BM, BN, BO, BP WHERE BQ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IFERROR(__xludf.DUMMYFUNCTION("""COMPUTED_VALUE"""),"AA n - Calculated")</f>
        <v>AA n - Calculated</v>
      </c>
      <c r="G1" t="str">
        <f ca="1">IFERROR(__xludf.DUMMYFUNCTION("""COMPUTED_VALUE"""),"AA k - Calculated")</f>
        <v>AA k - Calculated</v>
      </c>
      <c r="H1" t="str">
        <f ca="1">IFERROR(__xludf.DUMMYFUNCTION("""COMPUTED_VALUE"""),"AA PA - Calculated")</f>
        <v>AA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row>
    <row r="2" spans="1:18"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IFERROR(__xludf.DUMMYFUNCTION("""COMPUTED_VALUE"""),"-0.08108108108")</f>
        <v>-0.08108108108</v>
      </c>
      <c r="H2" t="str">
        <f ca="1">IFERROR(__xludf.DUMMYFUNCTION("""COMPUTED_VALUE"""),"0.8")</f>
        <v>0.8</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row>
    <row r="3" spans="1:18"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IFERROR(__xludf.DUMMYFUNCTION("""COMPUTED_VALUE"""),"-0.07692307692")</f>
        <v>-0.07692307692</v>
      </c>
      <c r="H3" t="str">
        <f ca="1">IFERROR(__xludf.DUMMYFUNCTION("""COMPUTED_VALUE"""),"0.8095238095")</f>
        <v>0.8095238095</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row>
    <row r="4" spans="1:18"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IFERROR(__xludf.DUMMYFUNCTION("""COMPUTED_VALUE"""),"1")</f>
        <v>1</v>
      </c>
      <c r="H4" t="str">
        <f ca="1">IFERROR(__xludf.DUMMYFUNCTION("""COMPUTED_VALUE"""),"1")</f>
        <v>1</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row>
    <row r="5" spans="1:18"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IFERROR(__xludf.DUMMYFUNCTION("""COMPUTED_VALUE"""),"0")</f>
        <v>0</v>
      </c>
      <c r="H5" t="str">
        <f ca="1">IFERROR(__xludf.DUMMYFUNCTION("""COMPUTED_VALUE"""),"0.9375")</f>
        <v>0.9375</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row>
    <row r="6" spans="1:18"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f>
        <v>0</v>
      </c>
      <c r="H6" t="str">
        <f ca="1">IFERROR(__xludf.DUMMYFUNCTION("""COMPUTED_VALUE"""),"0.9444444444")</f>
        <v>0.9444444444</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row>
    <row r="7" spans="1:18"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IFERROR(__xludf.DUMMYFUNCTION("""COMPUTED_VALUE"""),"-0.06666666667")</f>
        <v>-0.06666666667</v>
      </c>
      <c r="H7" t="str">
        <f ca="1">IFERROR(__xludf.DUMMYFUNCTION("""COMPUTED_VALUE"""),"0.875")</f>
        <v>0.875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row>
    <row r="8" spans="1:18"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IFERROR(__xludf.DUMMYFUNCTION("""COMPUTED_VALUE"""),"0.5573770492")</f>
        <v>0.5573770492</v>
      </c>
      <c r="H8" t="str">
        <f ca="1">IFERROR(__xludf.DUMMYFUNCTION("""COMPUTED_VALUE"""),"0.8333333333")</f>
        <v>0.8333333333</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row>
    <row r="9" spans="1:18"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IFERROR(__xludf.DUMMYFUNCTION("""COMPUTED_VALUE"""),"0.3346007605")</f>
        <v>0.3346007605</v>
      </c>
      <c r="H9" t="str">
        <f ca="1">IFERROR(__xludf.DUMMYFUNCTION("""COMPUTED_VALUE"""),"0.72")</f>
        <v>0.72</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row>
    <row r="10" spans="1:18"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IFERROR(__xludf.DUMMYFUNCTION("""COMPUTED_VALUE"""),"-0.09756097561")</f>
        <v>-0.09756097561</v>
      </c>
      <c r="H10" t="str">
        <f ca="1">IFERROR(__xludf.DUMMYFUNCTION("""COMPUTED_VALUE"""),"0.8")</f>
        <v>0.8</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row>
    <row r="11" spans="1:18"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f>
        <v>0</v>
      </c>
      <c r="H11" t="str">
        <f ca="1">IFERROR(__xludf.DUMMYFUNCTION("""COMPUTED_VALUE"""),"0.9")</f>
        <v>0.9</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row>
    <row r="12" spans="1:18"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IFERROR(__xludf.DUMMYFUNCTION("""COMPUTED_VALUE"""),"0.2429906542")</f>
        <v>0.2429906542</v>
      </c>
      <c r="H12" t="str">
        <f ca="1">IFERROR(__xludf.DUMMYFUNCTION("""COMPUTED_VALUE"""),"0.8333333333")</f>
        <v>0.8333333333</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row>
    <row r="13" spans="1:18"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IFERROR(__xludf.DUMMYFUNCTION("""COMPUTED_VALUE"""),"0.2567567568")</f>
        <v>0.2567567568</v>
      </c>
      <c r="H13" t="str">
        <f ca="1">IFERROR(__xludf.DUMMYFUNCTION("""COMPUTED_VALUE"""),"0.8863636364")</f>
        <v>0.8863636364</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row>
    <row r="14" spans="1:18"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IFERROR(__xludf.DUMMYFUNCTION("""COMPUTED_VALUE"""),"-0.02096985583")</f>
        <v>-0.02096985583</v>
      </c>
      <c r="H14" t="str">
        <f ca="1">IFERROR(__xludf.DUMMYFUNCTION("""COMPUTED_VALUE"""),"0.7682926829")</f>
        <v>0.7682926829</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row>
    <row r="15" spans="1:18"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IFERROR(__xludf.DUMMYFUNCTION("""COMPUTED_VALUE"""),"0.5348837209")</f>
        <v>0.5348837209</v>
      </c>
      <c r="H15" t="str">
        <f ca="1">IFERROR(__xludf.DUMMYFUNCTION("""COMPUTED_VALUE"""),"0.8666666667")</f>
        <v>0.8666666667</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row>
    <row r="16" spans="1:18"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IFERROR(__xludf.DUMMYFUNCTION("""COMPUTED_VALUE"""),"0.006622516556")</f>
        <v>0.006622516556</v>
      </c>
      <c r="H16" t="str">
        <f ca="1">IFERROR(__xludf.DUMMYFUNCTION("""COMPUTED_VALUE"""),"0.7066666667")</f>
        <v>0.7066666667</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row>
    <row r="17" spans="1:18"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IFERROR(__xludf.DUMMYFUNCTION("""COMPUTED_VALUE"""),"0.7391304348")</f>
        <v>0.7391304348</v>
      </c>
      <c r="H17" t="str">
        <f ca="1">IFERROR(__xludf.DUMMYFUNCTION("""COMPUTED_VALUE"""),"0.90625")</f>
        <v>0.90625</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row>
    <row r="18" spans="1:18"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IFERROR(__xludf.DUMMYFUNCTION("""COMPUTED_VALUE"""),"0.1879194631")</f>
        <v>0.1879194631</v>
      </c>
      <c r="H18" t="str">
        <f ca="1">IFERROR(__xludf.DUMMYFUNCTION("""COMPUTED_VALUE"""),"0.6666666667")</f>
        <v>0.6666666667</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row>
    <row r="19" spans="1:18"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IFERROR(__xludf.DUMMYFUNCTION("""COMPUTED_VALUE"""),"0.1082055906")</f>
        <v>0.1082055906</v>
      </c>
      <c r="H19" t="str">
        <f ca="1">IFERROR(__xludf.DUMMYFUNCTION("""COMPUTED_VALUE"""),"0.7325581395")</f>
        <v>0.7325581395</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row>
    <row r="20" spans="1:18"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IFERROR(__xludf.DUMMYFUNCTION("""COMPUTED_VALUE"""),"0.3325526932")</f>
        <v>0.3325526932</v>
      </c>
      <c r="H20" t="str">
        <f ca="1">IFERROR(__xludf.DUMMYFUNCTION("""COMPUTED_VALUE"""),"0.8416666667")</f>
        <v>0.8416666667</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row>
    <row r="21" spans="1:18"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t="str">
        <f ca="1">IFERROR(__xludf.DUMMYFUNCTION("""COMPUTED_VALUE"""),"1,060")</f>
        <v>1,060</v>
      </c>
      <c r="G21" t="str">
        <f ca="1">IFERROR(__xludf.DUMMYFUNCTION("""COMPUTED_VALUE"""),"0.08361121403")</f>
        <v>0.08361121403</v>
      </c>
      <c r="H21" t="str">
        <f ca="1">IFERROR(__xludf.DUMMYFUNCTION("""COMPUTED_VALUE"""),"0.841509434")</f>
        <v>0.841509434</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row>
    <row r="22" spans="1:18"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IFERROR(__xludf.DUMMYFUNCTION("""COMPUTED_VALUE"""),"0.09747292419")</f>
        <v>0.09747292419</v>
      </c>
      <c r="H22" t="str">
        <f ca="1">IFERROR(__xludf.DUMMYFUNCTION("""COMPUTED_VALUE"""),"0.7333333333")</f>
        <v>0.7333333333</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row>
    <row r="23" spans="1:18"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IFERROR(__xludf.DUMMYFUNCTION("""COMPUTED_VALUE"""),"-0.04726100967")</f>
        <v>-0.04726100967</v>
      </c>
      <c r="H23" t="str">
        <f ca="1">IFERROR(__xludf.DUMMYFUNCTION("""COMPUTED_VALUE"""),"0.8266666667")</f>
        <v>0.8266666667</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row>
    <row r="24" spans="1:18"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IFERROR(__xludf.DUMMYFUNCTION("""COMPUTED_VALUE"""),"0.09927942354")</f>
        <v>0.09927942354</v>
      </c>
      <c r="H24" t="str">
        <f ca="1">IFERROR(__xludf.DUMMYFUNCTION("""COMPUTED_VALUE"""),"0.8")</f>
        <v>0.8</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row>
    <row r="25" spans="1:18"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IFERROR(__xludf.DUMMYFUNCTION("""COMPUTED_VALUE"""),"-0.05042016807")</f>
        <v>-0.05042016807</v>
      </c>
      <c r="H25" t="str">
        <f ca="1">IFERROR(__xludf.DUMMYFUNCTION("""COMPUTED_VALUE"""),"0.7333333333")</f>
        <v>0.7333333333</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row>
    <row r="26" spans="1:18"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IFERROR(__xludf.DUMMYFUNCTION("""COMPUTED_VALUE"""),"-0.02739726027")</f>
        <v>-0.02739726027</v>
      </c>
      <c r="H26" t="str">
        <f ca="1">IFERROR(__xludf.DUMMYFUNCTION("""COMPUTED_VALUE"""),"0.6266666667")</f>
        <v>0.6266666667</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row>
    <row r="27" spans="1:18"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IFERROR(__xludf.DUMMYFUNCTION("""COMPUTED_VALUE"""),"-0.0347129506")</f>
        <v>-0.0347129506</v>
      </c>
      <c r="H27" t="str">
        <f ca="1">IFERROR(__xludf.DUMMYFUNCTION("""COMPUTED_VALUE"""),"0.5866666667")</f>
        <v>0.5866666667</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row>
    <row r="28" spans="1:18"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IFERROR(__xludf.DUMMYFUNCTION("""COMPUTED_VALUE"""),"0.1063398369")</f>
        <v>0.1063398369</v>
      </c>
      <c r="H28" t="str">
        <f ca="1">IFERROR(__xludf.DUMMYFUNCTION("""COMPUTED_VALUE"""),"0.8352745424")</f>
        <v>0.8352745424</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row>
    <row r="29" spans="1:18"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IFERROR(__xludf.DUMMYFUNCTION("""COMPUTED_VALUE"""),"0.08209959623")</f>
        <v>0.08209959623</v>
      </c>
      <c r="H29" t="str">
        <f ca="1">IFERROR(__xludf.DUMMYFUNCTION("""COMPUTED_VALUE"""),"0.6477272727")</f>
        <v>0.6477272727</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row>
    <row r="30" spans="1:18"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IFERROR(__xludf.DUMMYFUNCTION("""COMPUTED_VALUE"""),"0.246835443")</f>
        <v>0.246835443</v>
      </c>
      <c r="H30" t="str">
        <f ca="1">IFERROR(__xludf.DUMMYFUNCTION("""COMPUTED_VALUE"""),"0.6911764706")</f>
        <v>0.6911764706</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row>
    <row r="31" spans="1:18"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IFERROR(__xludf.DUMMYFUNCTION("""COMPUTED_VALUE"""),"0.2211981567")</f>
        <v>0.2211981567</v>
      </c>
      <c r="H31" t="str">
        <f ca="1">IFERROR(__xludf.DUMMYFUNCTION("""COMPUTED_VALUE"""),"0.8333333333")</f>
        <v>0.8333333333</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row>
    <row r="32" spans="1:18"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IFERROR(__xludf.DUMMYFUNCTION("""COMPUTED_VALUE"""),"0.7234042553")</f>
        <v>0.7234042553</v>
      </c>
      <c r="H32" t="str">
        <f ca="1">IFERROR(__xludf.DUMMYFUNCTION("""COMPUTED_VALUE"""),"0.9230769231")</f>
        <v>0.9230769231</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row>
    <row r="33" spans="1:18"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IFERROR(__xludf.DUMMYFUNCTION("""COMPUTED_VALUE"""),"0.5952380952")</f>
        <v>0.5952380952</v>
      </c>
      <c r="H33" t="str">
        <f ca="1">IFERROR(__xludf.DUMMYFUNCTION("""COMPUTED_VALUE"""),"0.8823529412")</f>
        <v>0.8823529412</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row>
    <row r="34" spans="1:18"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IFERROR(__xludf.DUMMYFUNCTION("""COMPUTED_VALUE"""),"0.3299798793")</f>
        <v>0.3299798793</v>
      </c>
      <c r="H34" t="str">
        <f ca="1">IFERROR(__xludf.DUMMYFUNCTION("""COMPUTED_VALUE"""),"0.7567567568")</f>
        <v>0.7567567568</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row>
    <row r="35" spans="1:18"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IFERROR(__xludf.DUMMYFUNCTION("""COMPUTED_VALUE"""),"0.1015452539")</f>
        <v>0.1015452539</v>
      </c>
      <c r="H35" t="str">
        <f ca="1">IFERROR(__xludf.DUMMYFUNCTION("""COMPUTED_VALUE"""),"0.6262626263")</f>
        <v>0.6262626263</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row>
    <row r="36" spans="1:18"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IFERROR(__xludf.DUMMYFUNCTION("""COMPUTED_VALUE"""),"0.1079034548")</f>
        <v>0.1079034548</v>
      </c>
      <c r="H36" t="str">
        <f ca="1">IFERROR(__xludf.DUMMYFUNCTION("""COMPUTED_VALUE"""),"0.7025641026")</f>
        <v>0.7025641026</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row>
    <row r="37" spans="1:18"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f>
        <v>0</v>
      </c>
      <c r="H37" t="str">
        <f ca="1">IFERROR(__xludf.DUMMYFUNCTION("""COMPUTED_VALUE"""),"0.8695652174")</f>
        <v>0.8695652174</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row>
    <row r="38" spans="1:18"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IFERROR(__xludf.DUMMYFUNCTION("""COMPUTED_VALUE"""),"0.2409638554")</f>
        <v>0.2409638554</v>
      </c>
      <c r="H38" t="str">
        <f ca="1">IFERROR(__xludf.DUMMYFUNCTION("""COMPUTED_VALUE"""),"0.7301587302")</f>
        <v>0.7301587302</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row>
    <row r="39" spans="1:18"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IFERROR(__xludf.DUMMYFUNCTION("""COMPUTED_VALUE"""),"0.352")</f>
        <v>0.352</v>
      </c>
      <c r="H39" t="str">
        <f ca="1">IFERROR(__xludf.DUMMYFUNCTION("""COMPUTED_VALUE"""),"0.7222222222")</f>
        <v>0.7222222222</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row>
    <row r="40" spans="1:18"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IFERROR(__xludf.DUMMYFUNCTION("""COMPUTED_VALUE"""),"0.1776570985")</f>
        <v>0.1776570985</v>
      </c>
      <c r="H40" t="str">
        <f ca="1">IFERROR(__xludf.DUMMYFUNCTION("""COMPUTED_VALUE"""),"0.8113207547")</f>
        <v>0.8113207547</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row>
    <row r="41" spans="1:18"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IFERROR(__xludf.DUMMYFUNCTION("""COMPUTED_VALUE"""),"-0.05084745763")</f>
        <v>-0.05084745763</v>
      </c>
      <c r="H41" t="str">
        <f ca="1">IFERROR(__xludf.DUMMYFUNCTION("""COMPUTED_VALUE"""),"0.8709677419")</f>
        <v>0.8709677419</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row>
    <row r="42" spans="1:18"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IFERROR(__xludf.DUMMYFUNCTION("""COMPUTED_VALUE"""),"0.1616094987")</f>
        <v>0.1616094987</v>
      </c>
      <c r="H42" t="str">
        <f ca="1">IFERROR(__xludf.DUMMYFUNCTION("""COMPUTED_VALUE"""),"0.8109756098")</f>
        <v>0.8109756098</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row>
    <row r="43" spans="1:18"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IFERROR(__xludf.DUMMYFUNCTION("""COMPUTED_VALUE"""),"0.06812272491")</f>
        <v>0.06812272491</v>
      </c>
      <c r="H43" t="str">
        <f ca="1">IFERROR(__xludf.DUMMYFUNCTION("""COMPUTED_VALUE"""),"0.78125")</f>
        <v>0.78125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row>
    <row r="44" spans="1:18"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IFERROR(__xludf.DUMMYFUNCTION("""COMPUTED_VALUE"""),"0.3015521064")</f>
        <v>0.3015521064</v>
      </c>
      <c r="H44" t="str">
        <f ca="1">IFERROR(__xludf.DUMMYFUNCTION("""COMPUTED_VALUE"""),"0.7428571429")</f>
        <v>0.7428571429</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row>
    <row r="45" spans="1:18"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IFERROR(__xludf.DUMMYFUNCTION("""COMPUTED_VALUE"""),"0.2123778502")</f>
        <v>0.2123778502</v>
      </c>
      <c r="H45" t="str">
        <f ca="1">IFERROR(__xludf.DUMMYFUNCTION("""COMPUTED_VALUE"""),"0.8202764977")</f>
        <v>0.8202764977</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row>
    <row r="46" spans="1:18"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IFERROR(__xludf.DUMMYFUNCTION("""COMPUTED_VALUE"""),"0.1050724638")</f>
        <v>0.1050724638</v>
      </c>
      <c r="H46" t="str">
        <f ca="1">IFERROR(__xludf.DUMMYFUNCTION("""COMPUTED_VALUE"""),"0.8173076923")</f>
        <v>0.8173076923</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row>
    <row r="47" spans="1:18"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IFERROR(__xludf.DUMMYFUNCTION("""COMPUTED_VALUE"""),"0.1551020408")</f>
        <v>0.1551020408</v>
      </c>
      <c r="H47" t="str">
        <f ca="1">IFERROR(__xludf.DUMMYFUNCTION("""COMPUTED_VALUE"""),"0.7444444444")</f>
        <v>0.7444444444</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S47"/>
  <sheetViews>
    <sheetView workbookViewId="0"/>
  </sheetViews>
  <sheetFormatPr defaultColWidth="14.44140625" defaultRowHeight="15.75" customHeight="1"/>
  <sheetData>
    <row r="1" spans="1:19" ht="15.75" customHeight="1">
      <c r="A1" t="str">
        <f ca="1">IFERROR(__xludf.DUMMYFUNCTION("QUERY(Processed!A1:CD150,""SELECT A, B, C, D, E, BZ, CA, CB, BG, BH, BI, BJ, BK, BL, BM, BN, BO, BP, CD WHERE BX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IFERROR(__xludf.DUMMYFUNCTION("""COMPUTED_VALUE"""),"CC n - Calculated")</f>
        <v>CC n - Calculated</v>
      </c>
      <c r="G1" t="str">
        <f ca="1">IFERROR(__xludf.DUMMYFUNCTION("""COMPUTED_VALUE"""),"CC r - Calculated")</f>
        <v>CC r - Calculated</v>
      </c>
      <c r="H1" t="str">
        <f ca="1">IFERROR(__xludf.DUMMYFUNCTION("""COMPUTED_VALUE"""),"CC PA - Calculated")</f>
        <v>CC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c r="S1" t="str">
        <f ca="1">IFERROR(__xludf.DUMMYFUNCTION("""COMPUTED_VALUE"""),"CC k - Calculated")</f>
        <v>CC k - Calculated</v>
      </c>
    </row>
    <row r="2" spans="1:19"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IFERROR(__xludf.DUMMYFUNCTION("""COMPUTED_VALUE"""),"0.3267320196")</f>
        <v>0.3267320196</v>
      </c>
      <c r="H2" t="str">
        <f ca="1">IFERROR(__xludf.DUMMYFUNCTION("""COMPUTED_VALUE"""),"0.85")</f>
        <v>0.85</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c r="S2" t="str">
        <f ca="1">IFERROR(__xludf.DUMMYFUNCTION("""COMPUTED_VALUE"""),"0.3181803719")</f>
        <v>0.3181803719</v>
      </c>
    </row>
    <row r="3" spans="1:19"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IFERROR(__xludf.DUMMYFUNCTION("""COMPUTED_VALUE"""),"0.6111111111")</f>
        <v>0.6111111111</v>
      </c>
      <c r="H3" t="str">
        <f ca="1">IFERROR(__xludf.DUMMYFUNCTION("""COMPUTED_VALUE"""),"0.9047619048")</f>
        <v>0.9047619048</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c r="S3" t="str">
        <f ca="1">IFERROR(__xludf.DUMMYFUNCTION("""COMPUTED_VALUE"""),"0.6111086158")</f>
        <v>0.6111086158</v>
      </c>
    </row>
    <row r="4" spans="1:19"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IFERROR(__xludf.DUMMYFUNCTION("""COMPUTED_VALUE"""),"0.3267320196")</f>
        <v>0.3267320196</v>
      </c>
      <c r="H4" t="str">
        <f ca="1">IFERROR(__xludf.DUMMYFUNCTION("""COMPUTED_VALUE"""),"0.85")</f>
        <v>0.85</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c r="S4" t="str">
        <f ca="1">IFERROR(__xludf.DUMMYFUNCTION("""COMPUTED_VALUE"""),"0.3181803719")</f>
        <v>0.3181803719</v>
      </c>
    </row>
    <row r="5" spans="1:19"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IFERROR(__xludf.DUMMYFUNCTION("""COMPUTED_VALUE"""),"0")</f>
        <v>0</v>
      </c>
      <c r="H5" t="str">
        <f ca="1">IFERROR(__xludf.DUMMYFUNCTION("""COMPUTED_VALUE"""),"0.9375")</f>
        <v>0.9375</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c r="S5" t="str">
        <f ca="1">IFERROR(__xludf.DUMMYFUNCTION("""COMPUTED_VALUE"""),"0")</f>
        <v>0</v>
      </c>
    </row>
    <row r="6" spans="1:19"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f>
        <v>0</v>
      </c>
      <c r="H6" t="str">
        <f ca="1">IFERROR(__xludf.DUMMYFUNCTION("""COMPUTED_VALUE"""),"0.8888888889")</f>
        <v>0.8888888889</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c r="S6" t="str">
        <f ca="1">IFERROR(__xludf.DUMMYFUNCTION("""COMPUTED_VALUE"""),"0")</f>
        <v>0</v>
      </c>
    </row>
    <row r="7" spans="1:19"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IFERROR(__xludf.DUMMYFUNCTION("""COMPUTED_VALUE"""),"0.6831300511")</f>
        <v>0.6831300511</v>
      </c>
      <c r="H7" t="str">
        <f ca="1">IFERROR(__xludf.DUMMYFUNCTION("""COMPUTED_VALUE"""),"0.9375")</f>
        <v>0.9375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c r="S7" t="str">
        <f ca="1">IFERROR(__xludf.DUMMYFUNCTION("""COMPUTED_VALUE"""),"0.6363599339")</f>
        <v>0.6363599339</v>
      </c>
    </row>
    <row r="8" spans="1:19"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IFERROR(__xludf.DUMMYFUNCTION("""COMPUTED_VALUE"""),"0.6")</f>
        <v>0.6</v>
      </c>
      <c r="H8" t="str">
        <f ca="1">IFERROR(__xludf.DUMMYFUNCTION("""COMPUTED_VALUE"""),"0.8888888889")</f>
        <v>0.8888888889</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c r="S8" t="str">
        <f ca="1">IFERROR(__xludf.DUMMYFUNCTION("""COMPUTED_VALUE"""),"0.59999784")</f>
        <v>0.59999784</v>
      </c>
    </row>
    <row r="9" spans="1:19"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IFERROR(__xludf.DUMMYFUNCTION("""COMPUTED_VALUE"""),"0.8461141122")</f>
        <v>0.8461141122</v>
      </c>
      <c r="H9" t="str">
        <f ca="1">IFERROR(__xludf.DUMMYFUNCTION("""COMPUTED_VALUE"""),"0.96")</f>
        <v>0.96</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c r="S9" t="str">
        <f ca="1">IFERROR(__xludf.DUMMYFUNCTION("""COMPUTED_VALUE"""),"0.8344336323")</f>
        <v>0.8344336323</v>
      </c>
    </row>
    <row r="10" spans="1:19"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f>
        <v>0</v>
      </c>
      <c r="H10" t="str">
        <f ca="1">IFERROR(__xludf.DUMMYFUNCTION("""COMPUTED_VALUE"""),"0.9333333333")</f>
        <v>0.9333333333</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c r="S10" t="str">
        <f ca="1">IFERROR(__xludf.DUMMYFUNCTION("""COMPUTED_VALUE"""),"0")</f>
        <v>0</v>
      </c>
    </row>
    <row r="11" spans="1:19"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f>
        <v>0</v>
      </c>
      <c r="H11" t="str">
        <f ca="1">IFERROR(__xludf.DUMMYFUNCTION("""COMPUTED_VALUE"""),"1")</f>
        <v>1</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c r="S11" t="str">
        <f ca="1">IFERROR(__xludf.DUMMYFUNCTION("""COMPUTED_VALUE"""),"0")</f>
        <v>0</v>
      </c>
    </row>
    <row r="12" spans="1:19"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IFERROR(__xludf.DUMMYFUNCTION("""COMPUTED_VALUE"""),"-0.02693862292")</f>
        <v>-0.02693862292</v>
      </c>
      <c r="H12" t="str">
        <f ca="1">IFERROR(__xludf.DUMMYFUNCTION("""COMPUTED_VALUE"""),"0.9444444444")</f>
        <v>0.9444444444</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c r="S12" t="str">
        <f ca="1">IFERROR(__xludf.DUMMYFUNCTION("""COMPUTED_VALUE"""),"-0.02531598847")</f>
        <v>-0.02531598847</v>
      </c>
    </row>
    <row r="13" spans="1:19"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IFERROR(__xludf.DUMMYFUNCTION("""COMPUTED_VALUE"""),"0.2312293252")</f>
        <v>0.2312293252</v>
      </c>
      <c r="H13" t="str">
        <f ca="1">IFERROR(__xludf.DUMMYFUNCTION("""COMPUTED_VALUE"""),"0.8636363636")</f>
        <v>0.8636363636</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c r="S13" t="str">
        <f ca="1">IFERROR(__xludf.DUMMYFUNCTION("""COMPUTED_VALUE"""),"0.1951207995")</f>
        <v>0.1951207995</v>
      </c>
    </row>
    <row r="14" spans="1:19"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IFERROR(__xludf.DUMMYFUNCTION("""COMPUTED_VALUE"""),"0.1163407486")</f>
        <v>0.1163407486</v>
      </c>
      <c r="H14" t="str">
        <f ca="1">IFERROR(__xludf.DUMMYFUNCTION("""COMPUTED_VALUE"""),"0.8780487805")</f>
        <v>0.8780487805</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c r="S14" t="str">
        <f ca="1">IFERROR(__xludf.DUMMYFUNCTION("""COMPUTED_VALUE"""),"0.1086948578")</f>
        <v>0.1086948578</v>
      </c>
    </row>
    <row r="15" spans="1:19"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IFERROR(__xludf.DUMMYFUNCTION("""COMPUTED_VALUE"""),"-0.07283570407")</f>
        <v>-0.07283570407</v>
      </c>
      <c r="H15" t="str">
        <f ca="1">IFERROR(__xludf.DUMMYFUNCTION("""COMPUTED_VALUE"""),"0.8333333333")</f>
        <v>0.8333333333</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c r="S15" t="str">
        <f ca="1">IFERROR(__xludf.DUMMYFUNCTION("""COMPUTED_VALUE"""),"-0.0563376711")</f>
        <v>-0.0563376711</v>
      </c>
    </row>
    <row r="16" spans="1:19"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IFERROR(__xludf.DUMMYFUNCTION("""COMPUTED_VALUE"""),"0.1215661348")</f>
        <v>0.1215661348</v>
      </c>
      <c r="H16" t="str">
        <f ca="1">IFERROR(__xludf.DUMMYFUNCTION("""COMPUTED_VALUE"""),"0.8333333333")</f>
        <v>0.8333333333</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c r="S16" t="str">
        <f ca="1">IFERROR(__xludf.DUMMYFUNCTION("""COMPUTED_VALUE"""),"0.08759076136")</f>
        <v>0.08759076136</v>
      </c>
    </row>
    <row r="17" spans="1:19"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f>
        <v>0</v>
      </c>
      <c r="H17" t="str">
        <f ca="1">IFERROR(__xludf.DUMMYFUNCTION("""COMPUTED_VALUE"""),"1")</f>
        <v>1</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c r="S17" t="str">
        <f ca="1">IFERROR(__xludf.DUMMYFUNCTION("""COMPUTED_VALUE"""),"0")</f>
        <v>0</v>
      </c>
    </row>
    <row r="18" spans="1:19"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f>
        <v>0</v>
      </c>
      <c r="H18" t="str">
        <f ca="1">IFERROR(__xludf.DUMMYFUNCTION("""COMPUTED_VALUE"""),"1")</f>
        <v>1</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c r="S18" t="str">
        <f ca="1">IFERROR(__xludf.DUMMYFUNCTION("""COMPUTED_VALUE"""),"0")</f>
        <v>0</v>
      </c>
    </row>
    <row r="19" spans="1:19"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IFERROR(__xludf.DUMMYFUNCTION("""COMPUTED_VALUE"""),"-0.05206576009")</f>
        <v>-0.05206576009</v>
      </c>
      <c r="H19" t="str">
        <f ca="1">IFERROR(__xludf.DUMMYFUNCTION("""COMPUTED_VALUE"""),"0.8953488372")</f>
        <v>0.8953488372</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c r="S19" t="str">
        <f ca="1">IFERROR(__xludf.DUMMYFUNCTION("""COMPUTED_VALUE"""),"-0.04877999895")</f>
        <v>-0.04877999895</v>
      </c>
    </row>
    <row r="20" spans="1:19"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IFERROR(__xludf.DUMMYFUNCTION("""COMPUTED_VALUE"""),"0.4542937032")</f>
        <v>0.4542937032</v>
      </c>
      <c r="H20" t="str">
        <f ca="1">IFERROR(__xludf.DUMMYFUNCTION("""COMPUTED_VALUE"""),"0.875")</f>
        <v>0.875</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c r="S20" t="str">
        <f ca="1">IFERROR(__xludf.DUMMYFUNCTION("""COMPUTED_VALUE"""),"0.4464924879")</f>
        <v>0.4464924879</v>
      </c>
    </row>
    <row r="21" spans="1:19"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t="str">
        <f ca="1">IFERROR(__xludf.DUMMYFUNCTION("""COMPUTED_VALUE"""),"1,060")</f>
        <v>1,060</v>
      </c>
      <c r="G21" t="str">
        <f ca="1">IFERROR(__xludf.DUMMYFUNCTION("""COMPUTED_VALUE"""),"0.07625117946")</f>
        <v>0.07625117946</v>
      </c>
      <c r="H21" t="str">
        <f ca="1">IFERROR(__xludf.DUMMYFUNCTION("""COMPUTED_VALUE"""),"0.7877358491")</f>
        <v>0.7877358491</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c r="S21" t="str">
        <f ca="1">IFERROR(__xludf.DUMMYFUNCTION("""COMPUTED_VALUE"""),"0.07186855658")</f>
        <v>0.07186855658</v>
      </c>
    </row>
    <row r="22" spans="1:19"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IFERROR(__xludf.DUMMYFUNCTION("""COMPUTED_VALUE"""),"0.2121848739")</f>
        <v>0.2121848739</v>
      </c>
      <c r="H22" t="str">
        <f ca="1">IFERROR(__xludf.DUMMYFUNCTION("""COMPUTED_VALUE"""),"0.8666666667")</f>
        <v>0.8666666667</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c r="S22" t="str">
        <f ca="1">IFERROR(__xludf.DUMMYFUNCTION("""COMPUTED_VALUE"""),"0.2121836202")</f>
        <v>0.2121836202</v>
      </c>
    </row>
    <row r="23" spans="1:19"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IFERROR(__xludf.DUMMYFUNCTION("""COMPUTED_VALUE"""),"-0.04423739552")</f>
        <v>-0.04423739552</v>
      </c>
      <c r="H23" t="str">
        <f ca="1">IFERROR(__xludf.DUMMYFUNCTION("""COMPUTED_VALUE"""),"0.9066666667")</f>
        <v>0.9066666667</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c r="S23" t="str">
        <f ca="1">IFERROR(__xludf.DUMMYFUNCTION("""COMPUTED_VALUE"""),"-0.03960351927")</f>
        <v>-0.03960351927</v>
      </c>
    </row>
    <row r="24" spans="1:19"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IFERROR(__xludf.DUMMYFUNCTION("""COMPUTED_VALUE"""),"-0.08574929257")</f>
        <v>-0.08574929257</v>
      </c>
      <c r="H24" t="str">
        <f ca="1">IFERROR(__xludf.DUMMYFUNCTION("""COMPUTED_VALUE"""),"0.84")</f>
        <v>0.84</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c r="S24" t="str">
        <f ca="1">IFERROR(__xludf.DUMMYFUNCTION("""COMPUTED_VALUE"""),"-0.08433677784")</f>
        <v>-0.08433677784</v>
      </c>
    </row>
    <row r="25" spans="1:19"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IFERROR(__xludf.DUMMYFUNCTION("""COMPUTED_VALUE"""),"-0.05310655519")</f>
        <v>-0.05310655519</v>
      </c>
      <c r="H25" t="str">
        <f ca="1">IFERROR(__xludf.DUMMYFUNCTION("""COMPUTED_VALUE"""),"0.88")</f>
        <v>0.88</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c r="S25" t="str">
        <f ca="1">IFERROR(__xludf.DUMMYFUNCTION("""COMPUTED_VALUE"""),"-0.04327628527")</f>
        <v>-0.04327628527</v>
      </c>
    </row>
    <row r="26" spans="1:19"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f>
        <v>0</v>
      </c>
      <c r="H26" t="str">
        <f ca="1">IFERROR(__xludf.DUMMYFUNCTION("""COMPUTED_VALUE"""),"0.5866666667")</f>
        <v>0.5866666667</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c r="S26" t="str">
        <f ca="1">IFERROR(__xludf.DUMMYFUNCTION("""COMPUTED_VALUE"""),"0")</f>
        <v>0</v>
      </c>
    </row>
    <row r="27" spans="1:19"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IFERROR(__xludf.DUMMYFUNCTION("""COMPUTED_VALUE"""),"0.1122721783")</f>
        <v>0.1122721783</v>
      </c>
      <c r="H27" t="str">
        <f ca="1">IFERROR(__xludf.DUMMYFUNCTION("""COMPUTED_VALUE"""),"0.6133333333")</f>
        <v>0.6133333333</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c r="S27" t="str">
        <f ca="1">IFERROR(__xludf.DUMMYFUNCTION("""COMPUTED_VALUE"""),"0.07643293846")</f>
        <v>0.07643293846</v>
      </c>
    </row>
    <row r="28" spans="1:19"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IFERROR(__xludf.DUMMYFUNCTION("""COMPUTED_VALUE"""),"0.07981104447")</f>
        <v>0.07981104447</v>
      </c>
      <c r="H28" t="str">
        <f ca="1">IFERROR(__xludf.DUMMYFUNCTION("""COMPUTED_VALUE"""),"0.8169717138")</f>
        <v>0.8169717138</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c r="S28" t="str">
        <f ca="1">IFERROR(__xludf.DUMMYFUNCTION("""COMPUTED_VALUE"""),"0.07868291961")</f>
        <v>0.07868291961</v>
      </c>
    </row>
    <row r="29" spans="1:19"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IFERROR(__xludf.DUMMYFUNCTION("""COMPUTED_VALUE"""),"-0.07215267994")</f>
        <v>-0.07215267994</v>
      </c>
      <c r="H29" t="str">
        <f ca="1">IFERROR(__xludf.DUMMYFUNCTION("""COMPUTED_VALUE"""),"0.8636363636")</f>
        <v>0.8636363636</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c r="S29" t="str">
        <f ca="1">IFERROR(__xludf.DUMMYFUNCTION("""COMPUTED_VALUE"""),"-0.07099335723")</f>
        <v>-0.07099335723</v>
      </c>
    </row>
    <row r="30" spans="1:19"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f>
        <v>0</v>
      </c>
      <c r="H30" t="str">
        <f ca="1">IFERROR(__xludf.DUMMYFUNCTION("""COMPUTED_VALUE"""),"0.9558823529")</f>
        <v>0.9558823529</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c r="S30" t="str">
        <f ca="1">IFERROR(__xludf.DUMMYFUNCTION("""COMPUTED_VALUE"""),"0")</f>
        <v>0</v>
      </c>
    </row>
    <row r="31" spans="1:19"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IFERROR(__xludf.DUMMYFUNCTION("""COMPUTED_VALUE"""),"0.2400980192")</f>
        <v>0.2400980192</v>
      </c>
      <c r="H31" t="str">
        <f ca="1">IFERROR(__xludf.DUMMYFUNCTION("""COMPUTED_VALUE"""),"0.8076923077")</f>
        <v>0.8076923077</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c r="S31" t="str">
        <f ca="1">IFERROR(__xludf.DUMMYFUNCTION("""COMPUTED_VALUE"""),"0.2372871945")</f>
        <v>0.2372871945</v>
      </c>
    </row>
    <row r="32" spans="1:19"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IFERROR(__xludf.DUMMYFUNCTION("""COMPUTED_VALUE"""),"1")</f>
        <v>1</v>
      </c>
      <c r="H32" t="str">
        <f ca="1">IFERROR(__xludf.DUMMYFUNCTION("""COMPUTED_VALUE"""),"1")</f>
        <v>1</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c r="S32" t="str">
        <f ca="1">IFERROR(__xludf.DUMMYFUNCTION("""COMPUTED_VALUE"""),"0.9999799872")</f>
        <v>0.9999799872</v>
      </c>
    </row>
    <row r="33" spans="1:19"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IFERROR(__xludf.DUMMYFUNCTION("""COMPUTED_VALUE"""),"0.5493502656")</f>
        <v>0.5493502656</v>
      </c>
      <c r="H33" t="str">
        <f ca="1">IFERROR(__xludf.DUMMYFUNCTION("""COMPUTED_VALUE"""),"0.8823529412")</f>
        <v>0.8823529412</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c r="S33" t="str">
        <f ca="1">IFERROR(__xludf.DUMMYFUNCTION("""COMPUTED_VALUE"""),"0.5342444603")</f>
        <v>0.5342444603</v>
      </c>
    </row>
    <row r="34" spans="1:19"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IFERROR(__xludf.DUMMYFUNCTION("""COMPUTED_VALUE"""),"0.3694953761")</f>
        <v>0.3694953761</v>
      </c>
      <c r="H34" t="str">
        <f ca="1">IFERROR(__xludf.DUMMYFUNCTION("""COMPUTED_VALUE"""),"0.7837837838")</f>
        <v>0.7837837838</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c r="S34" t="str">
        <f ca="1">IFERROR(__xludf.DUMMYFUNCTION("""COMPUTED_VALUE"""),"0.3648057952")</f>
        <v>0.3648057952</v>
      </c>
    </row>
    <row r="35" spans="1:19"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IFERROR(__xludf.DUMMYFUNCTION("""COMPUTED_VALUE"""),"-0.007030062147")</f>
        <v>-0.007030062147</v>
      </c>
      <c r="H35" t="str">
        <f ca="1">IFERROR(__xludf.DUMMYFUNCTION("""COMPUTED_VALUE"""),"0.5757575758")</f>
        <v>0.5757575758</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c r="S35" t="str">
        <f ca="1">IFERROR(__xludf.DUMMYFUNCTION("""COMPUTED_VALUE"""),"-0.006170584276")</f>
        <v>-0.006170584276</v>
      </c>
    </row>
    <row r="36" spans="1:19"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IFERROR(__xludf.DUMMYFUNCTION("""COMPUTED_VALUE"""),"0.05444966045")</f>
        <v>0.05444966045</v>
      </c>
      <c r="H36" t="str">
        <f ca="1">IFERROR(__xludf.DUMMYFUNCTION("""COMPUTED_VALUE"""),"0.7846153846")</f>
        <v>0.7846153846</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c r="S36" t="str">
        <f ca="1">IFERROR(__xludf.DUMMYFUNCTION("""COMPUTED_VALUE"""),"0.05076472759")</f>
        <v>0.05076472759</v>
      </c>
    </row>
    <row r="37" spans="1:19"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IFERROR(__xludf.DUMMYFUNCTION("""COMPUTED_VALUE"""),"-0.05773502692")</f>
        <v>-0.05773502692</v>
      </c>
      <c r="H37" t="str">
        <f ca="1">IFERROR(__xludf.DUMMYFUNCTION("""COMPUTED_VALUE"""),"0.847826087")</f>
        <v>0.847826087</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c r="S37" t="str">
        <f ca="1">IFERROR(__xludf.DUMMYFUNCTION("""COMPUTED_VALUE"""),"-0.0387094132")</f>
        <v>-0.0387094132</v>
      </c>
    </row>
    <row r="38" spans="1:19"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IFERROR(__xludf.DUMMYFUNCTION("""COMPUTED_VALUE"""),"0.2474445666")</f>
        <v>0.2474445666</v>
      </c>
      <c r="H38" t="str">
        <f ca="1">IFERROR(__xludf.DUMMYFUNCTION("""COMPUTED_VALUE"""),"0.9206349206")</f>
        <v>0.9206349206</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c r="S38" t="str">
        <f ca="1">IFERROR(__xludf.DUMMYFUNCTION("""COMPUTED_VALUE"""),"0.2446019884")</f>
        <v>0.2446019884</v>
      </c>
    </row>
    <row r="39" spans="1:19"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IFERROR(__xludf.DUMMYFUNCTION("""COMPUTED_VALUE"""),"0.19")</f>
        <v>0.19</v>
      </c>
      <c r="H39" t="str">
        <f ca="1">IFERROR(__xludf.DUMMYFUNCTION("""COMPUTED_VALUE"""),"0.8888888889")</f>
        <v>0.8888888889</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c r="S39" t="str">
        <f ca="1">IFERROR(__xludf.DUMMYFUNCTION("""COMPUTED_VALUE"""),"0.1899986149")</f>
        <v>0.1899986149</v>
      </c>
    </row>
    <row r="40" spans="1:19"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IFERROR(__xludf.DUMMYFUNCTION("""COMPUTED_VALUE"""),"0.09495185699")</f>
        <v>0.09495185699</v>
      </c>
      <c r="H40" t="str">
        <f ca="1">IFERROR(__xludf.DUMMYFUNCTION("""COMPUTED_VALUE"""),"0.8773584906")</f>
        <v>0.8773584906</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c r="S40" t="str">
        <f ca="1">IFERROR(__xludf.DUMMYFUNCTION("""COMPUTED_VALUE"""),"0.08255597364")</f>
        <v>0.08255597364</v>
      </c>
    </row>
    <row r="41" spans="1:19"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f>
        <v>0</v>
      </c>
      <c r="H41" t="str">
        <f ca="1">IFERROR(__xludf.DUMMYFUNCTION("""COMPUTED_VALUE"""),"0.9032258065")</f>
        <v>0.9032258065</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c r="S41" t="str">
        <f ca="1">IFERROR(__xludf.DUMMYFUNCTION("""COMPUTED_VALUE"""),"0")</f>
        <v>0</v>
      </c>
    </row>
    <row r="42" spans="1:19"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IFERROR(__xludf.DUMMYFUNCTION("""COMPUTED_VALUE"""),"0.2616243365")</f>
        <v>0.2616243365</v>
      </c>
      <c r="H42" t="str">
        <f ca="1">IFERROR(__xludf.DUMMYFUNCTION("""COMPUTED_VALUE"""),"0.8780487805")</f>
        <v>0.8780487805</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c r="S42" t="str">
        <f ca="1">IFERROR(__xludf.DUMMYFUNCTION("""COMPUTED_VALUE"""),"0.2322082759")</f>
        <v>0.2322082759</v>
      </c>
    </row>
    <row r="43" spans="1:19"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IFERROR(__xludf.DUMMYFUNCTION("""COMPUTED_VALUE"""),"-0.003775185095")</f>
        <v>-0.003775185095</v>
      </c>
      <c r="H43" t="str">
        <f ca="1">IFERROR(__xludf.DUMMYFUNCTION("""COMPUTED_VALUE"""),"0.8125")</f>
        <v>0.8125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c r="S43" t="str">
        <f ca="1">IFERROR(__xludf.DUMMYFUNCTION("""COMPUTED_VALUE"""),"-0.003265821846")</f>
        <v>-0.003265821846</v>
      </c>
    </row>
    <row r="44" spans="1:19"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f>
        <v>0</v>
      </c>
      <c r="H44" t="str">
        <f ca="1">IFERROR(__xludf.DUMMYFUNCTION("""COMPUTED_VALUE"""),"0.9428571429")</f>
        <v>0.9428571429</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c r="S44" t="str">
        <f ca="1">IFERROR(__xludf.DUMMYFUNCTION("""COMPUTED_VALUE"""),"0")</f>
        <v>0</v>
      </c>
    </row>
    <row r="45" spans="1:19"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IFERROR(__xludf.DUMMYFUNCTION("""COMPUTED_VALUE"""),"0.2806033447")</f>
        <v>0.2806033447</v>
      </c>
      <c r="H45" t="str">
        <f ca="1">IFERROR(__xludf.DUMMYFUNCTION("""COMPUTED_VALUE"""),"0.8525345622")</f>
        <v>0.8525345622</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c r="S45" t="str">
        <f ca="1">IFERROR(__xludf.DUMMYFUNCTION("""COMPUTED_VALUE"""),"0.2780190173")</f>
        <v>0.2780190173</v>
      </c>
    </row>
    <row r="46" spans="1:19"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IFERROR(__xludf.DUMMYFUNCTION("""COMPUTED_VALUE"""),"0.20422837")</f>
        <v>0.20422837</v>
      </c>
      <c r="H46" t="str">
        <f ca="1">IFERROR(__xludf.DUMMYFUNCTION("""COMPUTED_VALUE"""),"0.7980769231")</f>
        <v>0.7980769231</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c r="S46" t="str">
        <f ca="1">IFERROR(__xludf.DUMMYFUNCTION("""COMPUTED_VALUE"""),"0.2040808282")</f>
        <v>0.2040808282</v>
      </c>
    </row>
    <row r="47" spans="1:19"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IFERROR(__xludf.DUMMYFUNCTION("""COMPUTED_VALUE"""),"0.1310947051")</f>
        <v>0.1310947051</v>
      </c>
      <c r="H47" t="str">
        <f ca="1">IFERROR(__xludf.DUMMYFUNCTION("""COMPUTED_VALUE"""),"0.8222222222")</f>
        <v>0.8222222222</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c r="S47" t="str">
        <f ca="1">IFERROR(__xludf.DUMMYFUNCTION("""COMPUTED_VALUE"""),"0.1176464749")</f>
        <v>0.1176464749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R47"/>
  <sheetViews>
    <sheetView workbookViewId="0"/>
  </sheetViews>
  <sheetFormatPr defaultColWidth="14.44140625" defaultRowHeight="15.75" customHeight="1"/>
  <sheetData>
    <row r="1" spans="1:18" ht="15.75" customHeight="1">
      <c r="A1" t="str">
        <f ca="1">IFERROR(__xludf.DUMMYFUNCTION("QUERY(Processed!A1:CD150,""SELECT A, B, C, D, E, BZ, CD, CB, BG, BH, BI, BJ, BK, BL, BM, BN, BO, BP WHERE BX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IFERROR(__xludf.DUMMYFUNCTION("""COMPUTED_VALUE"""),"CC n - Calculated")</f>
        <v>CC n - Calculated</v>
      </c>
      <c r="G1" t="str">
        <f ca="1">IFERROR(__xludf.DUMMYFUNCTION("""COMPUTED_VALUE"""),"CC k - Calculated")</f>
        <v>CC k - Calculated</v>
      </c>
      <c r="H1" t="str">
        <f ca="1">IFERROR(__xludf.DUMMYFUNCTION("""COMPUTED_VALUE"""),"CC PA - Calculated")</f>
        <v>CC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row>
    <row r="2" spans="1:18"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IFERROR(__xludf.DUMMYFUNCTION("""COMPUTED_VALUE"""),"0.3181803719")</f>
        <v>0.3181803719</v>
      </c>
      <c r="H2" t="str">
        <f ca="1">IFERROR(__xludf.DUMMYFUNCTION("""COMPUTED_VALUE"""),"0.85")</f>
        <v>0.85</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row>
    <row r="3" spans="1:18"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IFERROR(__xludf.DUMMYFUNCTION("""COMPUTED_VALUE"""),"0.6111086158")</f>
        <v>0.6111086158</v>
      </c>
      <c r="H3" t="str">
        <f ca="1">IFERROR(__xludf.DUMMYFUNCTION("""COMPUTED_VALUE"""),"0.9047619048")</f>
        <v>0.9047619048</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row>
    <row r="4" spans="1:18"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IFERROR(__xludf.DUMMYFUNCTION("""COMPUTED_VALUE"""),"0.3181803719")</f>
        <v>0.3181803719</v>
      </c>
      <c r="H4" t="str">
        <f ca="1">IFERROR(__xludf.DUMMYFUNCTION("""COMPUTED_VALUE"""),"0.85")</f>
        <v>0.85</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row>
    <row r="5" spans="1:18"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IFERROR(__xludf.DUMMYFUNCTION("""COMPUTED_VALUE"""),"0")</f>
        <v>0</v>
      </c>
      <c r="H5" t="str">
        <f ca="1">IFERROR(__xludf.DUMMYFUNCTION("""COMPUTED_VALUE"""),"0.9375")</f>
        <v>0.9375</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row>
    <row r="6" spans="1:18"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f>
        <v>0</v>
      </c>
      <c r="H6" t="str">
        <f ca="1">IFERROR(__xludf.DUMMYFUNCTION("""COMPUTED_VALUE"""),"0.8888888889")</f>
        <v>0.8888888889</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row>
    <row r="7" spans="1:18"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IFERROR(__xludf.DUMMYFUNCTION("""COMPUTED_VALUE"""),"0.6363599339")</f>
        <v>0.6363599339</v>
      </c>
      <c r="H7" t="str">
        <f ca="1">IFERROR(__xludf.DUMMYFUNCTION("""COMPUTED_VALUE"""),"0.9375")</f>
        <v>0.9375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row>
    <row r="8" spans="1:18"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IFERROR(__xludf.DUMMYFUNCTION("""COMPUTED_VALUE"""),"0.59999784")</f>
        <v>0.59999784</v>
      </c>
      <c r="H8" t="str">
        <f ca="1">IFERROR(__xludf.DUMMYFUNCTION("""COMPUTED_VALUE"""),"0.8888888889")</f>
        <v>0.8888888889</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row>
    <row r="9" spans="1:18"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IFERROR(__xludf.DUMMYFUNCTION("""COMPUTED_VALUE"""),"0.8344336323")</f>
        <v>0.8344336323</v>
      </c>
      <c r="H9" t="str">
        <f ca="1">IFERROR(__xludf.DUMMYFUNCTION("""COMPUTED_VALUE"""),"0.96")</f>
        <v>0.96</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row>
    <row r="10" spans="1:18"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f>
        <v>0</v>
      </c>
      <c r="H10" t="str">
        <f ca="1">IFERROR(__xludf.DUMMYFUNCTION("""COMPUTED_VALUE"""),"0.9333333333")</f>
        <v>0.9333333333</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row>
    <row r="11" spans="1:18"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f>
        <v>0</v>
      </c>
      <c r="H11" t="str">
        <f ca="1">IFERROR(__xludf.DUMMYFUNCTION("""COMPUTED_VALUE"""),"1")</f>
        <v>1</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row>
    <row r="12" spans="1:18"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IFERROR(__xludf.DUMMYFUNCTION("""COMPUTED_VALUE"""),"-0.02531598847")</f>
        <v>-0.02531598847</v>
      </c>
      <c r="H12" t="str">
        <f ca="1">IFERROR(__xludf.DUMMYFUNCTION("""COMPUTED_VALUE"""),"0.9444444444")</f>
        <v>0.9444444444</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row>
    <row r="13" spans="1:18"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IFERROR(__xludf.DUMMYFUNCTION("""COMPUTED_VALUE"""),"0.1951207995")</f>
        <v>0.1951207995</v>
      </c>
      <c r="H13" t="str">
        <f ca="1">IFERROR(__xludf.DUMMYFUNCTION("""COMPUTED_VALUE"""),"0.8636363636")</f>
        <v>0.8636363636</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row>
    <row r="14" spans="1:18"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IFERROR(__xludf.DUMMYFUNCTION("""COMPUTED_VALUE"""),"0.1086948578")</f>
        <v>0.1086948578</v>
      </c>
      <c r="H14" t="str">
        <f ca="1">IFERROR(__xludf.DUMMYFUNCTION("""COMPUTED_VALUE"""),"0.8780487805")</f>
        <v>0.8780487805</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row>
    <row r="15" spans="1:18"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IFERROR(__xludf.DUMMYFUNCTION("""COMPUTED_VALUE"""),"-0.0563376711")</f>
        <v>-0.0563376711</v>
      </c>
      <c r="H15" t="str">
        <f ca="1">IFERROR(__xludf.DUMMYFUNCTION("""COMPUTED_VALUE"""),"0.8333333333")</f>
        <v>0.8333333333</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row>
    <row r="16" spans="1:18"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IFERROR(__xludf.DUMMYFUNCTION("""COMPUTED_VALUE"""),"0.08759076136")</f>
        <v>0.08759076136</v>
      </c>
      <c r="H16" t="str">
        <f ca="1">IFERROR(__xludf.DUMMYFUNCTION("""COMPUTED_VALUE"""),"0.8333333333")</f>
        <v>0.8333333333</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row>
    <row r="17" spans="1:18"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f>
        <v>0</v>
      </c>
      <c r="H17" t="str">
        <f ca="1">IFERROR(__xludf.DUMMYFUNCTION("""COMPUTED_VALUE"""),"1")</f>
        <v>1</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row>
    <row r="18" spans="1:18"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f>
        <v>0</v>
      </c>
      <c r="H18" t="str">
        <f ca="1">IFERROR(__xludf.DUMMYFUNCTION("""COMPUTED_VALUE"""),"1")</f>
        <v>1</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row>
    <row r="19" spans="1:18"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IFERROR(__xludf.DUMMYFUNCTION("""COMPUTED_VALUE"""),"-0.04877999895")</f>
        <v>-0.04877999895</v>
      </c>
      <c r="H19" t="str">
        <f ca="1">IFERROR(__xludf.DUMMYFUNCTION("""COMPUTED_VALUE"""),"0.8953488372")</f>
        <v>0.8953488372</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row>
    <row r="20" spans="1:18"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IFERROR(__xludf.DUMMYFUNCTION("""COMPUTED_VALUE"""),"0.4464924879")</f>
        <v>0.4464924879</v>
      </c>
      <c r="H20" t="str">
        <f ca="1">IFERROR(__xludf.DUMMYFUNCTION("""COMPUTED_VALUE"""),"0.875")</f>
        <v>0.875</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row>
    <row r="21" spans="1:18"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t="str">
        <f ca="1">IFERROR(__xludf.DUMMYFUNCTION("""COMPUTED_VALUE"""),"1,060")</f>
        <v>1,060</v>
      </c>
      <c r="G21" t="str">
        <f ca="1">IFERROR(__xludf.DUMMYFUNCTION("""COMPUTED_VALUE"""),"0.07186855658")</f>
        <v>0.07186855658</v>
      </c>
      <c r="H21" t="str">
        <f ca="1">IFERROR(__xludf.DUMMYFUNCTION("""COMPUTED_VALUE"""),"0.7877358491")</f>
        <v>0.7877358491</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row>
    <row r="22" spans="1:18"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IFERROR(__xludf.DUMMYFUNCTION("""COMPUTED_VALUE"""),"0.2121836202")</f>
        <v>0.2121836202</v>
      </c>
      <c r="H22" t="str">
        <f ca="1">IFERROR(__xludf.DUMMYFUNCTION("""COMPUTED_VALUE"""),"0.8666666667")</f>
        <v>0.8666666667</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row>
    <row r="23" spans="1:18"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IFERROR(__xludf.DUMMYFUNCTION("""COMPUTED_VALUE"""),"-0.03960351927")</f>
        <v>-0.03960351927</v>
      </c>
      <c r="H23" t="str">
        <f ca="1">IFERROR(__xludf.DUMMYFUNCTION("""COMPUTED_VALUE"""),"0.9066666667")</f>
        <v>0.9066666667</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row>
    <row r="24" spans="1:18"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IFERROR(__xludf.DUMMYFUNCTION("""COMPUTED_VALUE"""),"-0.08433677784")</f>
        <v>-0.08433677784</v>
      </c>
      <c r="H24" t="str">
        <f ca="1">IFERROR(__xludf.DUMMYFUNCTION("""COMPUTED_VALUE"""),"0.84")</f>
        <v>0.84</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row>
    <row r="25" spans="1:18"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IFERROR(__xludf.DUMMYFUNCTION("""COMPUTED_VALUE"""),"-0.04327628527")</f>
        <v>-0.04327628527</v>
      </c>
      <c r="H25" t="str">
        <f ca="1">IFERROR(__xludf.DUMMYFUNCTION("""COMPUTED_VALUE"""),"0.88")</f>
        <v>0.88</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row>
    <row r="26" spans="1:18"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f>
        <v>0</v>
      </c>
      <c r="H26" t="str">
        <f ca="1">IFERROR(__xludf.DUMMYFUNCTION("""COMPUTED_VALUE"""),"0.5866666667")</f>
        <v>0.5866666667</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row>
    <row r="27" spans="1:18"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IFERROR(__xludf.DUMMYFUNCTION("""COMPUTED_VALUE"""),"0.07643293846")</f>
        <v>0.07643293846</v>
      </c>
      <c r="H27" t="str">
        <f ca="1">IFERROR(__xludf.DUMMYFUNCTION("""COMPUTED_VALUE"""),"0.6133333333")</f>
        <v>0.6133333333</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row>
    <row r="28" spans="1:18"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IFERROR(__xludf.DUMMYFUNCTION("""COMPUTED_VALUE"""),"0.07868291961")</f>
        <v>0.07868291961</v>
      </c>
      <c r="H28" t="str">
        <f ca="1">IFERROR(__xludf.DUMMYFUNCTION("""COMPUTED_VALUE"""),"0.8169717138")</f>
        <v>0.8169717138</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row>
    <row r="29" spans="1:18"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IFERROR(__xludf.DUMMYFUNCTION("""COMPUTED_VALUE"""),"-0.07099335723")</f>
        <v>-0.07099335723</v>
      </c>
      <c r="H29" t="str">
        <f ca="1">IFERROR(__xludf.DUMMYFUNCTION("""COMPUTED_VALUE"""),"0.8636363636")</f>
        <v>0.8636363636</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row>
    <row r="30" spans="1:18"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f>
        <v>0</v>
      </c>
      <c r="H30" t="str">
        <f ca="1">IFERROR(__xludf.DUMMYFUNCTION("""COMPUTED_VALUE"""),"0.9558823529")</f>
        <v>0.9558823529</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row>
    <row r="31" spans="1:18"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IFERROR(__xludf.DUMMYFUNCTION("""COMPUTED_VALUE"""),"0.2372871945")</f>
        <v>0.2372871945</v>
      </c>
      <c r="H31" t="str">
        <f ca="1">IFERROR(__xludf.DUMMYFUNCTION("""COMPUTED_VALUE"""),"0.8076923077")</f>
        <v>0.8076923077</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row>
    <row r="32" spans="1:18"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IFERROR(__xludf.DUMMYFUNCTION("""COMPUTED_VALUE"""),"0.9999799872")</f>
        <v>0.9999799872</v>
      </c>
      <c r="H32" t="str">
        <f ca="1">IFERROR(__xludf.DUMMYFUNCTION("""COMPUTED_VALUE"""),"1")</f>
        <v>1</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row>
    <row r="33" spans="1:18"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IFERROR(__xludf.DUMMYFUNCTION("""COMPUTED_VALUE"""),"0.5342444603")</f>
        <v>0.5342444603</v>
      </c>
      <c r="H33" t="str">
        <f ca="1">IFERROR(__xludf.DUMMYFUNCTION("""COMPUTED_VALUE"""),"0.8823529412")</f>
        <v>0.8823529412</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row>
    <row r="34" spans="1:18"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IFERROR(__xludf.DUMMYFUNCTION("""COMPUTED_VALUE"""),"0.3648057952")</f>
        <v>0.3648057952</v>
      </c>
      <c r="H34" t="str">
        <f ca="1">IFERROR(__xludf.DUMMYFUNCTION("""COMPUTED_VALUE"""),"0.7837837838")</f>
        <v>0.7837837838</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row>
    <row r="35" spans="1:18"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IFERROR(__xludf.DUMMYFUNCTION("""COMPUTED_VALUE"""),"-0.006170584276")</f>
        <v>-0.006170584276</v>
      </c>
      <c r="H35" t="str">
        <f ca="1">IFERROR(__xludf.DUMMYFUNCTION("""COMPUTED_VALUE"""),"0.5757575758")</f>
        <v>0.5757575758</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row>
    <row r="36" spans="1:18"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IFERROR(__xludf.DUMMYFUNCTION("""COMPUTED_VALUE"""),"0.05076472759")</f>
        <v>0.05076472759</v>
      </c>
      <c r="H36" t="str">
        <f ca="1">IFERROR(__xludf.DUMMYFUNCTION("""COMPUTED_VALUE"""),"0.7846153846")</f>
        <v>0.7846153846</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row>
    <row r="37" spans="1:18"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IFERROR(__xludf.DUMMYFUNCTION("""COMPUTED_VALUE"""),"-0.0387094132")</f>
        <v>-0.0387094132</v>
      </c>
      <c r="H37" t="str">
        <f ca="1">IFERROR(__xludf.DUMMYFUNCTION("""COMPUTED_VALUE"""),"0.847826087")</f>
        <v>0.847826087</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row>
    <row r="38" spans="1:18"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IFERROR(__xludf.DUMMYFUNCTION("""COMPUTED_VALUE"""),"0.2446019884")</f>
        <v>0.2446019884</v>
      </c>
      <c r="H38" t="str">
        <f ca="1">IFERROR(__xludf.DUMMYFUNCTION("""COMPUTED_VALUE"""),"0.9206349206")</f>
        <v>0.9206349206</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row>
    <row r="39" spans="1:18"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IFERROR(__xludf.DUMMYFUNCTION("""COMPUTED_VALUE"""),"0.1899986149")</f>
        <v>0.1899986149</v>
      </c>
      <c r="H39" t="str">
        <f ca="1">IFERROR(__xludf.DUMMYFUNCTION("""COMPUTED_VALUE"""),"0.8888888889")</f>
        <v>0.8888888889</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row>
    <row r="40" spans="1:18"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IFERROR(__xludf.DUMMYFUNCTION("""COMPUTED_VALUE"""),"0.08255597364")</f>
        <v>0.08255597364</v>
      </c>
      <c r="H40" t="str">
        <f ca="1">IFERROR(__xludf.DUMMYFUNCTION("""COMPUTED_VALUE"""),"0.8773584906")</f>
        <v>0.8773584906</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row>
    <row r="41" spans="1:18"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f>
        <v>0</v>
      </c>
      <c r="H41" t="str">
        <f ca="1">IFERROR(__xludf.DUMMYFUNCTION("""COMPUTED_VALUE"""),"0.9032258065")</f>
        <v>0.9032258065</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row>
    <row r="42" spans="1:18"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IFERROR(__xludf.DUMMYFUNCTION("""COMPUTED_VALUE"""),"0.2322082759")</f>
        <v>0.2322082759</v>
      </c>
      <c r="H42" t="str">
        <f ca="1">IFERROR(__xludf.DUMMYFUNCTION("""COMPUTED_VALUE"""),"0.8780487805")</f>
        <v>0.8780487805</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row>
    <row r="43" spans="1:18"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IFERROR(__xludf.DUMMYFUNCTION("""COMPUTED_VALUE"""),"-0.003265821846")</f>
        <v>-0.003265821846</v>
      </c>
      <c r="H43" t="str">
        <f ca="1">IFERROR(__xludf.DUMMYFUNCTION("""COMPUTED_VALUE"""),"0.8125")</f>
        <v>0.8125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row>
    <row r="44" spans="1:18"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f>
        <v>0</v>
      </c>
      <c r="H44" t="str">
        <f ca="1">IFERROR(__xludf.DUMMYFUNCTION("""COMPUTED_VALUE"""),"0.9428571429")</f>
        <v>0.9428571429</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row>
    <row r="45" spans="1:18"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IFERROR(__xludf.DUMMYFUNCTION("""COMPUTED_VALUE"""),"0.2780190173")</f>
        <v>0.2780190173</v>
      </c>
      <c r="H45" t="str">
        <f ca="1">IFERROR(__xludf.DUMMYFUNCTION("""COMPUTED_VALUE"""),"0.8525345622")</f>
        <v>0.8525345622</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row>
    <row r="46" spans="1:18"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IFERROR(__xludf.DUMMYFUNCTION("""COMPUTED_VALUE"""),"0.2040808282")</f>
        <v>0.2040808282</v>
      </c>
      <c r="H46" t="str">
        <f ca="1">IFERROR(__xludf.DUMMYFUNCTION("""COMPUTED_VALUE"""),"0.7980769231")</f>
        <v>0.7980769231</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row>
    <row r="47" spans="1:18"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IFERROR(__xludf.DUMMYFUNCTION("""COMPUTED_VALUE"""),"0.1176464749")</f>
        <v>0.1176464749</v>
      </c>
      <c r="H47" t="str">
        <f ca="1">IFERROR(__xludf.DUMMYFUNCTION("""COMPUTED_VALUE"""),"0.8222222222")</f>
        <v>0.8222222222</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47"/>
  <sheetViews>
    <sheetView tabSelected="1" topLeftCell="A3" workbookViewId="0">
      <selection activeCell="G17" sqref="G17"/>
    </sheetView>
  </sheetViews>
  <sheetFormatPr defaultColWidth="14.44140625" defaultRowHeight="15.75" customHeight="1"/>
  <sheetData>
    <row r="1" spans="1:19" ht="15.75" customHeight="1">
      <c r="A1" s="127" t="str">
        <f ca="1">IFERROR(__xludf.DUMMYFUNCTION("QUERY(Processed!A1:DK150,""SELECT A, B, C, D, E, CG, CH, CI, BG, BH, BI, BJ, BK, BL, BM, BN, BO, BP, CK WHERE CE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IFERROR(__xludf.DUMMYFUNCTION("""COMPUTED_VALUE"""),"BB n - Calculated")</f>
        <v>BB n - Calculated</v>
      </c>
      <c r="G1" t="str">
        <f ca="1">IFERROR(__xludf.DUMMYFUNCTION("""COMPUTED_VALUE"""),"BB r - Calculated")</f>
        <v>BB r - Calculated</v>
      </c>
      <c r="H1" t="str">
        <f ca="1">IFERROR(__xludf.DUMMYFUNCTION("""COMPUTED_VALUE"""),"BB PA - Calculated")</f>
        <v>BB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c r="S1" t="str">
        <f ca="1">IFERROR(__xludf.DUMMYFUNCTION("""COMPUTED_VALUE"""),"BB k - Calculated")</f>
        <v>BB k - Calculated</v>
      </c>
    </row>
    <row r="2" spans="1:19"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IFERROR(__xludf.DUMMYFUNCTION("""COMPUTED_VALUE"""),"0.3282439759")</f>
        <v>0.3282439759</v>
      </c>
      <c r="H2" t="str">
        <f ca="1">IFERROR(__xludf.DUMMYFUNCTION("""COMPUTED_VALUE"""),"0.65")</f>
        <v>0.65</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c r="S2" t="str">
        <f ca="1">IFERROR(__xludf.DUMMYFUNCTION("""COMPUTED_VALUE"""),"0.3137254902")</f>
        <v>0.3137254902</v>
      </c>
    </row>
    <row r="3" spans="1:19"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IFERROR(__xludf.DUMMYFUNCTION("""COMPUTED_VALUE"""),"0.4403855061")</f>
        <v>0.4403855061</v>
      </c>
      <c r="H3" t="str">
        <f ca="1">IFERROR(__xludf.DUMMYFUNCTION("""COMPUTED_VALUE"""),"0.7142857143")</f>
        <v>0.7142857143</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c r="S3" t="str">
        <f ca="1">IFERROR(__xludf.DUMMYFUNCTION("""COMPUTED_VALUE"""),"0.4324324324")</f>
        <v>0.4324324324</v>
      </c>
    </row>
    <row r="4" spans="1:19"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IFERROR(__xludf.DUMMYFUNCTION("""COMPUTED_VALUE"""),"0.5025189076")</f>
        <v>0.5025189076</v>
      </c>
      <c r="H4" t="str">
        <f ca="1">IFERROR(__xludf.DUMMYFUNCTION("""COMPUTED_VALUE"""),"0.75")</f>
        <v>0.75</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c r="S4" t="str">
        <f ca="1">IFERROR(__xludf.DUMMYFUNCTION("""COMPUTED_VALUE"""),"0.5")</f>
        <v>0.5</v>
      </c>
    </row>
    <row r="5" spans="1:19"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IFERROR(__xludf.DUMMYFUNCTION("""COMPUTED_VALUE"""),"1")</f>
        <v>1</v>
      </c>
      <c r="H5" t="str">
        <f ca="1">IFERROR(__xludf.DUMMYFUNCTION("""COMPUTED_VALUE"""),"1")</f>
        <v>1</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c r="S5" t="str">
        <f ca="1">IFERROR(__xludf.DUMMYFUNCTION("""COMPUTED_VALUE"""),"1")</f>
        <v>1</v>
      </c>
    </row>
    <row r="6" spans="1:19"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IFERROR(__xludf.DUMMYFUNCTION("""COMPUTED_VALUE"""),"0.4780914437")</f>
        <v>0.4780914437</v>
      </c>
      <c r="H6" t="str">
        <f ca="1">IFERROR(__xludf.DUMMYFUNCTION("""COMPUTED_VALUE"""),"0.8333333333")</f>
        <v>0.8333333333</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c r="S6" t="str">
        <f ca="1">IFERROR(__xludf.DUMMYFUNCTION("""COMPUTED_VALUE"""),"0.4705882353")</f>
        <v>0.4705882353</v>
      </c>
    </row>
    <row r="7" spans="1:19"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IFERROR(__xludf.DUMMYFUNCTION("""COMPUTED_VALUE"""),"0.3026137663")</f>
        <v>0.3026137663</v>
      </c>
      <c r="H7" t="str">
        <f ca="1">IFERROR(__xludf.DUMMYFUNCTION("""COMPUTED_VALUE"""),"0.8125")</f>
        <v>0.8125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c r="S7" t="str">
        <f ca="1">IFERROR(__xludf.DUMMYFUNCTION("""COMPUTED_VALUE"""),"0.2941176471")</f>
        <v>0.2941176471</v>
      </c>
    </row>
    <row r="8" spans="1:19"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IFERROR(__xludf.DUMMYFUNCTION("""COMPUTED_VALUE"""),"0.4780914437")</f>
        <v>0.4780914437</v>
      </c>
      <c r="H8" t="str">
        <f ca="1">IFERROR(__xludf.DUMMYFUNCTION("""COMPUTED_VALUE"""),"0.8333333333")</f>
        <v>0.8333333333</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c r="S8" t="str">
        <f ca="1">IFERROR(__xludf.DUMMYFUNCTION("""COMPUTED_VALUE"""),"0.4705882353")</f>
        <v>0.4705882353</v>
      </c>
    </row>
    <row r="9" spans="1:19"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IFERROR(__xludf.DUMMYFUNCTION("""COMPUTED_VALUE"""),"0.1228070175")</f>
        <v>0.1228070175</v>
      </c>
      <c r="H9" t="str">
        <f ca="1">IFERROR(__xludf.DUMMYFUNCTION("""COMPUTED_VALUE"""),"0.68")</f>
        <v>0.68</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c r="S9" t="str">
        <f ca="1">IFERROR(__xludf.DUMMYFUNCTION("""COMPUTED_VALUE"""),"0.1228070175")</f>
        <v>0.1228070175</v>
      </c>
    </row>
    <row r="10" spans="1:19"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IFERROR(__xludf.DUMMYFUNCTION("""COMPUTED_VALUE"""),"0.3535533906")</f>
        <v>0.3535533906</v>
      </c>
      <c r="H10" t="str">
        <f ca="1">IFERROR(__xludf.DUMMYFUNCTION("""COMPUTED_VALUE"""),"0.7333333333")</f>
        <v>0.7333333333</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c r="S10" t="str">
        <f ca="1">IFERROR(__xludf.DUMMYFUNCTION("""COMPUTED_VALUE"""),"0.3333333333")</f>
        <v>0.3333333333</v>
      </c>
    </row>
    <row r="11" spans="1:19"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IFERROR(__xludf.DUMMYFUNCTION("""COMPUTED_VALUE"""),"0.490990253")</f>
        <v>0.490990253</v>
      </c>
      <c r="H11" t="str">
        <f ca="1">IFERROR(__xludf.DUMMYFUNCTION("""COMPUTED_VALUE"""),"0.8")</f>
        <v>0.8</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c r="S11" t="str">
        <f ca="1">IFERROR(__xludf.DUMMYFUNCTION("""COMPUTED_VALUE"""),"0.4736842105")</f>
        <v>0.4736842105</v>
      </c>
    </row>
    <row r="12" spans="1:19"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f>
        <v>0</v>
      </c>
      <c r="H12" t="str">
        <f ca="1">IFERROR(__xludf.DUMMYFUNCTION("""COMPUTED_VALUE"""),"0.9814814815")</f>
        <v>0.9814814815</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c r="S12" t="str">
        <f ca="1">IFERROR(__xludf.DUMMYFUNCTION("""COMPUTED_VALUE"""),"0")</f>
        <v>0</v>
      </c>
    </row>
    <row r="13" spans="1:19"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IFERROR(__xludf.DUMMYFUNCTION("""COMPUTED_VALUE"""),"0.2331154684")</f>
        <v>0.2331154684</v>
      </c>
      <c r="H13" t="str">
        <f ca="1">IFERROR(__xludf.DUMMYFUNCTION("""COMPUTED_VALUE"""),"0.6363636364")</f>
        <v>0.6363636364</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c r="S13" t="str">
        <f ca="1">IFERROR(__xludf.DUMMYFUNCTION("""COMPUTED_VALUE"""),"0.2331154684")</f>
        <v>0.2331154684</v>
      </c>
    </row>
    <row r="14" spans="1:19"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IFERROR(__xludf.DUMMYFUNCTION("""COMPUTED_VALUE"""),"0.2393092823")</f>
        <v>0.2393092823</v>
      </c>
      <c r="H14" t="str">
        <f ca="1">IFERROR(__xludf.DUMMYFUNCTION("""COMPUTED_VALUE"""),"0.6219512195")</f>
        <v>0.6219512195</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c r="S14" t="str">
        <f ca="1">IFERROR(__xludf.DUMMYFUNCTION("""COMPUTED_VALUE"""),"0.2357185809")</f>
        <v>0.2357185809</v>
      </c>
    </row>
    <row r="15" spans="1:19"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IFERROR(__xludf.DUMMYFUNCTION("""COMPUTED_VALUE"""),"0.4134925425")</f>
        <v>0.4134925425</v>
      </c>
      <c r="H15" t="str">
        <f ca="1">IFERROR(__xludf.DUMMYFUNCTION("""COMPUTED_VALUE"""),"0.7")</f>
        <v>0.7</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c r="S15" t="str">
        <f ca="1">IFERROR(__xludf.DUMMYFUNCTION("""COMPUTED_VALUE"""),"0.4052863436")</f>
        <v>0.4052863436</v>
      </c>
    </row>
    <row r="16" spans="1:19"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IFERROR(__xludf.DUMMYFUNCTION("""COMPUTED_VALUE"""),"0.1186350475")</f>
        <v>0.1186350475</v>
      </c>
      <c r="H16" t="str">
        <f ca="1">IFERROR(__xludf.DUMMYFUNCTION("""COMPUTED_VALUE"""),"0.5733333333")</f>
        <v>0.5733333333</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c r="S16" t="str">
        <f ca="1">IFERROR(__xludf.DUMMYFUNCTION("""COMPUTED_VALUE"""),"0.1169977925")</f>
        <v>0.1169977925</v>
      </c>
    </row>
    <row r="17" spans="1:19"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IFERROR(__xludf.DUMMYFUNCTION("""COMPUTED_VALUE"""),"0.8246211251")</f>
        <v>0.8246211251</v>
      </c>
      <c r="H17" t="str">
        <f ca="1">IFERROR(__xludf.DUMMYFUNCTION("""COMPUTED_VALUE"""),"0.90625")</f>
        <v>0.90625</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c r="S17" t="str">
        <f ca="1">IFERROR(__xludf.DUMMYFUNCTION("""COMPUTED_VALUE"""),"0.8095238095")</f>
        <v>0.8095238095</v>
      </c>
    </row>
    <row r="18" spans="1:19"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IFERROR(__xludf.DUMMYFUNCTION("""COMPUTED_VALUE"""),"0.3872983346")</f>
        <v>0.3872983346</v>
      </c>
      <c r="H18" t="str">
        <f ca="1">IFERROR(__xludf.DUMMYFUNCTION("""COMPUTED_VALUE"""),"0.696969697")</f>
        <v>0.696969697</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c r="S18" t="str">
        <f ca="1">IFERROR(__xludf.DUMMYFUNCTION("""COMPUTED_VALUE"""),"0.375")</f>
        <v>0.375</v>
      </c>
    </row>
    <row r="19" spans="1:19"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IFERROR(__xludf.DUMMYFUNCTION("""COMPUTED_VALUE"""),"0.01324290367")</f>
        <v>0.01324290367</v>
      </c>
      <c r="H19" t="str">
        <f ca="1">IFERROR(__xludf.DUMMYFUNCTION("""COMPUTED_VALUE"""),"0.5")</f>
        <v>0.5</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c r="S19" t="str">
        <f ca="1">IFERROR(__xludf.DUMMYFUNCTION("""COMPUTED_VALUE"""),"0.01281366791")</f>
        <v>0.01281366791</v>
      </c>
    </row>
    <row r="20" spans="1:19"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IFERROR(__xludf.DUMMYFUNCTION("""COMPUTED_VALUE"""),"0.5489074312")</f>
        <v>0.5489074312</v>
      </c>
      <c r="H20" t="str">
        <f ca="1">IFERROR(__xludf.DUMMYFUNCTION("""COMPUTED_VALUE"""),"0.7666666667")</f>
        <v>0.7666666667</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c r="S20" t="str">
        <f ca="1">IFERROR(__xludf.DUMMYFUNCTION("""COMPUTED_VALUE"""),"0.5286195286")</f>
        <v>0.5286195286</v>
      </c>
    </row>
    <row r="21" spans="1:19"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s="187">
        <v>1060</v>
      </c>
      <c r="G21" t="str">
        <f ca="1">IFERROR(__xludf.DUMMYFUNCTION("""COMPUTED_VALUE"""),"0.04476438886")</f>
        <v>0.04476438886</v>
      </c>
      <c r="H21" t="str">
        <f ca="1">IFERROR(__xludf.DUMMYFUNCTION("""COMPUTED_VALUE"""),"0.55")</f>
        <v>0.55</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c r="S21" t="str">
        <f ca="1">IFERROR(__xludf.DUMMYFUNCTION("""COMPUTED_VALUE"""),"0.04475999033")</f>
        <v>0.04475999033</v>
      </c>
    </row>
    <row r="22" spans="1:19"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IFERROR(__xludf.DUMMYFUNCTION("""COMPUTED_VALUE"""),"0.1784344597")</f>
        <v>0.1784344597</v>
      </c>
      <c r="H22" t="str">
        <f ca="1">IFERROR(__xludf.DUMMYFUNCTION("""COMPUTED_VALUE"""),"0.6266666667")</f>
        <v>0.6266666667</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c r="S22" t="str">
        <f ca="1">IFERROR(__xludf.DUMMYFUNCTION("""COMPUTED_VALUE"""),"0.1666666667")</f>
        <v>0.1666666667</v>
      </c>
    </row>
    <row r="23" spans="1:19"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IFERROR(__xludf.DUMMYFUNCTION("""COMPUTED_VALUE"""),"0.2148255151")</f>
        <v>0.2148255151</v>
      </c>
      <c r="H23" t="str">
        <f ca="1">IFERROR(__xludf.DUMMYFUNCTION("""COMPUTED_VALUE"""),"0.6")</f>
        <v>0.6</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c r="S23" t="str">
        <f ca="1">IFERROR(__xludf.DUMMYFUNCTION("""COMPUTED_VALUE"""),"0.2071881607")</f>
        <v>0.2071881607</v>
      </c>
    </row>
    <row r="24" spans="1:19"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IFERROR(__xludf.DUMMYFUNCTION("""COMPUTED_VALUE"""),"0.1256509393")</f>
        <v>0.1256509393</v>
      </c>
      <c r="H24" t="str">
        <f ca="1">IFERROR(__xludf.DUMMYFUNCTION("""COMPUTED_VALUE"""),"0.4933333333")</f>
        <v>0.4933333333</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c r="S24" t="str">
        <f ca="1">IFERROR(__xludf.DUMMYFUNCTION("""COMPUTED_VALUE"""),"0.09351145038")</f>
        <v>0.09351145038</v>
      </c>
    </row>
    <row r="25" spans="1:19"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IFERROR(__xludf.DUMMYFUNCTION("""COMPUTED_VALUE"""),"0.1416394309")</f>
        <v>0.1416394309</v>
      </c>
      <c r="H25" t="str">
        <f ca="1">IFERROR(__xludf.DUMMYFUNCTION("""COMPUTED_VALUE"""),"0.5733333333")</f>
        <v>0.5733333333</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c r="S25" t="str">
        <f ca="1">IFERROR(__xludf.DUMMYFUNCTION("""COMPUTED_VALUE"""),"0.1397849462")</f>
        <v>0.1397849462</v>
      </c>
    </row>
    <row r="26" spans="1:19"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IFERROR(__xludf.DUMMYFUNCTION("""COMPUTED_VALUE"""),"0.2873894547")</f>
        <v>0.2873894547</v>
      </c>
      <c r="H26" t="str">
        <f ca="1">IFERROR(__xludf.DUMMYFUNCTION("""COMPUTED_VALUE"""),"0.68")</f>
        <v>0.68</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c r="S26" t="str">
        <f ca="1">IFERROR(__xludf.DUMMYFUNCTION("""COMPUTED_VALUE"""),"0.2487479132")</f>
        <v>0.2487479132</v>
      </c>
    </row>
    <row r="27" spans="1:19"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IFERROR(__xludf.DUMMYFUNCTION("""COMPUTED_VALUE"""),"0.1581792598")</f>
        <v>0.1581792598</v>
      </c>
      <c r="H27" t="str">
        <f ca="1">IFERROR(__xludf.DUMMYFUNCTION("""COMPUTED_VALUE"""),"0.4933333333")</f>
        <v>0.4933333333</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c r="S27" t="str">
        <f ca="1">IFERROR(__xludf.DUMMYFUNCTION("""COMPUTED_VALUE"""),"0.1037735849")</f>
        <v>0.1037735849</v>
      </c>
    </row>
    <row r="28" spans="1:19"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IFERROR(__xludf.DUMMYFUNCTION("""COMPUTED_VALUE"""),"0.07934589466")</f>
        <v>0.07934589466</v>
      </c>
      <c r="H28" t="str">
        <f ca="1">IFERROR(__xludf.DUMMYFUNCTION("""COMPUTED_VALUE"""),"0.6006655574")</f>
        <v>0.6006655574</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c r="S28" t="str">
        <f ca="1">IFERROR(__xludf.DUMMYFUNCTION("""COMPUTED_VALUE"""),"0.07798517003")</f>
        <v>0.07798517003</v>
      </c>
    </row>
    <row r="29" spans="1:19"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IFERROR(__xludf.DUMMYFUNCTION("""COMPUTED_VALUE"""),"0.06900655593")</f>
        <v>0.06900655593</v>
      </c>
      <c r="H29" t="str">
        <f ca="1">IFERROR(__xludf.DUMMYFUNCTION("""COMPUTED_VALUE"""),"0.5454545455")</f>
        <v>0.5454545455</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c r="S29" t="str">
        <f ca="1">IFERROR(__xludf.DUMMYFUNCTION("""COMPUTED_VALUE"""),"0.06779661017")</f>
        <v>0.06779661017</v>
      </c>
    </row>
    <row r="30" spans="1:19"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IFERROR(__xludf.DUMMYFUNCTION("""COMPUTED_VALUE"""),"0.2785930464")</f>
        <v>0.2785930464</v>
      </c>
      <c r="H30" t="str">
        <f ca="1">IFERROR(__xludf.DUMMYFUNCTION("""COMPUTED_VALUE"""),"0.6764705882")</f>
        <v>0.6764705882</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c r="S30" t="str">
        <f ca="1">IFERROR(__xludf.DUMMYFUNCTION("""COMPUTED_VALUE"""),"0.277992278")</f>
        <v>0.277992278</v>
      </c>
    </row>
    <row r="31" spans="1:19"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IFERROR(__xludf.DUMMYFUNCTION("""COMPUTED_VALUE"""),"0.4595582359")</f>
        <v>0.4595582359</v>
      </c>
      <c r="H31" t="str">
        <f ca="1">IFERROR(__xludf.DUMMYFUNCTION("""COMPUTED_VALUE"""),"0.7307692308")</f>
        <v>0.7307692308</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c r="S31" t="str">
        <f ca="1">IFERROR(__xludf.DUMMYFUNCTION("""COMPUTED_VALUE"""),"0.4594059406")</f>
        <v>0.4594059406</v>
      </c>
    </row>
    <row r="32" spans="1:19"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IFERROR(__xludf.DUMMYFUNCTION("""COMPUTED_VALUE"""),"0.7947368421")</f>
        <v>0.7947368421</v>
      </c>
      <c r="H32" t="str">
        <f ca="1">IFERROR(__xludf.DUMMYFUNCTION("""COMPUTED_VALUE"""),"0.8974358974")</f>
        <v>0.8974358974</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c r="S32" t="str">
        <f ca="1">IFERROR(__xludf.DUMMYFUNCTION("""COMPUTED_VALUE"""),"0.7947368421")</f>
        <v>0.7947368421</v>
      </c>
    </row>
    <row r="33" spans="1:19"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IFERROR(__xludf.DUMMYFUNCTION("""COMPUTED_VALUE"""),"0.3143473067")</f>
        <v>0.3143473067</v>
      </c>
      <c r="H33" t="str">
        <f ca="1">IFERROR(__xludf.DUMMYFUNCTION("""COMPUTED_VALUE"""),"0.6470588235")</f>
        <v>0.6470588235</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c r="S33" t="str">
        <f ca="1">IFERROR(__xludf.DUMMYFUNCTION("""COMPUTED_VALUE"""),"0.2941176471")</f>
        <v>0.2941176471</v>
      </c>
    </row>
    <row r="34" spans="1:19"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IFERROR(__xludf.DUMMYFUNCTION("""COMPUTED_VALUE"""),"-0.1807753815")</f>
        <v>-0.1807753815</v>
      </c>
      <c r="H34" t="str">
        <f ca="1">IFERROR(__xludf.DUMMYFUNCTION("""COMPUTED_VALUE"""),"0.6486486486")</f>
        <v>0.6486486486</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c r="S34" t="str">
        <f ca="1">IFERROR(__xludf.DUMMYFUNCTION("""COMPUTED_VALUE"""),"-0.1425178147")</f>
        <v>-0.1425178147</v>
      </c>
    </row>
    <row r="35" spans="1:19"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IFERROR(__xludf.DUMMYFUNCTION("""COMPUTED_VALUE"""),"0.1658412536")</f>
        <v>0.1658412536</v>
      </c>
      <c r="H35" t="str">
        <f ca="1">IFERROR(__xludf.DUMMYFUNCTION("""COMPUTED_VALUE"""),"0.5606060606")</f>
        <v>0.5606060606</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c r="S35" t="str">
        <f ca="1">IFERROR(__xludf.DUMMYFUNCTION("""COMPUTED_VALUE"""),"0.1391304348")</f>
        <v>0.1391304348</v>
      </c>
    </row>
    <row r="36" spans="1:19"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IFERROR(__xludf.DUMMYFUNCTION("""COMPUTED_VALUE"""),"0.2200213142")</f>
        <v>0.2200213142</v>
      </c>
      <c r="H36" t="str">
        <f ca="1">IFERROR(__xludf.DUMMYFUNCTION("""COMPUTED_VALUE"""),"0.6102564103")</f>
        <v>0.6102564103</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c r="S36" t="str">
        <f ca="1">IFERROR(__xludf.DUMMYFUNCTION("""COMPUTED_VALUE"""),"0.2198357549")</f>
        <v>0.2198357549</v>
      </c>
    </row>
    <row r="37" spans="1:19"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IFERROR(__xludf.DUMMYFUNCTION("""COMPUTED_VALUE"""),"0.1592142398")</f>
        <v>0.1592142398</v>
      </c>
      <c r="H37" t="str">
        <f ca="1">IFERROR(__xludf.DUMMYFUNCTION("""COMPUTED_VALUE"""),"0.5652173913")</f>
        <v>0.5652173913</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c r="S37" t="str">
        <f ca="1">IFERROR(__xludf.DUMMYFUNCTION("""COMPUTED_VALUE"""),"0.1497227357")</f>
        <v>0.1497227357</v>
      </c>
    </row>
    <row r="38" spans="1:19"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IFERROR(__xludf.DUMMYFUNCTION("""COMPUTED_VALUE"""),"0.3066807903")</f>
        <v>0.3066807903</v>
      </c>
      <c r="H38" t="str">
        <f ca="1">IFERROR(__xludf.DUMMYFUNCTION("""COMPUTED_VALUE"""),"0.6507936508")</f>
        <v>0.6507936508</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c r="S38" t="str">
        <f ca="1">IFERROR(__xludf.DUMMYFUNCTION("""COMPUTED_VALUE"""),"0.3042168675")</f>
        <v>0.3042168675</v>
      </c>
    </row>
    <row r="39" spans="1:19"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IFERROR(__xludf.DUMMYFUNCTION("""COMPUTED_VALUE"""),"0.3906951575")</f>
        <v>0.3906951575</v>
      </c>
      <c r="H39" t="str">
        <f ca="1">IFERROR(__xludf.DUMMYFUNCTION("""COMPUTED_VALUE"""),"0.8148148148")</f>
        <v>0.8148148148</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c r="S39" t="str">
        <f ca="1">IFERROR(__xludf.DUMMYFUNCTION("""COMPUTED_VALUE"""),"0.387755102")</f>
        <v>0.387755102</v>
      </c>
    </row>
    <row r="40" spans="1:19"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IFERROR(__xludf.DUMMYFUNCTION("""COMPUTED_VALUE"""),"0.2396320089")</f>
        <v>0.2396320089</v>
      </c>
      <c r="H40" t="str">
        <f ca="1">IFERROR(__xludf.DUMMYFUNCTION("""COMPUTED_VALUE"""),"0.6132075472")</f>
        <v>0.6132075472</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c r="S40" t="str">
        <f ca="1">IFERROR(__xludf.DUMMYFUNCTION("""COMPUTED_VALUE"""),"0.2324267043")</f>
        <v>0.2324267043</v>
      </c>
    </row>
    <row r="41" spans="1:19"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IFERROR(__xludf.DUMMYFUNCTION("""COMPUTED_VALUE"""),"0.2203691189")</f>
        <v>0.2203691189</v>
      </c>
      <c r="H41" t="str">
        <f ca="1">IFERROR(__xludf.DUMMYFUNCTION("""COMPUTED_VALUE"""),"0.5806451613")</f>
        <v>0.5806451613</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c r="S41" t="str">
        <f ca="1">IFERROR(__xludf.DUMMYFUNCTION("""COMPUTED_VALUE"""),"0.1988071571")</f>
        <v>0.1988071571</v>
      </c>
    </row>
    <row r="42" spans="1:19"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IFERROR(__xludf.DUMMYFUNCTION("""COMPUTED_VALUE"""),"0.3547822395")</f>
        <v>0.3547822395</v>
      </c>
      <c r="H42" t="str">
        <f ca="1">IFERROR(__xludf.DUMMYFUNCTION("""COMPUTED_VALUE"""),"0.6768292683")</f>
        <v>0.6768292683</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c r="S42" t="str">
        <f ca="1">IFERROR(__xludf.DUMMYFUNCTION("""COMPUTED_VALUE"""),"0.3399149453")</f>
        <v>0.3399149453</v>
      </c>
    </row>
    <row r="43" spans="1:19"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IFERROR(__xludf.DUMMYFUNCTION("""COMPUTED_VALUE"""),"0.2264567016")</f>
        <v>0.2264567016</v>
      </c>
      <c r="H43" t="str">
        <f ca="1">IFERROR(__xludf.DUMMYFUNCTION("""COMPUTED_VALUE"""),"0.6328125")</f>
        <v>0.6328125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c r="S43" t="str">
        <f ca="1">IFERROR(__xludf.DUMMYFUNCTION("""COMPUTED_VALUE"""),"0.2239422085")</f>
        <v>0.2239422085</v>
      </c>
    </row>
    <row r="44" spans="1:19"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IFERROR(__xludf.DUMMYFUNCTION("""COMPUTED_VALUE"""),"0.2557390795")</f>
        <v>0.2557390795</v>
      </c>
      <c r="H44" t="str">
        <f ca="1">IFERROR(__xludf.DUMMYFUNCTION("""COMPUTED_VALUE"""),"0.6285714286")</f>
        <v>0.6285714286</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c r="S44" t="str">
        <f ca="1">IFERROR(__xludf.DUMMYFUNCTION("""COMPUTED_VALUE"""),"0.2553191489")</f>
        <v>0.2553191489</v>
      </c>
    </row>
    <row r="45" spans="1:19"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IFERROR(__xludf.DUMMYFUNCTION("""COMPUTED_VALUE"""),"0.2586364488")</f>
        <v>0.2586364488</v>
      </c>
      <c r="H45" t="str">
        <f ca="1">IFERROR(__xludf.DUMMYFUNCTION("""COMPUTED_VALUE"""),"0.66359447")</f>
        <v>0.66359447</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c r="S45" t="str">
        <f ca="1">IFERROR(__xludf.DUMMYFUNCTION("""COMPUTED_VALUE"""),"0.2586231104")</f>
        <v>0.2586231104</v>
      </c>
    </row>
    <row r="46" spans="1:19"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IFERROR(__xludf.DUMMYFUNCTION("""COMPUTED_VALUE"""),"0.1993727321")</f>
        <v>0.1993727321</v>
      </c>
      <c r="H46" t="str">
        <f ca="1">IFERROR(__xludf.DUMMYFUNCTION("""COMPUTED_VALUE"""),"0.6201923077")</f>
        <v>0.6201923077</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c r="S46" t="str">
        <f ca="1">IFERROR(__xludf.DUMMYFUNCTION("""COMPUTED_VALUE"""),"0.198126098")</f>
        <v>0.198126098</v>
      </c>
    </row>
    <row r="47" spans="1:19"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IFERROR(__xludf.DUMMYFUNCTION("""COMPUTED_VALUE"""),"0.3149448895")</f>
        <v>0.3149448895</v>
      </c>
      <c r="H47" t="str">
        <f ca="1">IFERROR(__xludf.DUMMYFUNCTION("""COMPUTED_VALUE"""),"0.6555555556")</f>
        <v>0.6555555556</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c r="S47" t="str">
        <f ca="1">IFERROR(__xludf.DUMMYFUNCTION("""COMPUTED_VALUE"""),"0.3111111111")</f>
        <v>0.3111111111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R47"/>
  <sheetViews>
    <sheetView workbookViewId="0"/>
  </sheetViews>
  <sheetFormatPr defaultColWidth="14.44140625" defaultRowHeight="15.75" customHeight="1"/>
  <cols>
    <col min="4" max="4" width="28.44140625" customWidth="1"/>
    <col min="5" max="5" width="21.27734375" customWidth="1"/>
  </cols>
  <sheetData>
    <row r="1" spans="1:18" ht="15.75" customHeight="1">
      <c r="A1" t="str">
        <f ca="1">IFERROR(__xludf.DUMMYFUNCTION("QUERY(Processed!A1:DK150,""SELECT A, B, C, D, E, CG, CK, CI, BG, BH, BI, BJ, BK, BL, BM, BN, BO, BP WHERE CE = TRUE"",1)"),"Study ID")</f>
        <v>Study ID</v>
      </c>
      <c r="B1" t="str">
        <f ca="1">IFERROR(__xludf.DUMMYFUNCTION("""COMPUTED_VALUE"""),"Authors")</f>
        <v>Authors</v>
      </c>
      <c r="C1" t="str">
        <f ca="1">IFERROR(__xludf.DUMMYFUNCTION("""COMPUTED_VALUE"""),"Subsample ID")</f>
        <v>Subsample ID</v>
      </c>
      <c r="D1" t="str">
        <f ca="1">IFERROR(__xludf.DUMMYFUNCTION("""COMPUTED_VALUE"""),"Subsample Desciption")</f>
        <v>Subsample Desciption</v>
      </c>
      <c r="E1" t="str">
        <f ca="1">IFERROR(__xludf.DUMMYFUNCTION("""COMPUTED_VALUE"""),"Interval")</f>
        <v>Interval</v>
      </c>
      <c r="F1" t="str">
        <f ca="1">IFERROR(__xludf.DUMMYFUNCTION("""COMPUTED_VALUE"""),"BB n - Calculated")</f>
        <v>BB n - Calculated</v>
      </c>
      <c r="G1" t="str">
        <f ca="1">IFERROR(__xludf.DUMMYFUNCTION("""COMPUTED_VALUE"""),"BB k - Calculated")</f>
        <v>BB k - Calculated</v>
      </c>
      <c r="H1" t="str">
        <f ca="1">IFERROR(__xludf.DUMMYFUNCTION("""COMPUTED_VALUE"""),"BB PA - Calculated")</f>
        <v>BB PA - Calculated</v>
      </c>
      <c r="I1" t="str">
        <f ca="1">IFERROR(__xludf.DUMMYFUNCTION("""COMPUTED_VALUE"""),"Year")</f>
        <v>Year</v>
      </c>
      <c r="J1" t="str">
        <f ca="1">IFERROR(__xludf.DUMMYFUNCTION("""COMPUTED_VALUE"""),"Country")</f>
        <v>Country</v>
      </c>
      <c r="K1" t="str">
        <f ca="1">IFERROR(__xludf.DUMMYFUNCTION("""COMPUTED_VALUE"""),"Coding Method")</f>
        <v>Coding Method</v>
      </c>
      <c r="L1" t="str">
        <f ca="1">IFERROR(__xludf.DUMMYFUNCTION("""COMPUTED_VALUE"""),"Included in Prior Meta-analysis S/IS")</f>
        <v>Included in Prior Meta-analysis S/IS</v>
      </c>
      <c r="M1" t="str">
        <f ca="1">IFERROR(__xludf.DUMMYFUNCTION("""COMPUTED_VALUE"""),"Social Risk")</f>
        <v>Social Risk</v>
      </c>
      <c r="N1" t="str">
        <f ca="1">IFERROR(__xludf.DUMMYFUNCTION("""COMPUTED_VALUE"""),"Medical Risk")</f>
        <v>Medical Risk</v>
      </c>
      <c r="O1" t="str">
        <f ca="1">IFERROR(__xludf.DUMMYFUNCTION("""COMPUTED_VALUE"""),"Published")</f>
        <v>Published</v>
      </c>
      <c r="P1" t="str">
        <f ca="1">IFERROR(__xludf.DUMMYFUNCTION("""COMPUTED_VALUE"""),"Interrater Reliability - PA")</f>
        <v>Interrater Reliability - PA</v>
      </c>
      <c r="Q1" t="str">
        <f ca="1">IFERROR(__xludf.DUMMYFUNCTION("""COMPUTED_VALUE"""),"Included in Prior Meta-analysis D/O")</f>
        <v>Included in Prior Meta-analysis D/O</v>
      </c>
      <c r="R1" t="str">
        <f ca="1">IFERROR(__xludf.DUMMYFUNCTION("""COMPUTED_VALUE"""),"Gender")</f>
        <v>Gender</v>
      </c>
    </row>
    <row r="2" spans="1:18" ht="15.75" customHeight="1">
      <c r="A2">
        <f ca="1">IFERROR(__xludf.DUMMYFUNCTION("""COMPUTED_VALUE"""),6)</f>
        <v>6</v>
      </c>
      <c r="B2" t="str">
        <f ca="1">IFERROR(__xludf.DUMMYFUNCTION("""COMPUTED_VALUE"""),"Barnett, Ganiban &amp; Cicchetti (1999)")</f>
        <v>Barnett, Ganiban &amp; Cicchetti (1999)</v>
      </c>
      <c r="C2">
        <f ca="1">IFERROR(__xludf.DUMMYFUNCTION("""COMPUTED_VALUE"""),1)</f>
        <v>1</v>
      </c>
      <c r="D2" t="str">
        <f ca="1">IFERROR(__xludf.DUMMYFUNCTION("""COMPUTED_VALUE"""),"Comparison")</f>
        <v>Comparison</v>
      </c>
      <c r="E2" t="str">
        <f ca="1">IFERROR(__xludf.DUMMYFUNCTION("""COMPUTED_VALUE"""),"Infancy - Toddlerhood")</f>
        <v>Infancy - Toddlerhood</v>
      </c>
      <c r="F2" t="str">
        <f ca="1">IFERROR(__xludf.DUMMYFUNCTION("""COMPUTED_VALUE"""),"20")</f>
        <v>20</v>
      </c>
      <c r="G2" t="str">
        <f ca="1">IFERROR(__xludf.DUMMYFUNCTION("""COMPUTED_VALUE"""),"0.3137254902")</f>
        <v>0.3137254902</v>
      </c>
      <c r="H2" t="str">
        <f ca="1">IFERROR(__xludf.DUMMYFUNCTION("""COMPUTED_VALUE"""),"0.65")</f>
        <v>0.65</v>
      </c>
      <c r="I2">
        <f ca="1">IFERROR(__xludf.DUMMYFUNCTION("""COMPUTED_VALUE"""),1999)</f>
        <v>1999</v>
      </c>
      <c r="J2" t="str">
        <f ca="1">IFERROR(__xludf.DUMMYFUNCTION("""COMPUTED_VALUE"""),"USA")</f>
        <v>USA</v>
      </c>
      <c r="K2" t="str">
        <f ca="1">IFERROR(__xludf.DUMMYFUNCTION("""COMPUTED_VALUE"""),"Ainsworth/Ainsworth")</f>
        <v>Ainsworth/Ainsworth</v>
      </c>
      <c r="L2">
        <f ca="1">IFERROR(__xludf.DUMMYFUNCTION("""COMPUTED_VALUE"""),1)</f>
        <v>1</v>
      </c>
      <c r="M2">
        <f ca="1">IFERROR(__xludf.DUMMYFUNCTION("""COMPUTED_VALUE"""),0)</f>
        <v>0</v>
      </c>
      <c r="N2">
        <f ca="1">IFERROR(__xludf.DUMMYFUNCTION("""COMPUTED_VALUE"""),0)</f>
        <v>0</v>
      </c>
      <c r="O2">
        <f ca="1">IFERROR(__xludf.DUMMYFUNCTION("""COMPUTED_VALUE"""),1)</f>
        <v>1</v>
      </c>
      <c r="P2">
        <f ca="1">IFERROR(__xludf.DUMMYFUNCTION("""COMPUTED_VALUE"""),0.895)</f>
        <v>0.89500000000000002</v>
      </c>
      <c r="Q2">
        <f ca="1">IFERROR(__xludf.DUMMYFUNCTION("""COMPUTED_VALUE"""),0)</f>
        <v>0</v>
      </c>
      <c r="R2" t="str">
        <f ca="1">IFERROR(__xludf.DUMMYFUNCTION("""COMPUTED_VALUE"""),"Female")</f>
        <v>Female</v>
      </c>
    </row>
    <row r="3" spans="1:18" ht="15.75" customHeight="1">
      <c r="A3">
        <f ca="1">IFERROR(__xludf.DUMMYFUNCTION("""COMPUTED_VALUE"""),6)</f>
        <v>6</v>
      </c>
      <c r="B3" t="str">
        <f ca="1">IFERROR(__xludf.DUMMYFUNCTION("""COMPUTED_VALUE"""),"Barnett, Ganiban &amp; Cicchetti (1999)")</f>
        <v>Barnett, Ganiban &amp; Cicchetti (1999)</v>
      </c>
      <c r="C3">
        <f ca="1">IFERROR(__xludf.DUMMYFUNCTION("""COMPUTED_VALUE"""),2)</f>
        <v>2</v>
      </c>
      <c r="D3" t="str">
        <f ca="1">IFERROR(__xludf.DUMMYFUNCTION("""COMPUTED_VALUE"""),"Comparison")</f>
        <v>Comparison</v>
      </c>
      <c r="E3" t="str">
        <f ca="1">IFERROR(__xludf.DUMMYFUNCTION("""COMPUTED_VALUE"""),"Infancy - Infancy")</f>
        <v>Infancy - Infancy</v>
      </c>
      <c r="F3" t="str">
        <f ca="1">IFERROR(__xludf.DUMMYFUNCTION("""COMPUTED_VALUE"""),"21")</f>
        <v>21</v>
      </c>
      <c r="G3" t="str">
        <f ca="1">IFERROR(__xludf.DUMMYFUNCTION("""COMPUTED_VALUE"""),"0.4324324324")</f>
        <v>0.4324324324</v>
      </c>
      <c r="H3" t="str">
        <f ca="1">IFERROR(__xludf.DUMMYFUNCTION("""COMPUTED_VALUE"""),"0.7142857143")</f>
        <v>0.7142857143</v>
      </c>
      <c r="I3">
        <f ca="1">IFERROR(__xludf.DUMMYFUNCTION("""COMPUTED_VALUE"""),1999)</f>
        <v>1999</v>
      </c>
      <c r="J3" t="str">
        <f ca="1">IFERROR(__xludf.DUMMYFUNCTION("""COMPUTED_VALUE"""),"USA")</f>
        <v>USA</v>
      </c>
      <c r="K3" t="str">
        <f ca="1">IFERROR(__xludf.DUMMYFUNCTION("""COMPUTED_VALUE"""),"Ainsworth/Ainsworth")</f>
        <v>Ainsworth/Ainsworth</v>
      </c>
      <c r="L3">
        <f ca="1">IFERROR(__xludf.DUMMYFUNCTION("""COMPUTED_VALUE"""),1)</f>
        <v>1</v>
      </c>
      <c r="M3">
        <f ca="1">IFERROR(__xludf.DUMMYFUNCTION("""COMPUTED_VALUE"""),0)</f>
        <v>0</v>
      </c>
      <c r="N3">
        <f ca="1">IFERROR(__xludf.DUMMYFUNCTION("""COMPUTED_VALUE"""),0)</f>
        <v>0</v>
      </c>
      <c r="O3">
        <f ca="1">IFERROR(__xludf.DUMMYFUNCTION("""COMPUTED_VALUE"""),1)</f>
        <v>1</v>
      </c>
      <c r="P3">
        <f ca="1">IFERROR(__xludf.DUMMYFUNCTION("""COMPUTED_VALUE"""),0.865)</f>
        <v>0.86499999999999999</v>
      </c>
      <c r="Q3">
        <f ca="1">IFERROR(__xludf.DUMMYFUNCTION("""COMPUTED_VALUE"""),0)</f>
        <v>0</v>
      </c>
      <c r="R3" t="str">
        <f ca="1">IFERROR(__xludf.DUMMYFUNCTION("""COMPUTED_VALUE"""),"Female")</f>
        <v>Female</v>
      </c>
    </row>
    <row r="4" spans="1:18" ht="15.75" customHeight="1">
      <c r="A4">
        <f ca="1">IFERROR(__xludf.DUMMYFUNCTION("""COMPUTED_VALUE"""),6)</f>
        <v>6</v>
      </c>
      <c r="B4" t="str">
        <f ca="1">IFERROR(__xludf.DUMMYFUNCTION("""COMPUTED_VALUE"""),"Barnett, Ganiban &amp; Cicchetti (1999)")</f>
        <v>Barnett, Ganiban &amp; Cicchetti (1999)</v>
      </c>
      <c r="C4">
        <f ca="1">IFERROR(__xludf.DUMMYFUNCTION("""COMPUTED_VALUE"""),3)</f>
        <v>3</v>
      </c>
      <c r="D4" t="str">
        <f ca="1">IFERROR(__xludf.DUMMYFUNCTION("""COMPUTED_VALUE"""),"Comparison")</f>
        <v>Comparison</v>
      </c>
      <c r="E4" t="str">
        <f ca="1">IFERROR(__xludf.DUMMYFUNCTION("""COMPUTED_VALUE"""),"Infancy - Toddlerhood")</f>
        <v>Infancy - Toddlerhood</v>
      </c>
      <c r="F4" t="str">
        <f ca="1">IFERROR(__xludf.DUMMYFUNCTION("""COMPUTED_VALUE"""),"20")</f>
        <v>20</v>
      </c>
      <c r="G4" t="str">
        <f ca="1">IFERROR(__xludf.DUMMYFUNCTION("""COMPUTED_VALUE"""),"0.5")</f>
        <v>0.5</v>
      </c>
      <c r="H4" t="str">
        <f ca="1">IFERROR(__xludf.DUMMYFUNCTION("""COMPUTED_VALUE"""),"0.75")</f>
        <v>0.75</v>
      </c>
      <c r="I4">
        <f ca="1">IFERROR(__xludf.DUMMYFUNCTION("""COMPUTED_VALUE"""),1999)</f>
        <v>1999</v>
      </c>
      <c r="J4" t="str">
        <f ca="1">IFERROR(__xludf.DUMMYFUNCTION("""COMPUTED_VALUE"""),"USA")</f>
        <v>USA</v>
      </c>
      <c r="K4" t="str">
        <f ca="1">IFERROR(__xludf.DUMMYFUNCTION("""COMPUTED_VALUE"""),"Ainsworth/Ainsworth")</f>
        <v>Ainsworth/Ainsworth</v>
      </c>
      <c r="L4">
        <f ca="1">IFERROR(__xludf.DUMMYFUNCTION("""COMPUTED_VALUE"""),1)</f>
        <v>1</v>
      </c>
      <c r="M4">
        <f ca="1">IFERROR(__xludf.DUMMYFUNCTION("""COMPUTED_VALUE"""),0)</f>
        <v>0</v>
      </c>
      <c r="N4">
        <f ca="1">IFERROR(__xludf.DUMMYFUNCTION("""COMPUTED_VALUE"""),0)</f>
        <v>0</v>
      </c>
      <c r="O4">
        <f ca="1">IFERROR(__xludf.DUMMYFUNCTION("""COMPUTED_VALUE"""),1)</f>
        <v>1</v>
      </c>
      <c r="P4">
        <f ca="1">IFERROR(__xludf.DUMMYFUNCTION("""COMPUTED_VALUE"""),0.88)</f>
        <v>0.88</v>
      </c>
      <c r="Q4">
        <f ca="1">IFERROR(__xludf.DUMMYFUNCTION("""COMPUTED_VALUE"""),0)</f>
        <v>0</v>
      </c>
      <c r="R4" t="str">
        <f ca="1">IFERROR(__xludf.DUMMYFUNCTION("""COMPUTED_VALUE"""),"Female")</f>
        <v>Female</v>
      </c>
    </row>
    <row r="5" spans="1:18" ht="15.75" customHeight="1">
      <c r="A5">
        <f ca="1">IFERROR(__xludf.DUMMYFUNCTION("""COMPUTED_VALUE"""),7)</f>
        <v>7</v>
      </c>
      <c r="B5" t="str">
        <f ca="1">IFERROR(__xludf.DUMMYFUNCTION("""COMPUTED_VALUE"""),"Barnett, Ganiban &amp; Cicchetti (1999)")</f>
        <v>Barnett, Ganiban &amp; Cicchetti (1999)</v>
      </c>
      <c r="C5">
        <f ca="1">IFERROR(__xludf.DUMMYFUNCTION("""COMPUTED_VALUE"""),1)</f>
        <v>1</v>
      </c>
      <c r="D5" t="str">
        <f ca="1">IFERROR(__xludf.DUMMYFUNCTION("""COMPUTED_VALUE"""),"Maltreated")</f>
        <v>Maltreated</v>
      </c>
      <c r="E5" t="str">
        <f ca="1">IFERROR(__xludf.DUMMYFUNCTION("""COMPUTED_VALUE"""),"Infancy - Toddlerhood")</f>
        <v>Infancy - Toddlerhood</v>
      </c>
      <c r="F5" t="str">
        <f ca="1">IFERROR(__xludf.DUMMYFUNCTION("""COMPUTED_VALUE"""),"16")</f>
        <v>16</v>
      </c>
      <c r="G5" t="str">
        <f ca="1">IFERROR(__xludf.DUMMYFUNCTION("""COMPUTED_VALUE"""),"1")</f>
        <v>1</v>
      </c>
      <c r="H5" t="str">
        <f ca="1">IFERROR(__xludf.DUMMYFUNCTION("""COMPUTED_VALUE"""),"1")</f>
        <v>1</v>
      </c>
      <c r="I5">
        <f ca="1">IFERROR(__xludf.DUMMYFUNCTION("""COMPUTED_VALUE"""),1999)</f>
        <v>1999</v>
      </c>
      <c r="J5" t="str">
        <f ca="1">IFERROR(__xludf.DUMMYFUNCTION("""COMPUTED_VALUE"""),"USA")</f>
        <v>USA</v>
      </c>
      <c r="K5" t="str">
        <f ca="1">IFERROR(__xludf.DUMMYFUNCTION("""COMPUTED_VALUE"""),"Ainsworth/Ainsworth")</f>
        <v>Ainsworth/Ainsworth</v>
      </c>
      <c r="L5">
        <f ca="1">IFERROR(__xludf.DUMMYFUNCTION("""COMPUTED_VALUE"""),1)</f>
        <v>1</v>
      </c>
      <c r="M5">
        <f ca="1">IFERROR(__xludf.DUMMYFUNCTION("""COMPUTED_VALUE"""),1)</f>
        <v>1</v>
      </c>
      <c r="N5">
        <f ca="1">IFERROR(__xludf.DUMMYFUNCTION("""COMPUTED_VALUE"""),0)</f>
        <v>0</v>
      </c>
      <c r="O5">
        <f ca="1">IFERROR(__xludf.DUMMYFUNCTION("""COMPUTED_VALUE"""),1)</f>
        <v>1</v>
      </c>
      <c r="P5">
        <f ca="1">IFERROR(__xludf.DUMMYFUNCTION("""COMPUTED_VALUE"""),0.895)</f>
        <v>0.89500000000000002</v>
      </c>
      <c r="Q5">
        <f ca="1">IFERROR(__xludf.DUMMYFUNCTION("""COMPUTED_VALUE"""),0)</f>
        <v>0</v>
      </c>
      <c r="R5" t="str">
        <f ca="1">IFERROR(__xludf.DUMMYFUNCTION("""COMPUTED_VALUE"""),"Female")</f>
        <v>Female</v>
      </c>
    </row>
    <row r="6" spans="1:18" ht="15.75" customHeight="1">
      <c r="A6">
        <f ca="1">IFERROR(__xludf.DUMMYFUNCTION("""COMPUTED_VALUE"""),7)</f>
        <v>7</v>
      </c>
      <c r="B6" t="str">
        <f ca="1">IFERROR(__xludf.DUMMYFUNCTION("""COMPUTED_VALUE"""),"Barnett, Ganiban &amp; Cicchetti (1999)")</f>
        <v>Barnett, Ganiban &amp; Cicchetti (1999)</v>
      </c>
      <c r="C6">
        <f ca="1">IFERROR(__xludf.DUMMYFUNCTION("""COMPUTED_VALUE"""),2)</f>
        <v>2</v>
      </c>
      <c r="D6" t="str">
        <f ca="1">IFERROR(__xludf.DUMMYFUNCTION("""COMPUTED_VALUE"""),"Maltreated")</f>
        <v>Maltreated</v>
      </c>
      <c r="E6" t="str">
        <f ca="1">IFERROR(__xludf.DUMMYFUNCTION("""COMPUTED_VALUE"""),"Infancy - Infancy")</f>
        <v>Infancy - Infancy</v>
      </c>
      <c r="F6" t="str">
        <f ca="1">IFERROR(__xludf.DUMMYFUNCTION("""COMPUTED_VALUE"""),"18")</f>
        <v>18</v>
      </c>
      <c r="G6" t="str">
        <f ca="1">IFERROR(__xludf.DUMMYFUNCTION("""COMPUTED_VALUE"""),"0.4705882353")</f>
        <v>0.4705882353</v>
      </c>
      <c r="H6" t="str">
        <f ca="1">IFERROR(__xludf.DUMMYFUNCTION("""COMPUTED_VALUE"""),"0.8333333333")</f>
        <v>0.8333333333</v>
      </c>
      <c r="I6">
        <f ca="1">IFERROR(__xludf.DUMMYFUNCTION("""COMPUTED_VALUE"""),1999)</f>
        <v>1999</v>
      </c>
      <c r="J6" t="str">
        <f ca="1">IFERROR(__xludf.DUMMYFUNCTION("""COMPUTED_VALUE"""),"USA")</f>
        <v>USA</v>
      </c>
      <c r="K6" t="str">
        <f ca="1">IFERROR(__xludf.DUMMYFUNCTION("""COMPUTED_VALUE"""),"Ainsworth/Ainsworth")</f>
        <v>Ainsworth/Ainsworth</v>
      </c>
      <c r="L6">
        <f ca="1">IFERROR(__xludf.DUMMYFUNCTION("""COMPUTED_VALUE"""),1)</f>
        <v>1</v>
      </c>
      <c r="M6">
        <f ca="1">IFERROR(__xludf.DUMMYFUNCTION("""COMPUTED_VALUE"""),1)</f>
        <v>1</v>
      </c>
      <c r="N6">
        <f ca="1">IFERROR(__xludf.DUMMYFUNCTION("""COMPUTED_VALUE"""),0)</f>
        <v>0</v>
      </c>
      <c r="O6">
        <f ca="1">IFERROR(__xludf.DUMMYFUNCTION("""COMPUTED_VALUE"""),1)</f>
        <v>1</v>
      </c>
      <c r="P6">
        <f ca="1">IFERROR(__xludf.DUMMYFUNCTION("""COMPUTED_VALUE"""),0.865)</f>
        <v>0.86499999999999999</v>
      </c>
      <c r="Q6">
        <f ca="1">IFERROR(__xludf.DUMMYFUNCTION("""COMPUTED_VALUE"""),0)</f>
        <v>0</v>
      </c>
      <c r="R6" t="str">
        <f ca="1">IFERROR(__xludf.DUMMYFUNCTION("""COMPUTED_VALUE"""),"Female")</f>
        <v>Female</v>
      </c>
    </row>
    <row r="7" spans="1:18" ht="15.75" customHeight="1">
      <c r="A7">
        <f ca="1">IFERROR(__xludf.DUMMYFUNCTION("""COMPUTED_VALUE"""),7)</f>
        <v>7</v>
      </c>
      <c r="B7" t="str">
        <f ca="1">IFERROR(__xludf.DUMMYFUNCTION("""COMPUTED_VALUE"""),"Barnett, Ganiban &amp; Cicchetti (1999)")</f>
        <v>Barnett, Ganiban &amp; Cicchetti (1999)</v>
      </c>
      <c r="C7">
        <f ca="1">IFERROR(__xludf.DUMMYFUNCTION("""COMPUTED_VALUE"""),3)</f>
        <v>3</v>
      </c>
      <c r="D7" t="str">
        <f ca="1">IFERROR(__xludf.DUMMYFUNCTION("""COMPUTED_VALUE"""),"Maltreated")</f>
        <v>Maltreated</v>
      </c>
      <c r="E7" t="str">
        <f ca="1">IFERROR(__xludf.DUMMYFUNCTION("""COMPUTED_VALUE"""),"Infancy - Toddlerhood")</f>
        <v>Infancy - Toddlerhood</v>
      </c>
      <c r="F7" t="str">
        <f ca="1">IFERROR(__xludf.DUMMYFUNCTION("""COMPUTED_VALUE"""),"16")</f>
        <v>16</v>
      </c>
      <c r="G7" t="str">
        <f ca="1">IFERROR(__xludf.DUMMYFUNCTION("""COMPUTED_VALUE"""),"0.2941176471")</f>
        <v>0.2941176471</v>
      </c>
      <c r="H7" t="str">
        <f ca="1">IFERROR(__xludf.DUMMYFUNCTION("""COMPUTED_VALUE"""),"0.8125")</f>
        <v>0.8125</v>
      </c>
      <c r="I7">
        <f ca="1">IFERROR(__xludf.DUMMYFUNCTION("""COMPUTED_VALUE"""),1999)</f>
        <v>1999</v>
      </c>
      <c r="J7" t="str">
        <f ca="1">IFERROR(__xludf.DUMMYFUNCTION("""COMPUTED_VALUE"""),"USA")</f>
        <v>USA</v>
      </c>
      <c r="K7" t="str">
        <f ca="1">IFERROR(__xludf.DUMMYFUNCTION("""COMPUTED_VALUE"""),"Ainsworth/Ainsworth")</f>
        <v>Ainsworth/Ainsworth</v>
      </c>
      <c r="L7">
        <f ca="1">IFERROR(__xludf.DUMMYFUNCTION("""COMPUTED_VALUE"""),1)</f>
        <v>1</v>
      </c>
      <c r="M7">
        <f ca="1">IFERROR(__xludf.DUMMYFUNCTION("""COMPUTED_VALUE"""),1)</f>
        <v>1</v>
      </c>
      <c r="N7">
        <f ca="1">IFERROR(__xludf.DUMMYFUNCTION("""COMPUTED_VALUE"""),0)</f>
        <v>0</v>
      </c>
      <c r="O7">
        <f ca="1">IFERROR(__xludf.DUMMYFUNCTION("""COMPUTED_VALUE"""),1)</f>
        <v>1</v>
      </c>
      <c r="P7">
        <f ca="1">IFERROR(__xludf.DUMMYFUNCTION("""COMPUTED_VALUE"""),0.88)</f>
        <v>0.88</v>
      </c>
      <c r="Q7">
        <f ca="1">IFERROR(__xludf.DUMMYFUNCTION("""COMPUTED_VALUE"""),0)</f>
        <v>0</v>
      </c>
      <c r="R7" t="str">
        <f ca="1">IFERROR(__xludf.DUMMYFUNCTION("""COMPUTED_VALUE"""),"Female")</f>
        <v>Female</v>
      </c>
    </row>
    <row r="8" spans="1:18" ht="15.75" customHeight="1">
      <c r="A8">
        <f ca="1">IFERROR(__xludf.DUMMYFUNCTION("""COMPUTED_VALUE"""),8)</f>
        <v>8</v>
      </c>
      <c r="B8" t="str">
        <f ca="1">IFERROR(__xludf.DUMMYFUNCTION("""COMPUTED_VALUE"""),"Cicchetti &amp; Barnett (1991)")</f>
        <v>Cicchetti &amp; Barnett (1991)</v>
      </c>
      <c r="C8">
        <f ca="1">IFERROR(__xludf.DUMMYFUNCTION("""COMPUTED_VALUE"""),1)</f>
        <v>1</v>
      </c>
      <c r="D8" t="str">
        <f ca="1">IFERROR(__xludf.DUMMYFUNCTION("""COMPUTED_VALUE"""),"Maltreated, 18 month interval")</f>
        <v>Maltreated, 18 month interval</v>
      </c>
      <c r="E8" t="str">
        <f ca="1">IFERROR(__xludf.DUMMYFUNCTION("""COMPUTED_VALUE"""),"Toddlerhood - Preschool")</f>
        <v>Toddlerhood - Preschool</v>
      </c>
      <c r="F8" t="str">
        <f ca="1">IFERROR(__xludf.DUMMYFUNCTION("""COMPUTED_VALUE"""),"18")</f>
        <v>18</v>
      </c>
      <c r="G8" t="str">
        <f ca="1">IFERROR(__xludf.DUMMYFUNCTION("""COMPUTED_VALUE"""),"0.4705882353")</f>
        <v>0.4705882353</v>
      </c>
      <c r="H8" t="str">
        <f ca="1">IFERROR(__xludf.DUMMYFUNCTION("""COMPUTED_VALUE"""),"0.8333333333")</f>
        <v>0.8333333333</v>
      </c>
      <c r="I8">
        <f ca="1">IFERROR(__xludf.DUMMYFUNCTION("""COMPUTED_VALUE"""),1991)</f>
        <v>1991</v>
      </c>
      <c r="J8" t="str">
        <f ca="1">IFERROR(__xludf.DUMMYFUNCTION("""COMPUTED_VALUE"""),"USA")</f>
        <v>USA</v>
      </c>
      <c r="K8" t="str">
        <f ca="1">IFERROR(__xludf.DUMMYFUNCTION("""COMPUTED_VALUE"""),"Cassidy-Marvin/Cassidy-Marvin")</f>
        <v>Cassidy-Marvin/Cassidy-Marvin</v>
      </c>
      <c r="L8">
        <f ca="1">IFERROR(__xludf.DUMMYFUNCTION("""COMPUTED_VALUE"""),1)</f>
        <v>1</v>
      </c>
      <c r="M8">
        <f ca="1">IFERROR(__xludf.DUMMYFUNCTION("""COMPUTED_VALUE"""),1)</f>
        <v>1</v>
      </c>
      <c r="N8">
        <f ca="1">IFERROR(__xludf.DUMMYFUNCTION("""COMPUTED_VALUE"""),0)</f>
        <v>0</v>
      </c>
      <c r="O8">
        <f ca="1">IFERROR(__xludf.DUMMYFUNCTION("""COMPUTED_VALUE"""),1)</f>
        <v>1</v>
      </c>
      <c r="P8">
        <f ca="1">IFERROR(__xludf.DUMMYFUNCTION("""COMPUTED_VALUE"""),0.75)</f>
        <v>0.75</v>
      </c>
      <c r="Q8">
        <f ca="1">IFERROR(__xludf.DUMMYFUNCTION("""COMPUTED_VALUE"""),0)</f>
        <v>0</v>
      </c>
      <c r="R8" t="str">
        <f ca="1">IFERROR(__xludf.DUMMYFUNCTION("""COMPUTED_VALUE"""),"Mixed")</f>
        <v>Mixed</v>
      </c>
    </row>
    <row r="9" spans="1:18" ht="15.75" customHeight="1">
      <c r="A9">
        <f ca="1">IFERROR(__xludf.DUMMYFUNCTION("""COMPUTED_VALUE"""),8)</f>
        <v>8</v>
      </c>
      <c r="B9" t="str">
        <f ca="1">IFERROR(__xludf.DUMMYFUNCTION("""COMPUTED_VALUE"""),"Cicchetti &amp; Barnett (1991)")</f>
        <v>Cicchetti &amp; Barnett (1991)</v>
      </c>
      <c r="C9">
        <f ca="1">IFERROR(__xludf.DUMMYFUNCTION("""COMPUTED_VALUE"""),2)</f>
        <v>2</v>
      </c>
      <c r="D9" t="str">
        <f ca="1">IFERROR(__xludf.DUMMYFUNCTION("""COMPUTED_VALUE"""),"Maltreated, 12 month interval")</f>
        <v>Maltreated, 12 month interval</v>
      </c>
      <c r="E9" t="str">
        <f ca="1">IFERROR(__xludf.DUMMYFUNCTION("""COMPUTED_VALUE"""),"Toddlerhood - Preschool")</f>
        <v>Toddlerhood - Preschool</v>
      </c>
      <c r="F9" t="str">
        <f ca="1">IFERROR(__xludf.DUMMYFUNCTION("""COMPUTED_VALUE"""),"25")</f>
        <v>25</v>
      </c>
      <c r="G9" t="str">
        <f ca="1">IFERROR(__xludf.DUMMYFUNCTION("""COMPUTED_VALUE"""),"0.1228070175")</f>
        <v>0.1228070175</v>
      </c>
      <c r="H9" t="str">
        <f ca="1">IFERROR(__xludf.DUMMYFUNCTION("""COMPUTED_VALUE"""),"0.68")</f>
        <v>0.68</v>
      </c>
      <c r="I9">
        <f ca="1">IFERROR(__xludf.DUMMYFUNCTION("""COMPUTED_VALUE"""),1991)</f>
        <v>1991</v>
      </c>
      <c r="J9" t="str">
        <f ca="1">IFERROR(__xludf.DUMMYFUNCTION("""COMPUTED_VALUE"""),"USA")</f>
        <v>USA</v>
      </c>
      <c r="K9" t="str">
        <f ca="1">IFERROR(__xludf.DUMMYFUNCTION("""COMPUTED_VALUE"""),"Cassidy-Marvin/Cassidy-Marvin")</f>
        <v>Cassidy-Marvin/Cassidy-Marvin</v>
      </c>
      <c r="L9">
        <f ca="1">IFERROR(__xludf.DUMMYFUNCTION("""COMPUTED_VALUE"""),1)</f>
        <v>1</v>
      </c>
      <c r="M9">
        <f ca="1">IFERROR(__xludf.DUMMYFUNCTION("""COMPUTED_VALUE"""),1)</f>
        <v>1</v>
      </c>
      <c r="N9">
        <f ca="1">IFERROR(__xludf.DUMMYFUNCTION("""COMPUTED_VALUE"""),0)</f>
        <v>0</v>
      </c>
      <c r="O9">
        <f ca="1">IFERROR(__xludf.DUMMYFUNCTION("""COMPUTED_VALUE"""),1)</f>
        <v>1</v>
      </c>
      <c r="P9">
        <f ca="1">IFERROR(__xludf.DUMMYFUNCTION("""COMPUTED_VALUE"""),0.75)</f>
        <v>0.75</v>
      </c>
      <c r="Q9">
        <f ca="1">IFERROR(__xludf.DUMMYFUNCTION("""COMPUTED_VALUE"""),0)</f>
        <v>0</v>
      </c>
      <c r="R9" t="str">
        <f ca="1">IFERROR(__xludf.DUMMYFUNCTION("""COMPUTED_VALUE"""),"Mixed")</f>
        <v>Mixed</v>
      </c>
    </row>
    <row r="10" spans="1:18" ht="15.75" customHeight="1">
      <c r="A10">
        <f ca="1">IFERROR(__xludf.DUMMYFUNCTION("""COMPUTED_VALUE"""),9)</f>
        <v>9</v>
      </c>
      <c r="B10" t="str">
        <f ca="1">IFERROR(__xludf.DUMMYFUNCTION("""COMPUTED_VALUE"""),"Cicchetti &amp; Barnett (1991)")</f>
        <v>Cicchetti &amp; Barnett (1991)</v>
      </c>
      <c r="C10">
        <f ca="1">IFERROR(__xludf.DUMMYFUNCTION("""COMPUTED_VALUE"""),1)</f>
        <v>1</v>
      </c>
      <c r="D10" t="str">
        <f ca="1">IFERROR(__xludf.DUMMYFUNCTION("""COMPUTED_VALUE"""),"Comparison, 18 month interval")</f>
        <v>Comparison, 18 month interval</v>
      </c>
      <c r="E10" t="str">
        <f ca="1">IFERROR(__xludf.DUMMYFUNCTION("""COMPUTED_VALUE"""),"Toddlerhood - Preschool")</f>
        <v>Toddlerhood - Preschool</v>
      </c>
      <c r="F10" t="str">
        <f ca="1">IFERROR(__xludf.DUMMYFUNCTION("""COMPUTED_VALUE"""),"15")</f>
        <v>15</v>
      </c>
      <c r="G10" t="str">
        <f ca="1">IFERROR(__xludf.DUMMYFUNCTION("""COMPUTED_VALUE"""),"0.3333333333")</f>
        <v>0.3333333333</v>
      </c>
      <c r="H10" t="str">
        <f ca="1">IFERROR(__xludf.DUMMYFUNCTION("""COMPUTED_VALUE"""),"0.7333333333")</f>
        <v>0.7333333333</v>
      </c>
      <c r="I10">
        <f ca="1">IFERROR(__xludf.DUMMYFUNCTION("""COMPUTED_VALUE"""),1991)</f>
        <v>1991</v>
      </c>
      <c r="J10" t="str">
        <f ca="1">IFERROR(__xludf.DUMMYFUNCTION("""COMPUTED_VALUE"""),"USA")</f>
        <v>USA</v>
      </c>
      <c r="K10" t="str">
        <f ca="1">IFERROR(__xludf.DUMMYFUNCTION("""COMPUTED_VALUE"""),"Cassidy-Marvin/Cassidy-Marvin")</f>
        <v>Cassidy-Marvin/Cassidy-Marvin</v>
      </c>
      <c r="L10">
        <f ca="1">IFERROR(__xludf.DUMMYFUNCTION("""COMPUTED_VALUE"""),1)</f>
        <v>1</v>
      </c>
      <c r="M10">
        <f ca="1">IFERROR(__xludf.DUMMYFUNCTION("""COMPUTED_VALUE"""),1)</f>
        <v>1</v>
      </c>
      <c r="N10">
        <f ca="1">IFERROR(__xludf.DUMMYFUNCTION("""COMPUTED_VALUE"""),0)</f>
        <v>0</v>
      </c>
      <c r="O10">
        <f ca="1">IFERROR(__xludf.DUMMYFUNCTION("""COMPUTED_VALUE"""),1)</f>
        <v>1</v>
      </c>
      <c r="P10">
        <f ca="1">IFERROR(__xludf.DUMMYFUNCTION("""COMPUTED_VALUE"""),0.75)</f>
        <v>0.75</v>
      </c>
      <c r="Q10">
        <f ca="1">IFERROR(__xludf.DUMMYFUNCTION("""COMPUTED_VALUE"""),0)</f>
        <v>0</v>
      </c>
      <c r="R10" t="str">
        <f ca="1">IFERROR(__xludf.DUMMYFUNCTION("""COMPUTED_VALUE"""),"Mixed")</f>
        <v>Mixed</v>
      </c>
    </row>
    <row r="11" spans="1:18" ht="15.75" customHeight="1">
      <c r="A11">
        <f ca="1">IFERROR(__xludf.DUMMYFUNCTION("""COMPUTED_VALUE"""),9)</f>
        <v>9</v>
      </c>
      <c r="B11" t="str">
        <f ca="1">IFERROR(__xludf.DUMMYFUNCTION("""COMPUTED_VALUE"""),"Cicchetti &amp; Barnett (1991)")</f>
        <v>Cicchetti &amp; Barnett (1991)</v>
      </c>
      <c r="C11">
        <f ca="1">IFERROR(__xludf.DUMMYFUNCTION("""COMPUTED_VALUE"""),2)</f>
        <v>2</v>
      </c>
      <c r="D11" t="str">
        <f ca="1">IFERROR(__xludf.DUMMYFUNCTION("""COMPUTED_VALUE"""),"Comparison, 12 month interval")</f>
        <v>Comparison, 12 month interval</v>
      </c>
      <c r="E11" t="str">
        <f ca="1">IFERROR(__xludf.DUMMYFUNCTION("""COMPUTED_VALUE"""),"Toddlerhood - Preschool")</f>
        <v>Toddlerhood - Preschool</v>
      </c>
      <c r="F11" t="str">
        <f ca="1">IFERROR(__xludf.DUMMYFUNCTION("""COMPUTED_VALUE"""),"20")</f>
        <v>20</v>
      </c>
      <c r="G11" t="str">
        <f ca="1">IFERROR(__xludf.DUMMYFUNCTION("""COMPUTED_VALUE"""),"0.4736842105")</f>
        <v>0.4736842105</v>
      </c>
      <c r="H11" t="str">
        <f ca="1">IFERROR(__xludf.DUMMYFUNCTION("""COMPUTED_VALUE"""),"0.8")</f>
        <v>0.8</v>
      </c>
      <c r="I11">
        <f ca="1">IFERROR(__xludf.DUMMYFUNCTION("""COMPUTED_VALUE"""),1991)</f>
        <v>1991</v>
      </c>
      <c r="J11" t="str">
        <f ca="1">IFERROR(__xludf.DUMMYFUNCTION("""COMPUTED_VALUE"""),"USA")</f>
        <v>USA</v>
      </c>
      <c r="K11" t="str">
        <f ca="1">IFERROR(__xludf.DUMMYFUNCTION("""COMPUTED_VALUE"""),"Cassidy-Marvin/Cassidy-Marvin")</f>
        <v>Cassidy-Marvin/Cassidy-Marvin</v>
      </c>
      <c r="L11">
        <f ca="1">IFERROR(__xludf.DUMMYFUNCTION("""COMPUTED_VALUE"""),1)</f>
        <v>1</v>
      </c>
      <c r="M11">
        <f ca="1">IFERROR(__xludf.DUMMYFUNCTION("""COMPUTED_VALUE"""),1)</f>
        <v>1</v>
      </c>
      <c r="N11">
        <f ca="1">IFERROR(__xludf.DUMMYFUNCTION("""COMPUTED_VALUE"""),0)</f>
        <v>0</v>
      </c>
      <c r="O11">
        <f ca="1">IFERROR(__xludf.DUMMYFUNCTION("""COMPUTED_VALUE"""),1)</f>
        <v>1</v>
      </c>
      <c r="P11">
        <f ca="1">IFERROR(__xludf.DUMMYFUNCTION("""COMPUTED_VALUE"""),0.75)</f>
        <v>0.75</v>
      </c>
      <c r="Q11">
        <f ca="1">IFERROR(__xludf.DUMMYFUNCTION("""COMPUTED_VALUE"""),0)</f>
        <v>0</v>
      </c>
      <c r="R11" t="str">
        <f ca="1">IFERROR(__xludf.DUMMYFUNCTION("""COMPUTED_VALUE"""),"Mixed")</f>
        <v>Mixed</v>
      </c>
    </row>
    <row r="12" spans="1:18" ht="15.75" customHeight="1">
      <c r="A12">
        <f ca="1">IFERROR(__xludf.DUMMYFUNCTION("""COMPUTED_VALUE"""),10)</f>
        <v>10</v>
      </c>
      <c r="B12" t="str">
        <f ca="1">IFERROR(__xludf.DUMMYFUNCTION("""COMPUTED_VALUE"""),"Cicchetti, Rogosch &amp; Toth (2006)")</f>
        <v>Cicchetti, Rogosch &amp; Toth (2006)</v>
      </c>
      <c r="C12">
        <f ca="1">IFERROR(__xludf.DUMMYFUNCTION("""COMPUTED_VALUE"""),1)</f>
        <v>1</v>
      </c>
      <c r="D12" t="str">
        <f ca="1">IFERROR(__xludf.DUMMYFUNCTION("""COMPUTED_VALUE"""),"Maltreated")</f>
        <v>Maltreated</v>
      </c>
      <c r="E12" t="str">
        <f ca="1">IFERROR(__xludf.DUMMYFUNCTION("""COMPUTED_VALUE"""),"Infancy - Toddlerhood")</f>
        <v>Infancy - Toddlerhood</v>
      </c>
      <c r="F12" t="str">
        <f ca="1">IFERROR(__xludf.DUMMYFUNCTION("""COMPUTED_VALUE"""),"54")</f>
        <v>54</v>
      </c>
      <c r="G12" t="str">
        <f ca="1">IFERROR(__xludf.DUMMYFUNCTION("""COMPUTED_VALUE"""),"0")</f>
        <v>0</v>
      </c>
      <c r="H12" t="str">
        <f ca="1">IFERROR(__xludf.DUMMYFUNCTION("""COMPUTED_VALUE"""),"0.9814814815")</f>
        <v>0.9814814815</v>
      </c>
      <c r="I12">
        <f ca="1">IFERROR(__xludf.DUMMYFUNCTION("""COMPUTED_VALUE"""),2006)</f>
        <v>2006</v>
      </c>
      <c r="J12" t="str">
        <f ca="1">IFERROR(__xludf.DUMMYFUNCTION("""COMPUTED_VALUE"""),"USA")</f>
        <v>USA</v>
      </c>
      <c r="K12" t="str">
        <f ca="1">IFERROR(__xludf.DUMMYFUNCTION("""COMPUTED_VALUE"""),"Ainsworth/Schneider-Rosen")</f>
        <v>Ainsworth/Schneider-Rosen</v>
      </c>
      <c r="L12">
        <f ca="1">IFERROR(__xludf.DUMMYFUNCTION("""COMPUTED_VALUE"""),1)</f>
        <v>1</v>
      </c>
      <c r="M12">
        <f ca="1">IFERROR(__xludf.DUMMYFUNCTION("""COMPUTED_VALUE"""),1)</f>
        <v>1</v>
      </c>
      <c r="N12">
        <f ca="1">IFERROR(__xludf.DUMMYFUNCTION("""COMPUTED_VALUE"""),0)</f>
        <v>0</v>
      </c>
      <c r="O12">
        <f ca="1">IFERROR(__xludf.DUMMYFUNCTION("""COMPUTED_VALUE"""),1)</f>
        <v>1</v>
      </c>
      <c r="P12">
        <f ca="1">IFERROR(__xludf.DUMMYFUNCTION("""COMPUTED_VALUE"""),0.88)</f>
        <v>0.88</v>
      </c>
      <c r="Q12">
        <f ca="1">IFERROR(__xludf.DUMMYFUNCTION("""COMPUTED_VALUE"""),0)</f>
        <v>0</v>
      </c>
      <c r="R12" t="str">
        <f ca="1">IFERROR(__xludf.DUMMYFUNCTION("""COMPUTED_VALUE"""),"Female")</f>
        <v>Female</v>
      </c>
    </row>
    <row r="13" spans="1:18" ht="15.75" customHeight="1">
      <c r="A13">
        <f ca="1">IFERROR(__xludf.DUMMYFUNCTION("""COMPUTED_VALUE"""),11)</f>
        <v>11</v>
      </c>
      <c r="B13" t="str">
        <f ca="1">IFERROR(__xludf.DUMMYFUNCTION("""COMPUTED_VALUE"""),"Cicchetti, Rogosch &amp; Toth (2006)")</f>
        <v>Cicchetti, Rogosch &amp; Toth (2006)</v>
      </c>
      <c r="C13">
        <f ca="1">IFERROR(__xludf.DUMMYFUNCTION("""COMPUTED_VALUE"""),1)</f>
        <v>1</v>
      </c>
      <c r="D13" t="str">
        <f ca="1">IFERROR(__xludf.DUMMYFUNCTION("""COMPUTED_VALUE"""),"Comparison")</f>
        <v>Comparison</v>
      </c>
      <c r="E13" t="str">
        <f ca="1">IFERROR(__xludf.DUMMYFUNCTION("""COMPUTED_VALUE"""),"Infancy - Toddlerhood")</f>
        <v>Infancy - Toddlerhood</v>
      </c>
      <c r="F13" t="str">
        <f ca="1">IFERROR(__xludf.DUMMYFUNCTION("""COMPUTED_VALUE"""),"44")</f>
        <v>44</v>
      </c>
      <c r="G13" t="str">
        <f ca="1">IFERROR(__xludf.DUMMYFUNCTION("""COMPUTED_VALUE"""),"0.2331154684")</f>
        <v>0.2331154684</v>
      </c>
      <c r="H13" t="str">
        <f ca="1">IFERROR(__xludf.DUMMYFUNCTION("""COMPUTED_VALUE"""),"0.6363636364")</f>
        <v>0.6363636364</v>
      </c>
      <c r="I13">
        <f ca="1">IFERROR(__xludf.DUMMYFUNCTION("""COMPUTED_VALUE"""),2006)</f>
        <v>2006</v>
      </c>
      <c r="J13" t="str">
        <f ca="1">IFERROR(__xludf.DUMMYFUNCTION("""COMPUTED_VALUE"""),"USA")</f>
        <v>USA</v>
      </c>
      <c r="K13" t="str">
        <f ca="1">IFERROR(__xludf.DUMMYFUNCTION("""COMPUTED_VALUE"""),"Ainsworth/Schneider-Rosen")</f>
        <v>Ainsworth/Schneider-Rosen</v>
      </c>
      <c r="L13">
        <f ca="1">IFERROR(__xludf.DUMMYFUNCTION("""COMPUTED_VALUE"""),1)</f>
        <v>1</v>
      </c>
      <c r="M13">
        <f ca="1">IFERROR(__xludf.DUMMYFUNCTION("""COMPUTED_VALUE"""),0)</f>
        <v>0</v>
      </c>
      <c r="N13">
        <f ca="1">IFERROR(__xludf.DUMMYFUNCTION("""COMPUTED_VALUE"""),0)</f>
        <v>0</v>
      </c>
      <c r="O13">
        <f ca="1">IFERROR(__xludf.DUMMYFUNCTION("""COMPUTED_VALUE"""),1)</f>
        <v>1</v>
      </c>
      <c r="P13">
        <f ca="1">IFERROR(__xludf.DUMMYFUNCTION("""COMPUTED_VALUE"""),0.88)</f>
        <v>0.88</v>
      </c>
      <c r="Q13">
        <f ca="1">IFERROR(__xludf.DUMMYFUNCTION("""COMPUTED_VALUE"""),0)</f>
        <v>0</v>
      </c>
      <c r="R13" t="str">
        <f ca="1">IFERROR(__xludf.DUMMYFUNCTION("""COMPUTED_VALUE"""),"Female")</f>
        <v>Female</v>
      </c>
    </row>
    <row r="14" spans="1:18" ht="15.75" customHeight="1">
      <c r="A14">
        <f ca="1">IFERROR(__xludf.DUMMYFUNCTION("""COMPUTED_VALUE"""),13)</f>
        <v>13</v>
      </c>
      <c r="B14" t="str">
        <f ca="1">IFERROR(__xludf.DUMMYFUNCTION("""COMPUTED_VALUE"""),"Fish (2004)")</f>
        <v>Fish (2004)</v>
      </c>
      <c r="C14">
        <f ca="1">IFERROR(__xludf.DUMMYFUNCTION("""COMPUTED_VALUE"""),1)</f>
        <v>1</v>
      </c>
      <c r="D14" t="str">
        <f ca="1">IFERROR(__xludf.DUMMYFUNCTION("""COMPUTED_VALUE"""),"Single sample")</f>
        <v>Single sample</v>
      </c>
      <c r="E14" t="str">
        <f ca="1">IFERROR(__xludf.DUMMYFUNCTION("""COMPUTED_VALUE"""),"Infancy - Preschool")</f>
        <v>Infancy - Preschool</v>
      </c>
      <c r="F14" t="str">
        <f ca="1">IFERROR(__xludf.DUMMYFUNCTION("""COMPUTED_VALUE"""),"82")</f>
        <v>82</v>
      </c>
      <c r="G14" t="str">
        <f ca="1">IFERROR(__xludf.DUMMYFUNCTION("""COMPUTED_VALUE"""),"0.2357185809")</f>
        <v>0.2357185809</v>
      </c>
      <c r="H14" t="str">
        <f ca="1">IFERROR(__xludf.DUMMYFUNCTION("""COMPUTED_VALUE"""),"0.6219512195")</f>
        <v>0.6219512195</v>
      </c>
      <c r="I14">
        <f ca="1">IFERROR(__xludf.DUMMYFUNCTION("""COMPUTED_VALUE"""),2004)</f>
        <v>2004</v>
      </c>
      <c r="J14" t="str">
        <f ca="1">IFERROR(__xludf.DUMMYFUNCTION("""COMPUTED_VALUE"""),"USA")</f>
        <v>USA</v>
      </c>
      <c r="K14" t="str">
        <f ca="1">IFERROR(__xludf.DUMMYFUNCTION("""COMPUTED_VALUE"""),"Ainsworth/Cassidy-Marvin")</f>
        <v>Ainsworth/Cassidy-Marvin</v>
      </c>
      <c r="L14">
        <f ca="1">IFERROR(__xludf.DUMMYFUNCTION("""COMPUTED_VALUE"""),1)</f>
        <v>1</v>
      </c>
      <c r="M14">
        <f ca="1">IFERROR(__xludf.DUMMYFUNCTION("""COMPUTED_VALUE"""),1)</f>
        <v>1</v>
      </c>
      <c r="N14">
        <f ca="1">IFERROR(__xludf.DUMMYFUNCTION("""COMPUTED_VALUE"""),0)</f>
        <v>0</v>
      </c>
      <c r="O14">
        <f ca="1">IFERROR(__xludf.DUMMYFUNCTION("""COMPUTED_VALUE"""),1)</f>
        <v>1</v>
      </c>
      <c r="P14">
        <f ca="1">IFERROR(__xludf.DUMMYFUNCTION("""COMPUTED_VALUE"""),0.769)</f>
        <v>0.76900000000000002</v>
      </c>
      <c r="Q14">
        <f ca="1">IFERROR(__xludf.DUMMYFUNCTION("""COMPUTED_VALUE"""),0)</f>
        <v>0</v>
      </c>
      <c r="R14" t="str">
        <f ca="1">IFERROR(__xludf.DUMMYFUNCTION("""COMPUTED_VALUE"""),"Female")</f>
        <v>Female</v>
      </c>
    </row>
    <row r="15" spans="1:18" ht="15.75" customHeight="1">
      <c r="A15">
        <f ca="1">IFERROR(__xludf.DUMMYFUNCTION("""COMPUTED_VALUE"""),14)</f>
        <v>14</v>
      </c>
      <c r="B15" t="str">
        <f ca="1">IFERROR(__xludf.DUMMYFUNCTION("""COMPUTED_VALUE"""),"Ganiban, Barnett &amp; Cicchetti (2000)")</f>
        <v>Ganiban, Barnett &amp; Cicchetti (2000)</v>
      </c>
      <c r="C15">
        <f ca="1">IFERROR(__xludf.DUMMYFUNCTION("""COMPUTED_VALUE"""),1)</f>
        <v>1</v>
      </c>
      <c r="D15" t="str">
        <f ca="1">IFERROR(__xludf.DUMMYFUNCTION("""COMPUTED_VALUE"""),"Single sample")</f>
        <v>Single sample</v>
      </c>
      <c r="E15" t="str">
        <f ca="1">IFERROR(__xludf.DUMMYFUNCTION("""COMPUTED_VALUE"""),"Infancy - Toddlerhood")</f>
        <v>Infancy - Toddlerhood</v>
      </c>
      <c r="F15" t="str">
        <f ca="1">IFERROR(__xludf.DUMMYFUNCTION("""COMPUTED_VALUE"""),"30")</f>
        <v>30</v>
      </c>
      <c r="G15" t="str">
        <f ca="1">IFERROR(__xludf.DUMMYFUNCTION("""COMPUTED_VALUE"""),"0.4052863436")</f>
        <v>0.4052863436</v>
      </c>
      <c r="H15" t="str">
        <f ca="1">IFERROR(__xludf.DUMMYFUNCTION("""COMPUTED_VALUE"""),"0.7")</f>
        <v>0.7</v>
      </c>
      <c r="I15">
        <f ca="1">IFERROR(__xludf.DUMMYFUNCTION("""COMPUTED_VALUE"""),2000)</f>
        <v>2000</v>
      </c>
      <c r="J15" t="str">
        <f ca="1">IFERROR(__xludf.DUMMYFUNCTION("""COMPUTED_VALUE"""),"USA")</f>
        <v>USA</v>
      </c>
      <c r="K15" t="str">
        <f ca="1">IFERROR(__xludf.DUMMYFUNCTION("""COMPUTED_VALUE"""),"Ainsworth/Ainsworth")</f>
        <v>Ainsworth/Ainsworth</v>
      </c>
      <c r="L15">
        <f ca="1">IFERROR(__xludf.DUMMYFUNCTION("""COMPUTED_VALUE"""),1)</f>
        <v>1</v>
      </c>
      <c r="M15">
        <f ca="1">IFERROR(__xludf.DUMMYFUNCTION("""COMPUTED_VALUE"""),0)</f>
        <v>0</v>
      </c>
      <c r="N15">
        <f ca="1">IFERROR(__xludf.DUMMYFUNCTION("""COMPUTED_VALUE"""),1)</f>
        <v>1</v>
      </c>
      <c r="O15">
        <f ca="1">IFERROR(__xludf.DUMMYFUNCTION("""COMPUTED_VALUE"""),1)</f>
        <v>1</v>
      </c>
      <c r="P15">
        <f ca="1">IFERROR(__xludf.DUMMYFUNCTION("""COMPUTED_VALUE"""),1)</f>
        <v>1</v>
      </c>
      <c r="Q15">
        <f ca="1">IFERROR(__xludf.DUMMYFUNCTION("""COMPUTED_VALUE"""),0)</f>
        <v>0</v>
      </c>
      <c r="R15" t="str">
        <f ca="1">IFERROR(__xludf.DUMMYFUNCTION("""COMPUTED_VALUE"""),"Female")</f>
        <v>Female</v>
      </c>
    </row>
    <row r="16" spans="1:18" ht="15.75" customHeight="1">
      <c r="A16">
        <f ca="1">IFERROR(__xludf.DUMMYFUNCTION("""COMPUTED_VALUE"""),21)</f>
        <v>21</v>
      </c>
      <c r="B16" t="str">
        <f ca="1">IFERROR(__xludf.DUMMYFUNCTION("""COMPUTED_VALUE"""),"Levendosky et al. (2011)")</f>
        <v>Levendosky et al. (2011)</v>
      </c>
      <c r="C16">
        <f ca="1">IFERROR(__xludf.DUMMYFUNCTION("""COMPUTED_VALUE"""),1)</f>
        <v>1</v>
      </c>
      <c r="D16" t="str">
        <f ca="1">IFERROR(__xludf.DUMMYFUNCTION("""COMPUTED_VALUE"""),"Domestic violence dyads")</f>
        <v>Domestic violence dyads</v>
      </c>
      <c r="E16" t="str">
        <f ca="1">IFERROR(__xludf.DUMMYFUNCTION("""COMPUTED_VALUE"""),"Infancy - Preschool")</f>
        <v>Infancy - Preschool</v>
      </c>
      <c r="F16" t="str">
        <f ca="1">IFERROR(__xludf.DUMMYFUNCTION("""COMPUTED_VALUE"""),"150")</f>
        <v>150</v>
      </c>
      <c r="G16" t="str">
        <f ca="1">IFERROR(__xludf.DUMMYFUNCTION("""COMPUTED_VALUE"""),"0.1169977925")</f>
        <v>0.1169977925</v>
      </c>
      <c r="H16" t="str">
        <f ca="1">IFERROR(__xludf.DUMMYFUNCTION("""COMPUTED_VALUE"""),"0.5733333333")</f>
        <v>0.5733333333</v>
      </c>
      <c r="I16">
        <f ca="1">IFERROR(__xludf.DUMMYFUNCTION("""COMPUTED_VALUE"""),2011)</f>
        <v>2011</v>
      </c>
      <c r="J16" t="str">
        <f ca="1">IFERROR(__xludf.DUMMYFUNCTION("""COMPUTED_VALUE"""),"USA")</f>
        <v>USA</v>
      </c>
      <c r="K16" t="str">
        <f ca="1">IFERROR(__xludf.DUMMYFUNCTION("""COMPUTED_VALUE"""),"Ainsworth/Cassidy-Marvin")</f>
        <v>Ainsworth/Cassidy-Marvin</v>
      </c>
      <c r="L16">
        <f ca="1">IFERROR(__xludf.DUMMYFUNCTION("""COMPUTED_VALUE"""),1)</f>
        <v>1</v>
      </c>
      <c r="M16">
        <f ca="1">IFERROR(__xludf.DUMMYFUNCTION("""COMPUTED_VALUE"""),1)</f>
        <v>1</v>
      </c>
      <c r="N16">
        <f ca="1">IFERROR(__xludf.DUMMYFUNCTION("""COMPUTED_VALUE"""),0)</f>
        <v>0</v>
      </c>
      <c r="O16">
        <f ca="1">IFERROR(__xludf.DUMMYFUNCTION("""COMPUTED_VALUE"""),1)</f>
        <v>1</v>
      </c>
      <c r="P16">
        <f ca="1">IFERROR(__xludf.DUMMYFUNCTION("""COMPUTED_VALUE"""),0.83)</f>
        <v>0.83</v>
      </c>
      <c r="Q16">
        <f ca="1">IFERROR(__xludf.DUMMYFUNCTION("""COMPUTED_VALUE"""),0)</f>
        <v>0</v>
      </c>
      <c r="R16" t="str">
        <f ca="1">IFERROR(__xludf.DUMMYFUNCTION("""COMPUTED_VALUE"""),"Female")</f>
        <v>Female</v>
      </c>
    </row>
    <row r="17" spans="1:18" ht="15.75" customHeight="1">
      <c r="A17">
        <f ca="1">IFERROR(__xludf.DUMMYFUNCTION("""COMPUTED_VALUE"""),23)</f>
        <v>23</v>
      </c>
      <c r="B17" t="str">
        <f ca="1">IFERROR(__xludf.DUMMYFUNCTION("""COMPUTED_VALUE"""),"Main &amp; Cassidy (1988)")</f>
        <v>Main &amp; Cassidy (1988)</v>
      </c>
      <c r="C17">
        <f ca="1">IFERROR(__xludf.DUMMYFUNCTION("""COMPUTED_VALUE"""),1)</f>
        <v>1</v>
      </c>
      <c r="D17" t="str">
        <f ca="1">IFERROR(__xludf.DUMMYFUNCTION("""COMPUTED_VALUE"""),"Mother-child")</f>
        <v>Mother-child</v>
      </c>
      <c r="E17" t="str">
        <f ca="1">IFERROR(__xludf.DUMMYFUNCTION("""COMPUTED_VALUE"""),"Infancy - Preschool")</f>
        <v>Infancy - Preschool</v>
      </c>
      <c r="F17" t="str">
        <f ca="1">IFERROR(__xludf.DUMMYFUNCTION("""COMPUTED_VALUE"""),"32")</f>
        <v>32</v>
      </c>
      <c r="G17" t="str">
        <f ca="1">IFERROR(__xludf.DUMMYFUNCTION("""COMPUTED_VALUE"""),"0.8095238095")</f>
        <v>0.8095238095</v>
      </c>
      <c r="H17" t="str">
        <f ca="1">IFERROR(__xludf.DUMMYFUNCTION("""COMPUTED_VALUE"""),"0.90625")</f>
        <v>0.90625</v>
      </c>
      <c r="I17">
        <f ca="1">IFERROR(__xludf.DUMMYFUNCTION("""COMPUTED_VALUE"""),1988)</f>
        <v>1988</v>
      </c>
      <c r="J17" t="str">
        <f ca="1">IFERROR(__xludf.DUMMYFUNCTION("""COMPUTED_VALUE"""),"USA")</f>
        <v>USA</v>
      </c>
      <c r="K17" t="str">
        <f ca="1">IFERROR(__xludf.DUMMYFUNCTION("""COMPUTED_VALUE"""),"Ainsworth/Main-Cassidy")</f>
        <v>Ainsworth/Main-Cassidy</v>
      </c>
      <c r="L17">
        <f ca="1">IFERROR(__xludf.DUMMYFUNCTION("""COMPUTED_VALUE"""),1)</f>
        <v>1</v>
      </c>
      <c r="M17">
        <f ca="1">IFERROR(__xludf.DUMMYFUNCTION("""COMPUTED_VALUE"""),0)</f>
        <v>0</v>
      </c>
      <c r="N17">
        <f ca="1">IFERROR(__xludf.DUMMYFUNCTION("""COMPUTED_VALUE"""),0)</f>
        <v>0</v>
      </c>
      <c r="O17">
        <f ca="1">IFERROR(__xludf.DUMMYFUNCTION("""COMPUTED_VALUE"""),1)</f>
        <v>1</v>
      </c>
      <c r="P17">
        <f ca="1">IFERROR(__xludf.DUMMYFUNCTION("""COMPUTED_VALUE"""),0.83)</f>
        <v>0.83</v>
      </c>
      <c r="Q17">
        <f ca="1">IFERROR(__xludf.DUMMYFUNCTION("""COMPUTED_VALUE"""),1)</f>
        <v>1</v>
      </c>
      <c r="R17" t="str">
        <f ca="1">IFERROR(__xludf.DUMMYFUNCTION("""COMPUTED_VALUE"""),"Female")</f>
        <v>Female</v>
      </c>
    </row>
    <row r="18" spans="1:18" ht="15.75" customHeight="1">
      <c r="A18">
        <f ca="1">IFERROR(__xludf.DUMMYFUNCTION("""COMPUTED_VALUE"""),23)</f>
        <v>23</v>
      </c>
      <c r="B18" t="str">
        <f ca="1">IFERROR(__xludf.DUMMYFUNCTION("""COMPUTED_VALUE"""),"Main &amp; Cassidy (1988)")</f>
        <v>Main &amp; Cassidy (1988)</v>
      </c>
      <c r="C18">
        <f ca="1">IFERROR(__xludf.DUMMYFUNCTION("""COMPUTED_VALUE"""),2)</f>
        <v>2</v>
      </c>
      <c r="D18" t="str">
        <f ca="1">IFERROR(__xludf.DUMMYFUNCTION("""COMPUTED_VALUE"""),"Father-child")</f>
        <v>Father-child</v>
      </c>
      <c r="E18" t="str">
        <f ca="1">IFERROR(__xludf.DUMMYFUNCTION("""COMPUTED_VALUE"""),"Infancy - Preschool")</f>
        <v>Infancy - Preschool</v>
      </c>
      <c r="F18" t="str">
        <f ca="1">IFERROR(__xludf.DUMMYFUNCTION("""COMPUTED_VALUE"""),"33")</f>
        <v>33</v>
      </c>
      <c r="G18" t="str">
        <f ca="1">IFERROR(__xludf.DUMMYFUNCTION("""COMPUTED_VALUE"""),"0.375")</f>
        <v>0.375</v>
      </c>
      <c r="H18" t="str">
        <f ca="1">IFERROR(__xludf.DUMMYFUNCTION("""COMPUTED_VALUE"""),"0.696969697")</f>
        <v>0.696969697</v>
      </c>
      <c r="I18">
        <f ca="1">IFERROR(__xludf.DUMMYFUNCTION("""COMPUTED_VALUE"""),1988)</f>
        <v>1988</v>
      </c>
      <c r="J18" t="str">
        <f ca="1">IFERROR(__xludf.DUMMYFUNCTION("""COMPUTED_VALUE"""),"USA")</f>
        <v>USA</v>
      </c>
      <c r="K18" t="str">
        <f ca="1">IFERROR(__xludf.DUMMYFUNCTION("""COMPUTED_VALUE"""),"Ainsworth/Main-Cassidy")</f>
        <v>Ainsworth/Main-Cassidy</v>
      </c>
      <c r="L18">
        <f ca="1">IFERROR(__xludf.DUMMYFUNCTION("""COMPUTED_VALUE"""),1)</f>
        <v>1</v>
      </c>
      <c r="M18">
        <f ca="1">IFERROR(__xludf.DUMMYFUNCTION("""COMPUTED_VALUE"""),0)</f>
        <v>0</v>
      </c>
      <c r="N18">
        <f ca="1">IFERROR(__xludf.DUMMYFUNCTION("""COMPUTED_VALUE"""),0)</f>
        <v>0</v>
      </c>
      <c r="O18">
        <f ca="1">IFERROR(__xludf.DUMMYFUNCTION("""COMPUTED_VALUE"""),1)</f>
        <v>1</v>
      </c>
      <c r="P18">
        <f ca="1">IFERROR(__xludf.DUMMYFUNCTION("""COMPUTED_VALUE"""),0.77)</f>
        <v>0.77</v>
      </c>
      <c r="Q18">
        <f ca="1">IFERROR(__xludf.DUMMYFUNCTION("""COMPUTED_VALUE"""),1)</f>
        <v>1</v>
      </c>
      <c r="R18" t="str">
        <f ca="1">IFERROR(__xludf.DUMMYFUNCTION("""COMPUTED_VALUE"""),"Male")</f>
        <v>Male</v>
      </c>
    </row>
    <row r="19" spans="1:18" ht="15.75" customHeight="1">
      <c r="A19">
        <f ca="1">IFERROR(__xludf.DUMMYFUNCTION("""COMPUTED_VALUE"""),27)</f>
        <v>27</v>
      </c>
      <c r="B19" t="str">
        <f ca="1">IFERROR(__xludf.DUMMYFUNCTION("""COMPUTED_VALUE"""),"Milentijevic, Altman &amp; Ward (1995)")</f>
        <v>Milentijevic, Altman &amp; Ward (1995)</v>
      </c>
      <c r="C19">
        <f ca="1">IFERROR(__xludf.DUMMYFUNCTION("""COMPUTED_VALUE"""),1)</f>
        <v>1</v>
      </c>
      <c r="D19" t="str">
        <f ca="1">IFERROR(__xludf.DUMMYFUNCTION("""COMPUTED_VALUE"""),"Single sample")</f>
        <v>Single sample</v>
      </c>
      <c r="E19" t="str">
        <f ca="1">IFERROR(__xludf.DUMMYFUNCTION("""COMPUTED_VALUE"""),"Infancy - Preschool")</f>
        <v>Infancy - Preschool</v>
      </c>
      <c r="F19" t="str">
        <f ca="1">IFERROR(__xludf.DUMMYFUNCTION("""COMPUTED_VALUE"""),"86")</f>
        <v>86</v>
      </c>
      <c r="G19" t="str">
        <f ca="1">IFERROR(__xludf.DUMMYFUNCTION("""COMPUTED_VALUE"""),"0.01281366791")</f>
        <v>0.01281366791</v>
      </c>
      <c r="H19" t="str">
        <f ca="1">IFERROR(__xludf.DUMMYFUNCTION("""COMPUTED_VALUE"""),"0.5")</f>
        <v>0.5</v>
      </c>
      <c r="I19">
        <f ca="1">IFERROR(__xludf.DUMMYFUNCTION("""COMPUTED_VALUE"""),1995)</f>
        <v>1995</v>
      </c>
      <c r="J19" t="str">
        <f ca="1">IFERROR(__xludf.DUMMYFUNCTION("""COMPUTED_VALUE"""),"USA")</f>
        <v>USA</v>
      </c>
      <c r="K19" t="str">
        <f ca="1">IFERROR(__xludf.DUMMYFUNCTION("""COMPUTED_VALUE"""),"Ainsworth/Cassidy-Marvin")</f>
        <v>Ainsworth/Cassidy-Marvin</v>
      </c>
      <c r="L19">
        <f ca="1">IFERROR(__xludf.DUMMYFUNCTION("""COMPUTED_VALUE"""),0)</f>
        <v>0</v>
      </c>
      <c r="M19">
        <f ca="1">IFERROR(__xludf.DUMMYFUNCTION("""COMPUTED_VALUE"""),1)</f>
        <v>1</v>
      </c>
      <c r="N19">
        <f ca="1">IFERROR(__xludf.DUMMYFUNCTION("""COMPUTED_VALUE"""),0)</f>
        <v>0</v>
      </c>
      <c r="O19">
        <f ca="1">IFERROR(__xludf.DUMMYFUNCTION("""COMPUTED_VALUE"""),0)</f>
        <v>0</v>
      </c>
      <c r="P19">
        <f ca="1">IFERROR(__xludf.DUMMYFUNCTION("""COMPUTED_VALUE"""),0.8)</f>
        <v>0.8</v>
      </c>
      <c r="Q19">
        <f ca="1">IFERROR(__xludf.DUMMYFUNCTION("""COMPUTED_VALUE"""),1)</f>
        <v>1</v>
      </c>
      <c r="R19" t="str">
        <f ca="1">IFERROR(__xludf.DUMMYFUNCTION("""COMPUTED_VALUE"""),"Female")</f>
        <v>Female</v>
      </c>
    </row>
    <row r="20" spans="1:18" ht="15.75" customHeight="1">
      <c r="A20">
        <f ca="1">IFERROR(__xludf.DUMMYFUNCTION("""COMPUTED_VALUE"""),28)</f>
        <v>28</v>
      </c>
      <c r="B20" t="str">
        <f ca="1">IFERROR(__xludf.DUMMYFUNCTION("""COMPUTED_VALUE"""),"Moss et al. (2005)")</f>
        <v>Moss et al. (2005)</v>
      </c>
      <c r="C20">
        <f ca="1">IFERROR(__xludf.DUMMYFUNCTION("""COMPUTED_VALUE"""),1)</f>
        <v>1</v>
      </c>
      <c r="D20" t="str">
        <f ca="1">IFERROR(__xludf.DUMMYFUNCTION("""COMPUTED_VALUE"""),"Single sample")</f>
        <v>Single sample</v>
      </c>
      <c r="E20" t="str">
        <f ca="1">IFERROR(__xludf.DUMMYFUNCTION("""COMPUTED_VALUE"""),"Preschool - Preschool")</f>
        <v>Preschool - Preschool</v>
      </c>
      <c r="F20" t="str">
        <f ca="1">IFERROR(__xludf.DUMMYFUNCTION("""COMPUTED_VALUE"""),"120")</f>
        <v>120</v>
      </c>
      <c r="G20" t="str">
        <f ca="1">IFERROR(__xludf.DUMMYFUNCTION("""COMPUTED_VALUE"""),"0.5286195286")</f>
        <v>0.5286195286</v>
      </c>
      <c r="H20" t="str">
        <f ca="1">IFERROR(__xludf.DUMMYFUNCTION("""COMPUTED_VALUE"""),"0.7666666667")</f>
        <v>0.7666666667</v>
      </c>
      <c r="I20">
        <f ca="1">IFERROR(__xludf.DUMMYFUNCTION("""COMPUTED_VALUE"""),2005)</f>
        <v>2005</v>
      </c>
      <c r="J20" t="str">
        <f ca="1">IFERROR(__xludf.DUMMYFUNCTION("""COMPUTED_VALUE"""),"Non-USA")</f>
        <v>Non-USA</v>
      </c>
      <c r="K20" t="str">
        <f ca="1">IFERROR(__xludf.DUMMYFUNCTION("""COMPUTED_VALUE"""),"Cassidy-Marvin/Main-Cassidy")</f>
        <v>Cassidy-Marvin/Main-Cassidy</v>
      </c>
      <c r="L20">
        <f ca="1">IFERROR(__xludf.DUMMYFUNCTION("""COMPUTED_VALUE"""),1)</f>
        <v>1</v>
      </c>
      <c r="M20">
        <f ca="1">IFERROR(__xludf.DUMMYFUNCTION("""COMPUTED_VALUE"""),0)</f>
        <v>0</v>
      </c>
      <c r="N20">
        <f ca="1">IFERROR(__xludf.DUMMYFUNCTION("""COMPUTED_VALUE"""),0)</f>
        <v>0</v>
      </c>
      <c r="O20">
        <f ca="1">IFERROR(__xludf.DUMMYFUNCTION("""COMPUTED_VALUE"""),1)</f>
        <v>1</v>
      </c>
      <c r="P20">
        <f ca="1">IFERROR(__xludf.DUMMYFUNCTION("""COMPUTED_VALUE"""),0.895)</f>
        <v>0.89500000000000002</v>
      </c>
      <c r="Q20">
        <f ca="1">IFERROR(__xludf.DUMMYFUNCTION("""COMPUTED_VALUE"""),0)</f>
        <v>0</v>
      </c>
      <c r="R20" t="str">
        <f ca="1">IFERROR(__xludf.DUMMYFUNCTION("""COMPUTED_VALUE"""),"Female")</f>
        <v>Female</v>
      </c>
    </row>
    <row r="21" spans="1:18" ht="15.75" customHeight="1">
      <c r="A21">
        <f ca="1">IFERROR(__xludf.DUMMYFUNCTION("""COMPUTED_VALUE"""),29)</f>
        <v>29</v>
      </c>
      <c r="B21" t="str">
        <f ca="1">IFERROR(__xludf.DUMMYFUNCTION("""COMPUTED_VALUE"""),"NICHD (2001)")</f>
        <v>NICHD (2001)</v>
      </c>
      <c r="C21">
        <f ca="1">IFERROR(__xludf.DUMMYFUNCTION("""COMPUTED_VALUE"""),1)</f>
        <v>1</v>
      </c>
      <c r="D21" t="str">
        <f ca="1">IFERROR(__xludf.DUMMYFUNCTION("""COMPUTED_VALUE"""),"Single sample")</f>
        <v>Single sample</v>
      </c>
      <c r="E21" t="str">
        <f ca="1">IFERROR(__xludf.DUMMYFUNCTION("""COMPUTED_VALUE"""),"Infancy - Toddlerhood")</f>
        <v>Infancy - Toddlerhood</v>
      </c>
      <c r="F21" t="str">
        <f ca="1">IFERROR(__xludf.DUMMYFUNCTION("""COMPUTED_VALUE"""),"1,060")</f>
        <v>1,060</v>
      </c>
      <c r="G21" t="str">
        <f ca="1">IFERROR(__xludf.DUMMYFUNCTION("""COMPUTED_VALUE"""),"0.04475999033")</f>
        <v>0.04475999033</v>
      </c>
      <c r="H21" t="str">
        <f ca="1">IFERROR(__xludf.DUMMYFUNCTION("""COMPUTED_VALUE"""),"0.55")</f>
        <v>0.55</v>
      </c>
      <c r="I21">
        <f ca="1">IFERROR(__xludf.DUMMYFUNCTION("""COMPUTED_VALUE"""),2001)</f>
        <v>2001</v>
      </c>
      <c r="J21" t="str">
        <f ca="1">IFERROR(__xludf.DUMMYFUNCTION("""COMPUTED_VALUE"""),"USA")</f>
        <v>USA</v>
      </c>
      <c r="K21" t="str">
        <f ca="1">IFERROR(__xludf.DUMMYFUNCTION("""COMPUTED_VALUE"""),"Ainsworth/Cassidy-Marvin")</f>
        <v>Ainsworth/Cassidy-Marvin</v>
      </c>
      <c r="L21">
        <f ca="1">IFERROR(__xludf.DUMMYFUNCTION("""COMPUTED_VALUE"""),1)</f>
        <v>1</v>
      </c>
      <c r="M21">
        <f ca="1">IFERROR(__xludf.DUMMYFUNCTION("""COMPUTED_VALUE"""),0)</f>
        <v>0</v>
      </c>
      <c r="N21">
        <f ca="1">IFERROR(__xludf.DUMMYFUNCTION("""COMPUTED_VALUE"""),0)</f>
        <v>0</v>
      </c>
      <c r="O21">
        <f ca="1">IFERROR(__xludf.DUMMYFUNCTION("""COMPUTED_VALUE"""),1)</f>
        <v>1</v>
      </c>
      <c r="P21">
        <f ca="1">IFERROR(__xludf.DUMMYFUNCTION("""COMPUTED_VALUE"""),0.7885)</f>
        <v>0.78849999999999998</v>
      </c>
      <c r="Q21">
        <f ca="1">IFERROR(__xludf.DUMMYFUNCTION("""COMPUTED_VALUE"""),0)</f>
        <v>0</v>
      </c>
      <c r="R21" t="str">
        <f ca="1">IFERROR(__xludf.DUMMYFUNCTION("""COMPUTED_VALUE"""),"Female")</f>
        <v>Female</v>
      </c>
    </row>
    <row r="22" spans="1:18" ht="15.75" customHeight="1">
      <c r="A22">
        <f ca="1">IFERROR(__xludf.DUMMYFUNCTION("""COMPUTED_VALUE"""),30)</f>
        <v>30</v>
      </c>
      <c r="B22" t="str">
        <f ca="1">IFERROR(__xludf.DUMMYFUNCTION("""COMPUTED_VALUE"""),"Rauh et al. (2000)")</f>
        <v>Rauh et al. (2000)</v>
      </c>
      <c r="C22">
        <f ca="1">IFERROR(__xludf.DUMMYFUNCTION("""COMPUTED_VALUE"""),1)</f>
        <v>1</v>
      </c>
      <c r="D22" t="str">
        <f ca="1">IFERROR(__xludf.DUMMYFUNCTION("""COMPUTED_VALUE"""),"Ainsworth-Ainsworth")</f>
        <v>Ainsworth-Ainsworth</v>
      </c>
      <c r="E22" t="str">
        <f ca="1">IFERROR(__xludf.DUMMYFUNCTION("""COMPUTED_VALUE"""),"Infancy - Toddlerhood")</f>
        <v>Infancy - Toddlerhood</v>
      </c>
      <c r="F22" t="str">
        <f ca="1">IFERROR(__xludf.DUMMYFUNCTION("""COMPUTED_VALUE"""),"75")</f>
        <v>75</v>
      </c>
      <c r="G22" t="str">
        <f ca="1">IFERROR(__xludf.DUMMYFUNCTION("""COMPUTED_VALUE"""),"0.1666666667")</f>
        <v>0.1666666667</v>
      </c>
      <c r="H22" t="str">
        <f ca="1">IFERROR(__xludf.DUMMYFUNCTION("""COMPUTED_VALUE"""),"0.6266666667")</f>
        <v>0.6266666667</v>
      </c>
      <c r="I22">
        <f ca="1">IFERROR(__xludf.DUMMYFUNCTION("""COMPUTED_VALUE"""),2000)</f>
        <v>2000</v>
      </c>
      <c r="J22" t="str">
        <f ca="1">IFERROR(__xludf.DUMMYFUNCTION("""COMPUTED_VALUE"""),"Non-USA")</f>
        <v>Non-USA</v>
      </c>
      <c r="K22" t="str">
        <f ca="1">IFERROR(__xludf.DUMMYFUNCTION("""COMPUTED_VALUE"""),"Ainsworth/Ainsworth")</f>
        <v>Ainsworth/Ainsworth</v>
      </c>
      <c r="L22">
        <f ca="1">IFERROR(__xludf.DUMMYFUNCTION("""COMPUTED_VALUE"""),1)</f>
        <v>1</v>
      </c>
      <c r="M22">
        <f ca="1">IFERROR(__xludf.DUMMYFUNCTION("""COMPUTED_VALUE"""),0)</f>
        <v>0</v>
      </c>
      <c r="N22">
        <f ca="1">IFERROR(__xludf.DUMMYFUNCTION("""COMPUTED_VALUE"""),0)</f>
        <v>0</v>
      </c>
      <c r="O22">
        <f ca="1">IFERROR(__xludf.DUMMYFUNCTION("""COMPUTED_VALUE"""),1)</f>
        <v>1</v>
      </c>
      <c r="P22">
        <f ca="1">IFERROR(__xludf.DUMMYFUNCTION("""COMPUTED_VALUE"""),0.94)</f>
        <v>0.94</v>
      </c>
      <c r="Q22">
        <f ca="1">IFERROR(__xludf.DUMMYFUNCTION("""COMPUTED_VALUE"""),1)</f>
        <v>1</v>
      </c>
      <c r="R22" t="str">
        <f ca="1">IFERROR(__xludf.DUMMYFUNCTION("""COMPUTED_VALUE"""),"Female")</f>
        <v>Female</v>
      </c>
    </row>
    <row r="23" spans="1:18" ht="15.75" customHeight="1">
      <c r="A23">
        <f ca="1">IFERROR(__xludf.DUMMYFUNCTION("""COMPUTED_VALUE"""),30)</f>
        <v>30</v>
      </c>
      <c r="B23" t="str">
        <f ca="1">IFERROR(__xludf.DUMMYFUNCTION("""COMPUTED_VALUE"""),"Rauh et al. (2000)")</f>
        <v>Rauh et al. (2000)</v>
      </c>
      <c r="C23">
        <f ca="1">IFERROR(__xludf.DUMMYFUNCTION("""COMPUTED_VALUE"""),2)</f>
        <v>2</v>
      </c>
      <c r="D23" t="str">
        <f ca="1">IFERROR(__xludf.DUMMYFUNCTION("""COMPUTED_VALUE"""),"Main-Main")</f>
        <v>Main-Main</v>
      </c>
      <c r="E23" t="str">
        <f ca="1">IFERROR(__xludf.DUMMYFUNCTION("""COMPUTED_VALUE"""),"Infancy - Toddlerhood")</f>
        <v>Infancy - Toddlerhood</v>
      </c>
      <c r="F23" t="str">
        <f ca="1">IFERROR(__xludf.DUMMYFUNCTION("""COMPUTED_VALUE"""),"75")</f>
        <v>75</v>
      </c>
      <c r="G23" t="str">
        <f ca="1">IFERROR(__xludf.DUMMYFUNCTION("""COMPUTED_VALUE"""),"0.2071881607")</f>
        <v>0.2071881607</v>
      </c>
      <c r="H23" t="str">
        <f ca="1">IFERROR(__xludf.DUMMYFUNCTION("""COMPUTED_VALUE"""),"0.6")</f>
        <v>0.6</v>
      </c>
      <c r="I23">
        <f ca="1">IFERROR(__xludf.DUMMYFUNCTION("""COMPUTED_VALUE"""),2000)</f>
        <v>2000</v>
      </c>
      <c r="J23" t="str">
        <f ca="1">IFERROR(__xludf.DUMMYFUNCTION("""COMPUTED_VALUE"""),"Non-USA")</f>
        <v>Non-USA</v>
      </c>
      <c r="K23" t="str">
        <f ca="1">IFERROR(__xludf.DUMMYFUNCTION("""COMPUTED_VALUE"""),"Main-Cassidy/Main-Cassidy")</f>
        <v>Main-Cassidy/Main-Cassidy</v>
      </c>
      <c r="L23">
        <f ca="1">IFERROR(__xludf.DUMMYFUNCTION("""COMPUTED_VALUE"""),1)</f>
        <v>1</v>
      </c>
      <c r="M23">
        <f ca="1">IFERROR(__xludf.DUMMYFUNCTION("""COMPUTED_VALUE"""),0)</f>
        <v>0</v>
      </c>
      <c r="N23">
        <f ca="1">IFERROR(__xludf.DUMMYFUNCTION("""COMPUTED_VALUE"""),0)</f>
        <v>0</v>
      </c>
      <c r="O23">
        <f ca="1">IFERROR(__xludf.DUMMYFUNCTION("""COMPUTED_VALUE"""),1)</f>
        <v>1</v>
      </c>
      <c r="P23">
        <f ca="1">IFERROR(__xludf.DUMMYFUNCTION("""COMPUTED_VALUE"""),0.94)</f>
        <v>0.94</v>
      </c>
      <c r="Q23">
        <f ca="1">IFERROR(__xludf.DUMMYFUNCTION("""COMPUTED_VALUE"""),0)</f>
        <v>0</v>
      </c>
      <c r="R23" t="str">
        <f ca="1">IFERROR(__xludf.DUMMYFUNCTION("""COMPUTED_VALUE"""),"Female")</f>
        <v>Female</v>
      </c>
    </row>
    <row r="24" spans="1:18" ht="15.75" customHeight="1">
      <c r="A24">
        <f ca="1">IFERROR(__xludf.DUMMYFUNCTION("""COMPUTED_VALUE"""),30)</f>
        <v>30</v>
      </c>
      <c r="B24" t="str">
        <f ca="1">IFERROR(__xludf.DUMMYFUNCTION("""COMPUTED_VALUE"""),"Rauh et al. (2000)")</f>
        <v>Rauh et al. (2000)</v>
      </c>
      <c r="C24">
        <f ca="1">IFERROR(__xludf.DUMMYFUNCTION("""COMPUTED_VALUE"""),3)</f>
        <v>3</v>
      </c>
      <c r="D24" t="str">
        <f ca="1">IFERROR(__xludf.DUMMYFUNCTION("""COMPUTED_VALUE"""),"Main-Ainsworth")</f>
        <v>Main-Ainsworth</v>
      </c>
      <c r="E24" t="str">
        <f ca="1">IFERROR(__xludf.DUMMYFUNCTION("""COMPUTED_VALUE"""),"Infancy - Toddlerhood")</f>
        <v>Infancy - Toddlerhood</v>
      </c>
      <c r="F24" t="str">
        <f ca="1">IFERROR(__xludf.DUMMYFUNCTION("""COMPUTED_VALUE"""),"75")</f>
        <v>75</v>
      </c>
      <c r="G24" t="str">
        <f ca="1">IFERROR(__xludf.DUMMYFUNCTION("""COMPUTED_VALUE"""),"0.09351145038")</f>
        <v>0.09351145038</v>
      </c>
      <c r="H24" t="str">
        <f ca="1">IFERROR(__xludf.DUMMYFUNCTION("""COMPUTED_VALUE"""),"0.4933333333")</f>
        <v>0.4933333333</v>
      </c>
      <c r="I24">
        <f ca="1">IFERROR(__xludf.DUMMYFUNCTION("""COMPUTED_VALUE"""),2000)</f>
        <v>2000</v>
      </c>
      <c r="J24" t="str">
        <f ca="1">IFERROR(__xludf.DUMMYFUNCTION("""COMPUTED_VALUE"""),"Non-USA")</f>
        <v>Non-USA</v>
      </c>
      <c r="K24" t="str">
        <f ca="1">IFERROR(__xludf.DUMMYFUNCTION("""COMPUTED_VALUE"""),"Main-Cassidy/Ainsworth")</f>
        <v>Main-Cassidy/Ainsworth</v>
      </c>
      <c r="L24">
        <f ca="1">IFERROR(__xludf.DUMMYFUNCTION("""COMPUTED_VALUE"""),1)</f>
        <v>1</v>
      </c>
      <c r="M24">
        <f ca="1">IFERROR(__xludf.DUMMYFUNCTION("""COMPUTED_VALUE"""),0)</f>
        <v>0</v>
      </c>
      <c r="N24">
        <f ca="1">IFERROR(__xludf.DUMMYFUNCTION("""COMPUTED_VALUE"""),0)</f>
        <v>0</v>
      </c>
      <c r="O24">
        <f ca="1">IFERROR(__xludf.DUMMYFUNCTION("""COMPUTED_VALUE"""),1)</f>
        <v>1</v>
      </c>
      <c r="P24">
        <f ca="1">IFERROR(__xludf.DUMMYFUNCTION("""COMPUTED_VALUE"""),0.94)</f>
        <v>0.94</v>
      </c>
      <c r="Q24">
        <f ca="1">IFERROR(__xludf.DUMMYFUNCTION("""COMPUTED_VALUE"""),0)</f>
        <v>0</v>
      </c>
      <c r="R24" t="str">
        <f ca="1">IFERROR(__xludf.DUMMYFUNCTION("""COMPUTED_VALUE"""),"Female")</f>
        <v>Female</v>
      </c>
    </row>
    <row r="25" spans="1:18" ht="15.75" customHeight="1">
      <c r="A25">
        <f ca="1">IFERROR(__xludf.DUMMYFUNCTION("""COMPUTED_VALUE"""),30)</f>
        <v>30</v>
      </c>
      <c r="B25" t="str">
        <f ca="1">IFERROR(__xludf.DUMMYFUNCTION("""COMPUTED_VALUE"""),"Rauh et al. (2000)")</f>
        <v>Rauh et al. (2000)</v>
      </c>
      <c r="C25">
        <f ca="1">IFERROR(__xludf.DUMMYFUNCTION("""COMPUTED_VALUE"""),4)</f>
        <v>4</v>
      </c>
      <c r="D25" t="str">
        <f ca="1">IFERROR(__xludf.DUMMYFUNCTION("""COMPUTED_VALUE"""),"Ainsworth-Main")</f>
        <v>Ainsworth-Main</v>
      </c>
      <c r="E25" t="str">
        <f ca="1">IFERROR(__xludf.DUMMYFUNCTION("""COMPUTED_VALUE"""),"Infancy - Toddlerhood")</f>
        <v>Infancy - Toddlerhood</v>
      </c>
      <c r="F25" t="str">
        <f ca="1">IFERROR(__xludf.DUMMYFUNCTION("""COMPUTED_VALUE"""),"75")</f>
        <v>75</v>
      </c>
      <c r="G25" t="str">
        <f ca="1">IFERROR(__xludf.DUMMYFUNCTION("""COMPUTED_VALUE"""),"0.1397849462")</f>
        <v>0.1397849462</v>
      </c>
      <c r="H25" t="str">
        <f ca="1">IFERROR(__xludf.DUMMYFUNCTION("""COMPUTED_VALUE"""),"0.5733333333")</f>
        <v>0.5733333333</v>
      </c>
      <c r="I25">
        <f ca="1">IFERROR(__xludf.DUMMYFUNCTION("""COMPUTED_VALUE"""),2000)</f>
        <v>2000</v>
      </c>
      <c r="J25" t="str">
        <f ca="1">IFERROR(__xludf.DUMMYFUNCTION("""COMPUTED_VALUE"""),"Non-USA")</f>
        <v>Non-USA</v>
      </c>
      <c r="K25" t="str">
        <f ca="1">IFERROR(__xludf.DUMMYFUNCTION("""COMPUTED_VALUE"""),"Ainsworth/Main-Cassidy")</f>
        <v>Ainsworth/Main-Cassidy</v>
      </c>
      <c r="L25">
        <f ca="1">IFERROR(__xludf.DUMMYFUNCTION("""COMPUTED_VALUE"""),1)</f>
        <v>1</v>
      </c>
      <c r="M25">
        <f ca="1">IFERROR(__xludf.DUMMYFUNCTION("""COMPUTED_VALUE"""),0)</f>
        <v>0</v>
      </c>
      <c r="N25">
        <f ca="1">IFERROR(__xludf.DUMMYFUNCTION("""COMPUTED_VALUE"""),0)</f>
        <v>0</v>
      </c>
      <c r="O25">
        <f ca="1">IFERROR(__xludf.DUMMYFUNCTION("""COMPUTED_VALUE"""),1)</f>
        <v>1</v>
      </c>
      <c r="P25">
        <f ca="1">IFERROR(__xludf.DUMMYFUNCTION("""COMPUTED_VALUE"""),0.94)</f>
        <v>0.94</v>
      </c>
      <c r="Q25">
        <f ca="1">IFERROR(__xludf.DUMMYFUNCTION("""COMPUTED_VALUE"""),0)</f>
        <v>0</v>
      </c>
      <c r="R25" t="str">
        <f ca="1">IFERROR(__xludf.DUMMYFUNCTION("""COMPUTED_VALUE"""),"Female")</f>
        <v>Female</v>
      </c>
    </row>
    <row r="26" spans="1:18" ht="15.75" customHeight="1">
      <c r="A26">
        <f ca="1">IFERROR(__xludf.DUMMYFUNCTION("""COMPUTED_VALUE"""),30)</f>
        <v>30</v>
      </c>
      <c r="B26" t="str">
        <f ca="1">IFERROR(__xludf.DUMMYFUNCTION("""COMPUTED_VALUE"""),"Rauh et al. (2000)")</f>
        <v>Rauh et al. (2000)</v>
      </c>
      <c r="C26">
        <f ca="1">IFERROR(__xludf.DUMMYFUNCTION("""COMPUTED_VALUE"""),5)</f>
        <v>5</v>
      </c>
      <c r="D26" t="str">
        <f ca="1">IFERROR(__xludf.DUMMYFUNCTION("""COMPUTED_VALUE"""),"Main-Crittenden")</f>
        <v>Main-Crittenden</v>
      </c>
      <c r="E26" t="str">
        <f ca="1">IFERROR(__xludf.DUMMYFUNCTION("""COMPUTED_VALUE"""),"Infancy - Toddlerhood")</f>
        <v>Infancy - Toddlerhood</v>
      </c>
      <c r="F26" t="str">
        <f ca="1">IFERROR(__xludf.DUMMYFUNCTION("""COMPUTED_VALUE"""),"75")</f>
        <v>75</v>
      </c>
      <c r="G26" t="str">
        <f ca="1">IFERROR(__xludf.DUMMYFUNCTION("""COMPUTED_VALUE"""),"0.2487479132")</f>
        <v>0.2487479132</v>
      </c>
      <c r="H26" t="str">
        <f ca="1">IFERROR(__xludf.DUMMYFUNCTION("""COMPUTED_VALUE"""),"0.68")</f>
        <v>0.68</v>
      </c>
      <c r="I26">
        <f ca="1">IFERROR(__xludf.DUMMYFUNCTION("""COMPUTED_VALUE"""),2000)</f>
        <v>2000</v>
      </c>
      <c r="J26" t="str">
        <f ca="1">IFERROR(__xludf.DUMMYFUNCTION("""COMPUTED_VALUE"""),"Non-USA")</f>
        <v>Non-USA</v>
      </c>
      <c r="K26" t="str">
        <f ca="1">IFERROR(__xludf.DUMMYFUNCTION("""COMPUTED_VALUE"""),"Main-Cassidy/Crittenden")</f>
        <v>Main-Cassidy/Crittenden</v>
      </c>
      <c r="L26">
        <f ca="1">IFERROR(__xludf.DUMMYFUNCTION("""COMPUTED_VALUE"""),1)</f>
        <v>1</v>
      </c>
      <c r="M26">
        <f ca="1">IFERROR(__xludf.DUMMYFUNCTION("""COMPUTED_VALUE"""),0)</f>
        <v>0</v>
      </c>
      <c r="N26">
        <f ca="1">IFERROR(__xludf.DUMMYFUNCTION("""COMPUTED_VALUE"""),0)</f>
        <v>0</v>
      </c>
      <c r="O26">
        <f ca="1">IFERROR(__xludf.DUMMYFUNCTION("""COMPUTED_VALUE"""),1)</f>
        <v>1</v>
      </c>
      <c r="P26">
        <f ca="1">IFERROR(__xludf.DUMMYFUNCTION("""COMPUTED_VALUE"""),0.94)</f>
        <v>0.94</v>
      </c>
      <c r="Q26">
        <f ca="1">IFERROR(__xludf.DUMMYFUNCTION("""COMPUTED_VALUE"""),0)</f>
        <v>0</v>
      </c>
      <c r="R26" t="str">
        <f ca="1">IFERROR(__xludf.DUMMYFUNCTION("""COMPUTED_VALUE"""),"Female")</f>
        <v>Female</v>
      </c>
    </row>
    <row r="27" spans="1:18" ht="12.3">
      <c r="A27">
        <f ca="1">IFERROR(__xludf.DUMMYFUNCTION("""COMPUTED_VALUE"""),30)</f>
        <v>30</v>
      </c>
      <c r="B27" t="str">
        <f ca="1">IFERROR(__xludf.DUMMYFUNCTION("""COMPUTED_VALUE"""),"Rauh et al. (2000)")</f>
        <v>Rauh et al. (2000)</v>
      </c>
      <c r="C27">
        <f ca="1">IFERROR(__xludf.DUMMYFUNCTION("""COMPUTED_VALUE"""),6)</f>
        <v>6</v>
      </c>
      <c r="D27" t="str">
        <f ca="1">IFERROR(__xludf.DUMMYFUNCTION("""COMPUTED_VALUE"""),"Ainsworth-Crittenden")</f>
        <v>Ainsworth-Crittenden</v>
      </c>
      <c r="E27" t="str">
        <f ca="1">IFERROR(__xludf.DUMMYFUNCTION("""COMPUTED_VALUE"""),"Infancy - Toddlerhood")</f>
        <v>Infancy - Toddlerhood</v>
      </c>
      <c r="F27" t="str">
        <f ca="1">IFERROR(__xludf.DUMMYFUNCTION("""COMPUTED_VALUE"""),"75")</f>
        <v>75</v>
      </c>
      <c r="G27" t="str">
        <f ca="1">IFERROR(__xludf.DUMMYFUNCTION("""COMPUTED_VALUE"""),"0.1037735849")</f>
        <v>0.1037735849</v>
      </c>
      <c r="H27" t="str">
        <f ca="1">IFERROR(__xludf.DUMMYFUNCTION("""COMPUTED_VALUE"""),"0.4933333333")</f>
        <v>0.4933333333</v>
      </c>
      <c r="I27">
        <f ca="1">IFERROR(__xludf.DUMMYFUNCTION("""COMPUTED_VALUE"""),2000)</f>
        <v>2000</v>
      </c>
      <c r="J27" t="str">
        <f ca="1">IFERROR(__xludf.DUMMYFUNCTION("""COMPUTED_VALUE"""),"Non-USA")</f>
        <v>Non-USA</v>
      </c>
      <c r="K27" t="str">
        <f ca="1">IFERROR(__xludf.DUMMYFUNCTION("""COMPUTED_VALUE"""),"Ainsworth/Crittenden")</f>
        <v>Ainsworth/Crittenden</v>
      </c>
      <c r="L27">
        <f ca="1">IFERROR(__xludf.DUMMYFUNCTION("""COMPUTED_VALUE"""),1)</f>
        <v>1</v>
      </c>
      <c r="M27">
        <f ca="1">IFERROR(__xludf.DUMMYFUNCTION("""COMPUTED_VALUE"""),0)</f>
        <v>0</v>
      </c>
      <c r="N27">
        <f ca="1">IFERROR(__xludf.DUMMYFUNCTION("""COMPUTED_VALUE"""),0)</f>
        <v>0</v>
      </c>
      <c r="O27">
        <f ca="1">IFERROR(__xludf.DUMMYFUNCTION("""COMPUTED_VALUE"""),1)</f>
        <v>1</v>
      </c>
      <c r="P27">
        <f ca="1">IFERROR(__xludf.DUMMYFUNCTION("""COMPUTED_VALUE"""),0.94)</f>
        <v>0.94</v>
      </c>
      <c r="Q27">
        <f ca="1">IFERROR(__xludf.DUMMYFUNCTION("""COMPUTED_VALUE"""),0)</f>
        <v>0</v>
      </c>
      <c r="R27" t="str">
        <f ca="1">IFERROR(__xludf.DUMMYFUNCTION("""COMPUTED_VALUE"""),"Female")</f>
        <v>Female</v>
      </c>
    </row>
    <row r="28" spans="1:18" ht="12.3">
      <c r="A28">
        <f ca="1">IFERROR(__xludf.DUMMYFUNCTION("""COMPUTED_VALUE"""),31)</f>
        <v>31</v>
      </c>
      <c r="B28" t="str">
        <f ca="1">IFERROR(__xludf.DUMMYFUNCTION("""COMPUTED_VALUE"""),"Seifer et al. (2004) ")</f>
        <v xml:space="preserve">Seifer et al. (2004) </v>
      </c>
      <c r="C28">
        <f ca="1">IFERROR(__xludf.DUMMYFUNCTION("""COMPUTED_VALUE"""),1)</f>
        <v>1</v>
      </c>
      <c r="D28" t="str">
        <f ca="1">IFERROR(__xludf.DUMMYFUNCTION("""COMPUTED_VALUE"""),"Single sample")</f>
        <v>Single sample</v>
      </c>
      <c r="E28" t="str">
        <f ca="1">IFERROR(__xludf.DUMMYFUNCTION("""COMPUTED_VALUE"""),"Infancy - Toddlerhood")</f>
        <v>Infancy - Toddlerhood</v>
      </c>
      <c r="F28" t="str">
        <f ca="1">IFERROR(__xludf.DUMMYFUNCTION("""COMPUTED_VALUE"""),"601")</f>
        <v>601</v>
      </c>
      <c r="G28" t="str">
        <f ca="1">IFERROR(__xludf.DUMMYFUNCTION("""COMPUTED_VALUE"""),"0.07798517003")</f>
        <v>0.07798517003</v>
      </c>
      <c r="H28" t="str">
        <f ca="1">IFERROR(__xludf.DUMMYFUNCTION("""COMPUTED_VALUE"""),"0.6006655574")</f>
        <v>0.6006655574</v>
      </c>
      <c r="I28">
        <f ca="1">IFERROR(__xludf.DUMMYFUNCTION("""COMPUTED_VALUE"""),2004)</f>
        <v>2004</v>
      </c>
      <c r="J28" t="str">
        <f ca="1">IFERROR(__xludf.DUMMYFUNCTION("""COMPUTED_VALUE"""),"USA")</f>
        <v>USA</v>
      </c>
      <c r="K28" t="str">
        <f ca="1">IFERROR(__xludf.DUMMYFUNCTION("""COMPUTED_VALUE"""),"Ainsworth/Cassidy-Marvin")</f>
        <v>Ainsworth/Cassidy-Marvin</v>
      </c>
      <c r="L28">
        <f ca="1">IFERROR(__xludf.DUMMYFUNCTION("""COMPUTED_VALUE"""),1)</f>
        <v>1</v>
      </c>
      <c r="M28">
        <f ca="1">IFERROR(__xludf.DUMMYFUNCTION("""COMPUTED_VALUE"""),1)</f>
        <v>1</v>
      </c>
      <c r="N28">
        <f ca="1">IFERROR(__xludf.DUMMYFUNCTION("""COMPUTED_VALUE"""),0)</f>
        <v>0</v>
      </c>
      <c r="O28">
        <f ca="1">IFERROR(__xludf.DUMMYFUNCTION("""COMPUTED_VALUE"""),1)</f>
        <v>1</v>
      </c>
      <c r="P28">
        <f ca="1">IFERROR(__xludf.DUMMYFUNCTION("""COMPUTED_VALUE"""),0.900244462224634)</f>
        <v>0.90024446222463395</v>
      </c>
      <c r="Q28">
        <f ca="1">IFERROR(__xludf.DUMMYFUNCTION("""COMPUTED_VALUE"""),0)</f>
        <v>0</v>
      </c>
      <c r="R28" t="str">
        <f ca="1">IFERROR(__xludf.DUMMYFUNCTION("""COMPUTED_VALUE"""),"Female")</f>
        <v>Female</v>
      </c>
    </row>
    <row r="29" spans="1:18" ht="12.3">
      <c r="A29">
        <f ca="1">IFERROR(__xludf.DUMMYFUNCTION("""COMPUTED_VALUE"""),32)</f>
        <v>32</v>
      </c>
      <c r="B29" t="str">
        <f ca="1">IFERROR(__xludf.DUMMYFUNCTION("""COMPUTED_VALUE"""),"Steele, Steele &amp; Fonagy (1996)")</f>
        <v>Steele, Steele &amp; Fonagy (1996)</v>
      </c>
      <c r="C29">
        <f ca="1">IFERROR(__xludf.DUMMYFUNCTION("""COMPUTED_VALUE"""),1)</f>
        <v>1</v>
      </c>
      <c r="D29" t="str">
        <f ca="1">IFERROR(__xludf.DUMMYFUNCTION("""COMPUTED_VALUE"""),"Mother-child")</f>
        <v>Mother-child</v>
      </c>
      <c r="E29" t="str">
        <f ca="1">IFERROR(__xludf.DUMMYFUNCTION("""COMPUTED_VALUE"""),"Infancy - Preschool")</f>
        <v>Infancy - Preschool</v>
      </c>
      <c r="F29" t="str">
        <f ca="1">IFERROR(__xludf.DUMMYFUNCTION("""COMPUTED_VALUE"""),"88")</f>
        <v>88</v>
      </c>
      <c r="G29" t="str">
        <f ca="1">IFERROR(__xludf.DUMMYFUNCTION("""COMPUTED_VALUE"""),"0.06779661017")</f>
        <v>0.06779661017</v>
      </c>
      <c r="H29" t="str">
        <f ca="1">IFERROR(__xludf.DUMMYFUNCTION("""COMPUTED_VALUE"""),"0.5454545455")</f>
        <v>0.5454545455</v>
      </c>
      <c r="I29">
        <f ca="1">IFERROR(__xludf.DUMMYFUNCTION("""COMPUTED_VALUE"""),1996)</f>
        <v>1996</v>
      </c>
      <c r="J29" t="str">
        <f ca="1">IFERROR(__xludf.DUMMYFUNCTION("""COMPUTED_VALUE"""),"Non-USA")</f>
        <v>Non-USA</v>
      </c>
      <c r="K29" t="str">
        <f ca="1">IFERROR(__xludf.DUMMYFUNCTION("""COMPUTED_VALUE"""),"Ainsworth/Cassidy-Marvin")</f>
        <v>Ainsworth/Cassidy-Marvin</v>
      </c>
      <c r="L29">
        <f ca="1">IFERROR(__xludf.DUMMYFUNCTION("""COMPUTED_VALUE"""),0)</f>
        <v>0</v>
      </c>
      <c r="M29">
        <f ca="1">IFERROR(__xludf.DUMMYFUNCTION("""COMPUTED_VALUE"""),0)</f>
        <v>0</v>
      </c>
      <c r="N29">
        <f ca="1">IFERROR(__xludf.DUMMYFUNCTION("""COMPUTED_VALUE"""),0)</f>
        <v>0</v>
      </c>
      <c r="O29">
        <f ca="1">IFERROR(__xludf.DUMMYFUNCTION("""COMPUTED_VALUE"""),0)</f>
        <v>0</v>
      </c>
      <c r="P29">
        <f ca="1">IFERROR(__xludf.DUMMYFUNCTION("""COMPUTED_VALUE"""),0.91)</f>
        <v>0.91</v>
      </c>
      <c r="Q29">
        <f ca="1">IFERROR(__xludf.DUMMYFUNCTION("""COMPUTED_VALUE"""),1)</f>
        <v>1</v>
      </c>
      <c r="R29" t="str">
        <f ca="1">IFERROR(__xludf.DUMMYFUNCTION("""COMPUTED_VALUE"""),"Female")</f>
        <v>Female</v>
      </c>
    </row>
    <row r="30" spans="1:18" ht="12.3">
      <c r="A30">
        <f ca="1">IFERROR(__xludf.DUMMYFUNCTION("""COMPUTED_VALUE"""),32)</f>
        <v>32</v>
      </c>
      <c r="B30" t="str">
        <f ca="1">IFERROR(__xludf.DUMMYFUNCTION("""COMPUTED_VALUE"""),"Steele, Steele &amp; Fonagy (1996)")</f>
        <v>Steele, Steele &amp; Fonagy (1996)</v>
      </c>
      <c r="C30">
        <f ca="1">IFERROR(__xludf.DUMMYFUNCTION("""COMPUTED_VALUE"""),1)</f>
        <v>1</v>
      </c>
      <c r="D30" t="str">
        <f ca="1">IFERROR(__xludf.DUMMYFUNCTION("""COMPUTED_VALUE"""),"Father-child")</f>
        <v>Father-child</v>
      </c>
      <c r="E30" t="str">
        <f ca="1">IFERROR(__xludf.DUMMYFUNCTION("""COMPUTED_VALUE"""),"Infancy - Preschool")</f>
        <v>Infancy - Preschool</v>
      </c>
      <c r="F30" t="str">
        <f ca="1">IFERROR(__xludf.DUMMYFUNCTION("""COMPUTED_VALUE"""),"68")</f>
        <v>68</v>
      </c>
      <c r="G30" t="str">
        <f ca="1">IFERROR(__xludf.DUMMYFUNCTION("""COMPUTED_VALUE"""),"0.277992278")</f>
        <v>0.277992278</v>
      </c>
      <c r="H30" t="str">
        <f ca="1">IFERROR(__xludf.DUMMYFUNCTION("""COMPUTED_VALUE"""),"0.6764705882")</f>
        <v>0.6764705882</v>
      </c>
      <c r="I30">
        <f ca="1">IFERROR(__xludf.DUMMYFUNCTION("""COMPUTED_VALUE"""),1996)</f>
        <v>1996</v>
      </c>
      <c r="J30" t="str">
        <f ca="1">IFERROR(__xludf.DUMMYFUNCTION("""COMPUTED_VALUE"""),"Non-USA")</f>
        <v>Non-USA</v>
      </c>
      <c r="K30" t="str">
        <f ca="1">IFERROR(__xludf.DUMMYFUNCTION("""COMPUTED_VALUE"""),"Ainsworth/Cassidy-Marvin")</f>
        <v>Ainsworth/Cassidy-Marvin</v>
      </c>
      <c r="L30">
        <f ca="1">IFERROR(__xludf.DUMMYFUNCTION("""COMPUTED_VALUE"""),0)</f>
        <v>0</v>
      </c>
      <c r="M30">
        <f ca="1">IFERROR(__xludf.DUMMYFUNCTION("""COMPUTED_VALUE"""),0)</f>
        <v>0</v>
      </c>
      <c r="N30">
        <f ca="1">IFERROR(__xludf.DUMMYFUNCTION("""COMPUTED_VALUE"""),0)</f>
        <v>0</v>
      </c>
      <c r="O30">
        <f ca="1">IFERROR(__xludf.DUMMYFUNCTION("""COMPUTED_VALUE"""),0)</f>
        <v>0</v>
      </c>
      <c r="P30">
        <f ca="1">IFERROR(__xludf.DUMMYFUNCTION("""COMPUTED_VALUE"""),0.91)</f>
        <v>0.91</v>
      </c>
      <c r="Q30">
        <f ca="1">IFERROR(__xludf.DUMMYFUNCTION("""COMPUTED_VALUE"""),1)</f>
        <v>1</v>
      </c>
      <c r="R30" t="str">
        <f ca="1">IFERROR(__xludf.DUMMYFUNCTION("""COMPUTED_VALUE"""),"Male")</f>
        <v>Male</v>
      </c>
    </row>
    <row r="31" spans="1:18" ht="12.3">
      <c r="A31">
        <f ca="1">IFERROR(__xludf.DUMMYFUNCTION("""COMPUTED_VALUE"""),33)</f>
        <v>33</v>
      </c>
      <c r="B31" t="str">
        <f ca="1">IFERROR(__xludf.DUMMYFUNCTION("""COMPUTED_VALUE"""),"Stevenson-Hinde &amp; Shouldice (1990)")</f>
        <v>Stevenson-Hinde &amp; Shouldice (1990)</v>
      </c>
      <c r="C31">
        <f ca="1">IFERROR(__xludf.DUMMYFUNCTION("""COMPUTED_VALUE"""),1)</f>
        <v>1</v>
      </c>
      <c r="D31" t="str">
        <f ca="1">IFERROR(__xludf.DUMMYFUNCTION("""COMPUTED_VALUE"""),"Single sample")</f>
        <v>Single sample</v>
      </c>
      <c r="E31" t="str">
        <f ca="1">IFERROR(__xludf.DUMMYFUNCTION("""COMPUTED_VALUE"""),"Toddlerhood - Preschool")</f>
        <v>Toddlerhood - Preschool</v>
      </c>
      <c r="F31" t="str">
        <f ca="1">IFERROR(__xludf.DUMMYFUNCTION("""COMPUTED_VALUE"""),"78")</f>
        <v>78</v>
      </c>
      <c r="G31" t="str">
        <f ca="1">IFERROR(__xludf.DUMMYFUNCTION("""COMPUTED_VALUE"""),"0.4594059406")</f>
        <v>0.4594059406</v>
      </c>
      <c r="H31" t="str">
        <f ca="1">IFERROR(__xludf.DUMMYFUNCTION("""COMPUTED_VALUE"""),"0.7307692308")</f>
        <v>0.7307692308</v>
      </c>
      <c r="I31">
        <f ca="1">IFERROR(__xludf.DUMMYFUNCTION("""COMPUTED_VALUE"""),1990)</f>
        <v>1990</v>
      </c>
      <c r="J31" t="str">
        <f ca="1">IFERROR(__xludf.DUMMYFUNCTION("""COMPUTED_VALUE"""),"Non-USA")</f>
        <v>Non-USA</v>
      </c>
      <c r="K31" t="str">
        <f ca="1">IFERROR(__xludf.DUMMYFUNCTION("""COMPUTED_VALUE"""),"Ainsworth/Cassidy-Marvin")</f>
        <v>Ainsworth/Cassidy-Marvin</v>
      </c>
      <c r="L31">
        <f ca="1">IFERROR(__xludf.DUMMYFUNCTION("""COMPUTED_VALUE"""),1)</f>
        <v>1</v>
      </c>
      <c r="M31">
        <f ca="1">IFERROR(__xludf.DUMMYFUNCTION("""COMPUTED_VALUE"""),0)</f>
        <v>0</v>
      </c>
      <c r="N31">
        <f ca="1">IFERROR(__xludf.DUMMYFUNCTION("""COMPUTED_VALUE"""),0)</f>
        <v>0</v>
      </c>
      <c r="O31">
        <f ca="1">IFERROR(__xludf.DUMMYFUNCTION("""COMPUTED_VALUE"""),1)</f>
        <v>1</v>
      </c>
      <c r="P31">
        <f ca="1">IFERROR(__xludf.DUMMYFUNCTION("""COMPUTED_VALUE"""),0.88)</f>
        <v>0.88</v>
      </c>
      <c r="Q31">
        <f ca="1">IFERROR(__xludf.DUMMYFUNCTION("""COMPUTED_VALUE"""),0)</f>
        <v>0</v>
      </c>
      <c r="R31" t="str">
        <f ca="1">IFERROR(__xludf.DUMMYFUNCTION("""COMPUTED_VALUE"""),"Female")</f>
        <v>Female</v>
      </c>
    </row>
    <row r="32" spans="1:18" ht="12.3">
      <c r="A32">
        <f ca="1">IFERROR(__xludf.DUMMYFUNCTION("""COMPUTED_VALUE"""),35)</f>
        <v>35</v>
      </c>
      <c r="B32" t="str">
        <f ca="1">IFERROR(__xludf.DUMMYFUNCTION("""COMPUTED_VALUE"""),"Wartner et al. (1994) ")</f>
        <v xml:space="preserve">Wartner et al. (1994) </v>
      </c>
      <c r="C32">
        <f ca="1">IFERROR(__xludf.DUMMYFUNCTION("""COMPUTED_VALUE"""),1)</f>
        <v>1</v>
      </c>
      <c r="D32" t="str">
        <f ca="1">IFERROR(__xludf.DUMMYFUNCTION("""COMPUTED_VALUE"""),"Single sample")</f>
        <v>Single sample</v>
      </c>
      <c r="E32" t="str">
        <f ca="1">IFERROR(__xludf.DUMMYFUNCTION("""COMPUTED_VALUE"""),"Infancy - Preschool")</f>
        <v>Infancy - Preschool</v>
      </c>
      <c r="F32" t="str">
        <f ca="1">IFERROR(__xludf.DUMMYFUNCTION("""COMPUTED_VALUE"""),"39")</f>
        <v>39</v>
      </c>
      <c r="G32" t="str">
        <f ca="1">IFERROR(__xludf.DUMMYFUNCTION("""COMPUTED_VALUE"""),"0.7947368421")</f>
        <v>0.7947368421</v>
      </c>
      <c r="H32" t="str">
        <f ca="1">IFERROR(__xludf.DUMMYFUNCTION("""COMPUTED_VALUE"""),"0.8974358974")</f>
        <v>0.8974358974</v>
      </c>
      <c r="I32">
        <f ca="1">IFERROR(__xludf.DUMMYFUNCTION("""COMPUTED_VALUE"""),1994)</f>
        <v>1994</v>
      </c>
      <c r="J32" t="str">
        <f ca="1">IFERROR(__xludf.DUMMYFUNCTION("""COMPUTED_VALUE"""),"Non-USA")</f>
        <v>Non-USA</v>
      </c>
      <c r="K32" t="str">
        <f ca="1">IFERROR(__xludf.DUMMYFUNCTION("""COMPUTED_VALUE"""),"Ainsworth/Main-Cassidy")</f>
        <v>Ainsworth/Main-Cassidy</v>
      </c>
      <c r="L32">
        <f ca="1">IFERROR(__xludf.DUMMYFUNCTION("""COMPUTED_VALUE"""),0)</f>
        <v>0</v>
      </c>
      <c r="M32">
        <f ca="1">IFERROR(__xludf.DUMMYFUNCTION("""COMPUTED_VALUE"""),0)</f>
        <v>0</v>
      </c>
      <c r="N32">
        <f ca="1">IFERROR(__xludf.DUMMYFUNCTION("""COMPUTED_VALUE"""),0)</f>
        <v>0</v>
      </c>
      <c r="O32">
        <f ca="1">IFERROR(__xludf.DUMMYFUNCTION("""COMPUTED_VALUE"""),1)</f>
        <v>1</v>
      </c>
      <c r="P32">
        <f ca="1">IFERROR(__xludf.DUMMYFUNCTION("""COMPUTED_VALUE"""),0.97)</f>
        <v>0.97</v>
      </c>
      <c r="Q32">
        <f ca="1">IFERROR(__xludf.DUMMYFUNCTION("""COMPUTED_VALUE"""),1)</f>
        <v>1</v>
      </c>
      <c r="R32" t="str">
        <f ca="1">IFERROR(__xludf.DUMMYFUNCTION("""COMPUTED_VALUE"""),"Female")</f>
        <v>Female</v>
      </c>
    </row>
    <row r="33" spans="1:18" ht="12.3">
      <c r="A33">
        <f ca="1">IFERROR(__xludf.DUMMYFUNCTION("""COMPUTED_VALUE"""),36)</f>
        <v>36</v>
      </c>
      <c r="B33" t="str">
        <f ca="1">IFERROR(__xludf.DUMMYFUNCTION("""COMPUTED_VALUE"""),"Waters &amp; Valenzuela (1999)")</f>
        <v>Waters &amp; Valenzuela (1999)</v>
      </c>
      <c r="C33">
        <f ca="1">IFERROR(__xludf.DUMMYFUNCTION("""COMPUTED_VALUE"""),1)</f>
        <v>1</v>
      </c>
      <c r="D33" t="str">
        <f ca="1">IFERROR(__xludf.DUMMYFUNCTION("""COMPUTED_VALUE"""),"Well nourished")</f>
        <v>Well nourished</v>
      </c>
      <c r="E33" t="str">
        <f ca="1">IFERROR(__xludf.DUMMYFUNCTION("""COMPUTED_VALUE"""),"Infancy - Toddlerhood")</f>
        <v>Infancy - Toddlerhood</v>
      </c>
      <c r="F33" t="str">
        <f ca="1">IFERROR(__xludf.DUMMYFUNCTION("""COMPUTED_VALUE"""),"34")</f>
        <v>34</v>
      </c>
      <c r="G33" t="str">
        <f ca="1">IFERROR(__xludf.DUMMYFUNCTION("""COMPUTED_VALUE"""),"0.2941176471")</f>
        <v>0.2941176471</v>
      </c>
      <c r="H33" t="str">
        <f ca="1">IFERROR(__xludf.DUMMYFUNCTION("""COMPUTED_VALUE"""),"0.6470588235")</f>
        <v>0.6470588235</v>
      </c>
      <c r="I33">
        <f ca="1">IFERROR(__xludf.DUMMYFUNCTION("""COMPUTED_VALUE"""),1999)</f>
        <v>1999</v>
      </c>
      <c r="J33" t="str">
        <f ca="1">IFERROR(__xludf.DUMMYFUNCTION("""COMPUTED_VALUE"""),"Non-USA")</f>
        <v>Non-USA</v>
      </c>
      <c r="K33" t="str">
        <f ca="1">IFERROR(__xludf.DUMMYFUNCTION("""COMPUTED_VALUE"""),"Ainsworth/Ainsworth")</f>
        <v>Ainsworth/Ainsworth</v>
      </c>
      <c r="L33">
        <f ca="1">IFERROR(__xludf.DUMMYFUNCTION("""COMPUTED_VALUE"""),0)</f>
        <v>0</v>
      </c>
      <c r="M33">
        <f ca="1">IFERROR(__xludf.DUMMYFUNCTION("""COMPUTED_VALUE"""),1)</f>
        <v>1</v>
      </c>
      <c r="N33">
        <f ca="1">IFERROR(__xludf.DUMMYFUNCTION("""COMPUTED_VALUE"""),0)</f>
        <v>0</v>
      </c>
      <c r="O33">
        <f ca="1">IFERROR(__xludf.DUMMYFUNCTION("""COMPUTED_VALUE"""),1)</f>
        <v>1</v>
      </c>
      <c r="P33">
        <f ca="1">IFERROR(__xludf.DUMMYFUNCTION("""COMPUTED_VALUE"""),0.859499999999999)</f>
        <v>0.85949999999999904</v>
      </c>
      <c r="Q33">
        <f ca="1">IFERROR(__xludf.DUMMYFUNCTION("""COMPUTED_VALUE"""),0)</f>
        <v>0</v>
      </c>
      <c r="R33" t="str">
        <f ca="1">IFERROR(__xludf.DUMMYFUNCTION("""COMPUTED_VALUE"""),"Female")</f>
        <v>Female</v>
      </c>
    </row>
    <row r="34" spans="1:18" ht="12.3">
      <c r="A34">
        <f ca="1">IFERROR(__xludf.DUMMYFUNCTION("""COMPUTED_VALUE"""),37)</f>
        <v>37</v>
      </c>
      <c r="B34" t="str">
        <f ca="1">IFERROR(__xludf.DUMMYFUNCTION("""COMPUTED_VALUE"""),"Waters &amp; Valenzuela (1999)")</f>
        <v>Waters &amp; Valenzuela (1999)</v>
      </c>
      <c r="C34">
        <f ca="1">IFERROR(__xludf.DUMMYFUNCTION("""COMPUTED_VALUE"""),1)</f>
        <v>1</v>
      </c>
      <c r="D34" t="str">
        <f ca="1">IFERROR(__xludf.DUMMYFUNCTION("""COMPUTED_VALUE"""),"Undernourished")</f>
        <v>Undernourished</v>
      </c>
      <c r="E34" t="str">
        <f ca="1">IFERROR(__xludf.DUMMYFUNCTION("""COMPUTED_VALUE"""),"Infancy - Toddlerhood")</f>
        <v>Infancy - Toddlerhood</v>
      </c>
      <c r="F34" t="str">
        <f ca="1">IFERROR(__xludf.DUMMYFUNCTION("""COMPUTED_VALUE"""),"37")</f>
        <v>37</v>
      </c>
      <c r="G34" t="str">
        <f ca="1">IFERROR(__xludf.DUMMYFUNCTION("""COMPUTED_VALUE"""),"-0.1425178147")</f>
        <v>-0.1425178147</v>
      </c>
      <c r="H34" t="str">
        <f ca="1">IFERROR(__xludf.DUMMYFUNCTION("""COMPUTED_VALUE"""),"0.6486486486")</f>
        <v>0.6486486486</v>
      </c>
      <c r="I34">
        <f ca="1">IFERROR(__xludf.DUMMYFUNCTION("""COMPUTED_VALUE"""),1999)</f>
        <v>1999</v>
      </c>
      <c r="J34" t="str">
        <f ca="1">IFERROR(__xludf.DUMMYFUNCTION("""COMPUTED_VALUE"""),"Non-USA")</f>
        <v>Non-USA</v>
      </c>
      <c r="K34" t="str">
        <f ca="1">IFERROR(__xludf.DUMMYFUNCTION("""COMPUTED_VALUE"""),"Ainsworth/Ainsworth")</f>
        <v>Ainsworth/Ainsworth</v>
      </c>
      <c r="L34">
        <f ca="1">IFERROR(__xludf.DUMMYFUNCTION("""COMPUTED_VALUE"""),0)</f>
        <v>0</v>
      </c>
      <c r="M34">
        <f ca="1">IFERROR(__xludf.DUMMYFUNCTION("""COMPUTED_VALUE"""),1)</f>
        <v>1</v>
      </c>
      <c r="N34">
        <f ca="1">IFERROR(__xludf.DUMMYFUNCTION("""COMPUTED_VALUE"""),1)</f>
        <v>1</v>
      </c>
      <c r="O34">
        <f ca="1">IFERROR(__xludf.DUMMYFUNCTION("""COMPUTED_VALUE"""),1)</f>
        <v>1</v>
      </c>
      <c r="P34">
        <f ca="1">IFERROR(__xludf.DUMMYFUNCTION("""COMPUTED_VALUE"""),0.859499999999999)</f>
        <v>0.85949999999999904</v>
      </c>
      <c r="Q34">
        <f ca="1">IFERROR(__xludf.DUMMYFUNCTION("""COMPUTED_VALUE"""),0)</f>
        <v>0</v>
      </c>
      <c r="R34" t="str">
        <f ca="1">IFERROR(__xludf.DUMMYFUNCTION("""COMPUTED_VALUE"""),"Female")</f>
        <v>Female</v>
      </c>
    </row>
    <row r="35" spans="1:18" ht="12.3">
      <c r="A35">
        <f ca="1">IFERROR(__xludf.DUMMYFUNCTION("""COMPUTED_VALUE"""),38)</f>
        <v>38</v>
      </c>
      <c r="B35" t="str">
        <f ca="1">IFERROR(__xludf.DUMMYFUNCTION("""COMPUTED_VALUE"""),"Vondra et al. (2001)")</f>
        <v>Vondra et al. (2001)</v>
      </c>
      <c r="C35">
        <f ca="1">IFERROR(__xludf.DUMMYFUNCTION("""COMPUTED_VALUE"""),1)</f>
        <v>1</v>
      </c>
      <c r="D35" t="str">
        <f ca="1">IFERROR(__xludf.DUMMYFUNCTION("""COMPUTED_VALUE"""),"12/24 months (12 month interval)")</f>
        <v>12/24 months (12 month interval)</v>
      </c>
      <c r="E35" t="str">
        <f ca="1">IFERROR(__xludf.DUMMYFUNCTION("""COMPUTED_VALUE"""),"Infancy - Toddlerhood")</f>
        <v>Infancy - Toddlerhood</v>
      </c>
      <c r="F35" t="str">
        <f ca="1">IFERROR(__xludf.DUMMYFUNCTION("""COMPUTED_VALUE"""),"198")</f>
        <v>198</v>
      </c>
      <c r="G35" t="str">
        <f ca="1">IFERROR(__xludf.DUMMYFUNCTION("""COMPUTED_VALUE"""),"0.1391304348")</f>
        <v>0.1391304348</v>
      </c>
      <c r="H35" t="str">
        <f ca="1">IFERROR(__xludf.DUMMYFUNCTION("""COMPUTED_VALUE"""),"0.5606060606")</f>
        <v>0.5606060606</v>
      </c>
      <c r="I35">
        <f ca="1">IFERROR(__xludf.DUMMYFUNCTION("""COMPUTED_VALUE"""),2001)</f>
        <v>2001</v>
      </c>
      <c r="J35" t="str">
        <f ca="1">IFERROR(__xludf.DUMMYFUNCTION("""COMPUTED_VALUE"""),"USA")</f>
        <v>USA</v>
      </c>
      <c r="K35" t="str">
        <f ca="1">IFERROR(__xludf.DUMMYFUNCTION("""COMPUTED_VALUE"""),"Ainsworth/Crittenden")</f>
        <v>Ainsworth/Crittenden</v>
      </c>
      <c r="L35">
        <f ca="1">IFERROR(__xludf.DUMMYFUNCTION("""COMPUTED_VALUE"""),0)</f>
        <v>0</v>
      </c>
      <c r="M35">
        <f ca="1">IFERROR(__xludf.DUMMYFUNCTION("""COMPUTED_VALUE"""),1)</f>
        <v>1</v>
      </c>
      <c r="N35">
        <f ca="1">IFERROR(__xludf.DUMMYFUNCTION("""COMPUTED_VALUE"""),0)</f>
        <v>0</v>
      </c>
      <c r="O35">
        <f ca="1">IFERROR(__xludf.DUMMYFUNCTION("""COMPUTED_VALUE"""),1)</f>
        <v>1</v>
      </c>
      <c r="P35">
        <f ca="1">IFERROR(__xludf.DUMMYFUNCTION("""COMPUTED_VALUE"""),0.695)</f>
        <v>0.69499999999999995</v>
      </c>
      <c r="Q35">
        <f ca="1">IFERROR(__xludf.DUMMYFUNCTION("""COMPUTED_VALUE"""),0)</f>
        <v>0</v>
      </c>
      <c r="R35" t="str">
        <f ca="1">IFERROR(__xludf.DUMMYFUNCTION("""COMPUTED_VALUE"""),"Female")</f>
        <v>Female</v>
      </c>
    </row>
    <row r="36" spans="1:18" ht="12.3">
      <c r="A36">
        <f ca="1">IFERROR(__xludf.DUMMYFUNCTION("""COMPUTED_VALUE"""),38)</f>
        <v>38</v>
      </c>
      <c r="B36" t="str">
        <f ca="1">IFERROR(__xludf.DUMMYFUNCTION("""COMPUTED_VALUE"""),"Vondra et al. (2001)")</f>
        <v>Vondra et al. (2001)</v>
      </c>
      <c r="C36">
        <f ca="1">IFERROR(__xludf.DUMMYFUNCTION("""COMPUTED_VALUE"""),2)</f>
        <v>2</v>
      </c>
      <c r="D36" t="str">
        <f ca="1">IFERROR(__xludf.DUMMYFUNCTION("""COMPUTED_VALUE"""),"12/18 months (6 month interval)")</f>
        <v>12/18 months (6 month interval)</v>
      </c>
      <c r="E36" t="str">
        <f ca="1">IFERROR(__xludf.DUMMYFUNCTION("""COMPUTED_VALUE"""),"Infancy - Infancy")</f>
        <v>Infancy - Infancy</v>
      </c>
      <c r="F36" t="str">
        <f ca="1">IFERROR(__xludf.DUMMYFUNCTION("""COMPUTED_VALUE"""),"195")</f>
        <v>195</v>
      </c>
      <c r="G36" t="str">
        <f ca="1">IFERROR(__xludf.DUMMYFUNCTION("""COMPUTED_VALUE"""),"0.2198357549")</f>
        <v>0.2198357549</v>
      </c>
      <c r="H36" t="str">
        <f ca="1">IFERROR(__xludf.DUMMYFUNCTION("""COMPUTED_VALUE"""),"0.6102564103")</f>
        <v>0.6102564103</v>
      </c>
      <c r="I36">
        <f ca="1">IFERROR(__xludf.DUMMYFUNCTION("""COMPUTED_VALUE"""),2001)</f>
        <v>2001</v>
      </c>
      <c r="J36" t="str">
        <f ca="1">IFERROR(__xludf.DUMMYFUNCTION("""COMPUTED_VALUE"""),"USA")</f>
        <v>USA</v>
      </c>
      <c r="K36" t="str">
        <f ca="1">IFERROR(__xludf.DUMMYFUNCTION("""COMPUTED_VALUE"""),"Ainsworth/Ainsworth")</f>
        <v>Ainsworth/Ainsworth</v>
      </c>
      <c r="L36">
        <f ca="1">IFERROR(__xludf.DUMMYFUNCTION("""COMPUTED_VALUE"""),1)</f>
        <v>1</v>
      </c>
      <c r="M36">
        <f ca="1">IFERROR(__xludf.DUMMYFUNCTION("""COMPUTED_VALUE"""),1)</f>
        <v>1</v>
      </c>
      <c r="N36">
        <f ca="1">IFERROR(__xludf.DUMMYFUNCTION("""COMPUTED_VALUE"""),0)</f>
        <v>0</v>
      </c>
      <c r="O36">
        <f ca="1">IFERROR(__xludf.DUMMYFUNCTION("""COMPUTED_VALUE"""),1)</f>
        <v>1</v>
      </c>
      <c r="P36">
        <f ca="1">IFERROR(__xludf.DUMMYFUNCTION("""COMPUTED_VALUE"""),0.77)</f>
        <v>0.77</v>
      </c>
      <c r="Q36">
        <f ca="1">IFERROR(__xludf.DUMMYFUNCTION("""COMPUTED_VALUE"""),0)</f>
        <v>0</v>
      </c>
      <c r="R36" t="str">
        <f ca="1">IFERROR(__xludf.DUMMYFUNCTION("""COMPUTED_VALUE"""),"Female")</f>
        <v>Female</v>
      </c>
    </row>
    <row r="37" spans="1:18" ht="12.3">
      <c r="A37">
        <f ca="1">IFERROR(__xludf.DUMMYFUNCTION("""COMPUTED_VALUE"""),39)</f>
        <v>39</v>
      </c>
      <c r="B37" t="str">
        <f ca="1">IFERROR(__xludf.DUMMYFUNCTION("""COMPUTED_VALUE"""),"Xue (2010)")</f>
        <v>Xue (2010)</v>
      </c>
      <c r="C37">
        <f ca="1">IFERROR(__xludf.DUMMYFUNCTION("""COMPUTED_VALUE"""),1)</f>
        <v>1</v>
      </c>
      <c r="D37" t="str">
        <f ca="1">IFERROR(__xludf.DUMMYFUNCTION("""COMPUTED_VALUE"""),"13/42 months (29 month interval)")</f>
        <v>13/42 months (29 month interval)</v>
      </c>
      <c r="E37" t="str">
        <f ca="1">IFERROR(__xludf.DUMMYFUNCTION("""COMPUTED_VALUE"""),"Infancy - Preschool")</f>
        <v>Infancy - Preschool</v>
      </c>
      <c r="F37" t="str">
        <f ca="1">IFERROR(__xludf.DUMMYFUNCTION("""COMPUTED_VALUE"""),"46")</f>
        <v>46</v>
      </c>
      <c r="G37" t="str">
        <f ca="1">IFERROR(__xludf.DUMMYFUNCTION("""COMPUTED_VALUE"""),"0.1497227357")</f>
        <v>0.1497227357</v>
      </c>
      <c r="H37" t="str">
        <f ca="1">IFERROR(__xludf.DUMMYFUNCTION("""COMPUTED_VALUE"""),"0.5652173913")</f>
        <v>0.5652173913</v>
      </c>
      <c r="I37">
        <f ca="1">IFERROR(__xludf.DUMMYFUNCTION("""COMPUTED_VALUE"""),2010)</f>
        <v>2010</v>
      </c>
      <c r="J37" t="str">
        <f ca="1">IFERROR(__xludf.DUMMYFUNCTION("""COMPUTED_VALUE"""),"Non-USA")</f>
        <v>Non-USA</v>
      </c>
      <c r="K37" t="str">
        <f ca="1">IFERROR(__xludf.DUMMYFUNCTION("""COMPUTED_VALUE"""),"Ainsworth/Cassidy-Marvin")</f>
        <v>Ainsworth/Cassidy-Marvin</v>
      </c>
      <c r="L37">
        <f ca="1">IFERROR(__xludf.DUMMYFUNCTION("""COMPUTED_VALUE"""),0)</f>
        <v>0</v>
      </c>
      <c r="M37">
        <f ca="1">IFERROR(__xludf.DUMMYFUNCTION("""COMPUTED_VALUE"""),0)</f>
        <v>0</v>
      </c>
      <c r="N37">
        <f ca="1">IFERROR(__xludf.DUMMYFUNCTION("""COMPUTED_VALUE"""),0)</f>
        <v>0</v>
      </c>
      <c r="O37">
        <f ca="1">IFERROR(__xludf.DUMMYFUNCTION("""COMPUTED_VALUE"""),0)</f>
        <v>0</v>
      </c>
      <c r="P37">
        <f ca="1">IFERROR(__xludf.DUMMYFUNCTION("""COMPUTED_VALUE"""),0.89)</f>
        <v>0.89</v>
      </c>
      <c r="Q37">
        <f ca="1">IFERROR(__xludf.DUMMYFUNCTION("""COMPUTED_VALUE"""),0)</f>
        <v>0</v>
      </c>
      <c r="R37" t="str">
        <f ca="1">IFERROR(__xludf.DUMMYFUNCTION("""COMPUTED_VALUE"""),"Female")</f>
        <v>Female</v>
      </c>
    </row>
    <row r="38" spans="1:18" ht="12.3">
      <c r="A38">
        <f ca="1">IFERROR(__xludf.DUMMYFUNCTION("""COMPUTED_VALUE"""),41)</f>
        <v>41</v>
      </c>
      <c r="B38" t="str">
        <f ca="1">IFERROR(__xludf.DUMMYFUNCTION("""COMPUTED_VALUE"""),"Toth et al. (2006)")</f>
        <v>Toth et al. (2006)</v>
      </c>
      <c r="C38">
        <f ca="1">IFERROR(__xludf.DUMMYFUNCTION("""COMPUTED_VALUE"""),1)</f>
        <v>1</v>
      </c>
      <c r="D38" t="str">
        <f ca="1">IFERROR(__xludf.DUMMYFUNCTION("""COMPUTED_VALUE"""),"Non-depressed control")</f>
        <v>Non-depressed control</v>
      </c>
      <c r="E38" t="str">
        <f ca="1">IFERROR(__xludf.DUMMYFUNCTION("""COMPUTED_VALUE"""),"Toddlerhood - Preschool")</f>
        <v>Toddlerhood - Preschool</v>
      </c>
      <c r="F38" t="str">
        <f ca="1">IFERROR(__xludf.DUMMYFUNCTION("""COMPUTED_VALUE"""),"63")</f>
        <v>63</v>
      </c>
      <c r="G38" t="str">
        <f ca="1">IFERROR(__xludf.DUMMYFUNCTION("""COMPUTED_VALUE"""),"0.3042168675")</f>
        <v>0.3042168675</v>
      </c>
      <c r="H38" t="str">
        <f ca="1">IFERROR(__xludf.DUMMYFUNCTION("""COMPUTED_VALUE"""),"0.6507936508")</f>
        <v>0.6507936508</v>
      </c>
      <c r="I38">
        <f ca="1">IFERROR(__xludf.DUMMYFUNCTION("""COMPUTED_VALUE"""),2006)</f>
        <v>2006</v>
      </c>
      <c r="J38" t="str">
        <f ca="1">IFERROR(__xludf.DUMMYFUNCTION("""COMPUTED_VALUE"""),"USA")</f>
        <v>USA</v>
      </c>
      <c r="K38" t="str">
        <f ca="1">IFERROR(__xludf.DUMMYFUNCTION("""COMPUTED_VALUE"""),"Ainsworth/Cassidy-Marvin")</f>
        <v>Ainsworth/Cassidy-Marvin</v>
      </c>
      <c r="L38">
        <f ca="1">IFERROR(__xludf.DUMMYFUNCTION("""COMPUTED_VALUE"""),0)</f>
        <v>0</v>
      </c>
      <c r="M38">
        <f ca="1">IFERROR(__xludf.DUMMYFUNCTION("""COMPUTED_VALUE"""),0)</f>
        <v>0</v>
      </c>
      <c r="N38">
        <f ca="1">IFERROR(__xludf.DUMMYFUNCTION("""COMPUTED_VALUE"""),0)</f>
        <v>0</v>
      </c>
      <c r="O38">
        <f ca="1">IFERROR(__xludf.DUMMYFUNCTION("""COMPUTED_VALUE"""),1)</f>
        <v>1</v>
      </c>
      <c r="P38">
        <f ca="1">IFERROR(__xludf.DUMMYFUNCTION("""COMPUTED_VALUE"""),0.919999999999999)</f>
        <v>0.91999999999999904</v>
      </c>
      <c r="Q38">
        <f ca="1">IFERROR(__xludf.DUMMYFUNCTION("""COMPUTED_VALUE"""),0)</f>
        <v>0</v>
      </c>
      <c r="R38" t="str">
        <f ca="1">IFERROR(__xludf.DUMMYFUNCTION("""COMPUTED_VALUE"""),"Female")</f>
        <v>Female</v>
      </c>
    </row>
    <row r="39" spans="1:18" ht="12.3">
      <c r="A39">
        <f ca="1">IFERROR(__xludf.DUMMYFUNCTION("""COMPUTED_VALUE"""),42)</f>
        <v>42</v>
      </c>
      <c r="B39" t="str">
        <f ca="1">IFERROR(__xludf.DUMMYFUNCTION("""COMPUTED_VALUE"""),"Toth et al. (2006)")</f>
        <v>Toth et al. (2006)</v>
      </c>
      <c r="C39">
        <f ca="1">IFERROR(__xludf.DUMMYFUNCTION("""COMPUTED_VALUE"""),1)</f>
        <v>1</v>
      </c>
      <c r="D39" t="str">
        <f ca="1">IFERROR(__xludf.DUMMYFUNCTION("""COMPUTED_VALUE"""),"Depressed control")</f>
        <v>Depressed control</v>
      </c>
      <c r="E39" t="str">
        <f ca="1">IFERROR(__xludf.DUMMYFUNCTION("""COMPUTED_VALUE"""),"Toddlerhood - Preschool")</f>
        <v>Toddlerhood - Preschool</v>
      </c>
      <c r="F39" t="str">
        <f ca="1">IFERROR(__xludf.DUMMYFUNCTION("""COMPUTED_VALUE"""),"54")</f>
        <v>54</v>
      </c>
      <c r="G39" t="str">
        <f ca="1">IFERROR(__xludf.DUMMYFUNCTION("""COMPUTED_VALUE"""),"0.387755102")</f>
        <v>0.387755102</v>
      </c>
      <c r="H39" t="str">
        <f ca="1">IFERROR(__xludf.DUMMYFUNCTION("""COMPUTED_VALUE"""),"0.8148148148")</f>
        <v>0.8148148148</v>
      </c>
      <c r="I39">
        <f ca="1">IFERROR(__xludf.DUMMYFUNCTION("""COMPUTED_VALUE"""),2006)</f>
        <v>2006</v>
      </c>
      <c r="J39" t="str">
        <f ca="1">IFERROR(__xludf.DUMMYFUNCTION("""COMPUTED_VALUE"""),"USA")</f>
        <v>USA</v>
      </c>
      <c r="K39" t="str">
        <f ca="1">IFERROR(__xludf.DUMMYFUNCTION("""COMPUTED_VALUE"""),"Ainsworth/Cassidy-Marvin")</f>
        <v>Ainsworth/Cassidy-Marvin</v>
      </c>
      <c r="L39">
        <f ca="1">IFERROR(__xludf.DUMMYFUNCTION("""COMPUTED_VALUE"""),0)</f>
        <v>0</v>
      </c>
      <c r="M39">
        <f ca="1">IFERROR(__xludf.DUMMYFUNCTION("""COMPUTED_VALUE"""),1)</f>
        <v>1</v>
      </c>
      <c r="N39">
        <f ca="1">IFERROR(__xludf.DUMMYFUNCTION("""COMPUTED_VALUE"""),0)</f>
        <v>0</v>
      </c>
      <c r="O39">
        <f ca="1">IFERROR(__xludf.DUMMYFUNCTION("""COMPUTED_VALUE"""),1)</f>
        <v>1</v>
      </c>
      <c r="P39">
        <f ca="1">IFERROR(__xludf.DUMMYFUNCTION("""COMPUTED_VALUE"""),0.919999999999999)</f>
        <v>0.91999999999999904</v>
      </c>
      <c r="Q39">
        <f ca="1">IFERROR(__xludf.DUMMYFUNCTION("""COMPUTED_VALUE"""),0)</f>
        <v>0</v>
      </c>
      <c r="R39" t="str">
        <f ca="1">IFERROR(__xludf.DUMMYFUNCTION("""COMPUTED_VALUE"""),"Female")</f>
        <v>Female</v>
      </c>
    </row>
    <row r="40" spans="1:18" ht="12.3">
      <c r="A40">
        <f ca="1">IFERROR(__xludf.DUMMYFUNCTION("""COMPUTED_VALUE"""),43)</f>
        <v>43</v>
      </c>
      <c r="B40" t="str">
        <f ca="1">IFERROR(__xludf.DUMMYFUNCTION("""COMPUTED_VALUE"""),"Kreppner et al. (2011)")</f>
        <v>Kreppner et al. (2011)</v>
      </c>
      <c r="C40">
        <f ca="1">IFERROR(__xludf.DUMMYFUNCTION("""COMPUTED_VALUE"""),1)</f>
        <v>1</v>
      </c>
      <c r="D40" t="str">
        <f ca="1">IFERROR(__xludf.DUMMYFUNCTION("""COMPUTED_VALUE"""),"Family care &lt; 6 mo")</f>
        <v>Family care &lt; 6 mo</v>
      </c>
      <c r="E40" t="str">
        <f ca="1">IFERROR(__xludf.DUMMYFUNCTION("""COMPUTED_VALUE"""),"Preschool - Preschool")</f>
        <v>Preschool - Preschool</v>
      </c>
      <c r="F40" t="str">
        <f ca="1">IFERROR(__xludf.DUMMYFUNCTION("""COMPUTED_VALUE"""),"106")</f>
        <v>106</v>
      </c>
      <c r="G40" t="str">
        <f ca="1">IFERROR(__xludf.DUMMYFUNCTION("""COMPUTED_VALUE"""),"0.2324267043")</f>
        <v>0.2324267043</v>
      </c>
      <c r="H40" t="str">
        <f ca="1">IFERROR(__xludf.DUMMYFUNCTION("""COMPUTED_VALUE"""),"0.6132075472")</f>
        <v>0.6132075472</v>
      </c>
      <c r="I40">
        <f ca="1">IFERROR(__xludf.DUMMYFUNCTION("""COMPUTED_VALUE"""),2011)</f>
        <v>2011</v>
      </c>
      <c r="J40" t="str">
        <f ca="1">IFERROR(__xludf.DUMMYFUNCTION("""COMPUTED_VALUE"""),"Non-USA")</f>
        <v>Non-USA</v>
      </c>
      <c r="K40" t="str">
        <f ca="1">IFERROR(__xludf.DUMMYFUNCTION("""COMPUTED_VALUE"""),"Cassidy-Marvin/Cassidy-Marvin")</f>
        <v>Cassidy-Marvin/Cassidy-Marvin</v>
      </c>
      <c r="L40">
        <f ca="1">IFERROR(__xludf.DUMMYFUNCTION("""COMPUTED_VALUE"""),0)</f>
        <v>0</v>
      </c>
      <c r="M40">
        <f ca="1">IFERROR(__xludf.DUMMYFUNCTION("""COMPUTED_VALUE"""),0)</f>
        <v>0</v>
      </c>
      <c r="N40">
        <f ca="1">IFERROR(__xludf.DUMMYFUNCTION("""COMPUTED_VALUE"""),0)</f>
        <v>0</v>
      </c>
      <c r="O40">
        <f ca="1">IFERROR(__xludf.DUMMYFUNCTION("""COMPUTED_VALUE"""),1)</f>
        <v>1</v>
      </c>
      <c r="P40">
        <f ca="1">IFERROR(__xludf.DUMMYFUNCTION("""COMPUTED_VALUE"""),0.818814524741901)</f>
        <v>0.81881452474190097</v>
      </c>
      <c r="Q40">
        <f ca="1">IFERROR(__xludf.DUMMYFUNCTION("""COMPUTED_VALUE"""),0)</f>
        <v>0</v>
      </c>
      <c r="R40" t="str">
        <f ca="1">IFERROR(__xludf.DUMMYFUNCTION("""COMPUTED_VALUE"""),"Female")</f>
        <v>Female</v>
      </c>
    </row>
    <row r="41" spans="1:18" ht="12.3">
      <c r="A41">
        <f ca="1">IFERROR(__xludf.DUMMYFUNCTION("""COMPUTED_VALUE"""),44)</f>
        <v>44</v>
      </c>
      <c r="B41" t="str">
        <f ca="1">IFERROR(__xludf.DUMMYFUNCTION("""COMPUTED_VALUE"""),"Kreppner et al. (2011)")</f>
        <v>Kreppner et al. (2011)</v>
      </c>
      <c r="C41">
        <f ca="1">IFERROR(__xludf.DUMMYFUNCTION("""COMPUTED_VALUE"""),1)</f>
        <v>1</v>
      </c>
      <c r="D41" t="str">
        <f ca="1">IFERROR(__xludf.DUMMYFUNCTION("""COMPUTED_VALUE"""),"Institutionalised &gt; 6 mo")</f>
        <v>Institutionalised &gt; 6 mo</v>
      </c>
      <c r="E41" t="str">
        <f ca="1">IFERROR(__xludf.DUMMYFUNCTION("""COMPUTED_VALUE"""),"Preschool - Preschool")</f>
        <v>Preschool - Preschool</v>
      </c>
      <c r="F41" t="str">
        <f ca="1">IFERROR(__xludf.DUMMYFUNCTION("""COMPUTED_VALUE"""),"31")</f>
        <v>31</v>
      </c>
      <c r="G41" t="str">
        <f ca="1">IFERROR(__xludf.DUMMYFUNCTION("""COMPUTED_VALUE"""),"0.1988071571")</f>
        <v>0.1988071571</v>
      </c>
      <c r="H41" t="str">
        <f ca="1">IFERROR(__xludf.DUMMYFUNCTION("""COMPUTED_VALUE"""),"0.5806451613")</f>
        <v>0.5806451613</v>
      </c>
      <c r="I41">
        <f ca="1">IFERROR(__xludf.DUMMYFUNCTION("""COMPUTED_VALUE"""),2011)</f>
        <v>2011</v>
      </c>
      <c r="J41" t="str">
        <f ca="1">IFERROR(__xludf.DUMMYFUNCTION("""COMPUTED_VALUE"""),"Non-USA")</f>
        <v>Non-USA</v>
      </c>
      <c r="K41" t="str">
        <f ca="1">IFERROR(__xludf.DUMMYFUNCTION("""COMPUTED_VALUE"""),"Cassidy-Marvin/Cassidy-Marvin")</f>
        <v>Cassidy-Marvin/Cassidy-Marvin</v>
      </c>
      <c r="L41">
        <f ca="1">IFERROR(__xludf.DUMMYFUNCTION("""COMPUTED_VALUE"""),0)</f>
        <v>0</v>
      </c>
      <c r="M41">
        <f ca="1">IFERROR(__xludf.DUMMYFUNCTION("""COMPUTED_VALUE"""),1)</f>
        <v>1</v>
      </c>
      <c r="N41">
        <f ca="1">IFERROR(__xludf.DUMMYFUNCTION("""COMPUTED_VALUE"""),0)</f>
        <v>0</v>
      </c>
      <c r="O41">
        <f ca="1">IFERROR(__xludf.DUMMYFUNCTION("""COMPUTED_VALUE"""),1)</f>
        <v>1</v>
      </c>
      <c r="P41">
        <f ca="1">IFERROR(__xludf.DUMMYFUNCTION("""COMPUTED_VALUE"""),0.810790842872008)</f>
        <v>0.81079084287200798</v>
      </c>
      <c r="Q41">
        <f ca="1">IFERROR(__xludf.DUMMYFUNCTION("""COMPUTED_VALUE"""),0)</f>
        <v>0</v>
      </c>
      <c r="R41" t="str">
        <f ca="1">IFERROR(__xludf.DUMMYFUNCTION("""COMPUTED_VALUE"""),"Female")</f>
        <v>Female</v>
      </c>
    </row>
    <row r="42" spans="1:18" ht="12.3">
      <c r="A42">
        <f ca="1">IFERROR(__xludf.DUMMYFUNCTION("""COMPUTED_VALUE"""),52)</f>
        <v>52</v>
      </c>
      <c r="B42" t="str">
        <f ca="1">IFERROR(__xludf.DUMMYFUNCTION("""COMPUTED_VALUE"""),"Meins, Bureau &amp; Fernyhough (2017)")</f>
        <v>Meins, Bureau &amp; Fernyhough (2017)</v>
      </c>
      <c r="C42">
        <f ca="1">IFERROR(__xludf.DUMMYFUNCTION("""COMPUTED_VALUE"""),1)</f>
        <v>1</v>
      </c>
      <c r="D42" t="str">
        <f ca="1">IFERROR(__xludf.DUMMYFUNCTION("""COMPUTED_VALUE"""),"Mother-child")</f>
        <v>Mother-child</v>
      </c>
      <c r="E42" t="str">
        <f ca="1">IFERROR(__xludf.DUMMYFUNCTION("""COMPUTED_VALUE"""),"Infancy - Preschool")</f>
        <v>Infancy - Preschool</v>
      </c>
      <c r="F42" t="str">
        <f ca="1">IFERROR(__xludf.DUMMYFUNCTION("""COMPUTED_VALUE"""),"164")</f>
        <v>164</v>
      </c>
      <c r="G42" t="str">
        <f ca="1">IFERROR(__xludf.DUMMYFUNCTION("""COMPUTED_VALUE"""),"0.3399149453")</f>
        <v>0.3399149453</v>
      </c>
      <c r="H42" t="str">
        <f ca="1">IFERROR(__xludf.DUMMYFUNCTION("""COMPUTED_VALUE"""),"0.6768292683")</f>
        <v>0.6768292683</v>
      </c>
      <c r="I42">
        <f ca="1">IFERROR(__xludf.DUMMYFUNCTION("""COMPUTED_VALUE"""),2017)</f>
        <v>2017</v>
      </c>
      <c r="J42" t="str">
        <f ca="1">IFERROR(__xludf.DUMMYFUNCTION("""COMPUTED_VALUE"""),"Non-USA")</f>
        <v>Non-USA</v>
      </c>
      <c r="K42" t="str">
        <f ca="1">IFERROR(__xludf.DUMMYFUNCTION("""COMPUTED_VALUE"""),"Ainsworth/Cassidy-Marvin")</f>
        <v>Ainsworth/Cassidy-Marvin</v>
      </c>
      <c r="L42">
        <f ca="1">IFERROR(__xludf.DUMMYFUNCTION("""COMPUTED_VALUE"""),0)</f>
        <v>0</v>
      </c>
      <c r="M42">
        <f ca="1">IFERROR(__xludf.DUMMYFUNCTION("""COMPUTED_VALUE"""),0)</f>
        <v>0</v>
      </c>
      <c r="N42">
        <f ca="1">IFERROR(__xludf.DUMMYFUNCTION("""COMPUTED_VALUE"""),0)</f>
        <v>0</v>
      </c>
      <c r="O42">
        <f ca="1">IFERROR(__xludf.DUMMYFUNCTION("""COMPUTED_VALUE"""),1)</f>
        <v>1</v>
      </c>
      <c r="P42">
        <f ca="1">IFERROR(__xludf.DUMMYFUNCTION("""COMPUTED_VALUE"""),0.877286585365853)</f>
        <v>0.87728658536585302</v>
      </c>
      <c r="Q42">
        <f ca="1">IFERROR(__xludf.DUMMYFUNCTION("""COMPUTED_VALUE"""),0)</f>
        <v>0</v>
      </c>
      <c r="R42" t="str">
        <f ca="1">IFERROR(__xludf.DUMMYFUNCTION("""COMPUTED_VALUE"""),"Female")</f>
        <v>Female</v>
      </c>
    </row>
    <row r="43" spans="1:18" ht="12.3">
      <c r="A43">
        <f ca="1">IFERROR(__xludf.DUMMYFUNCTION("""COMPUTED_VALUE"""),52)</f>
        <v>52</v>
      </c>
      <c r="B43" t="str">
        <f ca="1">IFERROR(__xludf.DUMMYFUNCTION("""COMPUTED_VALUE"""),"Meins, Bureau &amp; Fernyhough (2017)")</f>
        <v>Meins, Bureau &amp; Fernyhough (2017)</v>
      </c>
      <c r="C43">
        <f ca="1">IFERROR(__xludf.DUMMYFUNCTION("""COMPUTED_VALUE"""),2)</f>
        <v>2</v>
      </c>
      <c r="D43" t="str">
        <f ca="1">IFERROR(__xludf.DUMMYFUNCTION("""COMPUTED_VALUE"""),"Mother-child")</f>
        <v>Mother-child</v>
      </c>
      <c r="E43" t="str">
        <f ca="1">IFERROR(__xludf.DUMMYFUNCTION("""COMPUTED_VALUE"""),"Infancy - Preschool")</f>
        <v>Infancy - Preschool</v>
      </c>
      <c r="F43" t="str">
        <f ca="1">IFERROR(__xludf.DUMMYFUNCTION("""COMPUTED_VALUE"""),"128")</f>
        <v>128</v>
      </c>
      <c r="G43" t="str">
        <f ca="1">IFERROR(__xludf.DUMMYFUNCTION("""COMPUTED_VALUE"""),"0.2239422085")</f>
        <v>0.2239422085</v>
      </c>
      <c r="H43" t="str">
        <f ca="1">IFERROR(__xludf.DUMMYFUNCTION("""COMPUTED_VALUE"""),"0.6328125")</f>
        <v>0.6328125</v>
      </c>
      <c r="I43">
        <f ca="1">IFERROR(__xludf.DUMMYFUNCTION("""COMPUTED_VALUE"""),2017)</f>
        <v>2017</v>
      </c>
      <c r="J43" t="str">
        <f ca="1">IFERROR(__xludf.DUMMYFUNCTION("""COMPUTED_VALUE"""),"Non-USA")</f>
        <v>Non-USA</v>
      </c>
      <c r="K43" t="str">
        <f ca="1">IFERROR(__xludf.DUMMYFUNCTION("""COMPUTED_VALUE"""),"Ainsworth/Cassidy-Marvin")</f>
        <v>Ainsworth/Cassidy-Marvin</v>
      </c>
      <c r="L43">
        <f ca="1">IFERROR(__xludf.DUMMYFUNCTION("""COMPUTED_VALUE"""),0)</f>
        <v>0</v>
      </c>
      <c r="M43">
        <f ca="1">IFERROR(__xludf.DUMMYFUNCTION("""COMPUTED_VALUE"""),0)</f>
        <v>0</v>
      </c>
      <c r="N43">
        <f ca="1">IFERROR(__xludf.DUMMYFUNCTION("""COMPUTED_VALUE"""),0)</f>
        <v>0</v>
      </c>
      <c r="O43">
        <f ca="1">IFERROR(__xludf.DUMMYFUNCTION("""COMPUTED_VALUE"""),1)</f>
        <v>1</v>
      </c>
      <c r="P43">
        <f ca="1">IFERROR(__xludf.DUMMYFUNCTION("""COMPUTED_VALUE"""),0.86837890625)</f>
        <v>0.86837890625000003</v>
      </c>
      <c r="Q43">
        <f ca="1">IFERROR(__xludf.DUMMYFUNCTION("""COMPUTED_VALUE"""),0)</f>
        <v>0</v>
      </c>
      <c r="R43" t="str">
        <f ca="1">IFERROR(__xludf.DUMMYFUNCTION("""COMPUTED_VALUE"""),"Female")</f>
        <v>Female</v>
      </c>
    </row>
    <row r="44" spans="1:18" ht="12.3">
      <c r="A44">
        <f ca="1">IFERROR(__xludf.DUMMYFUNCTION("""COMPUTED_VALUE"""),55)</f>
        <v>55</v>
      </c>
      <c r="B44" t="str">
        <f ca="1">IFERROR(__xludf.DUMMYFUNCTION("""COMPUTED_VALUE"""),"Ziegenhain &amp; Wolff (2000)")</f>
        <v>Ziegenhain &amp; Wolff (2000)</v>
      </c>
      <c r="C44">
        <f ca="1">IFERROR(__xludf.DUMMYFUNCTION("""COMPUTED_VALUE"""),1)</f>
        <v>1</v>
      </c>
      <c r="D44" t="str">
        <f ca="1">IFERROR(__xludf.DUMMYFUNCTION("""COMPUTED_VALUE"""),"Mother-child")</f>
        <v>Mother-child</v>
      </c>
      <c r="E44" t="str">
        <f ca="1">IFERROR(__xludf.DUMMYFUNCTION("""COMPUTED_VALUE"""),"Infancy - Infancy")</f>
        <v>Infancy - Infancy</v>
      </c>
      <c r="F44" t="str">
        <f ca="1">IFERROR(__xludf.DUMMYFUNCTION("""COMPUTED_VALUE"""),"35")</f>
        <v>35</v>
      </c>
      <c r="G44" t="str">
        <f ca="1">IFERROR(__xludf.DUMMYFUNCTION("""COMPUTED_VALUE"""),"0.2553191489")</f>
        <v>0.2553191489</v>
      </c>
      <c r="H44" t="str">
        <f ca="1">IFERROR(__xludf.DUMMYFUNCTION("""COMPUTED_VALUE"""),"0.6285714286")</f>
        <v>0.6285714286</v>
      </c>
      <c r="I44">
        <f ca="1">IFERROR(__xludf.DUMMYFUNCTION("""COMPUTED_VALUE"""),2000)</f>
        <v>2000</v>
      </c>
      <c r="J44" t="str">
        <f ca="1">IFERROR(__xludf.DUMMYFUNCTION("""COMPUTED_VALUE"""),"Non-USA")</f>
        <v>Non-USA</v>
      </c>
      <c r="K44" t="str">
        <f ca="1">IFERROR(__xludf.DUMMYFUNCTION("""COMPUTED_VALUE"""),"Ainsworth/Ainsworth")</f>
        <v>Ainsworth/Ainsworth</v>
      </c>
      <c r="L44">
        <f ca="1">IFERROR(__xludf.DUMMYFUNCTION("""COMPUTED_VALUE"""),1)</f>
        <v>1</v>
      </c>
      <c r="M44">
        <f ca="1">IFERROR(__xludf.DUMMYFUNCTION("""COMPUTED_VALUE"""),0)</f>
        <v>0</v>
      </c>
      <c r="N44">
        <f ca="1">IFERROR(__xludf.DUMMYFUNCTION("""COMPUTED_VALUE"""),0)</f>
        <v>0</v>
      </c>
      <c r="O44">
        <f ca="1">IFERROR(__xludf.DUMMYFUNCTION("""COMPUTED_VALUE"""),1)</f>
        <v>1</v>
      </c>
      <c r="P44" t="str">
        <f ca="1">IFERROR(__xludf.DUMMYFUNCTION("""COMPUTED_VALUE"""),"")</f>
        <v/>
      </c>
      <c r="Q44">
        <f ca="1">IFERROR(__xludf.DUMMYFUNCTION("""COMPUTED_VALUE"""),0)</f>
        <v>0</v>
      </c>
      <c r="R44" t="str">
        <f ca="1">IFERROR(__xludf.DUMMYFUNCTION("""COMPUTED_VALUE"""),"Female")</f>
        <v>Female</v>
      </c>
    </row>
    <row r="45" spans="1:18" ht="12.3">
      <c r="A45">
        <f ca="1">IFERROR(__xludf.DUMMYFUNCTION("""COMPUTED_VALUE"""),56)</f>
        <v>56</v>
      </c>
      <c r="B45" t="str">
        <f ca="1">IFERROR(__xludf.DUMMYFUNCTION("""COMPUTED_VALUE"""),"Edwards et al. (2004)")</f>
        <v>Edwards et al. (2004)</v>
      </c>
      <c r="C45">
        <f ca="1">IFERROR(__xludf.DUMMYFUNCTION("""COMPUTED_VALUE"""),1)</f>
        <v>1</v>
      </c>
      <c r="D45" t="str">
        <f ca="1">IFERROR(__xludf.DUMMYFUNCTION("""COMPUTED_VALUE"""),"Mother-child")</f>
        <v>Mother-child</v>
      </c>
      <c r="E45" t="str">
        <f ca="1">IFERROR(__xludf.DUMMYFUNCTION("""COMPUTED_VALUE"""),"Infancy - Infancy")</f>
        <v>Infancy - Infancy</v>
      </c>
      <c r="F45" t="str">
        <f ca="1">IFERROR(__xludf.DUMMYFUNCTION("""COMPUTED_VALUE"""),"217")</f>
        <v>217</v>
      </c>
      <c r="G45" t="str">
        <f ca="1">IFERROR(__xludf.DUMMYFUNCTION("""COMPUTED_VALUE"""),"0.2586231104")</f>
        <v>0.2586231104</v>
      </c>
      <c r="H45" t="str">
        <f ca="1">IFERROR(__xludf.DUMMYFUNCTION("""COMPUTED_VALUE"""),"0.66359447")</f>
        <v>0.66359447</v>
      </c>
      <c r="I45">
        <f ca="1">IFERROR(__xludf.DUMMYFUNCTION("""COMPUTED_VALUE"""),2004)</f>
        <v>2004</v>
      </c>
      <c r="J45" t="str">
        <f ca="1">IFERROR(__xludf.DUMMYFUNCTION("""COMPUTED_VALUE"""),"USA")</f>
        <v>USA</v>
      </c>
      <c r="K45" t="str">
        <f ca="1">IFERROR(__xludf.DUMMYFUNCTION("""COMPUTED_VALUE"""),"Ainsworth/Ainsworth")</f>
        <v>Ainsworth/Ainsworth</v>
      </c>
      <c r="L45">
        <f ca="1">IFERROR(__xludf.DUMMYFUNCTION("""COMPUTED_VALUE"""),1)</f>
        <v>1</v>
      </c>
      <c r="M45">
        <f ca="1">IFERROR(__xludf.DUMMYFUNCTION("""COMPUTED_VALUE"""),1)</f>
        <v>1</v>
      </c>
      <c r="N45">
        <f ca="1">IFERROR(__xludf.DUMMYFUNCTION("""COMPUTED_VALUE"""),0)</f>
        <v>0</v>
      </c>
      <c r="O45">
        <f ca="1">IFERROR(__xludf.DUMMYFUNCTION("""COMPUTED_VALUE"""),1)</f>
        <v>1</v>
      </c>
      <c r="P45">
        <f ca="1">IFERROR(__xludf.DUMMYFUNCTION("""COMPUTED_VALUE"""),0.89)</f>
        <v>0.89</v>
      </c>
      <c r="Q45">
        <f ca="1">IFERROR(__xludf.DUMMYFUNCTION("""COMPUTED_VALUE"""),0)</f>
        <v>0</v>
      </c>
      <c r="R45" t="str">
        <f ca="1">IFERROR(__xludf.DUMMYFUNCTION("""COMPUTED_VALUE"""),"Female")</f>
        <v>Female</v>
      </c>
    </row>
    <row r="46" spans="1:18" ht="12.3">
      <c r="A46">
        <f ca="1">IFERROR(__xludf.DUMMYFUNCTION("""COMPUTED_VALUE"""),56)</f>
        <v>56</v>
      </c>
      <c r="B46" t="str">
        <f ca="1">IFERROR(__xludf.DUMMYFUNCTION("""COMPUTED_VALUE"""),"Edwards et al. (2004)")</f>
        <v>Edwards et al. (2004)</v>
      </c>
      <c r="C46">
        <f ca="1">IFERROR(__xludf.DUMMYFUNCTION("""COMPUTED_VALUE"""),2)</f>
        <v>2</v>
      </c>
      <c r="D46" t="str">
        <f ca="1">IFERROR(__xludf.DUMMYFUNCTION("""COMPUTED_VALUE"""),"Father-child")</f>
        <v>Father-child</v>
      </c>
      <c r="E46" t="str">
        <f ca="1">IFERROR(__xludf.DUMMYFUNCTION("""COMPUTED_VALUE"""),"Infancy - Infancy")</f>
        <v>Infancy - Infancy</v>
      </c>
      <c r="F46" t="str">
        <f ca="1">IFERROR(__xludf.DUMMYFUNCTION("""COMPUTED_VALUE"""),"208")</f>
        <v>208</v>
      </c>
      <c r="G46" t="str">
        <f ca="1">IFERROR(__xludf.DUMMYFUNCTION("""COMPUTED_VALUE"""),"0.198126098")</f>
        <v>0.198126098</v>
      </c>
      <c r="H46" t="str">
        <f ca="1">IFERROR(__xludf.DUMMYFUNCTION("""COMPUTED_VALUE"""),"0.6201923077")</f>
        <v>0.6201923077</v>
      </c>
      <c r="I46">
        <f ca="1">IFERROR(__xludf.DUMMYFUNCTION("""COMPUTED_VALUE"""),2004)</f>
        <v>2004</v>
      </c>
      <c r="J46" t="str">
        <f ca="1">IFERROR(__xludf.DUMMYFUNCTION("""COMPUTED_VALUE"""),"USA")</f>
        <v>USA</v>
      </c>
      <c r="K46" t="str">
        <f ca="1">IFERROR(__xludf.DUMMYFUNCTION("""COMPUTED_VALUE"""),"Ainsworth/Ainsworth")</f>
        <v>Ainsworth/Ainsworth</v>
      </c>
      <c r="L46">
        <f ca="1">IFERROR(__xludf.DUMMYFUNCTION("""COMPUTED_VALUE"""),1)</f>
        <v>1</v>
      </c>
      <c r="M46">
        <f ca="1">IFERROR(__xludf.DUMMYFUNCTION("""COMPUTED_VALUE"""),1)</f>
        <v>1</v>
      </c>
      <c r="N46">
        <f ca="1">IFERROR(__xludf.DUMMYFUNCTION("""COMPUTED_VALUE"""),0)</f>
        <v>0</v>
      </c>
      <c r="O46">
        <f ca="1">IFERROR(__xludf.DUMMYFUNCTION("""COMPUTED_VALUE"""),1)</f>
        <v>1</v>
      </c>
      <c r="P46">
        <f ca="1">IFERROR(__xludf.DUMMYFUNCTION("""COMPUTED_VALUE"""),0.89)</f>
        <v>0.89</v>
      </c>
      <c r="Q46">
        <f ca="1">IFERROR(__xludf.DUMMYFUNCTION("""COMPUTED_VALUE"""),0)</f>
        <v>0</v>
      </c>
      <c r="R46" t="str">
        <f ca="1">IFERROR(__xludf.DUMMYFUNCTION("""COMPUTED_VALUE"""),"Male")</f>
        <v>Male</v>
      </c>
    </row>
    <row r="47" spans="1:18" ht="12.3">
      <c r="A47">
        <f ca="1">IFERROR(__xludf.DUMMYFUNCTION("""COMPUTED_VALUE"""),63)</f>
        <v>63</v>
      </c>
      <c r="B47" t="str">
        <f ca="1">IFERROR(__xludf.DUMMYFUNCTION("""COMPUTED_VALUE"""),"Vondra, Hommerding, &amp; Shaw (1999)")</f>
        <v>Vondra, Hommerding, &amp; Shaw (1999)</v>
      </c>
      <c r="C47">
        <f ca="1">IFERROR(__xludf.DUMMYFUNCTION("""COMPUTED_VALUE"""),1)</f>
        <v>1</v>
      </c>
      <c r="D47" t="str">
        <f ca="1">IFERROR(__xludf.DUMMYFUNCTION("""COMPUTED_VALUE"""),"Mother-child")</f>
        <v>Mother-child</v>
      </c>
      <c r="E47" t="str">
        <f ca="1">IFERROR(__xludf.DUMMYFUNCTION("""COMPUTED_VALUE"""),"Infancy - Infancy")</f>
        <v>Infancy - Infancy</v>
      </c>
      <c r="F47" t="str">
        <f ca="1">IFERROR(__xludf.DUMMYFUNCTION("""COMPUTED_VALUE"""),"90")</f>
        <v>90</v>
      </c>
      <c r="G47" t="str">
        <f ca="1">IFERROR(__xludf.DUMMYFUNCTION("""COMPUTED_VALUE"""),"0.3111111111")</f>
        <v>0.3111111111</v>
      </c>
      <c r="H47" t="str">
        <f ca="1">IFERROR(__xludf.DUMMYFUNCTION("""COMPUTED_VALUE"""),"0.6555555556")</f>
        <v>0.6555555556</v>
      </c>
      <c r="I47">
        <f ca="1">IFERROR(__xludf.DUMMYFUNCTION("""COMPUTED_VALUE"""),1999)</f>
        <v>1999</v>
      </c>
      <c r="J47" t="str">
        <f ca="1">IFERROR(__xludf.DUMMYFUNCTION("""COMPUTED_VALUE"""),"USA")</f>
        <v>USA</v>
      </c>
      <c r="K47" t="str">
        <f ca="1">IFERROR(__xludf.DUMMYFUNCTION("""COMPUTED_VALUE"""),"Ainsworth/Ainsworth")</f>
        <v>Ainsworth/Ainsworth</v>
      </c>
      <c r="L47">
        <f ca="1">IFERROR(__xludf.DUMMYFUNCTION("""COMPUTED_VALUE"""),0)</f>
        <v>0</v>
      </c>
      <c r="M47">
        <f ca="1">IFERROR(__xludf.DUMMYFUNCTION("""COMPUTED_VALUE"""),1)</f>
        <v>1</v>
      </c>
      <c r="N47">
        <f ca="1">IFERROR(__xludf.DUMMYFUNCTION("""COMPUTED_VALUE"""),0)</f>
        <v>0</v>
      </c>
      <c r="O47">
        <f ca="1">IFERROR(__xludf.DUMMYFUNCTION("""COMPUTED_VALUE"""),1)</f>
        <v>1</v>
      </c>
      <c r="P47">
        <f ca="1">IFERROR(__xludf.DUMMYFUNCTION("""COMPUTED_VALUE"""),0.8)</f>
        <v>0.8</v>
      </c>
      <c r="Q47">
        <f ca="1">IFERROR(__xludf.DUMMYFUNCTION("""COMPUTED_VALUE"""),0)</f>
        <v>0</v>
      </c>
      <c r="R47" t="str">
        <f ca="1">IFERROR(__xludf.DUMMYFUNCTION("""COMPUTED_VALUE"""),"Female")</f>
        <v>Female</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R1037"/>
  <sheetViews>
    <sheetView showGridLines="0" workbookViewId="0"/>
  </sheetViews>
  <sheetFormatPr defaultColWidth="14.44140625" defaultRowHeight="15.75" customHeight="1"/>
  <cols>
    <col min="1" max="1" width="13.5546875" customWidth="1"/>
    <col min="2" max="2" width="22.44140625" customWidth="1"/>
    <col min="3" max="3" width="6" customWidth="1"/>
    <col min="4" max="4" width="8.109375" customWidth="1"/>
    <col min="5" max="5" width="8.27734375" customWidth="1"/>
    <col min="6" max="6" width="6.109375" customWidth="1"/>
    <col min="7" max="7" width="7.27734375" customWidth="1"/>
    <col min="8" max="8" width="8.27734375" customWidth="1"/>
    <col min="9" max="9" width="7.83203125" customWidth="1"/>
    <col min="10" max="10" width="8.83203125" customWidth="1"/>
    <col min="11" max="11" width="5.109375" customWidth="1"/>
    <col min="12" max="12" width="6.71875" customWidth="1"/>
    <col min="13" max="13" width="7.83203125" customWidth="1"/>
    <col min="14" max="14" width="4.44140625" customWidth="1"/>
    <col min="15" max="15" width="5.44140625" customWidth="1"/>
    <col min="16" max="16" width="23.109375" customWidth="1"/>
    <col min="18" max="18" width="23.109375" customWidth="1"/>
    <col min="22" max="22" width="38" customWidth="1"/>
    <col min="23" max="23" width="5.71875" customWidth="1"/>
    <col min="24" max="24" width="6.109375" customWidth="1"/>
    <col min="25" max="25" width="7.109375" customWidth="1"/>
    <col min="26" max="26" width="5.44140625" customWidth="1"/>
    <col min="27" max="27" width="6.27734375" customWidth="1"/>
    <col min="28" max="28" width="7.5546875" customWidth="1"/>
    <col min="29" max="29" width="7.27734375" customWidth="1"/>
    <col min="30" max="30" width="7.71875" customWidth="1"/>
    <col min="31" max="31" width="4" customWidth="1"/>
    <col min="32" max="32" width="5.71875" customWidth="1"/>
    <col min="33" max="33" width="5.83203125" customWidth="1"/>
    <col min="34" max="44" width="5.27734375" customWidth="1"/>
  </cols>
  <sheetData>
    <row r="1" spans="1:44" ht="21.75" customHeight="1">
      <c r="A1" s="129"/>
      <c r="B1" s="130" t="s">
        <v>430</v>
      </c>
      <c r="C1" s="131" t="s">
        <v>431</v>
      </c>
      <c r="D1" s="132" t="s">
        <v>4</v>
      </c>
      <c r="E1" s="132" t="s">
        <v>51</v>
      </c>
      <c r="F1" s="132" t="s">
        <v>55</v>
      </c>
      <c r="G1" s="132" t="s">
        <v>56</v>
      </c>
      <c r="H1" s="132" t="s">
        <v>59</v>
      </c>
      <c r="I1" s="131" t="s">
        <v>432</v>
      </c>
      <c r="J1" s="132" t="s">
        <v>50</v>
      </c>
      <c r="K1" s="133" t="s">
        <v>433</v>
      </c>
      <c r="L1" s="131" t="s">
        <v>434</v>
      </c>
      <c r="M1" s="134" t="s">
        <v>435</v>
      </c>
      <c r="N1" s="134" t="s">
        <v>436</v>
      </c>
      <c r="O1" s="135" t="s">
        <v>437</v>
      </c>
      <c r="P1" s="136"/>
      <c r="Q1" s="136"/>
      <c r="R1" s="137"/>
      <c r="S1" s="136"/>
      <c r="T1" s="136"/>
      <c r="U1" s="136"/>
      <c r="V1" s="138" t="str">
        <f t="shared" ref="V1:AG1" si="0">B1</f>
        <v>Study Name (Year)</v>
      </c>
      <c r="W1" s="139" t="str">
        <f t="shared" si="0"/>
        <v>T1/T2 (mo)</v>
      </c>
      <c r="X1" s="139" t="str">
        <f t="shared" si="0"/>
        <v>Interval</v>
      </c>
      <c r="Y1" s="139" t="str">
        <f t="shared" si="0"/>
        <v>Coding Method</v>
      </c>
      <c r="Z1" s="139" t="str">
        <f t="shared" si="0"/>
        <v>Social Risk</v>
      </c>
      <c r="AA1" s="139" t="str">
        <f t="shared" si="0"/>
        <v>Medical Risk</v>
      </c>
      <c r="AB1" s="139" t="str">
        <f t="shared" si="0"/>
        <v>Published</v>
      </c>
      <c r="AC1" s="139" t="str">
        <f t="shared" si="0"/>
        <v>Prior Inclusion</v>
      </c>
      <c r="AD1" s="139" t="str">
        <f t="shared" si="0"/>
        <v>Country</v>
      </c>
      <c r="AE1" s="140" t="str">
        <f t="shared" si="0"/>
        <v>IRR (%)</v>
      </c>
      <c r="AF1" s="139" t="str">
        <f t="shared" si="0"/>
        <v>Parent Sex</v>
      </c>
      <c r="AG1" s="139" t="str">
        <f t="shared" si="0"/>
        <v>Data Level</v>
      </c>
      <c r="AH1" s="134" t="s">
        <v>436</v>
      </c>
      <c r="AI1" s="141"/>
      <c r="AJ1" s="141"/>
      <c r="AK1" s="141"/>
      <c r="AL1" s="141"/>
      <c r="AM1" s="141"/>
      <c r="AN1" s="141"/>
      <c r="AO1" s="141"/>
      <c r="AP1" s="141"/>
      <c r="AQ1" s="141"/>
      <c r="AR1" s="141"/>
    </row>
    <row r="2" spans="1:44" ht="12.3">
      <c r="A2" s="142"/>
      <c r="B2" s="142" t="str">
        <f>Raw!A2</f>
        <v>Aikins, Howes, &amp; Hamilton (2009)</v>
      </c>
      <c r="C2" s="143" t="str">
        <f>CONCATENATE(ROUND(Raw!I2,0),"/",ROUND(Raw!J2,0))</f>
        <v>12/48</v>
      </c>
      <c r="D2" s="143" t="str">
        <f>VLOOKUP(Processed!E2,P$2:Q$10,2,FALSE)</f>
        <v>I-P</v>
      </c>
      <c r="E2" s="143" t="str">
        <f>VLOOKUP(Raw!M2,R$2:S$13,2,FALSE)</f>
        <v>A-CM</v>
      </c>
      <c r="F2" s="143" t="str">
        <f>IF(Raw!P2,"Yes","No")</f>
        <v>No</v>
      </c>
      <c r="G2" s="143" t="str">
        <f>IF(Raw!Q2,"Yes","No")</f>
        <v>No</v>
      </c>
      <c r="H2" s="143" t="str">
        <f>IF(Raw!T2,"Yes","No")</f>
        <v>Yes</v>
      </c>
      <c r="I2" s="143" t="str">
        <f>IF(AND(Raw!N2,Raw!O2), "S/IS, D/O", IF(Raw!N2,"S/IS", IF(Raw!O2,"D/O","-")))</f>
        <v>S/IS</v>
      </c>
      <c r="J2" s="143" t="str">
        <f>Raw!L2</f>
        <v>USA</v>
      </c>
      <c r="K2" s="144" t="str">
        <f>IF(Processed!BN2="NA","-",ROUND(Processed!BN2*100,0))</f>
        <v>-</v>
      </c>
      <c r="L2" s="143" t="str">
        <f>VLOOKUP(Raw!F2,T$2:U$4,2,FALSE)</f>
        <v>M,F</v>
      </c>
      <c r="M2" s="143" t="str">
        <f>CONCATENATE(IF(Processed!F2,"2S",""),IF(Processed!W2,",3",""),IF(Processed!AG2,",4",""),IF(Processed!AQ2,",2D",""))</f>
        <v>2S</v>
      </c>
      <c r="N2" s="145">
        <f>IF(NOT(ISBLANK(Raw!AE2)), Raw!AE2, SUM(Raw!AL2:AT2))</f>
        <v>83</v>
      </c>
      <c r="O2" s="146" t="b">
        <f>COUNTIF(Raw!AV2:BK2, "&gt;=0") = 16</f>
        <v>0</v>
      </c>
      <c r="P2" s="147" t="s">
        <v>411</v>
      </c>
      <c r="Q2" s="147" t="s">
        <v>438</v>
      </c>
      <c r="R2" s="148" t="s">
        <v>201</v>
      </c>
      <c r="S2" s="147" t="s">
        <v>142</v>
      </c>
      <c r="T2" s="147" t="s">
        <v>186</v>
      </c>
      <c r="U2" s="147" t="s">
        <v>439</v>
      </c>
      <c r="V2" s="146" t="str">
        <f ca="1">IFERROR(__xludf.DUMMYFUNCTION("QUERY(B2:N107,""SELECT * ORDER BY B"",1)"),"Aikins, Howes, &amp; Hamilton (2009)")</f>
        <v>Aikins, Howes, &amp; Hamilton (2009)</v>
      </c>
      <c r="W2" s="149" t="str">
        <f ca="1">IFERROR(__xludf.DUMMYFUNCTION("""COMPUTED_VALUE"""),"12/48")</f>
        <v>12/48</v>
      </c>
      <c r="X2" s="149" t="str">
        <f ca="1">IFERROR(__xludf.DUMMYFUNCTION("""COMPUTED_VALUE"""),"I-P")</f>
        <v>I-P</v>
      </c>
      <c r="Y2" s="149" t="str">
        <f ca="1">IFERROR(__xludf.DUMMYFUNCTION("""COMPUTED_VALUE"""),"A-CM")</f>
        <v>A-CM</v>
      </c>
      <c r="Z2" s="149" t="str">
        <f ca="1">IFERROR(__xludf.DUMMYFUNCTION("""COMPUTED_VALUE"""),"No")</f>
        <v>No</v>
      </c>
      <c r="AA2" s="149" t="str">
        <f ca="1">IFERROR(__xludf.DUMMYFUNCTION("""COMPUTED_VALUE"""),"No")</f>
        <v>No</v>
      </c>
      <c r="AB2" s="149" t="str">
        <f ca="1">IFERROR(__xludf.DUMMYFUNCTION("""COMPUTED_VALUE"""),"Yes")</f>
        <v>Yes</v>
      </c>
      <c r="AC2" s="149" t="str">
        <f ca="1">IFERROR(__xludf.DUMMYFUNCTION("""COMPUTED_VALUE"""),"S/IS")</f>
        <v>S/IS</v>
      </c>
      <c r="AD2" s="149" t="str">
        <f ca="1">IFERROR(__xludf.DUMMYFUNCTION("""COMPUTED_VALUE"""),"USA")</f>
        <v>USA</v>
      </c>
      <c r="AE2" s="149" t="str">
        <f ca="1">IFERROR(__xludf.DUMMYFUNCTION("""COMPUTED_VALUE"""),"-")</f>
        <v>-</v>
      </c>
      <c r="AF2" s="149" t="str">
        <f ca="1">IFERROR(__xludf.DUMMYFUNCTION("""COMPUTED_VALUE"""),"M,F")</f>
        <v>M,F</v>
      </c>
      <c r="AG2" s="149" t="str">
        <f ca="1">IFERROR(__xludf.DUMMYFUNCTION("""COMPUTED_VALUE"""),"2S")</f>
        <v>2S</v>
      </c>
      <c r="AH2" s="149" t="str">
        <f ca="1">IFERROR(__xludf.DUMMYFUNCTION("""COMPUTED_VALUE"""),"83")</f>
        <v>83</v>
      </c>
      <c r="AI2" s="149"/>
      <c r="AJ2" s="149"/>
      <c r="AK2" s="149"/>
      <c r="AL2" s="149"/>
      <c r="AM2" s="149"/>
      <c r="AN2" s="149"/>
      <c r="AO2" s="149"/>
      <c r="AP2" s="149"/>
      <c r="AQ2" s="149"/>
      <c r="AR2" s="149"/>
    </row>
    <row r="3" spans="1:44" ht="21">
      <c r="A3" s="142"/>
      <c r="B3" s="142" t="str">
        <f>Raw!A3</f>
        <v>Ammaniti, Speranza, &amp; Fedele (2005)</v>
      </c>
      <c r="C3" s="143" t="str">
        <f>CONCATENATE(ROUND(Raw!I3,0),"/",ROUND(Raw!J3,0))</f>
        <v>12/64</v>
      </c>
      <c r="D3" s="143" t="str">
        <f>VLOOKUP(Processed!E3,P$2:Q$10,2,FALSE)</f>
        <v>I-P</v>
      </c>
      <c r="E3" s="143" t="str">
        <f>VLOOKUP(Raw!M3,R$2:S$13,2,FALSE)</f>
        <v>A-CM</v>
      </c>
      <c r="F3" s="143" t="str">
        <f>IF(Raw!P3,"Yes","No")</f>
        <v>No</v>
      </c>
      <c r="G3" s="143" t="str">
        <f>IF(Raw!Q3,"Yes","No")</f>
        <v>No</v>
      </c>
      <c r="H3" s="143" t="str">
        <f>IF(Raw!T3,"Yes","No")</f>
        <v>Yes</v>
      </c>
      <c r="I3" s="143" t="str">
        <f>IF(AND(Raw!N3,Raw!O3), "S/IS, D/O", IF(Raw!N3,"S/IS", IF(Raw!O3,"D/O","-")))</f>
        <v>S/IS</v>
      </c>
      <c r="J3" s="143" t="str">
        <f>Raw!L3</f>
        <v>Italy</v>
      </c>
      <c r="K3" s="144" t="str">
        <f>IF(Processed!BN3="NA","-",ROUND(Processed!BN3*100,0))</f>
        <v>-</v>
      </c>
      <c r="L3" s="143" t="str">
        <f>VLOOKUP(Raw!F3,T$2:U$4,2,FALSE)</f>
        <v>F</v>
      </c>
      <c r="M3" s="143" t="str">
        <f>CONCATENATE(IF(Processed!F3,"2S",""),IF(Processed!W3,",3",""),IF(Processed!AG3,",4",""),IF(Processed!AQ3,",2D",""))</f>
        <v>2S,3</v>
      </c>
      <c r="N3" s="145">
        <f>IF(NOT(ISBLANK(Raw!AE3)), Raw!AE3, SUM(Raw!AL3:AT3))</f>
        <v>35</v>
      </c>
      <c r="O3" s="146" t="b">
        <f>COUNTIF(Raw!AV3:BK3, "&gt;=0") = 16</f>
        <v>0</v>
      </c>
      <c r="P3" s="147" t="s">
        <v>409</v>
      </c>
      <c r="Q3" s="147" t="s">
        <v>440</v>
      </c>
      <c r="R3" s="148" t="s">
        <v>189</v>
      </c>
      <c r="S3" s="147" t="s">
        <v>441</v>
      </c>
      <c r="T3" s="147" t="s">
        <v>229</v>
      </c>
      <c r="U3" s="147" t="s">
        <v>442</v>
      </c>
      <c r="V3" s="146" t="str">
        <f ca="1">IFERROR(__xludf.DUMMYFUNCTION("""COMPUTED_VALUE"""),"Ahnert et al. (2004)")</f>
        <v>Ahnert et al. (2004)</v>
      </c>
      <c r="W3" s="149" t="str">
        <f ca="1">IFERROR(__xludf.DUMMYFUNCTION("""COMPUTED_VALUE"""),"15/18")</f>
        <v>15/18</v>
      </c>
      <c r="X3" s="149" t="str">
        <f ca="1">IFERROR(__xludf.DUMMYFUNCTION("""COMPUTED_VALUE"""),"I-I")</f>
        <v>I-I</v>
      </c>
      <c r="Y3" s="149" t="str">
        <f ca="1">IFERROR(__xludf.DUMMYFUNCTION("""COMPUTED_VALUE"""),"A-A")</f>
        <v>A-A</v>
      </c>
      <c r="Z3" s="149" t="str">
        <f ca="1">IFERROR(__xludf.DUMMYFUNCTION("""COMPUTED_VALUE"""),"No")</f>
        <v>No</v>
      </c>
      <c r="AA3" s="149" t="str">
        <f ca="1">IFERROR(__xludf.DUMMYFUNCTION("""COMPUTED_VALUE"""),"No")</f>
        <v>No</v>
      </c>
      <c r="AB3" s="149" t="str">
        <f ca="1">IFERROR(__xludf.DUMMYFUNCTION("""COMPUTED_VALUE"""),"Yes")</f>
        <v>Yes</v>
      </c>
      <c r="AC3" s="149" t="str">
        <f ca="1">IFERROR(__xludf.DUMMYFUNCTION("""COMPUTED_VALUE"""),"S/IS")</f>
        <v>S/IS</v>
      </c>
      <c r="AD3" s="149" t="str">
        <f ca="1">IFERROR(__xludf.DUMMYFUNCTION("""COMPUTED_VALUE"""),"Germany")</f>
        <v>Germany</v>
      </c>
      <c r="AE3" s="150">
        <f ca="1">IFERROR(__xludf.DUMMYFUNCTION("""COMPUTED_VALUE"""),89)</f>
        <v>89</v>
      </c>
      <c r="AF3" s="149" t="str">
        <f ca="1">IFERROR(__xludf.DUMMYFUNCTION("""COMPUTED_VALUE"""),"F")</f>
        <v>F</v>
      </c>
      <c r="AG3" s="149" t="str">
        <f ca="1">IFERROR(__xludf.DUMMYFUNCTION("""COMPUTED_VALUE"""),"2S")</f>
        <v>2S</v>
      </c>
      <c r="AH3" s="151">
        <f ca="1">IFERROR(__xludf.DUMMYFUNCTION("""COMPUTED_VALUE"""),56)</f>
        <v>56</v>
      </c>
      <c r="AI3" s="149"/>
      <c r="AJ3" s="149"/>
      <c r="AK3" s="149"/>
      <c r="AL3" s="149"/>
      <c r="AM3" s="149"/>
      <c r="AN3" s="149"/>
      <c r="AO3" s="149"/>
      <c r="AP3" s="149"/>
      <c r="AQ3" s="149"/>
      <c r="AR3" s="149"/>
    </row>
    <row r="4" spans="1:44" ht="12.3">
      <c r="A4" s="142"/>
      <c r="B4" s="142" t="str">
        <f>Raw!A4</f>
        <v>Atkinson et al. (1999)</v>
      </c>
      <c r="C4" s="143" t="str">
        <f>CONCATENATE(ROUND(Raw!I4,0),"/",ROUND(Raw!J4,0))</f>
        <v>26/42</v>
      </c>
      <c r="D4" s="143" t="str">
        <f>VLOOKUP(Processed!E4,P$2:Q$10,2,FALSE)</f>
        <v>T-P</v>
      </c>
      <c r="E4" s="143" t="str">
        <f>VLOOKUP(Raw!M4,R$2:S$13,2,FALSE)</f>
        <v>A-A</v>
      </c>
      <c r="F4" s="143" t="str">
        <f>IF(Raw!P4,"Yes","No")</f>
        <v>No</v>
      </c>
      <c r="G4" s="143" t="str">
        <f>IF(Raw!Q4,"Yes","No")</f>
        <v>Yes</v>
      </c>
      <c r="H4" s="143" t="str">
        <f>IF(Raw!T4,"Yes","No")</f>
        <v>Yes</v>
      </c>
      <c r="I4" s="143" t="str">
        <f>IF(AND(Raw!N4,Raw!O4), "S/IS, D/O", IF(Raw!N4,"S/IS", IF(Raw!O4,"D/O","-")))</f>
        <v>S/IS</v>
      </c>
      <c r="J4" s="143" t="str">
        <f>Raw!L4</f>
        <v>Canada</v>
      </c>
      <c r="K4" s="144">
        <f>IF(Processed!BN4="NA","-",ROUND(Processed!BN4*100,0))</f>
        <v>73</v>
      </c>
      <c r="L4" s="143" t="str">
        <f>VLOOKUP(Raw!F4,T$2:U$4,2,FALSE)</f>
        <v>F</v>
      </c>
      <c r="M4" s="143" t="str">
        <f>CONCATENATE(IF(Processed!F4,"2S",""),IF(Processed!W4,",3",""),IF(Processed!AG4,",4",""),IF(Processed!AQ4,",2D",""))</f>
        <v>2S</v>
      </c>
      <c r="N4" s="145">
        <f>IF(NOT(ISBLANK(Raw!AE4)), Raw!AE4, SUM(Raw!AL4:AT4))</f>
        <v>53</v>
      </c>
      <c r="O4" s="146" t="b">
        <f>COUNTIF(Raw!AV4:BK4, "&gt;=0") = 16</f>
        <v>0</v>
      </c>
      <c r="P4" s="147" t="s">
        <v>443</v>
      </c>
      <c r="Q4" s="147" t="s">
        <v>444</v>
      </c>
      <c r="R4" s="148" t="s">
        <v>219</v>
      </c>
      <c r="S4" s="147" t="s">
        <v>445</v>
      </c>
      <c r="T4" s="147" t="s">
        <v>193</v>
      </c>
      <c r="U4" s="147" t="s">
        <v>446</v>
      </c>
      <c r="V4" s="146" t="str">
        <f ca="1">IFERROR(__xludf.DUMMYFUNCTION("""COMPUTED_VALUE"""),"Ainsworthet al. (1978)")</f>
        <v>Ainsworthet al. (1978)</v>
      </c>
      <c r="W4" s="149" t="str">
        <f ca="1">IFERROR(__xludf.DUMMYFUNCTION("""COMPUTED_VALUE"""),"12/13")</f>
        <v>12/13</v>
      </c>
      <c r="X4" s="149" t="str">
        <f ca="1">IFERROR(__xludf.DUMMYFUNCTION("""COMPUTED_VALUE"""),"I-I")</f>
        <v>I-I</v>
      </c>
      <c r="Y4" s="149" t="str">
        <f ca="1">IFERROR(__xludf.DUMMYFUNCTION("""COMPUTED_VALUE"""),"A-A")</f>
        <v>A-A</v>
      </c>
      <c r="Z4" s="149" t="str">
        <f ca="1">IFERROR(__xludf.DUMMYFUNCTION("""COMPUTED_VALUE"""),"No")</f>
        <v>No</v>
      </c>
      <c r="AA4" s="149" t="str">
        <f ca="1">IFERROR(__xludf.DUMMYFUNCTION("""COMPUTED_VALUE"""),"No")</f>
        <v>No</v>
      </c>
      <c r="AB4" s="149" t="str">
        <f ca="1">IFERROR(__xludf.DUMMYFUNCTION("""COMPUTED_VALUE"""),"Yes")</f>
        <v>Yes</v>
      </c>
      <c r="AC4" s="149" t="str">
        <f ca="1">IFERROR(__xludf.DUMMYFUNCTION("""COMPUTED_VALUE"""),"S/IS")</f>
        <v>S/IS</v>
      </c>
      <c r="AD4" s="149" t="str">
        <f ca="1">IFERROR(__xludf.DUMMYFUNCTION("""COMPUTED_VALUE"""),"USA")</f>
        <v>USA</v>
      </c>
      <c r="AE4" s="150" t="str">
        <f ca="1">IFERROR(__xludf.DUMMYFUNCTION("""COMPUTED_VALUE"""),"")</f>
        <v/>
      </c>
      <c r="AF4" s="149" t="str">
        <f ca="1">IFERROR(__xludf.DUMMYFUNCTION("""COMPUTED_VALUE"""),"F")</f>
        <v>F</v>
      </c>
      <c r="AG4" s="149" t="str">
        <f ca="1">IFERROR(__xludf.DUMMYFUNCTION("""COMPUTED_VALUE"""),"2S,3")</f>
        <v>2S,3</v>
      </c>
      <c r="AH4" s="151">
        <f ca="1">IFERROR(__xludf.DUMMYFUNCTION("""COMPUTED_VALUE"""),23)</f>
        <v>23</v>
      </c>
      <c r="AI4" s="149"/>
      <c r="AJ4" s="149"/>
      <c r="AK4" s="149"/>
      <c r="AL4" s="149"/>
      <c r="AM4" s="149"/>
      <c r="AN4" s="149"/>
      <c r="AO4" s="149"/>
      <c r="AP4" s="149"/>
      <c r="AQ4" s="149"/>
      <c r="AR4" s="149"/>
    </row>
    <row r="5" spans="1:44" ht="12.3">
      <c r="A5" s="142"/>
      <c r="B5" s="142" t="str">
        <f>Raw!A5</f>
        <v xml:space="preserve">Bar-Haim et al. (2000) </v>
      </c>
      <c r="C5" s="143" t="str">
        <f>CONCATENATE(ROUND(Raw!I5,0),"/",ROUND(Raw!J5,0))</f>
        <v>14/24</v>
      </c>
      <c r="D5" s="143" t="str">
        <f>VLOOKUP(Processed!E5,P$2:Q$10,2,FALSE)</f>
        <v>I-T</v>
      </c>
      <c r="E5" s="143" t="str">
        <f>VLOOKUP(Raw!M5,R$2:S$13,2,FALSE)</f>
        <v>A-A</v>
      </c>
      <c r="F5" s="143" t="str">
        <f>IF(Raw!P5,"Yes","No")</f>
        <v>No</v>
      </c>
      <c r="G5" s="143" t="str">
        <f>IF(Raw!Q5,"Yes","No")</f>
        <v>No</v>
      </c>
      <c r="H5" s="143" t="str">
        <f>IF(Raw!T5,"Yes","No")</f>
        <v>Yes</v>
      </c>
      <c r="I5" s="143" t="str">
        <f>IF(AND(Raw!N5,Raw!O5), "S/IS, D/O", IF(Raw!N5,"S/IS", IF(Raw!O5,"D/O","-")))</f>
        <v>S/IS</v>
      </c>
      <c r="J5" s="143" t="str">
        <f>Raw!L5</f>
        <v>USA</v>
      </c>
      <c r="K5" s="144">
        <f>IF(Processed!BN5="NA","-",ROUND(Processed!BN5*100,0))</f>
        <v>82</v>
      </c>
      <c r="L5" s="143" t="str">
        <f>VLOOKUP(Raw!F5,T$2:U$4,2,FALSE)</f>
        <v>F</v>
      </c>
      <c r="M5" s="143" t="str">
        <f>CONCATENATE(IF(Processed!F5,"2S",""),IF(Processed!W5,",3",""),IF(Processed!AG5,",4",""),IF(Processed!AQ5,",2D",""))</f>
        <v>2S,3</v>
      </c>
      <c r="N5" s="145">
        <f>IF(NOT(ISBLANK(Raw!AE5)), Raw!AE5, SUM(Raw!AL5:AT5))</f>
        <v>42</v>
      </c>
      <c r="O5" s="146" t="b">
        <f>COUNTIF(Raw!AV5:BK5, "&gt;=0") = 16</f>
        <v>0</v>
      </c>
      <c r="P5" s="147" t="s">
        <v>415</v>
      </c>
      <c r="Q5" s="147" t="s">
        <v>447</v>
      </c>
      <c r="R5" s="148" t="s">
        <v>226</v>
      </c>
      <c r="S5" s="147" t="s">
        <v>448</v>
      </c>
      <c r="T5" s="146"/>
      <c r="U5" s="146"/>
      <c r="V5" s="146" t="str">
        <f ca="1">IFERROR(__xludf.DUMMYFUNCTION("""COMPUTED_VALUE"""),"Ammaniti, Speranza, &amp; Fedele (2005)")</f>
        <v>Ammaniti, Speranza, &amp; Fedele (2005)</v>
      </c>
      <c r="W5" s="149" t="str">
        <f ca="1">IFERROR(__xludf.DUMMYFUNCTION("""COMPUTED_VALUE"""),"12/64")</f>
        <v>12/64</v>
      </c>
      <c r="X5" s="149" t="str">
        <f ca="1">IFERROR(__xludf.DUMMYFUNCTION("""COMPUTED_VALUE"""),"I-P")</f>
        <v>I-P</v>
      </c>
      <c r="Y5" s="149" t="str">
        <f ca="1">IFERROR(__xludf.DUMMYFUNCTION("""COMPUTED_VALUE"""),"A-CM")</f>
        <v>A-CM</v>
      </c>
      <c r="Z5" s="152" t="str">
        <f ca="1">IFERROR(__xludf.DUMMYFUNCTION("""COMPUTED_VALUE"""),"No")</f>
        <v>No</v>
      </c>
      <c r="AA5" s="152" t="str">
        <f ca="1">IFERROR(__xludf.DUMMYFUNCTION("""COMPUTED_VALUE"""),"No")</f>
        <v>No</v>
      </c>
      <c r="AB5" s="152" t="str">
        <f ca="1">IFERROR(__xludf.DUMMYFUNCTION("""COMPUTED_VALUE"""),"Yes")</f>
        <v>Yes</v>
      </c>
      <c r="AC5" s="152" t="str">
        <f ca="1">IFERROR(__xludf.DUMMYFUNCTION("""COMPUTED_VALUE"""),"S/IS")</f>
        <v>S/IS</v>
      </c>
      <c r="AD5" s="152" t="str">
        <f ca="1">IFERROR(__xludf.DUMMYFUNCTION("""COMPUTED_VALUE"""),"Italy")</f>
        <v>Italy</v>
      </c>
      <c r="AE5" s="153" t="str">
        <f ca="1">IFERROR(__xludf.DUMMYFUNCTION("""COMPUTED_VALUE"""),"")</f>
        <v/>
      </c>
      <c r="AF5" s="152" t="str">
        <f ca="1">IFERROR(__xludf.DUMMYFUNCTION("""COMPUTED_VALUE"""),"F")</f>
        <v>F</v>
      </c>
      <c r="AG5" s="152" t="str">
        <f ca="1">IFERROR(__xludf.DUMMYFUNCTION("""COMPUTED_VALUE"""),"2S,3")</f>
        <v>2S,3</v>
      </c>
      <c r="AH5" s="154">
        <f ca="1">IFERROR(__xludf.DUMMYFUNCTION("""COMPUTED_VALUE"""),35)</f>
        <v>35</v>
      </c>
      <c r="AI5" s="152"/>
      <c r="AJ5" s="152"/>
      <c r="AK5" s="152"/>
      <c r="AL5" s="152"/>
      <c r="AM5" s="152"/>
      <c r="AN5" s="152"/>
      <c r="AO5" s="152"/>
      <c r="AP5" s="152"/>
      <c r="AQ5" s="152"/>
      <c r="AR5" s="152"/>
    </row>
    <row r="6" spans="1:44" ht="12.3">
      <c r="A6" s="142"/>
      <c r="B6" s="142" t="str">
        <f>Raw!A6</f>
        <v xml:space="preserve">Bar-Haim et al. (2000) </v>
      </c>
      <c r="C6" s="143" t="str">
        <f>CONCATENATE(ROUND(Raw!I6,0),"/",ROUND(Raw!J6,0))</f>
        <v>24/58</v>
      </c>
      <c r="D6" s="143" t="str">
        <f>VLOOKUP(Processed!E6,P$2:Q$10,2,FALSE)</f>
        <v>T-P</v>
      </c>
      <c r="E6" s="143" t="str">
        <f>VLOOKUP(Raw!M6,R$2:S$13,2,FALSE)</f>
        <v>A-CM</v>
      </c>
      <c r="F6" s="143" t="str">
        <f>IF(Raw!P6,"Yes","No")</f>
        <v>No</v>
      </c>
      <c r="G6" s="143" t="str">
        <f>IF(Raw!Q6,"Yes","No")</f>
        <v>No</v>
      </c>
      <c r="H6" s="143" t="str">
        <f>IF(Raw!T6,"Yes","No")</f>
        <v>Yes</v>
      </c>
      <c r="I6" s="143" t="str">
        <f>IF(AND(Raw!N6,Raw!O6), "S/IS, D/O", IF(Raw!N6,"S/IS", IF(Raw!O6,"D/O","-")))</f>
        <v>S/IS</v>
      </c>
      <c r="J6" s="143" t="str">
        <f>Raw!L6</f>
        <v>USA</v>
      </c>
      <c r="K6" s="144">
        <f>IF(Processed!BN6="NA","-",ROUND(Processed!BN6*100,0))</f>
        <v>82</v>
      </c>
      <c r="L6" s="143" t="str">
        <f>VLOOKUP(Raw!F6,T$2:U$4,2,FALSE)</f>
        <v>F</v>
      </c>
      <c r="M6" s="143" t="str">
        <f>CONCATENATE(IF(Processed!F6,"2S",""),IF(Processed!W6,",3",""),IF(Processed!AG6,",4",""),IF(Processed!AQ6,",2D",""))</f>
        <v>2S,3</v>
      </c>
      <c r="N6" s="145">
        <f>IF(NOT(ISBLANK(Raw!AE6)), Raw!AE6, SUM(Raw!AL6:AT6))</f>
        <v>45</v>
      </c>
      <c r="O6" s="146" t="b">
        <f>COUNTIF(Raw!AV6:BK6, "&gt;=0") = 16</f>
        <v>0</v>
      </c>
      <c r="P6" s="147" t="s">
        <v>449</v>
      </c>
      <c r="Q6" s="147" t="s">
        <v>450</v>
      </c>
      <c r="R6" s="148" t="s">
        <v>239</v>
      </c>
      <c r="S6" s="147" t="s">
        <v>441</v>
      </c>
      <c r="T6" s="146"/>
      <c r="U6" s="146"/>
      <c r="V6" s="146" t="str">
        <f ca="1">IFERROR(__xludf.DUMMYFUNCTION("""COMPUTED_VALUE"""),"Atkinson et al. (1999)")</f>
        <v>Atkinson et al. (1999)</v>
      </c>
      <c r="W6" s="149" t="str">
        <f ca="1">IFERROR(__xludf.DUMMYFUNCTION("""COMPUTED_VALUE"""),"26/42")</f>
        <v>26/42</v>
      </c>
      <c r="X6" s="149" t="str">
        <f ca="1">IFERROR(__xludf.DUMMYFUNCTION("""COMPUTED_VALUE"""),"T-P")</f>
        <v>T-P</v>
      </c>
      <c r="Y6" s="149" t="str">
        <f ca="1">IFERROR(__xludf.DUMMYFUNCTION("""COMPUTED_VALUE"""),"A-A")</f>
        <v>A-A</v>
      </c>
      <c r="Z6" s="149" t="str">
        <f ca="1">IFERROR(__xludf.DUMMYFUNCTION("""COMPUTED_VALUE"""),"No")</f>
        <v>No</v>
      </c>
      <c r="AA6" s="149" t="str">
        <f ca="1">IFERROR(__xludf.DUMMYFUNCTION("""COMPUTED_VALUE"""),"Yes")</f>
        <v>Yes</v>
      </c>
      <c r="AB6" s="149" t="str">
        <f ca="1">IFERROR(__xludf.DUMMYFUNCTION("""COMPUTED_VALUE"""),"Yes")</f>
        <v>Yes</v>
      </c>
      <c r="AC6" s="149" t="str">
        <f ca="1">IFERROR(__xludf.DUMMYFUNCTION("""COMPUTED_VALUE"""),"S/IS")</f>
        <v>S/IS</v>
      </c>
      <c r="AD6" s="149" t="str">
        <f ca="1">IFERROR(__xludf.DUMMYFUNCTION("""COMPUTED_VALUE"""),"Canada")</f>
        <v>Canada</v>
      </c>
      <c r="AE6" s="150">
        <f ca="1">IFERROR(__xludf.DUMMYFUNCTION("""COMPUTED_VALUE"""),73)</f>
        <v>73</v>
      </c>
      <c r="AF6" s="149" t="str">
        <f ca="1">IFERROR(__xludf.DUMMYFUNCTION("""COMPUTED_VALUE"""),"F")</f>
        <v>F</v>
      </c>
      <c r="AG6" s="149" t="str">
        <f ca="1">IFERROR(__xludf.DUMMYFUNCTION("""COMPUTED_VALUE"""),"2S")</f>
        <v>2S</v>
      </c>
      <c r="AH6" s="151">
        <f ca="1">IFERROR(__xludf.DUMMYFUNCTION("""COMPUTED_VALUE"""),53)</f>
        <v>53</v>
      </c>
      <c r="AI6" s="149"/>
      <c r="AJ6" s="149"/>
      <c r="AK6" s="149"/>
      <c r="AL6" s="149"/>
      <c r="AM6" s="149"/>
      <c r="AN6" s="149"/>
      <c r="AO6" s="149"/>
      <c r="AP6" s="149"/>
      <c r="AQ6" s="149"/>
      <c r="AR6" s="149"/>
    </row>
    <row r="7" spans="1:44" ht="12.3">
      <c r="A7" s="142"/>
      <c r="B7" s="142" t="str">
        <f>Raw!A7</f>
        <v xml:space="preserve">Bar-Haimet al. (2000) </v>
      </c>
      <c r="C7" s="143" t="str">
        <f>CONCATENATE(ROUND(Raw!I7,0),"/",ROUND(Raw!J7,0))</f>
        <v>14/58</v>
      </c>
      <c r="D7" s="143" t="str">
        <f>VLOOKUP(Processed!E7,P$2:Q$10,2,FALSE)</f>
        <v>I-P</v>
      </c>
      <c r="E7" s="143" t="str">
        <f>VLOOKUP(Raw!M7,R$2:S$13,2,FALSE)</f>
        <v>A-CM</v>
      </c>
      <c r="F7" s="143" t="str">
        <f>IF(Raw!P7,"Yes","No")</f>
        <v>No</v>
      </c>
      <c r="G7" s="143" t="str">
        <f>IF(Raw!Q7,"Yes","No")</f>
        <v>No</v>
      </c>
      <c r="H7" s="143" t="str">
        <f>IF(Raw!T7,"Yes","No")</f>
        <v>Yes</v>
      </c>
      <c r="I7" s="143" t="str">
        <f>IF(AND(Raw!N7,Raw!O7), "S/IS, D/O", IF(Raw!N7,"S/IS", IF(Raw!O7,"D/O","-")))</f>
        <v>S/IS</v>
      </c>
      <c r="J7" s="143" t="str">
        <f>Raw!L7</f>
        <v>USA</v>
      </c>
      <c r="K7" s="144">
        <f>IF(Processed!BN7="NA","-",ROUND(Processed!BN7*100,0))</f>
        <v>82</v>
      </c>
      <c r="L7" s="143" t="str">
        <f>VLOOKUP(Raw!F7,T$2:U$4,2,FALSE)</f>
        <v>F</v>
      </c>
      <c r="M7" s="143" t="str">
        <f>CONCATENATE(IF(Processed!F7,"2S",""),IF(Processed!W7,",3",""),IF(Processed!AG7,",4",""),IF(Processed!AQ7,",2D",""))</f>
        <v>2S,3</v>
      </c>
      <c r="N7" s="145">
        <f>IF(NOT(ISBLANK(Raw!AE7)), Raw!AE7, SUM(Raw!AL7:AT7))</f>
        <v>43</v>
      </c>
      <c r="O7" s="146" t="b">
        <f>COUNTIF(Raw!AV7:BK7, "&gt;=0") = 16</f>
        <v>0</v>
      </c>
      <c r="P7" s="147" t="s">
        <v>451</v>
      </c>
      <c r="Q7" s="147" t="s">
        <v>452</v>
      </c>
      <c r="R7" s="148" t="s">
        <v>248</v>
      </c>
      <c r="S7" s="147" t="s">
        <v>453</v>
      </c>
      <c r="T7" s="146"/>
      <c r="U7" s="146"/>
      <c r="V7" s="146" t="str">
        <f ca="1">IFERROR(__xludf.DUMMYFUNCTION("""COMPUTED_VALUE"""),"Bakermans-Kranenberg &amp; van IJzendoorn (1997)")</f>
        <v>Bakermans-Kranenberg &amp; van IJzendoorn (1997)</v>
      </c>
      <c r="W7" s="149" t="str">
        <f ca="1">IFERROR(__xludf.DUMMYFUNCTION("""COMPUTED_VALUE"""),"12/14")</f>
        <v>12/14</v>
      </c>
      <c r="X7" s="149" t="str">
        <f ca="1">IFERROR(__xludf.DUMMYFUNCTION("""COMPUTED_VALUE"""),"I-I")</f>
        <v>I-I</v>
      </c>
      <c r="Y7" s="149" t="str">
        <f ca="1">IFERROR(__xludf.DUMMYFUNCTION("""COMPUTED_VALUE"""),"A-A")</f>
        <v>A-A</v>
      </c>
      <c r="Z7" s="149" t="str">
        <f ca="1">IFERROR(__xludf.DUMMYFUNCTION("""COMPUTED_VALUE"""),"No")</f>
        <v>No</v>
      </c>
      <c r="AA7" s="149" t="str">
        <f ca="1">IFERROR(__xludf.DUMMYFUNCTION("""COMPUTED_VALUE"""),"No")</f>
        <v>No</v>
      </c>
      <c r="AB7" s="149" t="str">
        <f ca="1">IFERROR(__xludf.DUMMYFUNCTION("""COMPUTED_VALUE"""),"No")</f>
        <v>No</v>
      </c>
      <c r="AC7" s="149" t="str">
        <f ca="1">IFERROR(__xludf.DUMMYFUNCTION("""COMPUTED_VALUE"""),"D/O")</f>
        <v>D/O</v>
      </c>
      <c r="AD7" s="149" t="str">
        <f ca="1">IFERROR(__xludf.DUMMYFUNCTION("""COMPUTED_VALUE"""),"Netherlands")</f>
        <v>Netherlands</v>
      </c>
      <c r="AE7" s="150" t="str">
        <f ca="1">IFERROR(__xludf.DUMMYFUNCTION("""COMPUTED_VALUE"""),"")</f>
        <v/>
      </c>
      <c r="AF7" s="149" t="str">
        <f ca="1">IFERROR(__xludf.DUMMYFUNCTION("""COMPUTED_VALUE"""),"F")</f>
        <v>F</v>
      </c>
      <c r="AG7" s="149" t="str">
        <f ca="1">IFERROR(__xludf.DUMMYFUNCTION("""COMPUTED_VALUE"""),"")</f>
        <v/>
      </c>
      <c r="AH7" s="151">
        <f ca="1">IFERROR(__xludf.DUMMYFUNCTION("""COMPUTED_VALUE"""),81)</f>
        <v>81</v>
      </c>
      <c r="AI7" s="149"/>
      <c r="AJ7" s="149"/>
      <c r="AK7" s="149"/>
      <c r="AL7" s="149"/>
      <c r="AM7" s="149"/>
      <c r="AN7" s="149"/>
      <c r="AO7" s="149"/>
      <c r="AP7" s="149"/>
      <c r="AQ7" s="149"/>
      <c r="AR7" s="149"/>
    </row>
    <row r="8" spans="1:44" ht="12.3">
      <c r="A8" s="142"/>
      <c r="B8" s="142" t="str">
        <f>Raw!A8</f>
        <v>Barnett et al. (2006)</v>
      </c>
      <c r="C8" s="143" t="str">
        <f>CONCATENATE(ROUND(Raw!I8,0),"/",ROUND(Raw!J8,0))</f>
        <v>25/41</v>
      </c>
      <c r="D8" s="143" t="str">
        <f>VLOOKUP(Processed!E8,P$2:Q$10,2,FALSE)</f>
        <v>T-P</v>
      </c>
      <c r="E8" s="143" t="str">
        <f>VLOOKUP(Raw!M8,R$2:S$13,2,FALSE)</f>
        <v>A/CM-CM</v>
      </c>
      <c r="F8" s="143" t="str">
        <f>IF(Raw!P8,"Yes","No")</f>
        <v>No</v>
      </c>
      <c r="G8" s="143" t="str">
        <f>IF(Raw!Q8,"Yes","No")</f>
        <v>Yes</v>
      </c>
      <c r="H8" s="143" t="str">
        <f>IF(Raw!T8,"Yes","No")</f>
        <v>Yes</v>
      </c>
      <c r="I8" s="143" t="str">
        <f>IF(AND(Raw!N8,Raw!O8), "S/IS, D/O", IF(Raw!N8,"S/IS", IF(Raw!O8,"D/O","-")))</f>
        <v>S/IS</v>
      </c>
      <c r="J8" s="143" t="str">
        <f>Raw!L8</f>
        <v>USA</v>
      </c>
      <c r="K8" s="144">
        <f>IF(Processed!BN8="NA","-",ROUND(Processed!BN8*100,0))</f>
        <v>94</v>
      </c>
      <c r="L8" s="143" t="str">
        <f>VLOOKUP(Raw!F8,T$2:U$4,2,FALSE)</f>
        <v>F</v>
      </c>
      <c r="M8" s="143" t="str">
        <f>CONCATENATE(IF(Processed!F8,"2S",""),IF(Processed!W8,",3",""),IF(Processed!AG8,",4",""),IF(Processed!AQ8,",2D",""))</f>
        <v>2S</v>
      </c>
      <c r="N8" s="145">
        <f>IF(NOT(ISBLANK(Raw!AE8)), Raw!AE8, SUM(Raw!AL8:AT8))</f>
        <v>50</v>
      </c>
      <c r="O8" s="146" t="b">
        <f>COUNTIF(Raw!AV8:BK8, "&gt;=0") = 16</f>
        <v>0</v>
      </c>
      <c r="P8" s="147" t="s">
        <v>410</v>
      </c>
      <c r="Q8" s="147" t="s">
        <v>454</v>
      </c>
      <c r="R8" s="148" t="s">
        <v>256</v>
      </c>
      <c r="S8" s="147" t="s">
        <v>455</v>
      </c>
      <c r="T8" s="146"/>
      <c r="U8" s="146"/>
      <c r="V8" s="146" t="str">
        <f ca="1">IFERROR(__xludf.DUMMYFUNCTION("""COMPUTED_VALUE"""),"Bar-Haim et al. (2000) ")</f>
        <v xml:space="preserve">Bar-Haim et al. (2000) </v>
      </c>
      <c r="W8" s="149" t="str">
        <f ca="1">IFERROR(__xludf.DUMMYFUNCTION("""COMPUTED_VALUE"""),"14/24")</f>
        <v>14/24</v>
      </c>
      <c r="X8" s="149" t="str">
        <f ca="1">IFERROR(__xludf.DUMMYFUNCTION("""COMPUTED_VALUE"""),"I-T")</f>
        <v>I-T</v>
      </c>
      <c r="Y8" s="149" t="str">
        <f ca="1">IFERROR(__xludf.DUMMYFUNCTION("""COMPUTED_VALUE"""),"A-A")</f>
        <v>A-A</v>
      </c>
      <c r="Z8" s="149" t="str">
        <f ca="1">IFERROR(__xludf.DUMMYFUNCTION("""COMPUTED_VALUE"""),"No")</f>
        <v>No</v>
      </c>
      <c r="AA8" s="149" t="str">
        <f ca="1">IFERROR(__xludf.DUMMYFUNCTION("""COMPUTED_VALUE"""),"No")</f>
        <v>No</v>
      </c>
      <c r="AB8" s="149" t="str">
        <f ca="1">IFERROR(__xludf.DUMMYFUNCTION("""COMPUTED_VALUE"""),"Yes")</f>
        <v>Yes</v>
      </c>
      <c r="AC8" s="149" t="str">
        <f ca="1">IFERROR(__xludf.DUMMYFUNCTION("""COMPUTED_VALUE"""),"S/IS")</f>
        <v>S/IS</v>
      </c>
      <c r="AD8" s="149" t="str">
        <f ca="1">IFERROR(__xludf.DUMMYFUNCTION("""COMPUTED_VALUE"""),"USA")</f>
        <v>USA</v>
      </c>
      <c r="AE8" s="150">
        <f ca="1">IFERROR(__xludf.DUMMYFUNCTION("""COMPUTED_VALUE"""),82)</f>
        <v>82</v>
      </c>
      <c r="AF8" s="149" t="str">
        <f ca="1">IFERROR(__xludf.DUMMYFUNCTION("""COMPUTED_VALUE"""),"F")</f>
        <v>F</v>
      </c>
      <c r="AG8" s="149" t="str">
        <f ca="1">IFERROR(__xludf.DUMMYFUNCTION("""COMPUTED_VALUE"""),"2S,3")</f>
        <v>2S,3</v>
      </c>
      <c r="AH8" s="151">
        <f ca="1">IFERROR(__xludf.DUMMYFUNCTION("""COMPUTED_VALUE"""),42)</f>
        <v>42</v>
      </c>
      <c r="AI8" s="149"/>
      <c r="AJ8" s="149"/>
      <c r="AK8" s="149"/>
      <c r="AL8" s="149"/>
      <c r="AM8" s="149"/>
      <c r="AN8" s="149"/>
      <c r="AO8" s="149"/>
      <c r="AP8" s="149"/>
      <c r="AQ8" s="149"/>
      <c r="AR8" s="149"/>
    </row>
    <row r="9" spans="1:44" ht="21">
      <c r="A9" s="142"/>
      <c r="B9" s="142" t="str">
        <f>Raw!A9</f>
        <v>Barnett, Ganiban &amp; Cicchetti (1999)</v>
      </c>
      <c r="C9" s="143" t="str">
        <f>CONCATENATE(ROUND(Raw!I9,0),"/",ROUND(Raw!J9,0))</f>
        <v>12/24</v>
      </c>
      <c r="D9" s="143" t="str">
        <f>VLOOKUP(Processed!E9,P$2:Q$10,2,FALSE)</f>
        <v>I-T</v>
      </c>
      <c r="E9" s="143" t="str">
        <f>VLOOKUP(Raw!M9,R$2:S$13,2,FALSE)</f>
        <v>A-A</v>
      </c>
      <c r="F9" s="143" t="str">
        <f>IF(Raw!P9,"Yes","No")</f>
        <v>No</v>
      </c>
      <c r="G9" s="143" t="str">
        <f>IF(Raw!Q9,"Yes","No")</f>
        <v>No</v>
      </c>
      <c r="H9" s="143" t="str">
        <f>IF(Raw!T9,"Yes","No")</f>
        <v>Yes</v>
      </c>
      <c r="I9" s="143" t="str">
        <f>IF(AND(Raw!N9,Raw!O9), "S/IS, D/O", IF(Raw!N9,"S/IS", IF(Raw!O9,"D/O","-")))</f>
        <v>S/IS</v>
      </c>
      <c r="J9" s="143" t="str">
        <f>Raw!L9</f>
        <v>USA</v>
      </c>
      <c r="K9" s="144">
        <f>IF(Processed!BN9="NA","-",ROUND(Processed!BN9*100,0))</f>
        <v>90</v>
      </c>
      <c r="L9" s="143" t="str">
        <f>VLOOKUP(Raw!F9,T$2:U$4,2,FALSE)</f>
        <v>F</v>
      </c>
      <c r="M9" s="143" t="str">
        <f>CONCATENATE(IF(Processed!F9,"2S",""),IF(Processed!W9,",3",""),IF(Processed!AG9,",4",""),IF(Processed!AQ9,",2D",""))</f>
        <v>2S,4,2D</v>
      </c>
      <c r="N9" s="145">
        <f>IF(NOT(ISBLANK(Raw!AE9)), Raw!AE9, SUM(Raw!AL9:AT9))</f>
        <v>20</v>
      </c>
      <c r="O9" s="146" t="b">
        <f>COUNTIF(Raw!AV9:BK9, "&gt;=0") = 16</f>
        <v>1</v>
      </c>
      <c r="P9" s="147" t="s">
        <v>412</v>
      </c>
      <c r="Q9" s="147" t="s">
        <v>456</v>
      </c>
      <c r="R9" s="148" t="s">
        <v>273</v>
      </c>
      <c r="S9" s="147" t="s">
        <v>445</v>
      </c>
      <c r="T9" s="146"/>
      <c r="U9" s="146"/>
      <c r="V9" s="146" t="str">
        <f ca="1">IFERROR(__xludf.DUMMYFUNCTION("""COMPUTED_VALUE"""),"Bar-Haim et al. (2000) ")</f>
        <v xml:space="preserve">Bar-Haim et al. (2000) </v>
      </c>
      <c r="W9" s="149" t="str">
        <f ca="1">IFERROR(__xludf.DUMMYFUNCTION("""COMPUTED_VALUE"""),"24/58")</f>
        <v>24/58</v>
      </c>
      <c r="X9" s="149" t="str">
        <f ca="1">IFERROR(__xludf.DUMMYFUNCTION("""COMPUTED_VALUE"""),"T-P")</f>
        <v>T-P</v>
      </c>
      <c r="Y9" s="149" t="str">
        <f ca="1">IFERROR(__xludf.DUMMYFUNCTION("""COMPUTED_VALUE"""),"A-CM")</f>
        <v>A-CM</v>
      </c>
      <c r="Z9" s="149" t="str">
        <f ca="1">IFERROR(__xludf.DUMMYFUNCTION("""COMPUTED_VALUE"""),"No")</f>
        <v>No</v>
      </c>
      <c r="AA9" s="149" t="str">
        <f ca="1">IFERROR(__xludf.DUMMYFUNCTION("""COMPUTED_VALUE"""),"No")</f>
        <v>No</v>
      </c>
      <c r="AB9" s="149" t="str">
        <f ca="1">IFERROR(__xludf.DUMMYFUNCTION("""COMPUTED_VALUE"""),"Yes")</f>
        <v>Yes</v>
      </c>
      <c r="AC9" s="149" t="str">
        <f ca="1">IFERROR(__xludf.DUMMYFUNCTION("""COMPUTED_VALUE"""),"S/IS")</f>
        <v>S/IS</v>
      </c>
      <c r="AD9" s="149" t="str">
        <f ca="1">IFERROR(__xludf.DUMMYFUNCTION("""COMPUTED_VALUE"""),"USA")</f>
        <v>USA</v>
      </c>
      <c r="AE9" s="150">
        <f ca="1">IFERROR(__xludf.DUMMYFUNCTION("""COMPUTED_VALUE"""),82)</f>
        <v>82</v>
      </c>
      <c r="AF9" s="149" t="str">
        <f ca="1">IFERROR(__xludf.DUMMYFUNCTION("""COMPUTED_VALUE"""),"F")</f>
        <v>F</v>
      </c>
      <c r="AG9" s="149" t="str">
        <f ca="1">IFERROR(__xludf.DUMMYFUNCTION("""COMPUTED_VALUE"""),"2S,3")</f>
        <v>2S,3</v>
      </c>
      <c r="AH9" s="151">
        <f ca="1">IFERROR(__xludf.DUMMYFUNCTION("""COMPUTED_VALUE"""),45)</f>
        <v>45</v>
      </c>
      <c r="AI9" s="149"/>
      <c r="AJ9" s="149"/>
      <c r="AK9" s="149"/>
      <c r="AL9" s="149"/>
      <c r="AM9" s="149"/>
      <c r="AN9" s="149"/>
      <c r="AO9" s="149"/>
      <c r="AP9" s="149"/>
      <c r="AQ9" s="149"/>
      <c r="AR9" s="149"/>
    </row>
    <row r="10" spans="1:44" ht="21">
      <c r="A10" s="142"/>
      <c r="B10" s="142" t="str">
        <f>Raw!A10</f>
        <v>Barnett, Ganiban &amp; Cicchetti (1999)</v>
      </c>
      <c r="C10" s="143" t="str">
        <f>CONCATENATE(ROUND(Raw!I10,0),"/",ROUND(Raw!J10,0))</f>
        <v>12/18</v>
      </c>
      <c r="D10" s="143" t="str">
        <f>VLOOKUP(Processed!E10,P$2:Q$10,2,FALSE)</f>
        <v>I-I</v>
      </c>
      <c r="E10" s="143" t="str">
        <f>VLOOKUP(Raw!M10,R$2:S$13,2,FALSE)</f>
        <v>A-A</v>
      </c>
      <c r="F10" s="143" t="str">
        <f>IF(Raw!P10,"Yes","No")</f>
        <v>No</v>
      </c>
      <c r="G10" s="143" t="str">
        <f>IF(Raw!Q10,"Yes","No")</f>
        <v>No</v>
      </c>
      <c r="H10" s="143" t="str">
        <f>IF(Raw!T10,"Yes","No")</f>
        <v>Yes</v>
      </c>
      <c r="I10" s="143" t="str">
        <f>IF(AND(Raw!N10,Raw!O10), "S/IS, D/O", IF(Raw!N10,"S/IS", IF(Raw!O10,"D/O","-")))</f>
        <v>S/IS</v>
      </c>
      <c r="J10" s="143" t="str">
        <f>Raw!L10</f>
        <v>USA</v>
      </c>
      <c r="K10" s="144">
        <f>IF(Processed!BN10="NA","-",ROUND(Processed!BN10*100,0))</f>
        <v>87</v>
      </c>
      <c r="L10" s="143" t="str">
        <f>VLOOKUP(Raw!F10,T$2:U$4,2,FALSE)</f>
        <v>F</v>
      </c>
      <c r="M10" s="143" t="str">
        <f>CONCATENATE(IF(Processed!F10,"2S",""),IF(Processed!W10,",3",""),IF(Processed!AG10,",4",""),IF(Processed!AQ10,",2D",""))</f>
        <v>2S,4,2D</v>
      </c>
      <c r="N10" s="145">
        <f>IF(NOT(ISBLANK(Raw!AE10)), Raw!AE10, SUM(Raw!AL10:AT10))</f>
        <v>21</v>
      </c>
      <c r="O10" s="146" t="b">
        <f>COUNTIF(Raw!AV10:BK10, "&gt;=0") = 16</f>
        <v>1</v>
      </c>
      <c r="P10" s="147" t="s">
        <v>414</v>
      </c>
      <c r="Q10" s="147" t="s">
        <v>457</v>
      </c>
      <c r="R10" s="148" t="s">
        <v>280</v>
      </c>
      <c r="S10" s="147" t="s">
        <v>458</v>
      </c>
      <c r="T10" s="146"/>
      <c r="U10" s="146"/>
      <c r="V10" s="146" t="str">
        <f ca="1">IFERROR(__xludf.DUMMYFUNCTION("""COMPUTED_VALUE"""),"Bar-Haimet al. (2000) ")</f>
        <v xml:space="preserve">Bar-Haimet al. (2000) </v>
      </c>
      <c r="W10" s="149" t="str">
        <f ca="1">IFERROR(__xludf.DUMMYFUNCTION("""COMPUTED_VALUE"""),"14/58")</f>
        <v>14/58</v>
      </c>
      <c r="X10" s="149" t="str">
        <f ca="1">IFERROR(__xludf.DUMMYFUNCTION("""COMPUTED_VALUE"""),"I-P")</f>
        <v>I-P</v>
      </c>
      <c r="Y10" s="149" t="str">
        <f ca="1">IFERROR(__xludf.DUMMYFUNCTION("""COMPUTED_VALUE"""),"A-CM")</f>
        <v>A-CM</v>
      </c>
      <c r="Z10" s="149" t="str">
        <f ca="1">IFERROR(__xludf.DUMMYFUNCTION("""COMPUTED_VALUE"""),"No")</f>
        <v>No</v>
      </c>
      <c r="AA10" s="149" t="str">
        <f ca="1">IFERROR(__xludf.DUMMYFUNCTION("""COMPUTED_VALUE"""),"No")</f>
        <v>No</v>
      </c>
      <c r="AB10" s="149" t="str">
        <f ca="1">IFERROR(__xludf.DUMMYFUNCTION("""COMPUTED_VALUE"""),"Yes")</f>
        <v>Yes</v>
      </c>
      <c r="AC10" s="149" t="str">
        <f ca="1">IFERROR(__xludf.DUMMYFUNCTION("""COMPUTED_VALUE"""),"S/IS")</f>
        <v>S/IS</v>
      </c>
      <c r="AD10" s="149" t="str">
        <f ca="1">IFERROR(__xludf.DUMMYFUNCTION("""COMPUTED_VALUE"""),"USA")</f>
        <v>USA</v>
      </c>
      <c r="AE10" s="150">
        <f ca="1">IFERROR(__xludf.DUMMYFUNCTION("""COMPUTED_VALUE"""),82)</f>
        <v>82</v>
      </c>
      <c r="AF10" s="149" t="str">
        <f ca="1">IFERROR(__xludf.DUMMYFUNCTION("""COMPUTED_VALUE"""),"F")</f>
        <v>F</v>
      </c>
      <c r="AG10" s="149" t="str">
        <f ca="1">IFERROR(__xludf.DUMMYFUNCTION("""COMPUTED_VALUE"""),"2S,3")</f>
        <v>2S,3</v>
      </c>
      <c r="AH10" s="151">
        <f ca="1">IFERROR(__xludf.DUMMYFUNCTION("""COMPUTED_VALUE"""),43)</f>
        <v>43</v>
      </c>
      <c r="AI10" s="149"/>
      <c r="AJ10" s="149"/>
      <c r="AK10" s="149"/>
      <c r="AL10" s="149"/>
      <c r="AM10" s="149"/>
      <c r="AN10" s="149"/>
      <c r="AO10" s="149"/>
      <c r="AP10" s="149"/>
      <c r="AQ10" s="149"/>
      <c r="AR10" s="149"/>
    </row>
    <row r="11" spans="1:44" ht="21">
      <c r="A11" s="142"/>
      <c r="B11" s="142" t="str">
        <f>Raw!A11</f>
        <v>Barnett, Ganiban &amp; Cicchetti (1999)</v>
      </c>
      <c r="C11" s="143" t="str">
        <f>CONCATENATE(ROUND(Raw!I11,0),"/",ROUND(Raw!J11,0))</f>
        <v>18/24</v>
      </c>
      <c r="D11" s="143" t="str">
        <f>VLOOKUP(Processed!E11,P$2:Q$10,2,FALSE)</f>
        <v>I-T</v>
      </c>
      <c r="E11" s="143" t="str">
        <f>VLOOKUP(Raw!M11,R$2:S$13,2,FALSE)</f>
        <v>A-A</v>
      </c>
      <c r="F11" s="143" t="str">
        <f>IF(Raw!P11,"Yes","No")</f>
        <v>No</v>
      </c>
      <c r="G11" s="143" t="str">
        <f>IF(Raw!Q11,"Yes","No")</f>
        <v>No</v>
      </c>
      <c r="H11" s="143" t="str">
        <f>IF(Raw!T11,"Yes","No")</f>
        <v>Yes</v>
      </c>
      <c r="I11" s="143" t="str">
        <f>IF(AND(Raw!N11,Raw!O11), "S/IS, D/O", IF(Raw!N11,"S/IS", IF(Raw!O11,"D/O","-")))</f>
        <v>S/IS</v>
      </c>
      <c r="J11" s="143" t="str">
        <f>Raw!L11</f>
        <v>USA</v>
      </c>
      <c r="K11" s="144">
        <f>IF(Processed!BN11="NA","-",ROUND(Processed!BN11*100,0))</f>
        <v>88</v>
      </c>
      <c r="L11" s="143" t="str">
        <f>VLOOKUP(Raw!F11,T$2:U$4,2,FALSE)</f>
        <v>F</v>
      </c>
      <c r="M11" s="143" t="str">
        <f>CONCATENATE(IF(Processed!F11,"2S",""),IF(Processed!W11,",3",""),IF(Processed!AG11,",4",""),IF(Processed!AQ11,",2D",""))</f>
        <v>2S,4,2D</v>
      </c>
      <c r="N11" s="145">
        <f>IF(NOT(ISBLANK(Raw!AE11)), Raw!AE11, SUM(Raw!AL11:AT11))</f>
        <v>20</v>
      </c>
      <c r="O11" s="146" t="b">
        <f>COUNTIF(Raw!AV11:BK11, "&gt;=0") = 16</f>
        <v>1</v>
      </c>
      <c r="P11" s="146"/>
      <c r="Q11" s="146"/>
      <c r="R11" s="148" t="s">
        <v>282</v>
      </c>
      <c r="S11" s="147" t="s">
        <v>459</v>
      </c>
      <c r="T11" s="146"/>
      <c r="U11" s="146"/>
      <c r="V11" s="146" t="str">
        <f ca="1">IFERROR(__xludf.DUMMYFUNCTION("""COMPUTED_VALUE"""),"Barnett et al. (2006)")</f>
        <v>Barnett et al. (2006)</v>
      </c>
      <c r="W11" s="149" t="str">
        <f ca="1">IFERROR(__xludf.DUMMYFUNCTION("""COMPUTED_VALUE"""),"25/41")</f>
        <v>25/41</v>
      </c>
      <c r="X11" s="149" t="str">
        <f ca="1">IFERROR(__xludf.DUMMYFUNCTION("""COMPUTED_VALUE"""),"T-P")</f>
        <v>T-P</v>
      </c>
      <c r="Y11" s="149" t="str">
        <f ca="1">IFERROR(__xludf.DUMMYFUNCTION("""COMPUTED_VALUE"""),"A/CM-CM")</f>
        <v>A/CM-CM</v>
      </c>
      <c r="Z11" s="149" t="str">
        <f ca="1">IFERROR(__xludf.DUMMYFUNCTION("""COMPUTED_VALUE"""),"No")</f>
        <v>No</v>
      </c>
      <c r="AA11" s="149" t="str">
        <f ca="1">IFERROR(__xludf.DUMMYFUNCTION("""COMPUTED_VALUE"""),"Yes")</f>
        <v>Yes</v>
      </c>
      <c r="AB11" s="149" t="str">
        <f ca="1">IFERROR(__xludf.DUMMYFUNCTION("""COMPUTED_VALUE"""),"Yes")</f>
        <v>Yes</v>
      </c>
      <c r="AC11" s="149" t="str">
        <f ca="1">IFERROR(__xludf.DUMMYFUNCTION("""COMPUTED_VALUE"""),"S/IS")</f>
        <v>S/IS</v>
      </c>
      <c r="AD11" s="149" t="str">
        <f ca="1">IFERROR(__xludf.DUMMYFUNCTION("""COMPUTED_VALUE"""),"USA")</f>
        <v>USA</v>
      </c>
      <c r="AE11" s="150">
        <f ca="1">IFERROR(__xludf.DUMMYFUNCTION("""COMPUTED_VALUE"""),94)</f>
        <v>94</v>
      </c>
      <c r="AF11" s="149" t="str">
        <f ca="1">IFERROR(__xludf.DUMMYFUNCTION("""COMPUTED_VALUE"""),"F")</f>
        <v>F</v>
      </c>
      <c r="AG11" s="149" t="str">
        <f ca="1">IFERROR(__xludf.DUMMYFUNCTION("""COMPUTED_VALUE"""),"2S")</f>
        <v>2S</v>
      </c>
      <c r="AH11" s="151">
        <f ca="1">IFERROR(__xludf.DUMMYFUNCTION("""COMPUTED_VALUE"""),50)</f>
        <v>50</v>
      </c>
      <c r="AI11" s="149"/>
      <c r="AJ11" s="149"/>
      <c r="AK11" s="149"/>
      <c r="AL11" s="149"/>
      <c r="AM11" s="149"/>
      <c r="AN11" s="149"/>
      <c r="AO11" s="149"/>
      <c r="AP11" s="149"/>
      <c r="AQ11" s="149"/>
      <c r="AR11" s="149"/>
    </row>
    <row r="12" spans="1:44" ht="21">
      <c r="A12" s="142"/>
      <c r="B12" s="142" t="str">
        <f>Raw!A12</f>
        <v>Barnett, Ganiban &amp; Cicchetti (1999)</v>
      </c>
      <c r="C12" s="143" t="str">
        <f>CONCATENATE(ROUND(Raw!I12,0),"/",ROUND(Raw!J12,0))</f>
        <v>12/24</v>
      </c>
      <c r="D12" s="143" t="str">
        <f>VLOOKUP(Processed!E12,P$2:Q$10,2,FALSE)</f>
        <v>I-T</v>
      </c>
      <c r="E12" s="143" t="str">
        <f>VLOOKUP(Raw!M12,R$2:S$13,2,FALSE)</f>
        <v>A-A</v>
      </c>
      <c r="F12" s="143" t="str">
        <f>IF(Raw!P12,"Yes","No")</f>
        <v>Yes</v>
      </c>
      <c r="G12" s="143" t="str">
        <f>IF(Raw!Q12,"Yes","No")</f>
        <v>No</v>
      </c>
      <c r="H12" s="143" t="str">
        <f>IF(Raw!T12,"Yes","No")</f>
        <v>Yes</v>
      </c>
      <c r="I12" s="143" t="str">
        <f>IF(AND(Raw!N12,Raw!O12), "S/IS, D/O", IF(Raw!N12,"S/IS", IF(Raw!O12,"D/O","-")))</f>
        <v>S/IS</v>
      </c>
      <c r="J12" s="143" t="str">
        <f>Raw!L12</f>
        <v>USA</v>
      </c>
      <c r="K12" s="144">
        <f>IF(Processed!BN12="NA","-",ROUND(Processed!BN12*100,0))</f>
        <v>90</v>
      </c>
      <c r="L12" s="143" t="str">
        <f>VLOOKUP(Raw!F12,T$2:U$4,2,FALSE)</f>
        <v>F</v>
      </c>
      <c r="M12" s="143" t="str">
        <f>CONCATENATE(IF(Processed!F12,"2S",""),IF(Processed!W12,",3",""),IF(Processed!AG12,",4",""),IF(Processed!AQ12,",2D",""))</f>
        <v>2S,4,2D</v>
      </c>
      <c r="N12" s="145">
        <f>IF(NOT(ISBLANK(Raw!AE12)), Raw!AE12, SUM(Raw!AL12:AT12))</f>
        <v>16</v>
      </c>
      <c r="O12" s="146" t="b">
        <f>COUNTIF(Raw!AV12:BK12, "&gt;=0") = 16</f>
        <v>1</v>
      </c>
      <c r="P12" s="146"/>
      <c r="Q12" s="146"/>
      <c r="R12" s="148" t="s">
        <v>285</v>
      </c>
      <c r="S12" s="147" t="s">
        <v>460</v>
      </c>
      <c r="T12" s="146"/>
      <c r="U12" s="146"/>
      <c r="V12" s="146" t="str">
        <f ca="1">IFERROR(__xludf.DUMMYFUNCTION("""COMPUTED_VALUE"""),"Barnett, Ganiban &amp; Cicchetti (1999)")</f>
        <v>Barnett, Ganiban &amp; Cicchetti (1999)</v>
      </c>
      <c r="W12" s="149" t="str">
        <f ca="1">IFERROR(__xludf.DUMMYFUNCTION("""COMPUTED_VALUE"""),"12/24")</f>
        <v>12/24</v>
      </c>
      <c r="X12" s="149" t="str">
        <f ca="1">IFERROR(__xludf.DUMMYFUNCTION("""COMPUTED_VALUE"""),"I-T")</f>
        <v>I-T</v>
      </c>
      <c r="Y12" s="149" t="str">
        <f ca="1">IFERROR(__xludf.DUMMYFUNCTION("""COMPUTED_VALUE"""),"A-A")</f>
        <v>A-A</v>
      </c>
      <c r="Z12" s="149" t="str">
        <f ca="1">IFERROR(__xludf.DUMMYFUNCTION("""COMPUTED_VALUE"""),"No")</f>
        <v>No</v>
      </c>
      <c r="AA12" s="149" t="str">
        <f ca="1">IFERROR(__xludf.DUMMYFUNCTION("""COMPUTED_VALUE"""),"No")</f>
        <v>No</v>
      </c>
      <c r="AB12" s="149" t="str">
        <f ca="1">IFERROR(__xludf.DUMMYFUNCTION("""COMPUTED_VALUE"""),"Yes")</f>
        <v>Yes</v>
      </c>
      <c r="AC12" s="149" t="str">
        <f ca="1">IFERROR(__xludf.DUMMYFUNCTION("""COMPUTED_VALUE"""),"S/IS")</f>
        <v>S/IS</v>
      </c>
      <c r="AD12" s="149" t="str">
        <f ca="1">IFERROR(__xludf.DUMMYFUNCTION("""COMPUTED_VALUE"""),"USA")</f>
        <v>USA</v>
      </c>
      <c r="AE12" s="150">
        <f ca="1">IFERROR(__xludf.DUMMYFUNCTION("""COMPUTED_VALUE"""),90)</f>
        <v>90</v>
      </c>
      <c r="AF12" s="149" t="str">
        <f ca="1">IFERROR(__xludf.DUMMYFUNCTION("""COMPUTED_VALUE"""),"F")</f>
        <v>F</v>
      </c>
      <c r="AG12" s="149" t="str">
        <f ca="1">IFERROR(__xludf.DUMMYFUNCTION("""COMPUTED_VALUE"""),"2S,4,2D")</f>
        <v>2S,4,2D</v>
      </c>
      <c r="AH12" s="151">
        <f ca="1">IFERROR(__xludf.DUMMYFUNCTION("""COMPUTED_VALUE"""),20)</f>
        <v>20</v>
      </c>
      <c r="AI12" s="149"/>
      <c r="AJ12" s="149"/>
      <c r="AK12" s="149"/>
      <c r="AL12" s="149"/>
      <c r="AM12" s="149"/>
      <c r="AN12" s="149"/>
      <c r="AO12" s="149"/>
      <c r="AP12" s="149"/>
      <c r="AQ12" s="149"/>
      <c r="AR12" s="149"/>
    </row>
    <row r="13" spans="1:44" ht="21">
      <c r="A13" s="142"/>
      <c r="B13" s="142" t="str">
        <f>Raw!A13</f>
        <v>Barnett, Ganiban &amp; Cicchetti (1999)</v>
      </c>
      <c r="C13" s="143" t="str">
        <f>CONCATENATE(ROUND(Raw!I13,0),"/",ROUND(Raw!J13,0))</f>
        <v>12/18</v>
      </c>
      <c r="D13" s="143" t="str">
        <f>VLOOKUP(Processed!E13,P$2:Q$10,2,FALSE)</f>
        <v>I-I</v>
      </c>
      <c r="E13" s="143" t="str">
        <f>VLOOKUP(Raw!M13,R$2:S$13,2,FALSE)</f>
        <v>A-A</v>
      </c>
      <c r="F13" s="143" t="str">
        <f>IF(Raw!P13,"Yes","No")</f>
        <v>Yes</v>
      </c>
      <c r="G13" s="143" t="str">
        <f>IF(Raw!Q13,"Yes","No")</f>
        <v>No</v>
      </c>
      <c r="H13" s="143" t="str">
        <f>IF(Raw!T13,"Yes","No")</f>
        <v>Yes</v>
      </c>
      <c r="I13" s="143" t="str">
        <f>IF(AND(Raw!N13,Raw!O13), "S/IS, D/O", IF(Raw!N13,"S/IS", IF(Raw!O13,"D/O","-")))</f>
        <v>S/IS</v>
      </c>
      <c r="J13" s="143" t="str">
        <f>Raw!L13</f>
        <v>USA</v>
      </c>
      <c r="K13" s="144">
        <f>IF(Processed!BN13="NA","-",ROUND(Processed!BN13*100,0))</f>
        <v>87</v>
      </c>
      <c r="L13" s="143" t="str">
        <f>VLOOKUP(Raw!F13,T$2:U$4,2,FALSE)</f>
        <v>F</v>
      </c>
      <c r="M13" s="143" t="str">
        <f>CONCATENATE(IF(Processed!F13,"2S",""),IF(Processed!W13,",3",""),IF(Processed!AG13,",4",""),IF(Processed!AQ13,",2D",""))</f>
        <v>2S,4,2D</v>
      </c>
      <c r="N13" s="145">
        <f>IF(NOT(ISBLANK(Raw!AE13)), Raw!AE13, SUM(Raw!AL13:AT13))</f>
        <v>18</v>
      </c>
      <c r="O13" s="146" t="b">
        <f>COUNTIF(Raw!AV13:BK13, "&gt;=0") = 16</f>
        <v>1</v>
      </c>
      <c r="P13" s="146"/>
      <c r="Q13" s="146"/>
      <c r="R13" s="155" t="s">
        <v>211</v>
      </c>
      <c r="S13" s="147" t="s">
        <v>461</v>
      </c>
      <c r="T13" s="146"/>
      <c r="U13" s="146"/>
      <c r="V13" s="146" t="str">
        <f ca="1">IFERROR(__xludf.DUMMYFUNCTION("""COMPUTED_VALUE"""),"Barnett, Ganiban &amp; Cicchetti (1999)")</f>
        <v>Barnett, Ganiban &amp; Cicchetti (1999)</v>
      </c>
      <c r="W13" s="149" t="str">
        <f ca="1">IFERROR(__xludf.DUMMYFUNCTION("""COMPUTED_VALUE"""),"12/18")</f>
        <v>12/18</v>
      </c>
      <c r="X13" s="149" t="str">
        <f ca="1">IFERROR(__xludf.DUMMYFUNCTION("""COMPUTED_VALUE"""),"I-I")</f>
        <v>I-I</v>
      </c>
      <c r="Y13" s="149" t="str">
        <f ca="1">IFERROR(__xludf.DUMMYFUNCTION("""COMPUTED_VALUE"""),"A-A")</f>
        <v>A-A</v>
      </c>
      <c r="Z13" s="149" t="str">
        <f ca="1">IFERROR(__xludf.DUMMYFUNCTION("""COMPUTED_VALUE"""),"No")</f>
        <v>No</v>
      </c>
      <c r="AA13" s="149" t="str">
        <f ca="1">IFERROR(__xludf.DUMMYFUNCTION("""COMPUTED_VALUE"""),"No")</f>
        <v>No</v>
      </c>
      <c r="AB13" s="149" t="str">
        <f ca="1">IFERROR(__xludf.DUMMYFUNCTION("""COMPUTED_VALUE"""),"Yes")</f>
        <v>Yes</v>
      </c>
      <c r="AC13" s="149" t="str">
        <f ca="1">IFERROR(__xludf.DUMMYFUNCTION("""COMPUTED_VALUE"""),"S/IS")</f>
        <v>S/IS</v>
      </c>
      <c r="AD13" s="149" t="str">
        <f ca="1">IFERROR(__xludf.DUMMYFUNCTION("""COMPUTED_VALUE"""),"USA")</f>
        <v>USA</v>
      </c>
      <c r="AE13" s="150">
        <f ca="1">IFERROR(__xludf.DUMMYFUNCTION("""COMPUTED_VALUE"""),87)</f>
        <v>87</v>
      </c>
      <c r="AF13" s="149" t="str">
        <f ca="1">IFERROR(__xludf.DUMMYFUNCTION("""COMPUTED_VALUE"""),"F")</f>
        <v>F</v>
      </c>
      <c r="AG13" s="149" t="str">
        <f ca="1">IFERROR(__xludf.DUMMYFUNCTION("""COMPUTED_VALUE"""),"2S,4,2D")</f>
        <v>2S,4,2D</v>
      </c>
      <c r="AH13" s="151">
        <f ca="1">IFERROR(__xludf.DUMMYFUNCTION("""COMPUTED_VALUE"""),21)</f>
        <v>21</v>
      </c>
      <c r="AI13" s="149"/>
      <c r="AJ13" s="149"/>
      <c r="AK13" s="149"/>
      <c r="AL13" s="149"/>
      <c r="AM13" s="149"/>
      <c r="AN13" s="149"/>
      <c r="AO13" s="149"/>
      <c r="AP13" s="149"/>
      <c r="AQ13" s="149"/>
      <c r="AR13" s="149"/>
    </row>
    <row r="14" spans="1:44" ht="21">
      <c r="A14" s="142"/>
      <c r="B14" s="142" t="str">
        <f>Raw!A14</f>
        <v>Barnett, Ganiban &amp; Cicchetti (1999)</v>
      </c>
      <c r="C14" s="143" t="str">
        <f>CONCATENATE(ROUND(Raw!I14,0),"/",ROUND(Raw!J14,0))</f>
        <v>18/24</v>
      </c>
      <c r="D14" s="143" t="str">
        <f>VLOOKUP(Processed!E14,P$2:Q$10,2,FALSE)</f>
        <v>I-T</v>
      </c>
      <c r="E14" s="143" t="str">
        <f>VLOOKUP(Raw!M14,R$2:S$13,2,FALSE)</f>
        <v>A-A</v>
      </c>
      <c r="F14" s="143" t="str">
        <f>IF(Raw!P14,"Yes","No")</f>
        <v>Yes</v>
      </c>
      <c r="G14" s="143" t="str">
        <f>IF(Raw!Q14,"Yes","No")</f>
        <v>No</v>
      </c>
      <c r="H14" s="143" t="str">
        <f>IF(Raw!T14,"Yes","No")</f>
        <v>Yes</v>
      </c>
      <c r="I14" s="143" t="str">
        <f>IF(AND(Raw!N14,Raw!O14), "S/IS, D/O", IF(Raw!N14,"S/IS", IF(Raw!O14,"D/O","-")))</f>
        <v>S/IS</v>
      </c>
      <c r="J14" s="143" t="str">
        <f>Raw!L14</f>
        <v>USA</v>
      </c>
      <c r="K14" s="144">
        <f>IF(Processed!BN14="NA","-",ROUND(Processed!BN14*100,0))</f>
        <v>88</v>
      </c>
      <c r="L14" s="143" t="str">
        <f>VLOOKUP(Raw!F14,T$2:U$4,2,FALSE)</f>
        <v>F</v>
      </c>
      <c r="M14" s="143" t="str">
        <f>CONCATENATE(IF(Processed!F14,"2S",""),IF(Processed!W14,",3",""),IF(Processed!AG14,",4",""),IF(Processed!AQ14,",2D",""))</f>
        <v>2S,4,2D</v>
      </c>
      <c r="N14" s="145">
        <f>IF(NOT(ISBLANK(Raw!AE14)), Raw!AE14, SUM(Raw!AL14:AT14))</f>
        <v>16</v>
      </c>
      <c r="O14" s="146" t="b">
        <f>COUNTIF(Raw!AV14:BK14, "&gt;=0") = 16</f>
        <v>1</v>
      </c>
      <c r="P14" s="146"/>
      <c r="Q14" s="146"/>
      <c r="R14" s="156"/>
      <c r="S14" s="146"/>
      <c r="T14" s="146"/>
      <c r="U14" s="146"/>
      <c r="V14" s="146" t="str">
        <f ca="1">IFERROR(__xludf.DUMMYFUNCTION("""COMPUTED_VALUE"""),"Barnett, Ganiban &amp; Cicchetti (1999)")</f>
        <v>Barnett, Ganiban &amp; Cicchetti (1999)</v>
      </c>
      <c r="W14" s="149" t="str">
        <f ca="1">IFERROR(__xludf.DUMMYFUNCTION("""COMPUTED_VALUE"""),"18/24")</f>
        <v>18/24</v>
      </c>
      <c r="X14" s="149" t="str">
        <f ca="1">IFERROR(__xludf.DUMMYFUNCTION("""COMPUTED_VALUE"""),"I-T")</f>
        <v>I-T</v>
      </c>
      <c r="Y14" s="149" t="str">
        <f ca="1">IFERROR(__xludf.DUMMYFUNCTION("""COMPUTED_VALUE"""),"A-A")</f>
        <v>A-A</v>
      </c>
      <c r="Z14" s="149" t="str">
        <f ca="1">IFERROR(__xludf.DUMMYFUNCTION("""COMPUTED_VALUE"""),"No")</f>
        <v>No</v>
      </c>
      <c r="AA14" s="149" t="str">
        <f ca="1">IFERROR(__xludf.DUMMYFUNCTION("""COMPUTED_VALUE"""),"No")</f>
        <v>No</v>
      </c>
      <c r="AB14" s="149" t="str">
        <f ca="1">IFERROR(__xludf.DUMMYFUNCTION("""COMPUTED_VALUE"""),"Yes")</f>
        <v>Yes</v>
      </c>
      <c r="AC14" s="149" t="str">
        <f ca="1">IFERROR(__xludf.DUMMYFUNCTION("""COMPUTED_VALUE"""),"S/IS")</f>
        <v>S/IS</v>
      </c>
      <c r="AD14" s="149" t="str">
        <f ca="1">IFERROR(__xludf.DUMMYFUNCTION("""COMPUTED_VALUE"""),"USA")</f>
        <v>USA</v>
      </c>
      <c r="AE14" s="150">
        <f ca="1">IFERROR(__xludf.DUMMYFUNCTION("""COMPUTED_VALUE"""),88)</f>
        <v>88</v>
      </c>
      <c r="AF14" s="149" t="str">
        <f ca="1">IFERROR(__xludf.DUMMYFUNCTION("""COMPUTED_VALUE"""),"F")</f>
        <v>F</v>
      </c>
      <c r="AG14" s="149" t="str">
        <f ca="1">IFERROR(__xludf.DUMMYFUNCTION("""COMPUTED_VALUE"""),"2S,4,2D")</f>
        <v>2S,4,2D</v>
      </c>
      <c r="AH14" s="151">
        <f ca="1">IFERROR(__xludf.DUMMYFUNCTION("""COMPUTED_VALUE"""),20)</f>
        <v>20</v>
      </c>
      <c r="AI14" s="149"/>
      <c r="AJ14" s="149"/>
      <c r="AK14" s="149"/>
      <c r="AL14" s="149"/>
      <c r="AM14" s="149"/>
      <c r="AN14" s="149"/>
      <c r="AO14" s="149"/>
      <c r="AP14" s="149"/>
      <c r="AQ14" s="149"/>
      <c r="AR14" s="149"/>
    </row>
    <row r="15" spans="1:44" ht="12.3">
      <c r="A15" s="142"/>
      <c r="B15" s="142" t="str">
        <f>Raw!A15</f>
        <v>Cicchetti &amp; Barnett (1991)</v>
      </c>
      <c r="C15" s="143" t="str">
        <f>CONCATENATE(ROUND(Raw!I15,0),"/",ROUND(Raw!J15,0))</f>
        <v>30/48</v>
      </c>
      <c r="D15" s="143" t="str">
        <f>VLOOKUP(Processed!E15,P$2:Q$10,2,FALSE)</f>
        <v>T-P</v>
      </c>
      <c r="E15" s="143" t="str">
        <f>VLOOKUP(Raw!M15,R$2:S$13,2,FALSE)</f>
        <v>CM-CM</v>
      </c>
      <c r="F15" s="143" t="str">
        <f>IF(Raw!P15,"Yes","No")</f>
        <v>Yes</v>
      </c>
      <c r="G15" s="143" t="str">
        <f>IF(Raw!Q15,"Yes","No")</f>
        <v>No</v>
      </c>
      <c r="H15" s="143" t="str">
        <f>IF(Raw!T15,"Yes","No")</f>
        <v>Yes</v>
      </c>
      <c r="I15" s="143" t="str">
        <f>IF(AND(Raw!N15,Raw!O15), "S/IS, D/O", IF(Raw!N15,"S/IS", IF(Raw!O15,"D/O","-")))</f>
        <v>S/IS</v>
      </c>
      <c r="J15" s="143" t="str">
        <f>Raw!L15</f>
        <v>USA</v>
      </c>
      <c r="K15" s="144">
        <f>IF(Processed!BN15="NA","-",ROUND(Processed!BN15*100,0))</f>
        <v>75</v>
      </c>
      <c r="L15" s="143" t="str">
        <f>VLOOKUP(Raw!F15,T$2:U$4,2,FALSE)</f>
        <v>M,F</v>
      </c>
      <c r="M15" s="143" t="str">
        <f>CONCATENATE(IF(Processed!F15,"2S",""),IF(Processed!W15,",3",""),IF(Processed!AG15,",4",""),IF(Processed!AQ15,",2D",""))</f>
        <v>2S,4,2D</v>
      </c>
      <c r="N15" s="145">
        <f>IF(NOT(ISBLANK(Raw!AE15)), Raw!AE15, SUM(Raw!AL15:AT15))</f>
        <v>18</v>
      </c>
      <c r="O15" s="146" t="b">
        <f>COUNTIF(Raw!AV15:BK15, "&gt;=0") = 16</f>
        <v>1</v>
      </c>
      <c r="P15" s="146"/>
      <c r="Q15" s="146"/>
      <c r="R15" s="156"/>
      <c r="S15" s="146"/>
      <c r="T15" s="146"/>
      <c r="U15" s="146"/>
      <c r="V15" s="146" t="str">
        <f ca="1">IFERROR(__xludf.DUMMYFUNCTION("""COMPUTED_VALUE"""),"Barnett, Ganiban &amp; Cicchetti (1999)")</f>
        <v>Barnett, Ganiban &amp; Cicchetti (1999)</v>
      </c>
      <c r="W15" s="149" t="str">
        <f ca="1">IFERROR(__xludf.DUMMYFUNCTION("""COMPUTED_VALUE"""),"12/24")</f>
        <v>12/24</v>
      </c>
      <c r="X15" s="149" t="str">
        <f ca="1">IFERROR(__xludf.DUMMYFUNCTION("""COMPUTED_VALUE"""),"I-T")</f>
        <v>I-T</v>
      </c>
      <c r="Y15" s="149" t="str">
        <f ca="1">IFERROR(__xludf.DUMMYFUNCTION("""COMPUTED_VALUE"""),"A-A")</f>
        <v>A-A</v>
      </c>
      <c r="Z15" s="149" t="str">
        <f ca="1">IFERROR(__xludf.DUMMYFUNCTION("""COMPUTED_VALUE"""),"Yes")</f>
        <v>Yes</v>
      </c>
      <c r="AA15" s="149" t="str">
        <f ca="1">IFERROR(__xludf.DUMMYFUNCTION("""COMPUTED_VALUE"""),"No")</f>
        <v>No</v>
      </c>
      <c r="AB15" s="149" t="str">
        <f ca="1">IFERROR(__xludf.DUMMYFUNCTION("""COMPUTED_VALUE"""),"Yes")</f>
        <v>Yes</v>
      </c>
      <c r="AC15" s="149" t="str">
        <f ca="1">IFERROR(__xludf.DUMMYFUNCTION("""COMPUTED_VALUE"""),"S/IS")</f>
        <v>S/IS</v>
      </c>
      <c r="AD15" s="149" t="str">
        <f ca="1">IFERROR(__xludf.DUMMYFUNCTION("""COMPUTED_VALUE"""),"USA")</f>
        <v>USA</v>
      </c>
      <c r="AE15" s="150">
        <f ca="1">IFERROR(__xludf.DUMMYFUNCTION("""COMPUTED_VALUE"""),90)</f>
        <v>90</v>
      </c>
      <c r="AF15" s="149" t="str">
        <f ca="1">IFERROR(__xludf.DUMMYFUNCTION("""COMPUTED_VALUE"""),"F")</f>
        <v>F</v>
      </c>
      <c r="AG15" s="149" t="str">
        <f ca="1">IFERROR(__xludf.DUMMYFUNCTION("""COMPUTED_VALUE"""),"2S,4,2D")</f>
        <v>2S,4,2D</v>
      </c>
      <c r="AH15" s="151">
        <f ca="1">IFERROR(__xludf.DUMMYFUNCTION("""COMPUTED_VALUE"""),16)</f>
        <v>16</v>
      </c>
      <c r="AI15" s="149"/>
      <c r="AJ15" s="149"/>
      <c r="AK15" s="149"/>
      <c r="AL15" s="149"/>
      <c r="AM15" s="149"/>
      <c r="AN15" s="149"/>
      <c r="AO15" s="149"/>
      <c r="AP15" s="149"/>
      <c r="AQ15" s="149"/>
      <c r="AR15" s="149"/>
    </row>
    <row r="16" spans="1:44" ht="12.3">
      <c r="A16" s="142"/>
      <c r="B16" s="142" t="str">
        <f>Raw!A16</f>
        <v>Cicchetti &amp; Barnett (1991)</v>
      </c>
      <c r="C16" s="143" t="str">
        <f>CONCATENATE(ROUND(Raw!I16,0),"/",ROUND(Raw!J16,0))</f>
        <v>36/48</v>
      </c>
      <c r="D16" s="143" t="str">
        <f>VLOOKUP(Processed!E16,P$2:Q$10,2,FALSE)</f>
        <v>T-P</v>
      </c>
      <c r="E16" s="143" t="str">
        <f>VLOOKUP(Raw!M16,R$2:S$13,2,FALSE)</f>
        <v>CM-CM</v>
      </c>
      <c r="F16" s="143" t="str">
        <f>IF(Raw!P16,"Yes","No")</f>
        <v>Yes</v>
      </c>
      <c r="G16" s="143" t="str">
        <f>IF(Raw!Q16,"Yes","No")</f>
        <v>No</v>
      </c>
      <c r="H16" s="143" t="str">
        <f>IF(Raw!T16,"Yes","No")</f>
        <v>Yes</v>
      </c>
      <c r="I16" s="143" t="str">
        <f>IF(AND(Raw!N16,Raw!O16), "S/IS, D/O", IF(Raw!N16,"S/IS", IF(Raw!O16,"D/O","-")))</f>
        <v>S/IS</v>
      </c>
      <c r="J16" s="143" t="str">
        <f>Raw!L16</f>
        <v>USA</v>
      </c>
      <c r="K16" s="144">
        <f>IF(Processed!BN16="NA","-",ROUND(Processed!BN16*100,0))</f>
        <v>75</v>
      </c>
      <c r="L16" s="143" t="str">
        <f>VLOOKUP(Raw!F16,T$2:U$4,2,FALSE)</f>
        <v>M,F</v>
      </c>
      <c r="M16" s="143" t="str">
        <f>CONCATENATE(IF(Processed!F16,"2S",""),IF(Processed!W16,",3",""),IF(Processed!AG16,",4",""),IF(Processed!AQ16,",2D",""))</f>
        <v>2S,4,2D</v>
      </c>
      <c r="N16" s="145">
        <f>IF(NOT(ISBLANK(Raw!AE16)), Raw!AE16, SUM(Raw!AL16:AT16))</f>
        <v>25</v>
      </c>
      <c r="O16" s="146" t="b">
        <f>COUNTIF(Raw!AV16:BK16, "&gt;=0") = 16</f>
        <v>1</v>
      </c>
      <c r="P16" s="146"/>
      <c r="Q16" s="146"/>
      <c r="R16" s="156"/>
      <c r="S16" s="146"/>
      <c r="T16" s="146"/>
      <c r="U16" s="146"/>
      <c r="V16" s="146" t="str">
        <f ca="1">IFERROR(__xludf.DUMMYFUNCTION("""COMPUTED_VALUE"""),"Barnett, Ganiban &amp; Cicchetti (1999)")</f>
        <v>Barnett, Ganiban &amp; Cicchetti (1999)</v>
      </c>
      <c r="W16" s="149" t="str">
        <f ca="1">IFERROR(__xludf.DUMMYFUNCTION("""COMPUTED_VALUE"""),"12/18")</f>
        <v>12/18</v>
      </c>
      <c r="X16" s="149" t="str">
        <f ca="1">IFERROR(__xludf.DUMMYFUNCTION("""COMPUTED_VALUE"""),"I-I")</f>
        <v>I-I</v>
      </c>
      <c r="Y16" s="149" t="str">
        <f ca="1">IFERROR(__xludf.DUMMYFUNCTION("""COMPUTED_VALUE"""),"A-A")</f>
        <v>A-A</v>
      </c>
      <c r="Z16" s="149" t="str">
        <f ca="1">IFERROR(__xludf.DUMMYFUNCTION("""COMPUTED_VALUE"""),"Yes")</f>
        <v>Yes</v>
      </c>
      <c r="AA16" s="149" t="str">
        <f ca="1">IFERROR(__xludf.DUMMYFUNCTION("""COMPUTED_VALUE"""),"No")</f>
        <v>No</v>
      </c>
      <c r="AB16" s="149" t="str">
        <f ca="1">IFERROR(__xludf.DUMMYFUNCTION("""COMPUTED_VALUE"""),"Yes")</f>
        <v>Yes</v>
      </c>
      <c r="AC16" s="149" t="str">
        <f ca="1">IFERROR(__xludf.DUMMYFUNCTION("""COMPUTED_VALUE"""),"S/IS")</f>
        <v>S/IS</v>
      </c>
      <c r="AD16" s="149" t="str">
        <f ca="1">IFERROR(__xludf.DUMMYFUNCTION("""COMPUTED_VALUE"""),"USA")</f>
        <v>USA</v>
      </c>
      <c r="AE16" s="150">
        <f ca="1">IFERROR(__xludf.DUMMYFUNCTION("""COMPUTED_VALUE"""),87)</f>
        <v>87</v>
      </c>
      <c r="AF16" s="149" t="str">
        <f ca="1">IFERROR(__xludf.DUMMYFUNCTION("""COMPUTED_VALUE"""),"F")</f>
        <v>F</v>
      </c>
      <c r="AG16" s="149" t="str">
        <f ca="1">IFERROR(__xludf.DUMMYFUNCTION("""COMPUTED_VALUE"""),"2S,4,2D")</f>
        <v>2S,4,2D</v>
      </c>
      <c r="AH16" s="151">
        <f ca="1">IFERROR(__xludf.DUMMYFUNCTION("""COMPUTED_VALUE"""),18)</f>
        <v>18</v>
      </c>
      <c r="AI16" s="149"/>
      <c r="AJ16" s="149"/>
      <c r="AK16" s="149"/>
      <c r="AL16" s="149"/>
      <c r="AM16" s="149"/>
      <c r="AN16" s="149"/>
      <c r="AO16" s="149"/>
      <c r="AP16" s="149"/>
      <c r="AQ16" s="149"/>
      <c r="AR16" s="149"/>
    </row>
    <row r="17" spans="1:44" ht="12.3">
      <c r="A17" s="142"/>
      <c r="B17" s="142" t="str">
        <f>Raw!A17</f>
        <v>Cicchetti &amp; Barnett (1991)</v>
      </c>
      <c r="C17" s="143" t="str">
        <f>CONCATENATE(ROUND(Raw!I17,0),"/",ROUND(Raw!J17,0))</f>
        <v>30/48</v>
      </c>
      <c r="D17" s="143" t="str">
        <f>VLOOKUP(Processed!E17,P$2:Q$10,2,FALSE)</f>
        <v>T-P</v>
      </c>
      <c r="E17" s="143" t="str">
        <f>VLOOKUP(Raw!M17,R$2:S$13,2,FALSE)</f>
        <v>CM-CM</v>
      </c>
      <c r="F17" s="143" t="str">
        <f>IF(Raw!P17,"Yes","No")</f>
        <v>Yes</v>
      </c>
      <c r="G17" s="143" t="str">
        <f>IF(Raw!Q17,"Yes","No")</f>
        <v>No</v>
      </c>
      <c r="H17" s="143" t="str">
        <f>IF(Raw!T17,"Yes","No")</f>
        <v>Yes</v>
      </c>
      <c r="I17" s="143" t="str">
        <f>IF(AND(Raw!N17,Raw!O17), "S/IS, D/O", IF(Raw!N17,"S/IS", IF(Raw!O17,"D/O","-")))</f>
        <v>S/IS</v>
      </c>
      <c r="J17" s="143" t="str">
        <f>Raw!L17</f>
        <v>USA</v>
      </c>
      <c r="K17" s="144">
        <f>IF(Processed!BN17="NA","-",ROUND(Processed!BN17*100,0))</f>
        <v>75</v>
      </c>
      <c r="L17" s="143" t="str">
        <f>VLOOKUP(Raw!F17,T$2:U$4,2,FALSE)</f>
        <v>M,F</v>
      </c>
      <c r="M17" s="143" t="str">
        <f>CONCATENATE(IF(Processed!F17,"2S",""),IF(Processed!W17,",3",""),IF(Processed!AG17,",4",""),IF(Processed!AQ17,",2D",""))</f>
        <v>2S,4,2D</v>
      </c>
      <c r="N17" s="145">
        <f>IF(NOT(ISBLANK(Raw!AE17)), Raw!AE17, SUM(Raw!AL17:AT17))</f>
        <v>20</v>
      </c>
      <c r="O17" s="146" t="b">
        <f>COUNTIF(Raw!AV17:BK17, "&gt;=0") = 16</f>
        <v>1</v>
      </c>
      <c r="P17" s="146"/>
      <c r="Q17" s="146"/>
      <c r="R17" s="156"/>
      <c r="S17" s="146"/>
      <c r="T17" s="146"/>
      <c r="U17" s="146"/>
      <c r="V17" s="146" t="str">
        <f ca="1">IFERROR(__xludf.DUMMYFUNCTION("""COMPUTED_VALUE"""),"Barnett, Ganiban &amp; Cicchetti (1999)")</f>
        <v>Barnett, Ganiban &amp; Cicchetti (1999)</v>
      </c>
      <c r="W17" s="149" t="str">
        <f ca="1">IFERROR(__xludf.DUMMYFUNCTION("""COMPUTED_VALUE"""),"18/24")</f>
        <v>18/24</v>
      </c>
      <c r="X17" s="149" t="str">
        <f ca="1">IFERROR(__xludf.DUMMYFUNCTION("""COMPUTED_VALUE"""),"I-T")</f>
        <v>I-T</v>
      </c>
      <c r="Y17" s="149" t="str">
        <f ca="1">IFERROR(__xludf.DUMMYFUNCTION("""COMPUTED_VALUE"""),"A-A")</f>
        <v>A-A</v>
      </c>
      <c r="Z17" s="149" t="str">
        <f ca="1">IFERROR(__xludf.DUMMYFUNCTION("""COMPUTED_VALUE"""),"Yes")</f>
        <v>Yes</v>
      </c>
      <c r="AA17" s="149" t="str">
        <f ca="1">IFERROR(__xludf.DUMMYFUNCTION("""COMPUTED_VALUE"""),"No")</f>
        <v>No</v>
      </c>
      <c r="AB17" s="149" t="str">
        <f ca="1">IFERROR(__xludf.DUMMYFUNCTION("""COMPUTED_VALUE"""),"Yes")</f>
        <v>Yes</v>
      </c>
      <c r="AC17" s="149" t="str">
        <f ca="1">IFERROR(__xludf.DUMMYFUNCTION("""COMPUTED_VALUE"""),"S/IS")</f>
        <v>S/IS</v>
      </c>
      <c r="AD17" s="149" t="str">
        <f ca="1">IFERROR(__xludf.DUMMYFUNCTION("""COMPUTED_VALUE"""),"USA")</f>
        <v>USA</v>
      </c>
      <c r="AE17" s="150">
        <f ca="1">IFERROR(__xludf.DUMMYFUNCTION("""COMPUTED_VALUE"""),88)</f>
        <v>88</v>
      </c>
      <c r="AF17" s="149" t="str">
        <f ca="1">IFERROR(__xludf.DUMMYFUNCTION("""COMPUTED_VALUE"""),"F")</f>
        <v>F</v>
      </c>
      <c r="AG17" s="149" t="str">
        <f ca="1">IFERROR(__xludf.DUMMYFUNCTION("""COMPUTED_VALUE"""),"2S,4,2D")</f>
        <v>2S,4,2D</v>
      </c>
      <c r="AH17" s="151">
        <f ca="1">IFERROR(__xludf.DUMMYFUNCTION("""COMPUTED_VALUE"""),16)</f>
        <v>16</v>
      </c>
      <c r="AI17" s="149"/>
      <c r="AJ17" s="149"/>
      <c r="AK17" s="149"/>
      <c r="AL17" s="149"/>
      <c r="AM17" s="149"/>
      <c r="AN17" s="149"/>
      <c r="AO17" s="149"/>
      <c r="AP17" s="149"/>
      <c r="AQ17" s="149"/>
      <c r="AR17" s="149"/>
    </row>
    <row r="18" spans="1:44" ht="12.3">
      <c r="A18" s="142"/>
      <c r="B18" s="142" t="str">
        <f>Raw!A18</f>
        <v>Cicchetti &amp; Barnett (1991)</v>
      </c>
      <c r="C18" s="143" t="str">
        <f>CONCATENATE(ROUND(Raw!I18,0),"/",ROUND(Raw!J18,0))</f>
        <v>36/48</v>
      </c>
      <c r="D18" s="143" t="str">
        <f>VLOOKUP(Processed!E18,P$2:Q$10,2,FALSE)</f>
        <v>T-P</v>
      </c>
      <c r="E18" s="143" t="str">
        <f>VLOOKUP(Raw!M18,R$2:S$13,2,FALSE)</f>
        <v>CM-CM</v>
      </c>
      <c r="F18" s="143" t="str">
        <f>IF(Raw!P18,"Yes","No")</f>
        <v>Yes</v>
      </c>
      <c r="G18" s="143" t="str">
        <f>IF(Raw!Q18,"Yes","No")</f>
        <v>No</v>
      </c>
      <c r="H18" s="143" t="str">
        <f>IF(Raw!T18,"Yes","No")</f>
        <v>Yes</v>
      </c>
      <c r="I18" s="143" t="str">
        <f>IF(AND(Raw!N18,Raw!O18), "S/IS, D/O", IF(Raw!N18,"S/IS", IF(Raw!O18,"D/O","-")))</f>
        <v>S/IS</v>
      </c>
      <c r="J18" s="143" t="str">
        <f>Raw!L18</f>
        <v>USA</v>
      </c>
      <c r="K18" s="144">
        <f>IF(Processed!BN18="NA","-",ROUND(Processed!BN18*100,0))</f>
        <v>75</v>
      </c>
      <c r="L18" s="143" t="str">
        <f>VLOOKUP(Raw!F18,T$2:U$4,2,FALSE)</f>
        <v>M,F</v>
      </c>
      <c r="M18" s="143" t="str">
        <f>CONCATENATE(IF(Processed!F18,"2S",""),IF(Processed!W18,",3",""),IF(Processed!AG18,",4",""),IF(Processed!AQ18,",2D",""))</f>
        <v>2S,4,2D</v>
      </c>
      <c r="N18" s="145">
        <f>IF(NOT(ISBLANK(Raw!AE18)), Raw!AE18, SUM(Raw!AL18:AT18))</f>
        <v>15</v>
      </c>
      <c r="O18" s="146" t="b">
        <f>COUNTIF(Raw!AV18:BK18, "&gt;=0") = 16</f>
        <v>1</v>
      </c>
      <c r="P18" s="146"/>
      <c r="Q18" s="146"/>
      <c r="R18" s="156"/>
      <c r="S18" s="146"/>
      <c r="T18" s="146"/>
      <c r="U18" s="146"/>
      <c r="V18" s="146" t="str">
        <f ca="1">IFERROR(__xludf.DUMMYFUNCTION("""COMPUTED_VALUE"""),"Belsky et al. (1996)")</f>
        <v>Belsky et al. (1996)</v>
      </c>
      <c r="W18" s="149" t="str">
        <f ca="1">IFERROR(__xludf.DUMMYFUNCTION("""COMPUTED_VALUE"""),"13/20")</f>
        <v>13/20</v>
      </c>
      <c r="X18" s="149" t="str">
        <f ca="1">IFERROR(__xludf.DUMMYFUNCTION("""COMPUTED_VALUE"""),"I-T")</f>
        <v>I-T</v>
      </c>
      <c r="Y18" s="149" t="str">
        <f ca="1">IFERROR(__xludf.DUMMYFUNCTION("""COMPUTED_VALUE"""),"A-A")</f>
        <v>A-A</v>
      </c>
      <c r="Z18" s="149" t="str">
        <f ca="1">IFERROR(__xludf.DUMMYFUNCTION("""COMPUTED_VALUE"""),"No")</f>
        <v>No</v>
      </c>
      <c r="AA18" s="149" t="str">
        <f ca="1">IFERROR(__xludf.DUMMYFUNCTION("""COMPUTED_VALUE"""),"No")</f>
        <v>No</v>
      </c>
      <c r="AB18" s="149" t="str">
        <f ca="1">IFERROR(__xludf.DUMMYFUNCTION("""COMPUTED_VALUE"""),"Yes")</f>
        <v>Yes</v>
      </c>
      <c r="AC18" s="149" t="str">
        <f ca="1">IFERROR(__xludf.DUMMYFUNCTION("""COMPUTED_VALUE"""),"S/IS")</f>
        <v>S/IS</v>
      </c>
      <c r="AD18" s="149" t="str">
        <f ca="1">IFERROR(__xludf.DUMMYFUNCTION("""COMPUTED_VALUE"""),"USA")</f>
        <v>USA</v>
      </c>
      <c r="AE18" s="150">
        <f ca="1">IFERROR(__xludf.DUMMYFUNCTION("""COMPUTED_VALUE"""),93)</f>
        <v>93</v>
      </c>
      <c r="AF18" s="149" t="str">
        <f ca="1">IFERROR(__xludf.DUMMYFUNCTION("""COMPUTED_VALUE"""),"M")</f>
        <v>M</v>
      </c>
      <c r="AG18" s="149" t="str">
        <f ca="1">IFERROR(__xludf.DUMMYFUNCTION("""COMPUTED_VALUE"""),"2S,3")</f>
        <v>2S,3</v>
      </c>
      <c r="AH18" s="151">
        <f ca="1">IFERROR(__xludf.DUMMYFUNCTION("""COMPUTED_VALUE"""),120)</f>
        <v>120</v>
      </c>
      <c r="AI18" s="149"/>
      <c r="AJ18" s="149"/>
      <c r="AK18" s="149"/>
      <c r="AL18" s="149"/>
      <c r="AM18" s="149"/>
      <c r="AN18" s="149"/>
      <c r="AO18" s="149"/>
      <c r="AP18" s="149"/>
      <c r="AQ18" s="149"/>
      <c r="AR18" s="149"/>
    </row>
    <row r="19" spans="1:44" ht="12.3">
      <c r="A19" s="142"/>
      <c r="B19" s="142" t="str">
        <f>Raw!A19</f>
        <v>Cicchetti, Rogosch &amp; Toth (2006)</v>
      </c>
      <c r="C19" s="143" t="str">
        <f>CONCATENATE(ROUND(Raw!I19,0),"/",ROUND(Raw!J19,0))</f>
        <v>12/26</v>
      </c>
      <c r="D19" s="143" t="str">
        <f>VLOOKUP(Processed!E19,P$2:Q$10,2,FALSE)</f>
        <v>I-T</v>
      </c>
      <c r="E19" s="143" t="str">
        <f>VLOOKUP(Raw!M19,R$2:S$13,2,FALSE)</f>
        <v>A-SR</v>
      </c>
      <c r="F19" s="143" t="str">
        <f>IF(Raw!P19,"Yes","No")</f>
        <v>Yes</v>
      </c>
      <c r="G19" s="143" t="str">
        <f>IF(Raw!Q19,"Yes","No")</f>
        <v>No</v>
      </c>
      <c r="H19" s="143" t="str">
        <f>IF(Raw!T19,"Yes","No")</f>
        <v>Yes</v>
      </c>
      <c r="I19" s="143" t="str">
        <f>IF(AND(Raw!N19,Raw!O19), "S/IS, D/O", IF(Raw!N19,"S/IS", IF(Raw!O19,"D/O","-")))</f>
        <v>S/IS</v>
      </c>
      <c r="J19" s="143" t="str">
        <f>Raw!L19</f>
        <v>USA</v>
      </c>
      <c r="K19" s="144">
        <f>IF(Processed!BN19="NA","-",ROUND(Processed!BN19*100,0))</f>
        <v>88</v>
      </c>
      <c r="L19" s="143" t="str">
        <f>VLOOKUP(Raw!F19,T$2:U$4,2,FALSE)</f>
        <v>F</v>
      </c>
      <c r="M19" s="143" t="str">
        <f>CONCATENATE(IF(Processed!F19,"2S",""),IF(Processed!W19,",3",""),IF(Processed!AG19,",4",""),IF(Processed!AQ19,",2D",""))</f>
        <v>2S,4,2D</v>
      </c>
      <c r="N19" s="145">
        <f>IF(NOT(ISBLANK(Raw!AE19)), Raw!AE19, SUM(Raw!AL19:AT19))</f>
        <v>54</v>
      </c>
      <c r="O19" s="146" t="b">
        <f>COUNTIF(Raw!AV19:BK19, "&gt;=0") = 16</f>
        <v>1</v>
      </c>
      <c r="P19" s="146"/>
      <c r="Q19" s="146"/>
      <c r="R19" s="156"/>
      <c r="S19" s="146"/>
      <c r="T19" s="146"/>
      <c r="U19" s="146"/>
      <c r="V19" s="146" t="str">
        <f ca="1">IFERROR(__xludf.DUMMYFUNCTION("""COMPUTED_VALUE"""),"Belsky et al. (1996)")</f>
        <v>Belsky et al. (1996)</v>
      </c>
      <c r="W19" s="149" t="str">
        <f ca="1">IFERROR(__xludf.DUMMYFUNCTION("""COMPUTED_VALUE"""),"12/18")</f>
        <v>12/18</v>
      </c>
      <c r="X19" s="149" t="str">
        <f ca="1">IFERROR(__xludf.DUMMYFUNCTION("""COMPUTED_VALUE"""),"I-I")</f>
        <v>I-I</v>
      </c>
      <c r="Y19" s="149" t="str">
        <f ca="1">IFERROR(__xludf.DUMMYFUNCTION("""COMPUTED_VALUE"""),"A-A")</f>
        <v>A-A</v>
      </c>
      <c r="Z19" s="149" t="str">
        <f ca="1">IFERROR(__xludf.DUMMYFUNCTION("""COMPUTED_VALUE"""),"No")</f>
        <v>No</v>
      </c>
      <c r="AA19" s="149" t="str">
        <f ca="1">IFERROR(__xludf.DUMMYFUNCTION("""COMPUTED_VALUE"""),"No")</f>
        <v>No</v>
      </c>
      <c r="AB19" s="149" t="str">
        <f ca="1">IFERROR(__xludf.DUMMYFUNCTION("""COMPUTED_VALUE"""),"Yes")</f>
        <v>Yes</v>
      </c>
      <c r="AC19" s="149" t="str">
        <f ca="1">IFERROR(__xludf.DUMMYFUNCTION("""COMPUTED_VALUE"""),"S/IS")</f>
        <v>S/IS</v>
      </c>
      <c r="AD19" s="149" t="str">
        <f ca="1">IFERROR(__xludf.DUMMYFUNCTION("""COMPUTED_VALUE"""),"USA")</f>
        <v>USA</v>
      </c>
      <c r="AE19" s="150">
        <f ca="1">IFERROR(__xludf.DUMMYFUNCTION("""COMPUTED_VALUE"""),93)</f>
        <v>93</v>
      </c>
      <c r="AF19" s="149" t="str">
        <f ca="1">IFERROR(__xludf.DUMMYFUNCTION("""COMPUTED_VALUE"""),"F")</f>
        <v>F</v>
      </c>
      <c r="AG19" s="149" t="str">
        <f ca="1">IFERROR(__xludf.DUMMYFUNCTION("""COMPUTED_VALUE"""),"2S,3")</f>
        <v>2S,3</v>
      </c>
      <c r="AH19" s="151">
        <f ca="1">IFERROR(__xludf.DUMMYFUNCTION("""COMPUTED_VALUE"""),125)</f>
        <v>125</v>
      </c>
      <c r="AI19" s="149"/>
      <c r="AJ19" s="149"/>
      <c r="AK19" s="149"/>
      <c r="AL19" s="149"/>
      <c r="AM19" s="149"/>
      <c r="AN19" s="149"/>
      <c r="AO19" s="149"/>
      <c r="AP19" s="149"/>
      <c r="AQ19" s="149"/>
      <c r="AR19" s="149"/>
    </row>
    <row r="20" spans="1:44" ht="12.3">
      <c r="A20" s="142"/>
      <c r="B20" s="142" t="str">
        <f>Raw!A20</f>
        <v>Cicchetti, Rogosch &amp; Toth (2006)</v>
      </c>
      <c r="C20" s="143" t="str">
        <f>CONCATENATE(ROUND(Raw!I20,0),"/",ROUND(Raw!J20,0))</f>
        <v>12/26</v>
      </c>
      <c r="D20" s="143" t="str">
        <f>VLOOKUP(Processed!E20,P$2:Q$10,2,FALSE)</f>
        <v>I-T</v>
      </c>
      <c r="E20" s="143" t="str">
        <f>VLOOKUP(Raw!M20,R$2:S$13,2,FALSE)</f>
        <v>A-SR</v>
      </c>
      <c r="F20" s="143" t="str">
        <f>IF(Raw!P20,"Yes","No")</f>
        <v>No</v>
      </c>
      <c r="G20" s="143" t="str">
        <f>IF(Raw!Q20,"Yes","No")</f>
        <v>No</v>
      </c>
      <c r="H20" s="143" t="str">
        <f>IF(Raw!T20,"Yes","No")</f>
        <v>Yes</v>
      </c>
      <c r="I20" s="143" t="str">
        <f>IF(AND(Raw!N20,Raw!O20), "S/IS, D/O", IF(Raw!N20,"S/IS", IF(Raw!O20,"D/O","-")))</f>
        <v>S/IS</v>
      </c>
      <c r="J20" s="143" t="str">
        <f>Raw!L20</f>
        <v>USA</v>
      </c>
      <c r="K20" s="144">
        <f>IF(Processed!BN20="NA","-",ROUND(Processed!BN20*100,0))</f>
        <v>88</v>
      </c>
      <c r="L20" s="143" t="str">
        <f>VLOOKUP(Raw!F20,T$2:U$4,2,FALSE)</f>
        <v>F</v>
      </c>
      <c r="M20" s="143" t="str">
        <f>CONCATENATE(IF(Processed!F20,"2S",""),IF(Processed!W20,",3",""),IF(Processed!AG20,",4",""),IF(Processed!AQ20,",2D",""))</f>
        <v>2S,4,2D</v>
      </c>
      <c r="N20" s="145">
        <f>IF(NOT(ISBLANK(Raw!AE20)), Raw!AE20, SUM(Raw!AL20:AT20))</f>
        <v>44</v>
      </c>
      <c r="O20" s="146" t="b">
        <f>COUNTIF(Raw!AV20:BK20, "&gt;=0") = 16</f>
        <v>1</v>
      </c>
      <c r="P20" s="146"/>
      <c r="Q20" s="146"/>
      <c r="R20" s="156"/>
      <c r="S20" s="146"/>
      <c r="T20" s="146"/>
      <c r="U20" s="146"/>
      <c r="V20" s="146" t="str">
        <f ca="1">IFERROR(__xludf.DUMMYFUNCTION("""COMPUTED_VALUE"""),"Belsky et al. (1996)")</f>
        <v>Belsky et al. (1996)</v>
      </c>
      <c r="W20" s="149" t="str">
        <f ca="1">IFERROR(__xludf.DUMMYFUNCTION("""COMPUTED_VALUE"""),"12/18")</f>
        <v>12/18</v>
      </c>
      <c r="X20" s="149" t="str">
        <f ca="1">IFERROR(__xludf.DUMMYFUNCTION("""COMPUTED_VALUE"""),"I-I")</f>
        <v>I-I</v>
      </c>
      <c r="Y20" s="149" t="str">
        <f ca="1">IFERROR(__xludf.DUMMYFUNCTION("""COMPUTED_VALUE"""),"A-A")</f>
        <v>A-A</v>
      </c>
      <c r="Z20" s="149" t="str">
        <f ca="1">IFERROR(__xludf.DUMMYFUNCTION("""COMPUTED_VALUE"""),"No")</f>
        <v>No</v>
      </c>
      <c r="AA20" s="149" t="str">
        <f ca="1">IFERROR(__xludf.DUMMYFUNCTION("""COMPUTED_VALUE"""),"No")</f>
        <v>No</v>
      </c>
      <c r="AB20" s="149" t="str">
        <f ca="1">IFERROR(__xludf.DUMMYFUNCTION("""COMPUTED_VALUE"""),"Yes")</f>
        <v>Yes</v>
      </c>
      <c r="AC20" s="149" t="str">
        <f ca="1">IFERROR(__xludf.DUMMYFUNCTION("""COMPUTED_VALUE"""),"S/IS")</f>
        <v>S/IS</v>
      </c>
      <c r="AD20" s="149" t="str">
        <f ca="1">IFERROR(__xludf.DUMMYFUNCTION("""COMPUTED_VALUE"""),"USA")</f>
        <v>USA</v>
      </c>
      <c r="AE20" s="150">
        <f ca="1">IFERROR(__xludf.DUMMYFUNCTION("""COMPUTED_VALUE"""),96)</f>
        <v>96</v>
      </c>
      <c r="AF20" s="149" t="str">
        <f ca="1">IFERROR(__xludf.DUMMYFUNCTION("""COMPUTED_VALUE"""),"F")</f>
        <v>F</v>
      </c>
      <c r="AG20" s="149" t="str">
        <f ca="1">IFERROR(__xludf.DUMMYFUNCTION("""COMPUTED_VALUE"""),"2S,3")</f>
        <v>2S,3</v>
      </c>
      <c r="AH20" s="151">
        <f ca="1">IFERROR(__xludf.DUMMYFUNCTION("""COMPUTED_VALUE"""),90)</f>
        <v>90</v>
      </c>
      <c r="AI20" s="149"/>
      <c r="AJ20" s="149"/>
      <c r="AK20" s="149"/>
      <c r="AL20" s="149"/>
      <c r="AM20" s="149"/>
      <c r="AN20" s="149"/>
      <c r="AO20" s="149"/>
      <c r="AP20" s="149"/>
      <c r="AQ20" s="149"/>
      <c r="AR20" s="149"/>
    </row>
    <row r="21" spans="1:44" ht="12.3">
      <c r="A21" s="142"/>
      <c r="B21" s="142" t="str">
        <f>Raw!A21</f>
        <v>Easterbrooks (1989)</v>
      </c>
      <c r="C21" s="143" t="str">
        <f>CONCATENATE(ROUND(Raw!I21,0),"/",ROUND(Raw!J21,0))</f>
        <v>13/20</v>
      </c>
      <c r="D21" s="143" t="str">
        <f>VLOOKUP(Processed!E21,P$2:Q$10,2,FALSE)</f>
        <v>I-T</v>
      </c>
      <c r="E21" s="143" t="str">
        <f>VLOOKUP(Raw!M21,R$2:S$13,2,FALSE)</f>
        <v>A-A</v>
      </c>
      <c r="F21" s="143" t="str">
        <f>IF(Raw!P21,"Yes","No")</f>
        <v>No</v>
      </c>
      <c r="G21" s="143" t="str">
        <f>IF(Raw!Q21,"Yes","No")</f>
        <v>No</v>
      </c>
      <c r="H21" s="143" t="str">
        <f>IF(Raw!T21,"Yes","No")</f>
        <v>Yes</v>
      </c>
      <c r="I21" s="143" t="str">
        <f>IF(AND(Raw!N21,Raw!O21), "S/IS, D/O", IF(Raw!N21,"S/IS", IF(Raw!O21,"D/O","-")))</f>
        <v>S/IS</v>
      </c>
      <c r="J21" s="143" t="str">
        <f>Raw!L21</f>
        <v>USA</v>
      </c>
      <c r="K21" s="144" t="str">
        <f>IF(Processed!BN21="NA","-",ROUND(Processed!BN21*100,0))</f>
        <v>-</v>
      </c>
      <c r="L21" s="143" t="str">
        <f>VLOOKUP(Raw!F21,T$2:U$4,2,FALSE)</f>
        <v>M</v>
      </c>
      <c r="M21" s="143" t="str">
        <f>CONCATENATE(IF(Processed!F21,"2S",""),IF(Processed!W21,",3",""),IF(Processed!AG21,",4",""),IF(Processed!AQ21,",2D",""))</f>
        <v>2S</v>
      </c>
      <c r="N21" s="145">
        <f>IF(NOT(ISBLANK(Raw!AE21)), Raw!AE21, SUM(Raw!AL21:AT21))</f>
        <v>59</v>
      </c>
      <c r="O21" s="146" t="b">
        <f>COUNTIF(Raw!AV21:BK21, "&gt;=0") = 16</f>
        <v>0</v>
      </c>
      <c r="P21" s="146"/>
      <c r="Q21" s="146"/>
      <c r="R21" s="156"/>
      <c r="S21" s="146"/>
      <c r="T21" s="146"/>
      <c r="U21" s="146"/>
      <c r="V21" s="146" t="str">
        <f ca="1">IFERROR(__xludf.DUMMYFUNCTION("""COMPUTED_VALUE"""),"Carlson (1998)")</f>
        <v>Carlson (1998)</v>
      </c>
      <c r="W21" s="149" t="str">
        <f ca="1">IFERROR(__xludf.DUMMYFUNCTION("""COMPUTED_VALUE"""),"12/18")</f>
        <v>12/18</v>
      </c>
      <c r="X21" s="149" t="str">
        <f ca="1">IFERROR(__xludf.DUMMYFUNCTION("""COMPUTED_VALUE"""),"I-I")</f>
        <v>I-I</v>
      </c>
      <c r="Y21" s="149" t="str">
        <f ca="1">IFERROR(__xludf.DUMMYFUNCTION("""COMPUTED_VALUE"""),"A-A")</f>
        <v>A-A</v>
      </c>
      <c r="Z21" s="149" t="str">
        <f ca="1">IFERROR(__xludf.DUMMYFUNCTION("""COMPUTED_VALUE"""),"Yes")</f>
        <v>Yes</v>
      </c>
      <c r="AA21" s="149" t="str">
        <f ca="1">IFERROR(__xludf.DUMMYFUNCTION("""COMPUTED_VALUE"""),"No")</f>
        <v>No</v>
      </c>
      <c r="AB21" s="149" t="str">
        <f ca="1">IFERROR(__xludf.DUMMYFUNCTION("""COMPUTED_VALUE"""),"Yes")</f>
        <v>Yes</v>
      </c>
      <c r="AC21" s="149" t="str">
        <f ca="1">IFERROR(__xludf.DUMMYFUNCTION("""COMPUTED_VALUE"""),"D/O")</f>
        <v>D/O</v>
      </c>
      <c r="AD21" s="149" t="str">
        <f ca="1">IFERROR(__xludf.DUMMYFUNCTION("""COMPUTED_VALUE"""),"USA")</f>
        <v>USA</v>
      </c>
      <c r="AE21" s="150">
        <f ca="1">IFERROR(__xludf.DUMMYFUNCTION("""COMPUTED_VALUE"""),91)</f>
        <v>91</v>
      </c>
      <c r="AF21" s="149" t="str">
        <f ca="1">IFERROR(__xludf.DUMMYFUNCTION("""COMPUTED_VALUE"""),"F")</f>
        <v>F</v>
      </c>
      <c r="AG21" s="149" t="str">
        <f ca="1">IFERROR(__xludf.DUMMYFUNCTION("""COMPUTED_VALUE"""),"")</f>
        <v/>
      </c>
      <c r="AH21" s="151">
        <f ca="1">IFERROR(__xludf.DUMMYFUNCTION("""COMPUTED_VALUE"""),0)</f>
        <v>0</v>
      </c>
      <c r="AI21" s="149"/>
      <c r="AJ21" s="149"/>
      <c r="AK21" s="149"/>
      <c r="AL21" s="149"/>
      <c r="AM21" s="149"/>
      <c r="AN21" s="149"/>
      <c r="AO21" s="149"/>
      <c r="AP21" s="149"/>
      <c r="AQ21" s="149"/>
      <c r="AR21" s="149"/>
    </row>
    <row r="22" spans="1:44" ht="12.3">
      <c r="A22" s="142"/>
      <c r="B22" s="142" t="str">
        <f>Raw!A22</f>
        <v>Easterbrooks (1989)</v>
      </c>
      <c r="C22" s="143" t="str">
        <f>CONCATENATE(ROUND(Raw!I22,0),"/",ROUND(Raw!J22,0))</f>
        <v>13/20</v>
      </c>
      <c r="D22" s="143" t="str">
        <f>VLOOKUP(Processed!E22,P$2:Q$10,2,FALSE)</f>
        <v>I-T</v>
      </c>
      <c r="E22" s="143" t="str">
        <f>VLOOKUP(Raw!M22,R$2:S$13,2,FALSE)</f>
        <v>A-A</v>
      </c>
      <c r="F22" s="143" t="str">
        <f>IF(Raw!P22,"Yes","No")</f>
        <v>No</v>
      </c>
      <c r="G22" s="143" t="str">
        <f>IF(Raw!Q22,"Yes","No")</f>
        <v>No</v>
      </c>
      <c r="H22" s="143" t="str">
        <f>IF(Raw!T22,"Yes","No")</f>
        <v>Yes</v>
      </c>
      <c r="I22" s="143" t="str">
        <f>IF(AND(Raw!N22,Raw!O22), "S/IS, D/O", IF(Raw!N22,"S/IS", IF(Raw!O22,"D/O","-")))</f>
        <v>S/IS</v>
      </c>
      <c r="J22" s="143" t="str">
        <f>Raw!L22</f>
        <v>USA</v>
      </c>
      <c r="K22" s="144" t="str">
        <f>IF(Processed!BN22="NA","-",ROUND(Processed!BN22*100,0))</f>
        <v>-</v>
      </c>
      <c r="L22" s="143" t="str">
        <f>VLOOKUP(Raw!F22,T$2:U$4,2,FALSE)</f>
        <v>F</v>
      </c>
      <c r="M22" s="143" t="str">
        <f>CONCATENATE(IF(Processed!F22,"2S",""),IF(Processed!W22,",3",""),IF(Processed!AG22,",4",""),IF(Processed!AQ22,",2D",""))</f>
        <v>2S</v>
      </c>
      <c r="N22" s="145">
        <f>IF(NOT(ISBLANK(Raw!AE22)), Raw!AE22, SUM(Raw!AL22:AT22))</f>
        <v>57</v>
      </c>
      <c r="O22" s="146" t="b">
        <f>COUNTIF(Raw!AV22:BK22, "&gt;=0") = 16</f>
        <v>0</v>
      </c>
      <c r="P22" s="146"/>
      <c r="Q22" s="146"/>
      <c r="R22" s="156"/>
      <c r="S22" s="146"/>
      <c r="T22" s="146"/>
      <c r="U22" s="146"/>
      <c r="V22" s="146" t="str">
        <f ca="1">IFERROR(__xludf.DUMMYFUNCTION("""COMPUTED_VALUE"""),"Cassidy (1988)")</f>
        <v>Cassidy (1988)</v>
      </c>
      <c r="W22" s="149" t="str">
        <f ca="1">IFERROR(__xludf.DUMMYFUNCTION("""COMPUTED_VALUE"""),"74/75")</f>
        <v>74/75</v>
      </c>
      <c r="X22" s="149" t="str">
        <f ca="1">IFERROR(__xludf.DUMMYFUNCTION("""COMPUTED_VALUE"""),"P-P")</f>
        <v>P-P</v>
      </c>
      <c r="Y22" s="149" t="str">
        <f ca="1">IFERROR(__xludf.DUMMYFUNCTION("""COMPUTED_VALUE"""),"MC-MC")</f>
        <v>MC-MC</v>
      </c>
      <c r="Z22" s="149" t="str">
        <f ca="1">IFERROR(__xludf.DUMMYFUNCTION("""COMPUTED_VALUE"""),"No")</f>
        <v>No</v>
      </c>
      <c r="AA22" s="149" t="str">
        <f ca="1">IFERROR(__xludf.DUMMYFUNCTION("""COMPUTED_VALUE"""),"No")</f>
        <v>No</v>
      </c>
      <c r="AB22" s="149" t="str">
        <f ca="1">IFERROR(__xludf.DUMMYFUNCTION("""COMPUTED_VALUE"""),"Yes")</f>
        <v>Yes</v>
      </c>
      <c r="AC22" s="149" t="str">
        <f ca="1">IFERROR(__xludf.DUMMYFUNCTION("""COMPUTED_VALUE"""),"S/IS")</f>
        <v>S/IS</v>
      </c>
      <c r="AD22" s="149" t="str">
        <f ca="1">IFERROR(__xludf.DUMMYFUNCTION("""COMPUTED_VALUE"""),"USA")</f>
        <v>USA</v>
      </c>
      <c r="AE22" s="150">
        <f ca="1">IFERROR(__xludf.DUMMYFUNCTION("""COMPUTED_VALUE"""),84)</f>
        <v>84</v>
      </c>
      <c r="AF22" s="149" t="str">
        <f ca="1">IFERROR(__xludf.DUMMYFUNCTION("""COMPUTED_VALUE"""),"F")</f>
        <v>F</v>
      </c>
      <c r="AG22" s="149" t="str">
        <f ca="1">IFERROR(__xludf.DUMMYFUNCTION("""COMPUTED_VALUE"""),"2S,3")</f>
        <v>2S,3</v>
      </c>
      <c r="AH22" s="151">
        <f ca="1">IFERROR(__xludf.DUMMYFUNCTION("""COMPUTED_VALUE"""),50)</f>
        <v>50</v>
      </c>
      <c r="AI22" s="149"/>
      <c r="AJ22" s="149"/>
      <c r="AK22" s="149"/>
      <c r="AL22" s="149"/>
      <c r="AM22" s="149"/>
      <c r="AN22" s="149"/>
      <c r="AO22" s="149"/>
      <c r="AP22" s="149"/>
      <c r="AQ22" s="149"/>
      <c r="AR22" s="149"/>
    </row>
    <row r="23" spans="1:44" ht="12.3">
      <c r="A23" s="142"/>
      <c r="B23" s="142" t="str">
        <f>Raw!A23</f>
        <v>Fish (2004)</v>
      </c>
      <c r="C23" s="143" t="str">
        <f>CONCATENATE(ROUND(Raw!I23,0),"/",ROUND(Raw!J23,0))</f>
        <v>15/48</v>
      </c>
      <c r="D23" s="143" t="str">
        <f>VLOOKUP(Processed!E23,P$2:Q$10,2,FALSE)</f>
        <v>I-P</v>
      </c>
      <c r="E23" s="143" t="str">
        <f>VLOOKUP(Raw!M23,R$2:S$13,2,FALSE)</f>
        <v>A-CM</v>
      </c>
      <c r="F23" s="143" t="str">
        <f>IF(Raw!P23,"Yes","No")</f>
        <v>Yes</v>
      </c>
      <c r="G23" s="143" t="str">
        <f>IF(Raw!Q23,"Yes","No")</f>
        <v>No</v>
      </c>
      <c r="H23" s="143" t="str">
        <f>IF(Raw!T23,"Yes","No")</f>
        <v>Yes</v>
      </c>
      <c r="I23" s="143" t="str">
        <f>IF(AND(Raw!N23,Raw!O23), "S/IS, D/O", IF(Raw!N23,"S/IS", IF(Raw!O23,"D/O","-")))</f>
        <v>S/IS</v>
      </c>
      <c r="J23" s="143" t="str">
        <f>Raw!L23</f>
        <v>USA</v>
      </c>
      <c r="K23" s="144">
        <f>IF(Processed!BN23="NA","-",ROUND(Processed!BN23*100,0))</f>
        <v>77</v>
      </c>
      <c r="L23" s="143" t="str">
        <f>VLOOKUP(Raw!F23,T$2:U$4,2,FALSE)</f>
        <v>F</v>
      </c>
      <c r="M23" s="143" t="str">
        <f>CONCATENATE(IF(Processed!F23,"2S",""),IF(Processed!W23,",3",""),IF(Processed!AG23,",4",""),IF(Processed!AQ23,",2D",""))</f>
        <v>2S,4,2D</v>
      </c>
      <c r="N23" s="145">
        <f>IF(NOT(ISBLANK(Raw!AE23)), Raw!AE23, SUM(Raw!AL23:AT23))</f>
        <v>82</v>
      </c>
      <c r="O23" s="146" t="b">
        <f>COUNTIF(Raw!AV23:BK23, "&gt;=0") = 16</f>
        <v>1</v>
      </c>
      <c r="P23" s="146"/>
      <c r="Q23" s="146"/>
      <c r="R23" s="156"/>
      <c r="S23" s="146"/>
      <c r="T23" s="146"/>
      <c r="U23" s="146"/>
      <c r="V23" s="146" t="str">
        <f ca="1">IFERROR(__xludf.DUMMYFUNCTION("""COMPUTED_VALUE"""),"Cicchetti &amp; Barnett (1991)")</f>
        <v>Cicchetti &amp; Barnett (1991)</v>
      </c>
      <c r="W23" s="149" t="str">
        <f ca="1">IFERROR(__xludf.DUMMYFUNCTION("""COMPUTED_VALUE"""),"30/48")</f>
        <v>30/48</v>
      </c>
      <c r="X23" s="149" t="str">
        <f ca="1">IFERROR(__xludf.DUMMYFUNCTION("""COMPUTED_VALUE"""),"T-P")</f>
        <v>T-P</v>
      </c>
      <c r="Y23" s="149" t="str">
        <f ca="1">IFERROR(__xludf.DUMMYFUNCTION("""COMPUTED_VALUE"""),"CM-CM")</f>
        <v>CM-CM</v>
      </c>
      <c r="Z23" s="149" t="str">
        <f ca="1">IFERROR(__xludf.DUMMYFUNCTION("""COMPUTED_VALUE"""),"Yes")</f>
        <v>Yes</v>
      </c>
      <c r="AA23" s="149" t="str">
        <f ca="1">IFERROR(__xludf.DUMMYFUNCTION("""COMPUTED_VALUE"""),"No")</f>
        <v>No</v>
      </c>
      <c r="AB23" s="149" t="str">
        <f ca="1">IFERROR(__xludf.DUMMYFUNCTION("""COMPUTED_VALUE"""),"Yes")</f>
        <v>Yes</v>
      </c>
      <c r="AC23" s="149" t="str">
        <f ca="1">IFERROR(__xludf.DUMMYFUNCTION("""COMPUTED_VALUE"""),"S/IS")</f>
        <v>S/IS</v>
      </c>
      <c r="AD23" s="149" t="str">
        <f ca="1">IFERROR(__xludf.DUMMYFUNCTION("""COMPUTED_VALUE"""),"USA")</f>
        <v>USA</v>
      </c>
      <c r="AE23" s="150">
        <f ca="1">IFERROR(__xludf.DUMMYFUNCTION("""COMPUTED_VALUE"""),75)</f>
        <v>75</v>
      </c>
      <c r="AF23" s="149" t="str">
        <f ca="1">IFERROR(__xludf.DUMMYFUNCTION("""COMPUTED_VALUE"""),"M,F")</f>
        <v>M,F</v>
      </c>
      <c r="AG23" s="149" t="str">
        <f ca="1">IFERROR(__xludf.DUMMYFUNCTION("""COMPUTED_VALUE"""),"2S,4,2D")</f>
        <v>2S,4,2D</v>
      </c>
      <c r="AH23" s="151">
        <f ca="1">IFERROR(__xludf.DUMMYFUNCTION("""COMPUTED_VALUE"""),18)</f>
        <v>18</v>
      </c>
      <c r="AI23" s="149"/>
      <c r="AJ23" s="149"/>
      <c r="AK23" s="149"/>
      <c r="AL23" s="149"/>
      <c r="AM23" s="149"/>
      <c r="AN23" s="149"/>
      <c r="AO23" s="149"/>
      <c r="AP23" s="149"/>
      <c r="AQ23" s="149"/>
      <c r="AR23" s="149"/>
    </row>
    <row r="24" spans="1:44" ht="21">
      <c r="A24" s="142"/>
      <c r="B24" s="142" t="str">
        <f>Raw!A24</f>
        <v>Ganiban, Barnett &amp; Cicchetti (2000)</v>
      </c>
      <c r="C24" s="143" t="str">
        <f>CONCATENATE(ROUND(Raw!I24,0),"/",ROUND(Raw!J24,0))</f>
        <v>19/27</v>
      </c>
      <c r="D24" s="143" t="str">
        <f>VLOOKUP(Processed!E24,P$2:Q$10,2,FALSE)</f>
        <v>I-T</v>
      </c>
      <c r="E24" s="143" t="str">
        <f>VLOOKUP(Raw!M24,R$2:S$13,2,FALSE)</f>
        <v>A-A</v>
      </c>
      <c r="F24" s="143" t="str">
        <f>IF(Raw!P24,"Yes","No")</f>
        <v>No</v>
      </c>
      <c r="G24" s="143" t="str">
        <f>IF(Raw!Q24,"Yes","No")</f>
        <v>Yes</v>
      </c>
      <c r="H24" s="143" t="str">
        <f>IF(Raw!T24,"Yes","No")</f>
        <v>Yes</v>
      </c>
      <c r="I24" s="143" t="str">
        <f>IF(AND(Raw!N24,Raw!O24), "S/IS, D/O", IF(Raw!N24,"S/IS", IF(Raw!O24,"D/O","-")))</f>
        <v>S/IS</v>
      </c>
      <c r="J24" s="143" t="str">
        <f>Raw!L24</f>
        <v>USA</v>
      </c>
      <c r="K24" s="144">
        <f>IF(Processed!BN24="NA","-",ROUND(Processed!BN24*100,0))</f>
        <v>100</v>
      </c>
      <c r="L24" s="143" t="str">
        <f>VLOOKUP(Raw!F24,T$2:U$4,2,FALSE)</f>
        <v>F</v>
      </c>
      <c r="M24" s="143" t="str">
        <f>CONCATENATE(IF(Processed!F24,"2S",""),IF(Processed!W24,",3",""),IF(Processed!AG24,",4",""),IF(Processed!AQ24,",2D",""))</f>
        <v>2S,4,2D</v>
      </c>
      <c r="N24" s="145">
        <f>IF(NOT(ISBLANK(Raw!AE24)), Raw!AE24, SUM(Raw!AL24:AT24))</f>
        <v>30</v>
      </c>
      <c r="O24" s="146" t="b">
        <f>COUNTIF(Raw!AV24:BK24, "&gt;=0") = 16</f>
        <v>1</v>
      </c>
      <c r="P24" s="146"/>
      <c r="Q24" s="146"/>
      <c r="R24" s="156"/>
      <c r="S24" s="146"/>
      <c r="T24" s="146"/>
      <c r="U24" s="146"/>
      <c r="V24" s="146" t="str">
        <f ca="1">IFERROR(__xludf.DUMMYFUNCTION("""COMPUTED_VALUE"""),"Cicchetti &amp; Barnett (1991)")</f>
        <v>Cicchetti &amp; Barnett (1991)</v>
      </c>
      <c r="W24" s="149" t="str">
        <f ca="1">IFERROR(__xludf.DUMMYFUNCTION("""COMPUTED_VALUE"""),"36/48")</f>
        <v>36/48</v>
      </c>
      <c r="X24" s="149" t="str">
        <f ca="1">IFERROR(__xludf.DUMMYFUNCTION("""COMPUTED_VALUE"""),"T-P")</f>
        <v>T-P</v>
      </c>
      <c r="Y24" s="149" t="str">
        <f ca="1">IFERROR(__xludf.DUMMYFUNCTION("""COMPUTED_VALUE"""),"CM-CM")</f>
        <v>CM-CM</v>
      </c>
      <c r="Z24" s="149" t="str">
        <f ca="1">IFERROR(__xludf.DUMMYFUNCTION("""COMPUTED_VALUE"""),"Yes")</f>
        <v>Yes</v>
      </c>
      <c r="AA24" s="149" t="str">
        <f ca="1">IFERROR(__xludf.DUMMYFUNCTION("""COMPUTED_VALUE"""),"No")</f>
        <v>No</v>
      </c>
      <c r="AB24" s="149" t="str">
        <f ca="1">IFERROR(__xludf.DUMMYFUNCTION("""COMPUTED_VALUE"""),"Yes")</f>
        <v>Yes</v>
      </c>
      <c r="AC24" s="149" t="str">
        <f ca="1">IFERROR(__xludf.DUMMYFUNCTION("""COMPUTED_VALUE"""),"S/IS")</f>
        <v>S/IS</v>
      </c>
      <c r="AD24" s="149" t="str">
        <f ca="1">IFERROR(__xludf.DUMMYFUNCTION("""COMPUTED_VALUE"""),"USA")</f>
        <v>USA</v>
      </c>
      <c r="AE24" s="150">
        <f ca="1">IFERROR(__xludf.DUMMYFUNCTION("""COMPUTED_VALUE"""),75)</f>
        <v>75</v>
      </c>
      <c r="AF24" s="149" t="str">
        <f ca="1">IFERROR(__xludf.DUMMYFUNCTION("""COMPUTED_VALUE"""),"M,F")</f>
        <v>M,F</v>
      </c>
      <c r="AG24" s="149" t="str">
        <f ca="1">IFERROR(__xludf.DUMMYFUNCTION("""COMPUTED_VALUE"""),"2S,4,2D")</f>
        <v>2S,4,2D</v>
      </c>
      <c r="AH24" s="151">
        <f ca="1">IFERROR(__xludf.DUMMYFUNCTION("""COMPUTED_VALUE"""),25)</f>
        <v>25</v>
      </c>
      <c r="AI24" s="149"/>
      <c r="AJ24" s="149"/>
      <c r="AK24" s="149"/>
      <c r="AL24" s="149"/>
      <c r="AM24" s="149"/>
      <c r="AN24" s="149"/>
      <c r="AO24" s="149"/>
      <c r="AP24" s="149"/>
      <c r="AQ24" s="149"/>
      <c r="AR24" s="149"/>
    </row>
    <row r="25" spans="1:44" ht="12.3">
      <c r="A25" s="142"/>
      <c r="B25" s="142" t="str">
        <f>Raw!A25</f>
        <v>Hautamaki et al. (2010)</v>
      </c>
      <c r="C25" s="143" t="str">
        <f>CONCATENATE(ROUND(Raw!I25,0),"/",ROUND(Raw!J25,0))</f>
        <v>12/36</v>
      </c>
      <c r="D25" s="143" t="str">
        <f>VLOOKUP(Processed!E25,P$2:Q$10,2,FALSE)</f>
        <v>I-T</v>
      </c>
      <c r="E25" s="143" t="str">
        <f>VLOOKUP(Raw!M25,R$2:S$13,2,FALSE)</f>
        <v>A-CM</v>
      </c>
      <c r="F25" s="143" t="str">
        <f>IF(Raw!P25,"Yes","No")</f>
        <v>No</v>
      </c>
      <c r="G25" s="143" t="str">
        <f>IF(Raw!Q25,"Yes","No")</f>
        <v>No</v>
      </c>
      <c r="H25" s="143" t="str">
        <f>IF(Raw!T25,"Yes","No")</f>
        <v>Yes</v>
      </c>
      <c r="I25" s="143" t="str">
        <f>IF(AND(Raw!N25,Raw!O25), "S/IS, D/O", IF(Raw!N25,"S/IS", IF(Raw!O25,"D/O","-")))</f>
        <v>S/IS</v>
      </c>
      <c r="J25" s="143" t="str">
        <f>Raw!L25</f>
        <v>Finland</v>
      </c>
      <c r="K25" s="144">
        <f>IF(Processed!BN25="NA","-",ROUND(Processed!BN25*100,0))</f>
        <v>98</v>
      </c>
      <c r="L25" s="143" t="str">
        <f>VLOOKUP(Raw!F25,T$2:U$4,2,FALSE)</f>
        <v>M,F</v>
      </c>
      <c r="M25" s="143" t="str">
        <f>CONCATENATE(IF(Processed!F25,"2S",""),IF(Processed!W25,",3",""),IF(Processed!AG25,",4",""),IF(Processed!AQ25,",2D",""))</f>
        <v>2S,3</v>
      </c>
      <c r="N25" s="145">
        <f>IF(NOT(ISBLANK(Raw!AE25)), Raw!AE25, SUM(Raw!AL25:AT25))</f>
        <v>33</v>
      </c>
      <c r="O25" s="146" t="b">
        <f>COUNTIF(Raw!AV25:BK25, "&gt;=0") = 16</f>
        <v>0</v>
      </c>
      <c r="P25" s="146"/>
      <c r="Q25" s="146"/>
      <c r="R25" s="156"/>
      <c r="S25" s="146"/>
      <c r="T25" s="146"/>
      <c r="U25" s="146"/>
      <c r="V25" s="146" t="str">
        <f ca="1">IFERROR(__xludf.DUMMYFUNCTION("""COMPUTED_VALUE"""),"Cicchetti &amp; Barnett (1991)")</f>
        <v>Cicchetti &amp; Barnett (1991)</v>
      </c>
      <c r="W25" s="149" t="str">
        <f ca="1">IFERROR(__xludf.DUMMYFUNCTION("""COMPUTED_VALUE"""),"30/48")</f>
        <v>30/48</v>
      </c>
      <c r="X25" s="149" t="str">
        <f ca="1">IFERROR(__xludf.DUMMYFUNCTION("""COMPUTED_VALUE"""),"T-P")</f>
        <v>T-P</v>
      </c>
      <c r="Y25" s="149" t="str">
        <f ca="1">IFERROR(__xludf.DUMMYFUNCTION("""COMPUTED_VALUE"""),"CM-CM")</f>
        <v>CM-CM</v>
      </c>
      <c r="Z25" s="149" t="str">
        <f ca="1">IFERROR(__xludf.DUMMYFUNCTION("""COMPUTED_VALUE"""),"Yes")</f>
        <v>Yes</v>
      </c>
      <c r="AA25" s="149" t="str">
        <f ca="1">IFERROR(__xludf.DUMMYFUNCTION("""COMPUTED_VALUE"""),"No")</f>
        <v>No</v>
      </c>
      <c r="AB25" s="149" t="str">
        <f ca="1">IFERROR(__xludf.DUMMYFUNCTION("""COMPUTED_VALUE"""),"Yes")</f>
        <v>Yes</v>
      </c>
      <c r="AC25" s="149" t="str">
        <f ca="1">IFERROR(__xludf.DUMMYFUNCTION("""COMPUTED_VALUE"""),"S/IS")</f>
        <v>S/IS</v>
      </c>
      <c r="AD25" s="149" t="str">
        <f ca="1">IFERROR(__xludf.DUMMYFUNCTION("""COMPUTED_VALUE"""),"USA")</f>
        <v>USA</v>
      </c>
      <c r="AE25" s="150">
        <f ca="1">IFERROR(__xludf.DUMMYFUNCTION("""COMPUTED_VALUE"""),75)</f>
        <v>75</v>
      </c>
      <c r="AF25" s="149" t="str">
        <f ca="1">IFERROR(__xludf.DUMMYFUNCTION("""COMPUTED_VALUE"""),"M,F")</f>
        <v>M,F</v>
      </c>
      <c r="AG25" s="149" t="str">
        <f ca="1">IFERROR(__xludf.DUMMYFUNCTION("""COMPUTED_VALUE"""),"2S,4,2D")</f>
        <v>2S,4,2D</v>
      </c>
      <c r="AH25" s="151">
        <f ca="1">IFERROR(__xludf.DUMMYFUNCTION("""COMPUTED_VALUE"""),20)</f>
        <v>20</v>
      </c>
      <c r="AI25" s="149"/>
      <c r="AJ25" s="149"/>
      <c r="AK25" s="149"/>
      <c r="AL25" s="149"/>
      <c r="AM25" s="149"/>
      <c r="AN25" s="149"/>
      <c r="AO25" s="149"/>
      <c r="AP25" s="149"/>
      <c r="AQ25" s="149"/>
      <c r="AR25" s="149"/>
    </row>
    <row r="26" spans="1:44" ht="12.3">
      <c r="A26" s="142"/>
      <c r="B26" s="142" t="str">
        <f>Raw!A26</f>
        <v>Howes &amp; Hamilton (1992)</v>
      </c>
      <c r="C26" s="143" t="str">
        <f>CONCATENATE(ROUND(Raw!I26,0),"/",ROUND(Raw!J26,0))</f>
        <v>12/48</v>
      </c>
      <c r="D26" s="143" t="str">
        <f>VLOOKUP(Processed!E26,P$2:Q$10,2,FALSE)</f>
        <v>I-P</v>
      </c>
      <c r="E26" s="143" t="str">
        <f>VLOOKUP(Raw!M26,R$2:S$13,2,FALSE)</f>
        <v>A-CM</v>
      </c>
      <c r="F26" s="143" t="str">
        <f>IF(Raw!P26,"Yes","No")</f>
        <v>No</v>
      </c>
      <c r="G26" s="143" t="str">
        <f>IF(Raw!Q26,"Yes","No")</f>
        <v>No</v>
      </c>
      <c r="H26" s="143" t="str">
        <f>IF(Raw!T26,"Yes","No")</f>
        <v>Yes</v>
      </c>
      <c r="I26" s="143" t="str">
        <f>IF(AND(Raw!N26,Raw!O26), "S/IS, D/O", IF(Raw!N26,"S/IS", IF(Raw!O26,"D/O","-")))</f>
        <v>S/IS</v>
      </c>
      <c r="J26" s="143" t="str">
        <f>Raw!L26</f>
        <v>USA</v>
      </c>
      <c r="K26" s="144" t="str">
        <f>IF(Processed!BN26="NA","-",ROUND(Processed!BN26*100,0))</f>
        <v>-</v>
      </c>
      <c r="L26" s="143" t="str">
        <f>VLOOKUP(Raw!F26,T$2:U$4,2,FALSE)</f>
        <v>F</v>
      </c>
      <c r="M26" s="143" t="str">
        <f>CONCATENATE(IF(Processed!F26,"2S",""),IF(Processed!W26,",3",""),IF(Processed!AG26,",4",""),IF(Processed!AQ26,",2D",""))</f>
        <v>2S,3</v>
      </c>
      <c r="N26" s="145">
        <f>IF(NOT(ISBLANK(Raw!AE26)), Raw!AE26, SUM(Raw!AL26:AT26))</f>
        <v>89</v>
      </c>
      <c r="O26" s="146" t="b">
        <f>COUNTIF(Raw!AV26:BK26, "&gt;=0") = 16</f>
        <v>0</v>
      </c>
      <c r="P26" s="146"/>
      <c r="Q26" s="146"/>
      <c r="R26" s="156"/>
      <c r="S26" s="146"/>
      <c r="T26" s="146"/>
      <c r="U26" s="146"/>
      <c r="V26" s="146" t="str">
        <f ca="1">IFERROR(__xludf.DUMMYFUNCTION("""COMPUTED_VALUE"""),"Cicchetti &amp; Barnett (1991)")</f>
        <v>Cicchetti &amp; Barnett (1991)</v>
      </c>
      <c r="W26" s="149" t="str">
        <f ca="1">IFERROR(__xludf.DUMMYFUNCTION("""COMPUTED_VALUE"""),"36/48")</f>
        <v>36/48</v>
      </c>
      <c r="X26" s="149" t="str">
        <f ca="1">IFERROR(__xludf.DUMMYFUNCTION("""COMPUTED_VALUE"""),"T-P")</f>
        <v>T-P</v>
      </c>
      <c r="Y26" s="149" t="str">
        <f ca="1">IFERROR(__xludf.DUMMYFUNCTION("""COMPUTED_VALUE"""),"CM-CM")</f>
        <v>CM-CM</v>
      </c>
      <c r="Z26" s="149" t="str">
        <f ca="1">IFERROR(__xludf.DUMMYFUNCTION("""COMPUTED_VALUE"""),"Yes")</f>
        <v>Yes</v>
      </c>
      <c r="AA26" s="149" t="str">
        <f ca="1">IFERROR(__xludf.DUMMYFUNCTION("""COMPUTED_VALUE"""),"No")</f>
        <v>No</v>
      </c>
      <c r="AB26" s="149" t="str">
        <f ca="1">IFERROR(__xludf.DUMMYFUNCTION("""COMPUTED_VALUE"""),"Yes")</f>
        <v>Yes</v>
      </c>
      <c r="AC26" s="149" t="str">
        <f ca="1">IFERROR(__xludf.DUMMYFUNCTION("""COMPUTED_VALUE"""),"S/IS")</f>
        <v>S/IS</v>
      </c>
      <c r="AD26" s="149" t="str">
        <f ca="1">IFERROR(__xludf.DUMMYFUNCTION("""COMPUTED_VALUE"""),"USA")</f>
        <v>USA</v>
      </c>
      <c r="AE26" s="150">
        <f ca="1">IFERROR(__xludf.DUMMYFUNCTION("""COMPUTED_VALUE"""),75)</f>
        <v>75</v>
      </c>
      <c r="AF26" s="149" t="str">
        <f ca="1">IFERROR(__xludf.DUMMYFUNCTION("""COMPUTED_VALUE"""),"M,F")</f>
        <v>M,F</v>
      </c>
      <c r="AG26" s="149" t="str">
        <f ca="1">IFERROR(__xludf.DUMMYFUNCTION("""COMPUTED_VALUE"""),"2S,4,2D")</f>
        <v>2S,4,2D</v>
      </c>
      <c r="AH26" s="151">
        <f ca="1">IFERROR(__xludf.DUMMYFUNCTION("""COMPUTED_VALUE"""),15)</f>
        <v>15</v>
      </c>
      <c r="AI26" s="149"/>
      <c r="AJ26" s="149"/>
      <c r="AK26" s="149"/>
      <c r="AL26" s="149"/>
      <c r="AM26" s="149"/>
      <c r="AN26" s="149"/>
      <c r="AO26" s="149"/>
      <c r="AP26" s="149"/>
      <c r="AQ26" s="149"/>
      <c r="AR26" s="149"/>
    </row>
    <row r="27" spans="1:44" ht="12.3">
      <c r="A27" s="142"/>
      <c r="B27" s="142" t="str">
        <f>Raw!A27</f>
        <v>Jacobsen et al. (1997)</v>
      </c>
      <c r="C27" s="143" t="str">
        <f>CONCATENATE(ROUND(Raw!I27,0),"/",ROUND(Raw!J27,0))</f>
        <v>12/72</v>
      </c>
      <c r="D27" s="143" t="str">
        <f>VLOOKUP(Processed!E27,P$2:Q$10,2,FALSE)</f>
        <v>I-P</v>
      </c>
      <c r="E27" s="143" t="str">
        <f>VLOOKUP(Raw!M27,R$2:S$13,2,FALSE)</f>
        <v>A-MC</v>
      </c>
      <c r="F27" s="143" t="str">
        <f>IF(Raw!P27,"Yes","No")</f>
        <v>No</v>
      </c>
      <c r="G27" s="143" t="str">
        <f>IF(Raw!Q27,"Yes","No")</f>
        <v>No</v>
      </c>
      <c r="H27" s="143" t="str">
        <f>IF(Raw!T27,"Yes","No")</f>
        <v>Yes</v>
      </c>
      <c r="I27" s="143" t="str">
        <f>IF(AND(Raw!N27,Raw!O27), "S/IS, D/O", IF(Raw!N27,"S/IS", IF(Raw!O27,"D/O","-")))</f>
        <v>S/IS, D/O</v>
      </c>
      <c r="J27" s="143" t="str">
        <f>Raw!L27</f>
        <v>Germany</v>
      </c>
      <c r="K27" s="144" t="str">
        <f>IF(Processed!BN27="NA","-",ROUND(Processed!BN27*100,0))</f>
        <v>-</v>
      </c>
      <c r="L27" s="143" t="str">
        <f>VLOOKUP(Raw!F27,T$2:U$4,2,FALSE)</f>
        <v>F</v>
      </c>
      <c r="M27" s="143" t="str">
        <f>CONCATENATE(IF(Processed!F27,"2S",""),IF(Processed!W27,",3",""),IF(Processed!AG27,",4",""),IF(Processed!AQ27,",2D",""))</f>
        <v>2S</v>
      </c>
      <c r="N27" s="145">
        <f>IF(NOT(ISBLANK(Raw!AE27)), Raw!AE27, SUM(Raw!AL27:AT27))</f>
        <v>32</v>
      </c>
      <c r="O27" s="146" t="b">
        <f>COUNTIF(Raw!AV27:BK27, "&gt;=0") = 16</f>
        <v>0</v>
      </c>
      <c r="P27" s="146"/>
      <c r="Q27" s="146"/>
      <c r="R27" s="156"/>
      <c r="S27" s="146"/>
      <c r="T27" s="146"/>
      <c r="U27" s="146"/>
      <c r="V27" s="146" t="str">
        <f ca="1">IFERROR(__xludf.DUMMYFUNCTION("""COMPUTED_VALUE"""),"Cicchetti, Rogosch &amp; Toth (2006)")</f>
        <v>Cicchetti, Rogosch &amp; Toth (2006)</v>
      </c>
      <c r="W27" s="149" t="str">
        <f ca="1">IFERROR(__xludf.DUMMYFUNCTION("""COMPUTED_VALUE"""),"12/26")</f>
        <v>12/26</v>
      </c>
      <c r="X27" s="149" t="str">
        <f ca="1">IFERROR(__xludf.DUMMYFUNCTION("""COMPUTED_VALUE"""),"I-T")</f>
        <v>I-T</v>
      </c>
      <c r="Y27" s="149" t="str">
        <f ca="1">IFERROR(__xludf.DUMMYFUNCTION("""COMPUTED_VALUE"""),"A-SR")</f>
        <v>A-SR</v>
      </c>
      <c r="Z27" s="149" t="str">
        <f ca="1">IFERROR(__xludf.DUMMYFUNCTION("""COMPUTED_VALUE"""),"Yes")</f>
        <v>Yes</v>
      </c>
      <c r="AA27" s="149" t="str">
        <f ca="1">IFERROR(__xludf.DUMMYFUNCTION("""COMPUTED_VALUE"""),"No")</f>
        <v>No</v>
      </c>
      <c r="AB27" s="149" t="str">
        <f ca="1">IFERROR(__xludf.DUMMYFUNCTION("""COMPUTED_VALUE"""),"Yes")</f>
        <v>Yes</v>
      </c>
      <c r="AC27" s="149" t="str">
        <f ca="1">IFERROR(__xludf.DUMMYFUNCTION("""COMPUTED_VALUE"""),"S/IS")</f>
        <v>S/IS</v>
      </c>
      <c r="AD27" s="149" t="str">
        <f ca="1">IFERROR(__xludf.DUMMYFUNCTION("""COMPUTED_VALUE"""),"USA")</f>
        <v>USA</v>
      </c>
      <c r="AE27" s="150">
        <f ca="1">IFERROR(__xludf.DUMMYFUNCTION("""COMPUTED_VALUE"""),88)</f>
        <v>88</v>
      </c>
      <c r="AF27" s="149" t="str">
        <f ca="1">IFERROR(__xludf.DUMMYFUNCTION("""COMPUTED_VALUE"""),"F")</f>
        <v>F</v>
      </c>
      <c r="AG27" s="149" t="str">
        <f ca="1">IFERROR(__xludf.DUMMYFUNCTION("""COMPUTED_VALUE"""),"2S,4,2D")</f>
        <v>2S,4,2D</v>
      </c>
      <c r="AH27" s="151">
        <f ca="1">IFERROR(__xludf.DUMMYFUNCTION("""COMPUTED_VALUE"""),54)</f>
        <v>54</v>
      </c>
      <c r="AI27" s="149"/>
      <c r="AJ27" s="149"/>
      <c r="AK27" s="149"/>
      <c r="AL27" s="149"/>
      <c r="AM27" s="149"/>
      <c r="AN27" s="149"/>
      <c r="AO27" s="149"/>
      <c r="AP27" s="149"/>
      <c r="AQ27" s="149"/>
      <c r="AR27" s="149"/>
    </row>
    <row r="28" spans="1:44" ht="12.3">
      <c r="A28" s="142"/>
      <c r="B28" s="142" t="str">
        <f>Raw!A28</f>
        <v>Jacobsen et al. (1997)</v>
      </c>
      <c r="C28" s="143" t="str">
        <f>CONCATENATE(ROUND(Raw!I28,0),"/",ROUND(Raw!J28,0))</f>
        <v>18/72</v>
      </c>
      <c r="D28" s="143" t="str">
        <f>VLOOKUP(Processed!E28,P$2:Q$10,2,FALSE)</f>
        <v>I-P</v>
      </c>
      <c r="E28" s="143" t="str">
        <f>VLOOKUP(Raw!M28,R$2:S$13,2,FALSE)</f>
        <v>A-MC</v>
      </c>
      <c r="F28" s="143" t="str">
        <f>IF(Raw!P28,"Yes","No")</f>
        <v>No</v>
      </c>
      <c r="G28" s="143" t="str">
        <f>IF(Raw!Q28,"Yes","No")</f>
        <v>No</v>
      </c>
      <c r="H28" s="143" t="str">
        <f>IF(Raw!T28,"Yes","No")</f>
        <v>Yes</v>
      </c>
      <c r="I28" s="143" t="str">
        <f>IF(AND(Raw!N28,Raw!O28), "S/IS, D/O", IF(Raw!N28,"S/IS", IF(Raw!O28,"D/O","-")))</f>
        <v>S/IS</v>
      </c>
      <c r="J28" s="143" t="str">
        <f>Raw!L28</f>
        <v>Germany</v>
      </c>
      <c r="K28" s="144" t="str">
        <f>IF(Processed!BN28="NA","-",ROUND(Processed!BN28*100,0))</f>
        <v>-</v>
      </c>
      <c r="L28" s="143" t="str">
        <f>VLOOKUP(Raw!F28,T$2:U$4,2,FALSE)</f>
        <v>F</v>
      </c>
      <c r="M28" s="143" t="str">
        <f>CONCATENATE(IF(Processed!F28,"2S",""),IF(Processed!W28,",3",""),IF(Processed!AG28,",4",""),IF(Processed!AQ28,",2D",""))</f>
        <v>2S</v>
      </c>
      <c r="N28" s="145">
        <f>IF(NOT(ISBLANK(Raw!AE28)), Raw!AE28, SUM(Raw!AL28:AT28))</f>
        <v>32</v>
      </c>
      <c r="O28" s="146" t="b">
        <f>COUNTIF(Raw!AV28:BK28, "&gt;=0") = 16</f>
        <v>0</v>
      </c>
      <c r="P28" s="146"/>
      <c r="Q28" s="146"/>
      <c r="R28" s="156"/>
      <c r="S28" s="146"/>
      <c r="T28" s="146"/>
      <c r="U28" s="146"/>
      <c r="V28" s="146" t="str">
        <f ca="1">IFERROR(__xludf.DUMMYFUNCTION("""COMPUTED_VALUE"""),"Cicchetti, Rogosch &amp; Toth (2006)")</f>
        <v>Cicchetti, Rogosch &amp; Toth (2006)</v>
      </c>
      <c r="W28" s="149" t="str">
        <f ca="1">IFERROR(__xludf.DUMMYFUNCTION("""COMPUTED_VALUE"""),"12/26")</f>
        <v>12/26</v>
      </c>
      <c r="X28" s="149" t="str">
        <f ca="1">IFERROR(__xludf.DUMMYFUNCTION("""COMPUTED_VALUE"""),"I-T")</f>
        <v>I-T</v>
      </c>
      <c r="Y28" s="149" t="str">
        <f ca="1">IFERROR(__xludf.DUMMYFUNCTION("""COMPUTED_VALUE"""),"A-SR")</f>
        <v>A-SR</v>
      </c>
      <c r="Z28" s="149" t="str">
        <f ca="1">IFERROR(__xludf.DUMMYFUNCTION("""COMPUTED_VALUE"""),"No")</f>
        <v>No</v>
      </c>
      <c r="AA28" s="149" t="str">
        <f ca="1">IFERROR(__xludf.DUMMYFUNCTION("""COMPUTED_VALUE"""),"No")</f>
        <v>No</v>
      </c>
      <c r="AB28" s="149" t="str">
        <f ca="1">IFERROR(__xludf.DUMMYFUNCTION("""COMPUTED_VALUE"""),"Yes")</f>
        <v>Yes</v>
      </c>
      <c r="AC28" s="149" t="str">
        <f ca="1">IFERROR(__xludf.DUMMYFUNCTION("""COMPUTED_VALUE"""),"S/IS")</f>
        <v>S/IS</v>
      </c>
      <c r="AD28" s="149" t="str">
        <f ca="1">IFERROR(__xludf.DUMMYFUNCTION("""COMPUTED_VALUE"""),"USA")</f>
        <v>USA</v>
      </c>
      <c r="AE28" s="150">
        <f ca="1">IFERROR(__xludf.DUMMYFUNCTION("""COMPUTED_VALUE"""),88)</f>
        <v>88</v>
      </c>
      <c r="AF28" s="149" t="str">
        <f ca="1">IFERROR(__xludf.DUMMYFUNCTION("""COMPUTED_VALUE"""),"F")</f>
        <v>F</v>
      </c>
      <c r="AG28" s="149" t="str">
        <f ca="1">IFERROR(__xludf.DUMMYFUNCTION("""COMPUTED_VALUE"""),"2S,4,2D")</f>
        <v>2S,4,2D</v>
      </c>
      <c r="AH28" s="151">
        <f ca="1">IFERROR(__xludf.DUMMYFUNCTION("""COMPUTED_VALUE"""),44)</f>
        <v>44</v>
      </c>
      <c r="AI28" s="149"/>
      <c r="AJ28" s="149"/>
      <c r="AK28" s="149"/>
      <c r="AL28" s="149"/>
      <c r="AM28" s="149"/>
      <c r="AN28" s="149"/>
      <c r="AO28" s="149"/>
      <c r="AP28" s="149"/>
      <c r="AQ28" s="149"/>
      <c r="AR28" s="149"/>
    </row>
    <row r="29" spans="1:44" ht="12.3">
      <c r="A29" s="142"/>
      <c r="B29" s="142" t="str">
        <f>Raw!A29</f>
        <v>Jacobsen et al. (2014)</v>
      </c>
      <c r="C29" s="143" t="str">
        <f>CONCATENATE(ROUND(Raw!I29,0),"/",ROUND(Raw!J29,0))</f>
        <v>23/36</v>
      </c>
      <c r="D29" s="143" t="str">
        <f>VLOOKUP(Processed!E29,P$2:Q$10,2,FALSE)</f>
        <v>T-P</v>
      </c>
      <c r="E29" s="143" t="str">
        <f>VLOOKUP(Raw!M29,R$2:S$13,2,FALSE)</f>
        <v>A-CM</v>
      </c>
      <c r="F29" s="143" t="str">
        <f>IF(Raw!P29,"Yes","No")</f>
        <v>Yes</v>
      </c>
      <c r="G29" s="143" t="str">
        <f>IF(Raw!Q29,"Yes","No")</f>
        <v>No</v>
      </c>
      <c r="H29" s="143" t="str">
        <f>IF(Raw!T29,"Yes","No")</f>
        <v>Yes</v>
      </c>
      <c r="I29" s="143" t="str">
        <f>IF(AND(Raw!N29,Raw!O29), "S/IS, D/O", IF(Raw!N29,"S/IS", IF(Raw!O29,"D/O","-")))</f>
        <v>-</v>
      </c>
      <c r="J29" s="143" t="str">
        <f>Raw!L29</f>
        <v>Norway</v>
      </c>
      <c r="K29" s="144">
        <f>IF(Processed!BN29="NA","-",ROUND(Processed!BN29*100,0))</f>
        <v>82</v>
      </c>
      <c r="L29" s="143" t="str">
        <f>VLOOKUP(Raw!F29,T$2:U$4,2,FALSE)</f>
        <v>F</v>
      </c>
      <c r="M29" s="143" t="str">
        <f>CONCATENATE(IF(Processed!F29,"2S",""),IF(Processed!W29,",3",""),IF(Processed!AG29,",4",""),IF(Processed!AQ29,",2D",""))</f>
        <v>2S</v>
      </c>
      <c r="N29" s="145">
        <f>IF(NOT(ISBLANK(Raw!AE29)), Raw!AE29, SUM(Raw!AL29:AT29))</f>
        <v>55</v>
      </c>
      <c r="O29" s="146" t="b">
        <f>COUNTIF(Raw!AV29:BK29, "&gt;=0") = 16</f>
        <v>0</v>
      </c>
      <c r="P29" s="146"/>
      <c r="Q29" s="146"/>
      <c r="R29" s="156"/>
      <c r="S29" s="146"/>
      <c r="T29" s="146"/>
      <c r="U29" s="146"/>
      <c r="V29" s="146" t="str">
        <f ca="1">IFERROR(__xludf.DUMMYFUNCTION("""COMPUTED_VALUE"""),"Connell (1977)")</f>
        <v>Connell (1977)</v>
      </c>
      <c r="W29" s="149" t="str">
        <f ca="1">IFERROR(__xludf.DUMMYFUNCTION("""COMPUTED_VALUE"""),"12/18")</f>
        <v>12/18</v>
      </c>
      <c r="X29" s="149" t="str">
        <f ca="1">IFERROR(__xludf.DUMMYFUNCTION("""COMPUTED_VALUE"""),"I-I")</f>
        <v>I-I</v>
      </c>
      <c r="Y29" s="149" t="str">
        <f ca="1">IFERROR(__xludf.DUMMYFUNCTION("""COMPUTED_VALUE"""),"A-A")</f>
        <v>A-A</v>
      </c>
      <c r="Z29" s="149" t="str">
        <f ca="1">IFERROR(__xludf.DUMMYFUNCTION("""COMPUTED_VALUE"""),"No")</f>
        <v>No</v>
      </c>
      <c r="AA29" s="149" t="str">
        <f ca="1">IFERROR(__xludf.DUMMYFUNCTION("""COMPUTED_VALUE"""),"No")</f>
        <v>No</v>
      </c>
      <c r="AB29" s="149" t="str">
        <f ca="1">IFERROR(__xludf.DUMMYFUNCTION("""COMPUTED_VALUE"""),"No")</f>
        <v>No</v>
      </c>
      <c r="AC29" s="149" t="str">
        <f ca="1">IFERROR(__xludf.DUMMYFUNCTION("""COMPUTED_VALUE"""),"S/IS")</f>
        <v>S/IS</v>
      </c>
      <c r="AD29" s="149" t="str">
        <f ca="1">IFERROR(__xludf.DUMMYFUNCTION("""COMPUTED_VALUE"""),"USA")</f>
        <v>USA</v>
      </c>
      <c r="AE29" s="150">
        <f ca="1">IFERROR(__xludf.DUMMYFUNCTION("""COMPUTED_VALUE"""),94)</f>
        <v>94</v>
      </c>
      <c r="AF29" s="149" t="str">
        <f ca="1">IFERROR(__xludf.DUMMYFUNCTION("""COMPUTED_VALUE"""),"F")</f>
        <v>F</v>
      </c>
      <c r="AG29" s="149" t="str">
        <f ca="1">IFERROR(__xludf.DUMMYFUNCTION("""COMPUTED_VALUE"""),"2S,3")</f>
        <v>2S,3</v>
      </c>
      <c r="AH29" s="151">
        <f ca="1">IFERROR(__xludf.DUMMYFUNCTION("""COMPUTED_VALUE"""),47)</f>
        <v>47</v>
      </c>
      <c r="AI29" s="149"/>
      <c r="AJ29" s="149"/>
      <c r="AK29" s="149"/>
      <c r="AL29" s="149"/>
      <c r="AM29" s="149"/>
      <c r="AN29" s="149"/>
      <c r="AO29" s="149"/>
      <c r="AP29" s="149"/>
      <c r="AQ29" s="149"/>
      <c r="AR29" s="149"/>
    </row>
    <row r="30" spans="1:44" ht="12.3">
      <c r="A30" s="142"/>
      <c r="B30" s="142" t="str">
        <f>Raw!A30</f>
        <v>Jacobsen et al. (2014)</v>
      </c>
      <c r="C30" s="143" t="str">
        <f>CONCATENATE(ROUND(Raw!I30,0),"/",ROUND(Raw!J30,0))</f>
        <v>23/36</v>
      </c>
      <c r="D30" s="143" t="str">
        <f>VLOOKUP(Processed!E30,P$2:Q$10,2,FALSE)</f>
        <v>T-P</v>
      </c>
      <c r="E30" s="143" t="str">
        <f>VLOOKUP(Raw!M30,R$2:S$13,2,FALSE)</f>
        <v>CM-CM</v>
      </c>
      <c r="F30" s="143" t="str">
        <f>IF(Raw!P30,"Yes","No")</f>
        <v>No</v>
      </c>
      <c r="G30" s="143" t="str">
        <f>IF(Raw!Q30,"Yes","No")</f>
        <v>No</v>
      </c>
      <c r="H30" s="143" t="str">
        <f>IF(Raw!T30,"Yes","No")</f>
        <v>Yes</v>
      </c>
      <c r="I30" s="143" t="str">
        <f>IF(AND(Raw!N30,Raw!O30), "S/IS, D/O", IF(Raw!N30,"S/IS", IF(Raw!O30,"D/O","-")))</f>
        <v>-</v>
      </c>
      <c r="J30" s="143" t="str">
        <f>Raw!L30</f>
        <v>Norway</v>
      </c>
      <c r="K30" s="144">
        <f>IF(Processed!BN30="NA","-",ROUND(Processed!BN30*100,0))</f>
        <v>82</v>
      </c>
      <c r="L30" s="143" t="str">
        <f>VLOOKUP(Raw!F30,T$2:U$4,2,FALSE)</f>
        <v>F</v>
      </c>
      <c r="M30" s="143" t="str">
        <f>CONCATENATE(IF(Processed!F30,"2S",""),IF(Processed!W30,",3",""),IF(Processed!AG30,",4",""),IF(Processed!AQ30,",2D",""))</f>
        <v>2S</v>
      </c>
      <c r="N30" s="145">
        <f>IF(NOT(ISBLANK(Raw!AE30)), Raw!AE30, SUM(Raw!AL30:AT30))</f>
        <v>40</v>
      </c>
      <c r="O30" s="146" t="b">
        <f>COUNTIF(Raw!AV30:BK30, "&gt;=0") = 16</f>
        <v>0</v>
      </c>
      <c r="P30" s="146"/>
      <c r="Q30" s="146"/>
      <c r="R30" s="156"/>
      <c r="S30" s="146"/>
      <c r="T30" s="146"/>
      <c r="U30" s="146"/>
      <c r="V30" s="146" t="str">
        <f ca="1">IFERROR(__xludf.DUMMYFUNCTION("""COMPUTED_VALUE"""),"Easterbrooks (1989)")</f>
        <v>Easterbrooks (1989)</v>
      </c>
      <c r="W30" s="149" t="str">
        <f ca="1">IFERROR(__xludf.DUMMYFUNCTION("""COMPUTED_VALUE"""),"13/20")</f>
        <v>13/20</v>
      </c>
      <c r="X30" s="149" t="str">
        <f ca="1">IFERROR(__xludf.DUMMYFUNCTION("""COMPUTED_VALUE"""),"I-T")</f>
        <v>I-T</v>
      </c>
      <c r="Y30" s="149" t="str">
        <f ca="1">IFERROR(__xludf.DUMMYFUNCTION("""COMPUTED_VALUE"""),"A-A")</f>
        <v>A-A</v>
      </c>
      <c r="Z30" s="149" t="str">
        <f ca="1">IFERROR(__xludf.DUMMYFUNCTION("""COMPUTED_VALUE"""),"No")</f>
        <v>No</v>
      </c>
      <c r="AA30" s="149" t="str">
        <f ca="1">IFERROR(__xludf.DUMMYFUNCTION("""COMPUTED_VALUE"""),"No")</f>
        <v>No</v>
      </c>
      <c r="AB30" s="149" t="str">
        <f ca="1">IFERROR(__xludf.DUMMYFUNCTION("""COMPUTED_VALUE"""),"Yes")</f>
        <v>Yes</v>
      </c>
      <c r="AC30" s="149" t="str">
        <f ca="1">IFERROR(__xludf.DUMMYFUNCTION("""COMPUTED_VALUE"""),"S/IS")</f>
        <v>S/IS</v>
      </c>
      <c r="AD30" s="149" t="str">
        <f ca="1">IFERROR(__xludf.DUMMYFUNCTION("""COMPUTED_VALUE"""),"USA")</f>
        <v>USA</v>
      </c>
      <c r="AE30" s="150" t="str">
        <f ca="1">IFERROR(__xludf.DUMMYFUNCTION("""COMPUTED_VALUE"""),"")</f>
        <v/>
      </c>
      <c r="AF30" s="149" t="str">
        <f ca="1">IFERROR(__xludf.DUMMYFUNCTION("""COMPUTED_VALUE"""),"M")</f>
        <v>M</v>
      </c>
      <c r="AG30" s="149" t="str">
        <f ca="1">IFERROR(__xludf.DUMMYFUNCTION("""COMPUTED_VALUE"""),"2S")</f>
        <v>2S</v>
      </c>
      <c r="AH30" s="151">
        <f ca="1">IFERROR(__xludf.DUMMYFUNCTION("""COMPUTED_VALUE"""),59)</f>
        <v>59</v>
      </c>
      <c r="AI30" s="149"/>
      <c r="AJ30" s="149"/>
      <c r="AK30" s="149"/>
      <c r="AL30" s="149"/>
      <c r="AM30" s="149"/>
      <c r="AN30" s="149"/>
      <c r="AO30" s="149"/>
      <c r="AP30" s="149"/>
      <c r="AQ30" s="149"/>
      <c r="AR30" s="149"/>
    </row>
    <row r="31" spans="1:44" ht="21">
      <c r="A31" s="142"/>
      <c r="B31" s="142" t="str">
        <f>Raw!A31</f>
        <v xml:space="preserve">Korntheuer, Lissmann &amp; Lohaus (2010) </v>
      </c>
      <c r="C31" s="143" t="str">
        <f>CONCATENATE(ROUND(Raw!I31,0),"/",ROUND(Raw!J31,0))</f>
        <v>12/24</v>
      </c>
      <c r="D31" s="143" t="str">
        <f>VLOOKUP(Processed!E31,P$2:Q$10,2,FALSE)</f>
        <v>I-T</v>
      </c>
      <c r="E31" s="143" t="str">
        <f>VLOOKUP(Raw!M31,R$2:S$13,2,FALSE)</f>
        <v>A-G</v>
      </c>
      <c r="F31" s="143" t="str">
        <f>IF(Raw!P31,"Yes","No")</f>
        <v>No</v>
      </c>
      <c r="G31" s="143" t="str">
        <f>IF(Raw!Q31,"Yes","No")</f>
        <v>No</v>
      </c>
      <c r="H31" s="143" t="str">
        <f>IF(Raw!T31,"Yes","No")</f>
        <v>Yes</v>
      </c>
      <c r="I31" s="143" t="str">
        <f>IF(AND(Raw!N31,Raw!O31), "S/IS, D/O", IF(Raw!N31,"S/IS", IF(Raw!O31,"D/O","-")))</f>
        <v>S/IS</v>
      </c>
      <c r="J31" s="143" t="str">
        <f>Raw!L31</f>
        <v>Germany</v>
      </c>
      <c r="K31" s="144" t="str">
        <f>IF(Processed!BN31="NA","-",ROUND(Processed!BN31*100,0))</f>
        <v>-</v>
      </c>
      <c r="L31" s="143" t="str">
        <f>VLOOKUP(Raw!F31,T$2:U$4,2,FALSE)</f>
        <v>F</v>
      </c>
      <c r="M31" s="143" t="str">
        <f>CONCATENATE(IF(Processed!F31,"2S",""),IF(Processed!W31,",3",""),IF(Processed!AG31,",4",""),IF(Processed!AQ31,",2D",""))</f>
        <v>2S</v>
      </c>
      <c r="N31" s="145">
        <f>IF(NOT(ISBLANK(Raw!AE31)), Raw!AE31, SUM(Raw!AL31:AT31))</f>
        <v>81</v>
      </c>
      <c r="O31" s="146" t="b">
        <f>COUNTIF(Raw!AV31:BK31, "&gt;=0") = 16</f>
        <v>0</v>
      </c>
      <c r="P31" s="146"/>
      <c r="Q31" s="146"/>
      <c r="R31" s="156"/>
      <c r="S31" s="146"/>
      <c r="T31" s="146"/>
      <c r="U31" s="146"/>
      <c r="V31" s="146" t="str">
        <f ca="1">IFERROR(__xludf.DUMMYFUNCTION("""COMPUTED_VALUE"""),"Easterbrooks (1989)")</f>
        <v>Easterbrooks (1989)</v>
      </c>
      <c r="W31" s="149" t="str">
        <f ca="1">IFERROR(__xludf.DUMMYFUNCTION("""COMPUTED_VALUE"""),"13/20")</f>
        <v>13/20</v>
      </c>
      <c r="X31" s="149" t="str">
        <f ca="1">IFERROR(__xludf.DUMMYFUNCTION("""COMPUTED_VALUE"""),"I-T")</f>
        <v>I-T</v>
      </c>
      <c r="Y31" s="149" t="str">
        <f ca="1">IFERROR(__xludf.DUMMYFUNCTION("""COMPUTED_VALUE"""),"A-A")</f>
        <v>A-A</v>
      </c>
      <c r="Z31" s="149" t="str">
        <f ca="1">IFERROR(__xludf.DUMMYFUNCTION("""COMPUTED_VALUE"""),"No")</f>
        <v>No</v>
      </c>
      <c r="AA31" s="149" t="str">
        <f ca="1">IFERROR(__xludf.DUMMYFUNCTION("""COMPUTED_VALUE"""),"No")</f>
        <v>No</v>
      </c>
      <c r="AB31" s="149" t="str">
        <f ca="1">IFERROR(__xludf.DUMMYFUNCTION("""COMPUTED_VALUE"""),"Yes")</f>
        <v>Yes</v>
      </c>
      <c r="AC31" s="149" t="str">
        <f ca="1">IFERROR(__xludf.DUMMYFUNCTION("""COMPUTED_VALUE"""),"S/IS")</f>
        <v>S/IS</v>
      </c>
      <c r="AD31" s="149" t="str">
        <f ca="1">IFERROR(__xludf.DUMMYFUNCTION("""COMPUTED_VALUE"""),"USA")</f>
        <v>USA</v>
      </c>
      <c r="AE31" s="150" t="str">
        <f ca="1">IFERROR(__xludf.DUMMYFUNCTION("""COMPUTED_VALUE"""),"")</f>
        <v/>
      </c>
      <c r="AF31" s="149" t="str">
        <f ca="1">IFERROR(__xludf.DUMMYFUNCTION("""COMPUTED_VALUE"""),"F")</f>
        <v>F</v>
      </c>
      <c r="AG31" s="149" t="str">
        <f ca="1">IFERROR(__xludf.DUMMYFUNCTION("""COMPUTED_VALUE"""),"2S")</f>
        <v>2S</v>
      </c>
      <c r="AH31" s="151">
        <f ca="1">IFERROR(__xludf.DUMMYFUNCTION("""COMPUTED_VALUE"""),57)</f>
        <v>57</v>
      </c>
      <c r="AI31" s="149"/>
      <c r="AJ31" s="149"/>
      <c r="AK31" s="149"/>
      <c r="AL31" s="149"/>
      <c r="AM31" s="149"/>
      <c r="AN31" s="149"/>
      <c r="AO31" s="149"/>
      <c r="AP31" s="149"/>
      <c r="AQ31" s="149"/>
      <c r="AR31" s="149"/>
    </row>
    <row r="32" spans="1:44" ht="12.3">
      <c r="A32" s="142"/>
      <c r="B32" s="142" t="str">
        <f>Raw!A32</f>
        <v>Levendosky et al. (2011)</v>
      </c>
      <c r="C32" s="143" t="str">
        <f>CONCATENATE(ROUND(Raw!I32,0),"/",ROUND(Raw!J32,0))</f>
        <v>12/48</v>
      </c>
      <c r="D32" s="143" t="str">
        <f>VLOOKUP(Processed!E32,P$2:Q$10,2,FALSE)</f>
        <v>I-P</v>
      </c>
      <c r="E32" s="143" t="str">
        <f>VLOOKUP(Raw!M32,R$2:S$13,2,FALSE)</f>
        <v>A-CM</v>
      </c>
      <c r="F32" s="143" t="str">
        <f>IF(Raw!P32,"Yes","No")</f>
        <v>Yes</v>
      </c>
      <c r="G32" s="143" t="str">
        <f>IF(Raw!Q32,"Yes","No")</f>
        <v>No</v>
      </c>
      <c r="H32" s="143" t="str">
        <f>IF(Raw!T32,"Yes","No")</f>
        <v>Yes</v>
      </c>
      <c r="I32" s="143" t="str">
        <f>IF(AND(Raw!N32,Raw!O32), "S/IS, D/O", IF(Raw!N32,"S/IS", IF(Raw!O32,"D/O","-")))</f>
        <v>S/IS</v>
      </c>
      <c r="J32" s="143" t="str">
        <f>Raw!L32</f>
        <v>USA</v>
      </c>
      <c r="K32" s="144">
        <f>IF(Processed!BN32="NA","-",ROUND(Processed!BN32*100,0))</f>
        <v>83</v>
      </c>
      <c r="L32" s="143" t="str">
        <f>VLOOKUP(Raw!F32,T$2:U$4,2,FALSE)</f>
        <v>F</v>
      </c>
      <c r="M32" s="143" t="str">
        <f>CONCATENATE(IF(Processed!F32,"2S",""),IF(Processed!W32,",3",""),IF(Processed!AG32,",4",""),IF(Processed!AQ32,",2D",""))</f>
        <v>2S,4,2D</v>
      </c>
      <c r="N32" s="145">
        <f>IF(NOT(ISBLANK(Raw!AE32)), Raw!AE32, SUM(Raw!AL32:AT32))</f>
        <v>150</v>
      </c>
      <c r="O32" s="146" t="b">
        <f>COUNTIF(Raw!AV32:BK32, "&gt;=0") = 16</f>
        <v>1</v>
      </c>
      <c r="P32" s="146"/>
      <c r="Q32" s="146"/>
      <c r="R32" s="156"/>
      <c r="S32" s="146"/>
      <c r="T32" s="146"/>
      <c r="U32" s="146"/>
      <c r="V32" s="146" t="str">
        <f ca="1">IFERROR(__xludf.DUMMYFUNCTION("""COMPUTED_VALUE"""),"Edwards et al. (2004)")</f>
        <v>Edwards et al. (2004)</v>
      </c>
      <c r="W32" s="149" t="str">
        <f ca="1">IFERROR(__xludf.DUMMYFUNCTION("""COMPUTED_VALUE"""),"12/18")</f>
        <v>12/18</v>
      </c>
      <c r="X32" s="149" t="str">
        <f ca="1">IFERROR(__xludf.DUMMYFUNCTION("""COMPUTED_VALUE"""),"I-I")</f>
        <v>I-I</v>
      </c>
      <c r="Y32" s="149" t="str">
        <f ca="1">IFERROR(__xludf.DUMMYFUNCTION("""COMPUTED_VALUE"""),"A-A")</f>
        <v>A-A</v>
      </c>
      <c r="Z32" s="149" t="str">
        <f ca="1">IFERROR(__xludf.DUMMYFUNCTION("""COMPUTED_VALUE"""),"Yes")</f>
        <v>Yes</v>
      </c>
      <c r="AA32" s="149" t="str">
        <f ca="1">IFERROR(__xludf.DUMMYFUNCTION("""COMPUTED_VALUE"""),"No")</f>
        <v>No</v>
      </c>
      <c r="AB32" s="149" t="str">
        <f ca="1">IFERROR(__xludf.DUMMYFUNCTION("""COMPUTED_VALUE"""),"Yes")</f>
        <v>Yes</v>
      </c>
      <c r="AC32" s="149" t="str">
        <f ca="1">IFERROR(__xludf.DUMMYFUNCTION("""COMPUTED_VALUE"""),"S/IS")</f>
        <v>S/IS</v>
      </c>
      <c r="AD32" s="149" t="str">
        <f ca="1">IFERROR(__xludf.DUMMYFUNCTION("""COMPUTED_VALUE"""),"USA")</f>
        <v>USA</v>
      </c>
      <c r="AE32" s="150">
        <f ca="1">IFERROR(__xludf.DUMMYFUNCTION("""COMPUTED_VALUE"""),89)</f>
        <v>89</v>
      </c>
      <c r="AF32" s="149" t="str">
        <f ca="1">IFERROR(__xludf.DUMMYFUNCTION("""COMPUTED_VALUE"""),"F")</f>
        <v>F</v>
      </c>
      <c r="AG32" s="149" t="str">
        <f ca="1">IFERROR(__xludf.DUMMYFUNCTION("""COMPUTED_VALUE"""),"2S,4,2D")</f>
        <v>2S,4,2D</v>
      </c>
      <c r="AH32" s="151">
        <f ca="1">IFERROR(__xludf.DUMMYFUNCTION("""COMPUTED_VALUE"""),217)</f>
        <v>217</v>
      </c>
      <c r="AI32" s="149"/>
      <c r="AJ32" s="149"/>
      <c r="AK32" s="149"/>
      <c r="AL32" s="149"/>
      <c r="AM32" s="149"/>
      <c r="AN32" s="149"/>
      <c r="AO32" s="149"/>
      <c r="AP32" s="149"/>
      <c r="AQ32" s="149"/>
      <c r="AR32" s="149"/>
    </row>
    <row r="33" spans="1:44" ht="12.3">
      <c r="A33" s="142"/>
      <c r="B33" s="142" t="str">
        <f>Raw!A33</f>
        <v>Lounds et al. (2005)</v>
      </c>
      <c r="C33" s="143" t="str">
        <f>CONCATENATE(ROUND(Raw!I33,0),"/",ROUND(Raw!J33,0))</f>
        <v>12/60</v>
      </c>
      <c r="D33" s="143" t="str">
        <f>VLOOKUP(Processed!E33,P$2:Q$10,2,FALSE)</f>
        <v>I-P</v>
      </c>
      <c r="E33" s="143" t="str">
        <f>VLOOKUP(Raw!M33,R$2:S$13,2,FALSE)</f>
        <v>A-CM</v>
      </c>
      <c r="F33" s="143" t="str">
        <f>IF(Raw!P33,"Yes","No")</f>
        <v>Yes</v>
      </c>
      <c r="G33" s="143" t="str">
        <f>IF(Raw!Q33,"Yes","No")</f>
        <v>No</v>
      </c>
      <c r="H33" s="143" t="str">
        <f>IF(Raw!T33,"Yes","No")</f>
        <v>Yes</v>
      </c>
      <c r="I33" s="143" t="str">
        <f>IF(AND(Raw!N33,Raw!O33), "S/IS, D/O", IF(Raw!N33,"S/IS", IF(Raw!O33,"D/O","-")))</f>
        <v>S/IS</v>
      </c>
      <c r="J33" s="143" t="str">
        <f>Raw!L33</f>
        <v>USA</v>
      </c>
      <c r="K33" s="144" t="str">
        <f>IF(Processed!BN33="NA","-",ROUND(Processed!BN33*100,0))</f>
        <v>-</v>
      </c>
      <c r="L33" s="143" t="str">
        <f>VLOOKUP(Raw!F33,T$2:U$4,2,FALSE)</f>
        <v>F</v>
      </c>
      <c r="M33" s="143" t="str">
        <f>CONCATENATE(IF(Processed!F33,"2S",""),IF(Processed!W33,",3",""),IF(Processed!AG33,",4",""),IF(Processed!AQ33,",2D",""))</f>
        <v>2S</v>
      </c>
      <c r="N33" s="145">
        <f>IF(NOT(ISBLANK(Raw!AE33)), Raw!AE33, SUM(Raw!AL33:AT33))</f>
        <v>78</v>
      </c>
      <c r="O33" s="146" t="b">
        <f>COUNTIF(Raw!AV33:BK33, "&gt;=0") = 16</f>
        <v>0</v>
      </c>
      <c r="P33" s="146"/>
      <c r="Q33" s="146"/>
      <c r="R33" s="156"/>
      <c r="S33" s="146"/>
      <c r="T33" s="146"/>
      <c r="U33" s="146"/>
      <c r="V33" s="146" t="str">
        <f ca="1">IFERROR(__xludf.DUMMYFUNCTION("""COMPUTED_VALUE"""),"Edwards et al. (2004)")</f>
        <v>Edwards et al. (2004)</v>
      </c>
      <c r="W33" s="149" t="str">
        <f ca="1">IFERROR(__xludf.DUMMYFUNCTION("""COMPUTED_VALUE"""),"12/18")</f>
        <v>12/18</v>
      </c>
      <c r="X33" s="149" t="str">
        <f ca="1">IFERROR(__xludf.DUMMYFUNCTION("""COMPUTED_VALUE"""),"I-I")</f>
        <v>I-I</v>
      </c>
      <c r="Y33" s="149" t="str">
        <f ca="1">IFERROR(__xludf.DUMMYFUNCTION("""COMPUTED_VALUE"""),"A-A")</f>
        <v>A-A</v>
      </c>
      <c r="Z33" s="149" t="str">
        <f ca="1">IFERROR(__xludf.DUMMYFUNCTION("""COMPUTED_VALUE"""),"Yes")</f>
        <v>Yes</v>
      </c>
      <c r="AA33" s="149" t="str">
        <f ca="1">IFERROR(__xludf.DUMMYFUNCTION("""COMPUTED_VALUE"""),"No")</f>
        <v>No</v>
      </c>
      <c r="AB33" s="149" t="str">
        <f ca="1">IFERROR(__xludf.DUMMYFUNCTION("""COMPUTED_VALUE"""),"Yes")</f>
        <v>Yes</v>
      </c>
      <c r="AC33" s="149" t="str">
        <f ca="1">IFERROR(__xludf.DUMMYFUNCTION("""COMPUTED_VALUE"""),"S/IS")</f>
        <v>S/IS</v>
      </c>
      <c r="AD33" s="149" t="str">
        <f ca="1">IFERROR(__xludf.DUMMYFUNCTION("""COMPUTED_VALUE"""),"USA")</f>
        <v>USA</v>
      </c>
      <c r="AE33" s="150">
        <f ca="1">IFERROR(__xludf.DUMMYFUNCTION("""COMPUTED_VALUE"""),89)</f>
        <v>89</v>
      </c>
      <c r="AF33" s="149" t="str">
        <f ca="1">IFERROR(__xludf.DUMMYFUNCTION("""COMPUTED_VALUE"""),"M")</f>
        <v>M</v>
      </c>
      <c r="AG33" s="149" t="str">
        <f ca="1">IFERROR(__xludf.DUMMYFUNCTION("""COMPUTED_VALUE"""),"2S,4,2D")</f>
        <v>2S,4,2D</v>
      </c>
      <c r="AH33" s="151">
        <f ca="1">IFERROR(__xludf.DUMMYFUNCTION("""COMPUTED_VALUE"""),208)</f>
        <v>208</v>
      </c>
      <c r="AI33" s="149"/>
      <c r="AJ33" s="149"/>
      <c r="AK33" s="149"/>
      <c r="AL33" s="149"/>
      <c r="AM33" s="149"/>
      <c r="AN33" s="149"/>
      <c r="AO33" s="149"/>
      <c r="AP33" s="149"/>
      <c r="AQ33" s="149"/>
      <c r="AR33" s="149"/>
    </row>
    <row r="34" spans="1:44" ht="12.3">
      <c r="A34" s="142"/>
      <c r="B34" s="142" t="str">
        <f>Raw!A34</f>
        <v>Main &amp; Cassidy (1988)</v>
      </c>
      <c r="C34" s="143" t="str">
        <f>CONCATENATE(ROUND(Raw!I34,0),"/",ROUND(Raw!J34,0))</f>
        <v>12/70</v>
      </c>
      <c r="D34" s="143" t="str">
        <f>VLOOKUP(Processed!E34,P$2:Q$10,2,FALSE)</f>
        <v>I-P</v>
      </c>
      <c r="E34" s="143" t="str">
        <f>VLOOKUP(Raw!M34,R$2:S$13,2,FALSE)</f>
        <v>A-MC</v>
      </c>
      <c r="F34" s="143" t="str">
        <f>IF(Raw!P34,"Yes","No")</f>
        <v>No</v>
      </c>
      <c r="G34" s="143" t="str">
        <f>IF(Raw!Q34,"Yes","No")</f>
        <v>No</v>
      </c>
      <c r="H34" s="143" t="str">
        <f>IF(Raw!T34,"Yes","No")</f>
        <v>Yes</v>
      </c>
      <c r="I34" s="143" t="str">
        <f>IF(AND(Raw!N34,Raw!O34), "S/IS, D/O", IF(Raw!N34,"S/IS", IF(Raw!O34,"D/O","-")))</f>
        <v>S/IS, D/O</v>
      </c>
      <c r="J34" s="143" t="str">
        <f>Raw!L34</f>
        <v>USA</v>
      </c>
      <c r="K34" s="144">
        <f>IF(Processed!BN34="NA","-",ROUND(Processed!BN34*100,0))</f>
        <v>83</v>
      </c>
      <c r="L34" s="143" t="str">
        <f>VLOOKUP(Raw!F34,T$2:U$4,2,FALSE)</f>
        <v>F</v>
      </c>
      <c r="M34" s="143" t="str">
        <f>CONCATENATE(IF(Processed!F34,"2S",""),IF(Processed!W34,",3",""),IF(Processed!AG34,",4",""),IF(Processed!AQ34,",2D",""))</f>
        <v>2S,4,2D</v>
      </c>
      <c r="N34" s="145">
        <f>IF(NOT(ISBLANK(Raw!AE34)), Raw!AE34, SUM(Raw!AL34:AT34))</f>
        <v>40</v>
      </c>
      <c r="O34" s="146" t="b">
        <f>COUNTIF(Raw!AV34:BK34, "&gt;=0") = 16</f>
        <v>1</v>
      </c>
      <c r="P34" s="146"/>
      <c r="Q34" s="146"/>
      <c r="R34" s="156"/>
      <c r="S34" s="146"/>
      <c r="T34" s="146"/>
      <c r="U34" s="146"/>
      <c r="V34" s="146" t="str">
        <f ca="1">IFERROR(__xludf.DUMMYFUNCTION("""COMPUTED_VALUE"""),"Egeland &amp; Farber (1984)")</f>
        <v>Egeland &amp; Farber (1984)</v>
      </c>
      <c r="W34" s="149" t="str">
        <f ca="1">IFERROR(__xludf.DUMMYFUNCTION("""COMPUTED_VALUE"""),"12/18")</f>
        <v>12/18</v>
      </c>
      <c r="X34" s="149" t="str">
        <f ca="1">IFERROR(__xludf.DUMMYFUNCTION("""COMPUTED_VALUE"""),"I-I")</f>
        <v>I-I</v>
      </c>
      <c r="Y34" s="149" t="str">
        <f ca="1">IFERROR(__xludf.DUMMYFUNCTION("""COMPUTED_VALUE"""),"A-A")</f>
        <v>A-A</v>
      </c>
      <c r="Z34" s="149" t="str">
        <f ca="1">IFERROR(__xludf.DUMMYFUNCTION("""COMPUTED_VALUE"""),"Yes")</f>
        <v>Yes</v>
      </c>
      <c r="AA34" s="149" t="str">
        <f ca="1">IFERROR(__xludf.DUMMYFUNCTION("""COMPUTED_VALUE"""),"No")</f>
        <v>No</v>
      </c>
      <c r="AB34" s="149" t="str">
        <f ca="1">IFERROR(__xludf.DUMMYFUNCTION("""COMPUTED_VALUE"""),"Yes")</f>
        <v>Yes</v>
      </c>
      <c r="AC34" s="149" t="str">
        <f ca="1">IFERROR(__xludf.DUMMYFUNCTION("""COMPUTED_VALUE"""),"S/IS")</f>
        <v>S/IS</v>
      </c>
      <c r="AD34" s="149" t="str">
        <f ca="1">IFERROR(__xludf.DUMMYFUNCTION("""COMPUTED_VALUE"""),"USA")</f>
        <v>USA</v>
      </c>
      <c r="AE34" s="150">
        <f ca="1">IFERROR(__xludf.DUMMYFUNCTION("""COMPUTED_VALUE"""),91)</f>
        <v>91</v>
      </c>
      <c r="AF34" s="149" t="str">
        <f ca="1">IFERROR(__xludf.DUMMYFUNCTION("""COMPUTED_VALUE"""),"F")</f>
        <v>F</v>
      </c>
      <c r="AG34" s="149" t="str">
        <f ca="1">IFERROR(__xludf.DUMMYFUNCTION("""COMPUTED_VALUE"""),"2S,3")</f>
        <v>2S,3</v>
      </c>
      <c r="AH34" s="151">
        <f ca="1">IFERROR(__xludf.DUMMYFUNCTION("""COMPUTED_VALUE"""),189)</f>
        <v>189</v>
      </c>
      <c r="AI34" s="149"/>
      <c r="AJ34" s="149"/>
      <c r="AK34" s="149"/>
      <c r="AL34" s="149"/>
      <c r="AM34" s="149"/>
      <c r="AN34" s="149"/>
      <c r="AO34" s="149"/>
      <c r="AP34" s="149"/>
      <c r="AQ34" s="149"/>
      <c r="AR34" s="149"/>
    </row>
    <row r="35" spans="1:44" ht="12.3">
      <c r="A35" s="142"/>
      <c r="B35" s="142" t="str">
        <f>Raw!A35</f>
        <v>Main &amp; Cassidy (1988)</v>
      </c>
      <c r="C35" s="143" t="str">
        <f>CONCATENATE(ROUND(Raw!I35,0),"/",ROUND(Raw!J35,0))</f>
        <v>12/70</v>
      </c>
      <c r="D35" s="143" t="str">
        <f>VLOOKUP(Processed!E35,P$2:Q$10,2,FALSE)</f>
        <v>I-P</v>
      </c>
      <c r="E35" s="143" t="str">
        <f>VLOOKUP(Raw!M35,R$2:S$13,2,FALSE)</f>
        <v>A-MC</v>
      </c>
      <c r="F35" s="143" t="str">
        <f>IF(Raw!P35,"Yes","No")</f>
        <v>No</v>
      </c>
      <c r="G35" s="143" t="str">
        <f>IF(Raw!Q35,"Yes","No")</f>
        <v>No</v>
      </c>
      <c r="H35" s="143" t="str">
        <f>IF(Raw!T35,"Yes","No")</f>
        <v>Yes</v>
      </c>
      <c r="I35" s="143" t="str">
        <f>IF(AND(Raw!N35,Raw!O35), "S/IS, D/O", IF(Raw!N35,"S/IS", IF(Raw!O35,"D/O","-")))</f>
        <v>S/IS, D/O</v>
      </c>
      <c r="J35" s="143" t="str">
        <f>Raw!L35</f>
        <v>USA</v>
      </c>
      <c r="K35" s="144">
        <f>IF(Processed!BN35="NA","-",ROUND(Processed!BN35*100,0))</f>
        <v>77</v>
      </c>
      <c r="L35" s="143" t="str">
        <f>VLOOKUP(Raw!F35,T$2:U$4,2,FALSE)</f>
        <v>M</v>
      </c>
      <c r="M35" s="143" t="str">
        <f>CONCATENATE(IF(Processed!F35,"2S",""),IF(Processed!W35,",3",""),IF(Processed!AG35,",4",""),IF(Processed!AQ35,",2D",""))</f>
        <v>2S,4,2D</v>
      </c>
      <c r="N35" s="145">
        <f>IF(NOT(ISBLANK(Raw!AE35)), Raw!AE35, SUM(Raw!AL35:AT35))</f>
        <v>40</v>
      </c>
      <c r="O35" s="146" t="b">
        <f>COUNTIF(Raw!AV35:BK35, "&gt;=0") = 16</f>
        <v>1</v>
      </c>
      <c r="P35" s="146"/>
      <c r="Q35" s="146"/>
      <c r="R35" s="156"/>
      <c r="S35" s="146"/>
      <c r="T35" s="146"/>
      <c r="U35" s="146"/>
      <c r="V35" s="146" t="str">
        <f ca="1">IFERROR(__xludf.DUMMYFUNCTION("""COMPUTED_VALUE"""),"Egeland &amp; Sroufe (1981)")</f>
        <v>Egeland &amp; Sroufe (1981)</v>
      </c>
      <c r="W35" s="149" t="str">
        <f ca="1">IFERROR(__xludf.DUMMYFUNCTION("""COMPUTED_VALUE"""),"12/18")</f>
        <v>12/18</v>
      </c>
      <c r="X35" s="149" t="str">
        <f ca="1">IFERROR(__xludf.DUMMYFUNCTION("""COMPUTED_VALUE"""),"I-I")</f>
        <v>I-I</v>
      </c>
      <c r="Y35" s="149" t="str">
        <f ca="1">IFERROR(__xludf.DUMMYFUNCTION("""COMPUTED_VALUE"""),"A-A")</f>
        <v>A-A</v>
      </c>
      <c r="Z35" s="149" t="str">
        <f ca="1">IFERROR(__xludf.DUMMYFUNCTION("""COMPUTED_VALUE"""),"Yes")</f>
        <v>Yes</v>
      </c>
      <c r="AA35" s="149" t="str">
        <f ca="1">IFERROR(__xludf.DUMMYFUNCTION("""COMPUTED_VALUE"""),"No")</f>
        <v>No</v>
      </c>
      <c r="AB35" s="149" t="str">
        <f ca="1">IFERROR(__xludf.DUMMYFUNCTION("""COMPUTED_VALUE"""),"Yes")</f>
        <v>Yes</v>
      </c>
      <c r="AC35" s="149" t="str">
        <f ca="1">IFERROR(__xludf.DUMMYFUNCTION("""COMPUTED_VALUE"""),"S/IS")</f>
        <v>S/IS</v>
      </c>
      <c r="AD35" s="149" t="str">
        <f ca="1">IFERROR(__xludf.DUMMYFUNCTION("""COMPUTED_VALUE"""),"USA")</f>
        <v>USA</v>
      </c>
      <c r="AE35" s="150">
        <f ca="1">IFERROR(__xludf.DUMMYFUNCTION("""COMPUTED_VALUE"""),91)</f>
        <v>91</v>
      </c>
      <c r="AF35" s="149" t="str">
        <f ca="1">IFERROR(__xludf.DUMMYFUNCTION("""COMPUTED_VALUE"""),"F")</f>
        <v>F</v>
      </c>
      <c r="AG35" s="149" t="str">
        <f ca="1">IFERROR(__xludf.DUMMYFUNCTION("""COMPUTED_VALUE"""),"2S,3")</f>
        <v>2S,3</v>
      </c>
      <c r="AH35" s="151">
        <f ca="1">IFERROR(__xludf.DUMMYFUNCTION("""COMPUTED_VALUE"""),25)</f>
        <v>25</v>
      </c>
      <c r="AI35" s="149"/>
      <c r="AJ35" s="149"/>
      <c r="AK35" s="149"/>
      <c r="AL35" s="149"/>
      <c r="AM35" s="149"/>
      <c r="AN35" s="149"/>
      <c r="AO35" s="149"/>
      <c r="AP35" s="149"/>
      <c r="AQ35" s="149"/>
      <c r="AR35" s="149"/>
    </row>
    <row r="36" spans="1:44" ht="12.3">
      <c r="A36" s="142"/>
      <c r="B36" s="142" t="str">
        <f>Raw!A36</f>
        <v>Maris et al. (2000)</v>
      </c>
      <c r="C36" s="143" t="str">
        <f>CONCATENATE(ROUND(Raw!I36,0),"/",ROUND(Raw!J36,0))</f>
        <v>12/24</v>
      </c>
      <c r="D36" s="143" t="str">
        <f>VLOOKUP(Processed!E36,P$2:Q$10,2,FALSE)</f>
        <v>I-T</v>
      </c>
      <c r="E36" s="143" t="str">
        <f>VLOOKUP(Raw!M36,R$2:S$13,2,FALSE)</f>
        <v>A-CM</v>
      </c>
      <c r="F36" s="143" t="str">
        <f>IF(Raw!P36,"Yes","No")</f>
        <v>No</v>
      </c>
      <c r="G36" s="143" t="str">
        <f>IF(Raw!Q36,"Yes","No")</f>
        <v>Yes</v>
      </c>
      <c r="H36" s="143" t="str">
        <f>IF(Raw!T36,"Yes","No")</f>
        <v>Yes</v>
      </c>
      <c r="I36" s="143" t="str">
        <f>IF(AND(Raw!N36,Raw!O36), "S/IS, D/O", IF(Raw!N36,"S/IS", IF(Raw!O36,"D/O","-")))</f>
        <v>S/IS</v>
      </c>
      <c r="J36" s="143" t="str">
        <f>Raw!L36</f>
        <v>USA</v>
      </c>
      <c r="K36" s="144">
        <f>IF(Processed!BN36="NA","-",ROUND(Processed!BN36*100,0))</f>
        <v>83</v>
      </c>
      <c r="L36" s="143" t="str">
        <f>VLOOKUP(Raw!F36,T$2:U$4,2,FALSE)</f>
        <v>F</v>
      </c>
      <c r="M36" s="143" t="str">
        <f>CONCATENATE(IF(Processed!F36,"2S",""),IF(Processed!W36,",3",""),IF(Processed!AG36,",4",""),IF(Processed!AQ36,",2D",""))</f>
        <v>2S</v>
      </c>
      <c r="N36" s="145">
        <f>IF(NOT(ISBLANK(Raw!AE36)), Raw!AE36, SUM(Raw!AL36:AT36))</f>
        <v>24</v>
      </c>
      <c r="O36" s="146" t="b">
        <f>COUNTIF(Raw!AV36:BK36, "&gt;=0") = 16</f>
        <v>0</v>
      </c>
      <c r="P36" s="146"/>
      <c r="Q36" s="146"/>
      <c r="R36" s="156"/>
      <c r="S36" s="146"/>
      <c r="T36" s="146"/>
      <c r="U36" s="146"/>
      <c r="V36" s="146" t="str">
        <f ca="1">IFERROR(__xludf.DUMMYFUNCTION("""COMPUTED_VALUE"""),"Egeland &amp; Sroufe (1981)")</f>
        <v>Egeland &amp; Sroufe (1981)</v>
      </c>
      <c r="W36" s="149" t="str">
        <f ca="1">IFERROR(__xludf.DUMMYFUNCTION("""COMPUTED_VALUE"""),"12/18")</f>
        <v>12/18</v>
      </c>
      <c r="X36" s="149" t="str">
        <f ca="1">IFERROR(__xludf.DUMMYFUNCTION("""COMPUTED_VALUE"""),"I-I")</f>
        <v>I-I</v>
      </c>
      <c r="Y36" s="149" t="str">
        <f ca="1">IFERROR(__xludf.DUMMYFUNCTION("""COMPUTED_VALUE"""),"A-A")</f>
        <v>A-A</v>
      </c>
      <c r="Z36" s="149" t="str">
        <f ca="1">IFERROR(__xludf.DUMMYFUNCTION("""COMPUTED_VALUE"""),"No")</f>
        <v>No</v>
      </c>
      <c r="AA36" s="149" t="str">
        <f ca="1">IFERROR(__xludf.DUMMYFUNCTION("""COMPUTED_VALUE"""),"No")</f>
        <v>No</v>
      </c>
      <c r="AB36" s="149" t="str">
        <f ca="1">IFERROR(__xludf.DUMMYFUNCTION("""COMPUTED_VALUE"""),"Yes")</f>
        <v>Yes</v>
      </c>
      <c r="AC36" s="149" t="str">
        <f ca="1">IFERROR(__xludf.DUMMYFUNCTION("""COMPUTED_VALUE"""),"S/IS")</f>
        <v>S/IS</v>
      </c>
      <c r="AD36" s="149" t="str">
        <f ca="1">IFERROR(__xludf.DUMMYFUNCTION("""COMPUTED_VALUE"""),"USA")</f>
        <v>USA</v>
      </c>
      <c r="AE36" s="150">
        <f ca="1">IFERROR(__xludf.DUMMYFUNCTION("""COMPUTED_VALUE"""),91)</f>
        <v>91</v>
      </c>
      <c r="AF36" s="149" t="str">
        <f ca="1">IFERROR(__xludf.DUMMYFUNCTION("""COMPUTED_VALUE"""),"F")</f>
        <v>F</v>
      </c>
      <c r="AG36" s="149" t="str">
        <f ca="1">IFERROR(__xludf.DUMMYFUNCTION("""COMPUTED_VALUE"""),"2S,3")</f>
        <v>2S,3</v>
      </c>
      <c r="AH36" s="151">
        <f ca="1">IFERROR(__xludf.DUMMYFUNCTION("""COMPUTED_VALUE"""),32)</f>
        <v>32</v>
      </c>
      <c r="AI36" s="149"/>
      <c r="AJ36" s="149"/>
      <c r="AK36" s="149"/>
      <c r="AL36" s="149"/>
      <c r="AM36" s="149"/>
      <c r="AN36" s="149"/>
      <c r="AO36" s="149"/>
      <c r="AP36" s="149"/>
      <c r="AQ36" s="149"/>
      <c r="AR36" s="149"/>
    </row>
    <row r="37" spans="1:44" ht="12.3">
      <c r="A37" s="142"/>
      <c r="B37" s="142" t="str">
        <f>Raw!A37</f>
        <v>Maris et al. (2000)</v>
      </c>
      <c r="C37" s="143" t="str">
        <f>CONCATENATE(ROUND(Raw!I37,0),"/",ROUND(Raw!J37,0))</f>
        <v>12/24</v>
      </c>
      <c r="D37" s="143" t="str">
        <f>VLOOKUP(Processed!E37,P$2:Q$10,2,FALSE)</f>
        <v>I-T</v>
      </c>
      <c r="E37" s="143" t="str">
        <f>VLOOKUP(Raw!M37,R$2:S$13,2,FALSE)</f>
        <v>A-CM</v>
      </c>
      <c r="F37" s="143" t="str">
        <f>IF(Raw!P37,"Yes","No")</f>
        <v>No</v>
      </c>
      <c r="G37" s="143" t="str">
        <f>IF(Raw!Q37,"Yes","No")</f>
        <v>No</v>
      </c>
      <c r="H37" s="143" t="str">
        <f>IF(Raw!T37,"Yes","No")</f>
        <v>Yes</v>
      </c>
      <c r="I37" s="143" t="str">
        <f>IF(AND(Raw!N37,Raw!O37), "S/IS, D/O", IF(Raw!N37,"S/IS", IF(Raw!O37,"D/O","-")))</f>
        <v>S/IS</v>
      </c>
      <c r="J37" s="143" t="str">
        <f>Raw!L37</f>
        <v>USA</v>
      </c>
      <c r="K37" s="144">
        <f>IF(Processed!BN37="NA","-",ROUND(Processed!BN37*100,0))</f>
        <v>83</v>
      </c>
      <c r="L37" s="143" t="str">
        <f>VLOOKUP(Raw!F37,T$2:U$4,2,FALSE)</f>
        <v>F</v>
      </c>
      <c r="M37" s="143" t="str">
        <f>CONCATENATE(IF(Processed!F37,"2S",""),IF(Processed!W37,",3",""),IF(Processed!AG37,",4",""),IF(Processed!AQ37,",2D",""))</f>
        <v>2S</v>
      </c>
      <c r="N37" s="145">
        <f>IF(NOT(ISBLANK(Raw!AE37)), Raw!AE37, SUM(Raw!AL37:AT37))</f>
        <v>61</v>
      </c>
      <c r="O37" s="146" t="b">
        <f>COUNTIF(Raw!AV37:BK37, "&gt;=0") = 16</f>
        <v>0</v>
      </c>
      <c r="P37" s="146"/>
      <c r="Q37" s="146"/>
      <c r="R37" s="156"/>
      <c r="S37" s="146"/>
      <c r="T37" s="146"/>
      <c r="U37" s="146"/>
      <c r="V37" s="146" t="str">
        <f ca="1">IFERROR(__xludf.DUMMYFUNCTION("""COMPUTED_VALUE"""),"Fargot &amp; Pears (1996)")</f>
        <v>Fargot &amp; Pears (1996)</v>
      </c>
      <c r="W37" s="149" t="str">
        <f ca="1">IFERROR(__xludf.DUMMYFUNCTION("""COMPUTED_VALUE"""),"18/30")</f>
        <v>18/30</v>
      </c>
      <c r="X37" s="149" t="str">
        <f ca="1">IFERROR(__xludf.DUMMYFUNCTION("""COMPUTED_VALUE"""),"I-T")</f>
        <v>I-T</v>
      </c>
      <c r="Y37" s="149" t="str">
        <f ca="1">IFERROR(__xludf.DUMMYFUNCTION("""COMPUTED_VALUE"""),"A-CM")</f>
        <v>A-CM</v>
      </c>
      <c r="Z37" s="149" t="str">
        <f ca="1">IFERROR(__xludf.DUMMYFUNCTION("""COMPUTED_VALUE"""),"No")</f>
        <v>No</v>
      </c>
      <c r="AA37" s="149" t="str">
        <f ca="1">IFERROR(__xludf.DUMMYFUNCTION("""COMPUTED_VALUE"""),"No")</f>
        <v>No</v>
      </c>
      <c r="AB37" s="149" t="str">
        <f ca="1">IFERROR(__xludf.DUMMYFUNCTION("""COMPUTED_VALUE"""),"Yes")</f>
        <v>Yes</v>
      </c>
      <c r="AC37" s="149" t="str">
        <f ca="1">IFERROR(__xludf.DUMMYFUNCTION("""COMPUTED_VALUE"""),"S/IS")</f>
        <v>S/IS</v>
      </c>
      <c r="AD37" s="149" t="str">
        <f ca="1">IFERROR(__xludf.DUMMYFUNCTION("""COMPUTED_VALUE"""),"USA")</f>
        <v>USA</v>
      </c>
      <c r="AE37" s="150">
        <f ca="1">IFERROR(__xludf.DUMMYFUNCTION("""COMPUTED_VALUE"""),83)</f>
        <v>83</v>
      </c>
      <c r="AF37" s="149" t="str">
        <f ca="1">IFERROR(__xludf.DUMMYFUNCTION("""COMPUTED_VALUE"""),"F")</f>
        <v>F</v>
      </c>
      <c r="AG37" s="149" t="str">
        <f ca="1">IFERROR(__xludf.DUMMYFUNCTION("""COMPUTED_VALUE"""),"2S,3")</f>
        <v>2S,3</v>
      </c>
      <c r="AH37" s="151">
        <f ca="1">IFERROR(__xludf.DUMMYFUNCTION("""COMPUTED_VALUE"""),96)</f>
        <v>96</v>
      </c>
      <c r="AI37" s="149"/>
      <c r="AJ37" s="149"/>
      <c r="AK37" s="149"/>
      <c r="AL37" s="149"/>
      <c r="AM37" s="149"/>
      <c r="AN37" s="149"/>
      <c r="AO37" s="149"/>
      <c r="AP37" s="149"/>
      <c r="AQ37" s="149"/>
      <c r="AR37" s="149"/>
    </row>
    <row r="38" spans="1:44" ht="12.3">
      <c r="A38" s="142"/>
      <c r="B38" s="142" t="str">
        <f>Raw!A38</f>
        <v>Maris et al. (2000)</v>
      </c>
      <c r="C38" s="143" t="str">
        <f>CONCATENATE(ROUND(Raw!I38,0),"/",ROUND(Raw!J38,0))</f>
        <v>12/24</v>
      </c>
      <c r="D38" s="143" t="str">
        <f>VLOOKUP(Processed!E38,P$2:Q$10,2,FALSE)</f>
        <v>I-T</v>
      </c>
      <c r="E38" s="143" t="str">
        <f>VLOOKUP(Raw!M38,R$2:S$13,2,FALSE)</f>
        <v>A-CM</v>
      </c>
      <c r="F38" s="143" t="str">
        <f>IF(Raw!P38,"Yes","No")</f>
        <v>No</v>
      </c>
      <c r="G38" s="143" t="str">
        <f>IF(Raw!Q38,"Yes","No")</f>
        <v>Yes</v>
      </c>
      <c r="H38" s="143" t="str">
        <f>IF(Raw!T38,"Yes","No")</f>
        <v>Yes</v>
      </c>
      <c r="I38" s="143" t="str">
        <f>IF(AND(Raw!N38,Raw!O38), "S/IS, D/O", IF(Raw!N38,"S/IS", IF(Raw!O38,"D/O","-")))</f>
        <v>S/IS</v>
      </c>
      <c r="J38" s="143" t="str">
        <f>Raw!L38</f>
        <v>USA</v>
      </c>
      <c r="K38" s="144">
        <f>IF(Processed!BN38="NA","-",ROUND(Processed!BN38*100,0))</f>
        <v>83</v>
      </c>
      <c r="L38" s="143" t="str">
        <f>VLOOKUP(Raw!F38,T$2:U$4,2,FALSE)</f>
        <v>F</v>
      </c>
      <c r="M38" s="143" t="str">
        <f>CONCATENATE(IF(Processed!F38,"2S",""),IF(Processed!W38,",3",""),IF(Processed!AG38,",4",""),IF(Processed!AQ38,",2D",""))</f>
        <v>2S</v>
      </c>
      <c r="N38" s="145">
        <f>IF(NOT(ISBLANK(Raw!AE38)), Raw!AE38, SUM(Raw!AL38:AT38))</f>
        <v>22</v>
      </c>
      <c r="O38" s="146" t="b">
        <f>COUNTIF(Raw!AV38:BK38, "&gt;=0") = 16</f>
        <v>0</v>
      </c>
      <c r="P38" s="146"/>
      <c r="Q38" s="146"/>
      <c r="R38" s="156"/>
      <c r="S38" s="146"/>
      <c r="T38" s="146"/>
      <c r="U38" s="146"/>
      <c r="V38" s="146" t="str">
        <f ca="1">IFERROR(__xludf.DUMMYFUNCTION("""COMPUTED_VALUE"""),"Fish (2004)")</f>
        <v>Fish (2004)</v>
      </c>
      <c r="W38" s="149" t="str">
        <f ca="1">IFERROR(__xludf.DUMMYFUNCTION("""COMPUTED_VALUE"""),"15/48")</f>
        <v>15/48</v>
      </c>
      <c r="X38" s="149" t="str">
        <f ca="1">IFERROR(__xludf.DUMMYFUNCTION("""COMPUTED_VALUE"""),"I-P")</f>
        <v>I-P</v>
      </c>
      <c r="Y38" s="149" t="str">
        <f ca="1">IFERROR(__xludf.DUMMYFUNCTION("""COMPUTED_VALUE"""),"A-CM")</f>
        <v>A-CM</v>
      </c>
      <c r="Z38" s="149" t="str">
        <f ca="1">IFERROR(__xludf.DUMMYFUNCTION("""COMPUTED_VALUE"""),"Yes")</f>
        <v>Yes</v>
      </c>
      <c r="AA38" s="149" t="str">
        <f ca="1">IFERROR(__xludf.DUMMYFUNCTION("""COMPUTED_VALUE"""),"No")</f>
        <v>No</v>
      </c>
      <c r="AB38" s="149" t="str">
        <f ca="1">IFERROR(__xludf.DUMMYFUNCTION("""COMPUTED_VALUE"""),"Yes")</f>
        <v>Yes</v>
      </c>
      <c r="AC38" s="149" t="str">
        <f ca="1">IFERROR(__xludf.DUMMYFUNCTION("""COMPUTED_VALUE"""),"S/IS")</f>
        <v>S/IS</v>
      </c>
      <c r="AD38" s="149" t="str">
        <f ca="1">IFERROR(__xludf.DUMMYFUNCTION("""COMPUTED_VALUE"""),"USA")</f>
        <v>USA</v>
      </c>
      <c r="AE38" s="150">
        <f ca="1">IFERROR(__xludf.DUMMYFUNCTION("""COMPUTED_VALUE"""),77)</f>
        <v>77</v>
      </c>
      <c r="AF38" s="149" t="str">
        <f ca="1">IFERROR(__xludf.DUMMYFUNCTION("""COMPUTED_VALUE"""),"F")</f>
        <v>F</v>
      </c>
      <c r="AG38" s="149" t="str">
        <f ca="1">IFERROR(__xludf.DUMMYFUNCTION("""COMPUTED_VALUE"""),"2S,4,2D")</f>
        <v>2S,4,2D</v>
      </c>
      <c r="AH38" s="151">
        <f ca="1">IFERROR(__xludf.DUMMYFUNCTION("""COMPUTED_VALUE"""),82)</f>
        <v>82</v>
      </c>
      <c r="AI38" s="149"/>
      <c r="AJ38" s="149"/>
      <c r="AK38" s="149"/>
      <c r="AL38" s="149"/>
      <c r="AM38" s="149"/>
      <c r="AN38" s="149"/>
      <c r="AO38" s="149"/>
      <c r="AP38" s="149"/>
      <c r="AQ38" s="149"/>
      <c r="AR38" s="149"/>
    </row>
    <row r="39" spans="1:44" ht="21">
      <c r="A39" s="142"/>
      <c r="B39" s="142" t="str">
        <f>Raw!A39</f>
        <v>Milentijevic, Altman &amp; Ward (1995)</v>
      </c>
      <c r="C39" s="143" t="str">
        <f>CONCATENATE(ROUND(Raw!I39,0),"/",ROUND(Raw!J39,0))</f>
        <v>14/42</v>
      </c>
      <c r="D39" s="143" t="str">
        <f>VLOOKUP(Processed!E39,P$2:Q$10,2,FALSE)</f>
        <v>I-P</v>
      </c>
      <c r="E39" s="143" t="str">
        <f>VLOOKUP(Raw!M39,R$2:S$13,2,FALSE)</f>
        <v>A-CM</v>
      </c>
      <c r="F39" s="143" t="str">
        <f>IF(Raw!P39,"Yes","No")</f>
        <v>Yes</v>
      </c>
      <c r="G39" s="143" t="str">
        <f>IF(Raw!Q39,"Yes","No")</f>
        <v>No</v>
      </c>
      <c r="H39" s="143" t="str">
        <f>IF(Raw!T39,"Yes","No")</f>
        <v>No</v>
      </c>
      <c r="I39" s="143" t="str">
        <f>IF(AND(Raw!N39,Raw!O39), "S/IS, D/O", IF(Raw!N39,"S/IS", IF(Raw!O39,"D/O","-")))</f>
        <v>D/O</v>
      </c>
      <c r="J39" s="143" t="str">
        <f>Raw!L39</f>
        <v>USA</v>
      </c>
      <c r="K39" s="144">
        <f>IF(Processed!BN39="NA","-",ROUND(Processed!BN39*100,0))</f>
        <v>80</v>
      </c>
      <c r="L39" s="143" t="str">
        <f>VLOOKUP(Raw!F39,T$2:U$4,2,FALSE)</f>
        <v>F</v>
      </c>
      <c r="M39" s="143" t="str">
        <f>CONCATENATE(IF(Processed!F39,"2S",""),IF(Processed!W39,",3",""),IF(Processed!AG39,",4",""),IF(Processed!AQ39,",2D",""))</f>
        <v>2S,4,2D</v>
      </c>
      <c r="N39" s="145">
        <f>IF(NOT(ISBLANK(Raw!AE39)), Raw!AE39, SUM(Raw!AL39:AT39))</f>
        <v>86</v>
      </c>
      <c r="O39" s="146" t="b">
        <f>COUNTIF(Raw!AV39:BK39, "&gt;=0") = 16</f>
        <v>1</v>
      </c>
      <c r="P39" s="146"/>
      <c r="Q39" s="146"/>
      <c r="R39" s="156"/>
      <c r="S39" s="146"/>
      <c r="T39" s="146"/>
      <c r="U39" s="146"/>
      <c r="V39" s="146" t="str">
        <f ca="1">IFERROR(__xludf.DUMMYFUNCTION("""COMPUTED_VALUE"""),"Frodi, Grolnick &amp; Bridges (1985)")</f>
        <v>Frodi, Grolnick &amp; Bridges (1985)</v>
      </c>
      <c r="W39" s="149" t="str">
        <f ca="1">IFERROR(__xludf.DUMMYFUNCTION("""COMPUTED_VALUE"""),"12/20")</f>
        <v>12/20</v>
      </c>
      <c r="X39" s="149" t="str">
        <f ca="1">IFERROR(__xludf.DUMMYFUNCTION("""COMPUTED_VALUE"""),"I-T")</f>
        <v>I-T</v>
      </c>
      <c r="Y39" s="149" t="str">
        <f ca="1">IFERROR(__xludf.DUMMYFUNCTION("""COMPUTED_VALUE"""),"A-A")</f>
        <v>A-A</v>
      </c>
      <c r="Z39" s="149" t="str">
        <f ca="1">IFERROR(__xludf.DUMMYFUNCTION("""COMPUTED_VALUE"""),"No")</f>
        <v>No</v>
      </c>
      <c r="AA39" s="149" t="str">
        <f ca="1">IFERROR(__xludf.DUMMYFUNCTION("""COMPUTED_VALUE"""),"No")</f>
        <v>No</v>
      </c>
      <c r="AB39" s="149" t="str">
        <f ca="1">IFERROR(__xludf.DUMMYFUNCTION("""COMPUTED_VALUE"""),"Yes")</f>
        <v>Yes</v>
      </c>
      <c r="AC39" s="149" t="str">
        <f ca="1">IFERROR(__xludf.DUMMYFUNCTION("""COMPUTED_VALUE"""),"S/IS")</f>
        <v>S/IS</v>
      </c>
      <c r="AD39" s="149" t="str">
        <f ca="1">IFERROR(__xludf.DUMMYFUNCTION("""COMPUTED_VALUE"""),"USA")</f>
        <v>USA</v>
      </c>
      <c r="AE39" s="150">
        <f ca="1">IFERROR(__xludf.DUMMYFUNCTION("""COMPUTED_VALUE"""),79)</f>
        <v>79</v>
      </c>
      <c r="AF39" s="149" t="str">
        <f ca="1">IFERROR(__xludf.DUMMYFUNCTION("""COMPUTED_VALUE"""),"F")</f>
        <v>F</v>
      </c>
      <c r="AG39" s="149" t="str">
        <f ca="1">IFERROR(__xludf.DUMMYFUNCTION("""COMPUTED_VALUE"""),"2S,3")</f>
        <v>2S,3</v>
      </c>
      <c r="AH39" s="151">
        <f ca="1">IFERROR(__xludf.DUMMYFUNCTION("""COMPUTED_VALUE"""),38)</f>
        <v>38</v>
      </c>
      <c r="AI39" s="149"/>
      <c r="AJ39" s="149"/>
      <c r="AK39" s="149"/>
      <c r="AL39" s="149"/>
      <c r="AM39" s="149"/>
      <c r="AN39" s="149"/>
      <c r="AO39" s="149"/>
      <c r="AP39" s="149"/>
      <c r="AQ39" s="149"/>
      <c r="AR39" s="149"/>
    </row>
    <row r="40" spans="1:44" ht="12.3">
      <c r="A40" s="142"/>
      <c r="B40" s="142" t="str">
        <f>Raw!A40</f>
        <v>Moss et al. (2005)</v>
      </c>
      <c r="C40" s="143" t="str">
        <f>CONCATENATE(ROUND(Raw!I40,0),"/",ROUND(Raw!J40,0))</f>
        <v>44/67</v>
      </c>
      <c r="D40" s="143" t="str">
        <f>VLOOKUP(Processed!E40,P$2:Q$10,2,FALSE)</f>
        <v>P-P</v>
      </c>
      <c r="E40" s="143" t="str">
        <f>VLOOKUP(Raw!M40,R$2:S$13,2,FALSE)</f>
        <v>CM-CM</v>
      </c>
      <c r="F40" s="143" t="str">
        <f>IF(Raw!P40,"Yes","No")</f>
        <v>No</v>
      </c>
      <c r="G40" s="143" t="str">
        <f>IF(Raw!Q40,"Yes","No")</f>
        <v>No</v>
      </c>
      <c r="H40" s="143" t="str">
        <f>IF(Raw!T40,"Yes","No")</f>
        <v>Yes</v>
      </c>
      <c r="I40" s="143" t="str">
        <f>IF(AND(Raw!N40,Raw!O40), "S/IS, D/O", IF(Raw!N40,"S/IS", IF(Raw!O40,"D/O","-")))</f>
        <v>S/IS</v>
      </c>
      <c r="J40" s="143" t="str">
        <f>Raw!L40</f>
        <v>Canada</v>
      </c>
      <c r="K40" s="144">
        <f>IF(Processed!BN40="NA","-",ROUND(Processed!BN40*100,0))</f>
        <v>90</v>
      </c>
      <c r="L40" s="143" t="str">
        <f>VLOOKUP(Raw!F40,T$2:U$4,2,FALSE)</f>
        <v>F</v>
      </c>
      <c r="M40" s="143" t="str">
        <f>CONCATENATE(IF(Processed!F40,"2S",""),IF(Processed!W40,",3",""),IF(Processed!AG40,",4",""),IF(Processed!AQ40,",2D",""))</f>
        <v>2S,4,2D</v>
      </c>
      <c r="N40" s="145">
        <f>IF(NOT(ISBLANK(Raw!AE40)), Raw!AE40, SUM(Raw!AL40:AT40))</f>
        <v>120</v>
      </c>
      <c r="O40" s="146" t="b">
        <f>COUNTIF(Raw!AV40:BK40, "&gt;=0") = 16</f>
        <v>1</v>
      </c>
      <c r="P40" s="146"/>
      <c r="Q40" s="146"/>
      <c r="R40" s="156"/>
      <c r="S40" s="146"/>
      <c r="T40" s="146"/>
      <c r="U40" s="146"/>
      <c r="V40" s="146" t="str">
        <f ca="1">IFERROR(__xludf.DUMMYFUNCTION("""COMPUTED_VALUE"""),"Ganiban, Barnett &amp; Cicchetti (2000)")</f>
        <v>Ganiban, Barnett &amp; Cicchetti (2000)</v>
      </c>
      <c r="W40" s="149" t="str">
        <f ca="1">IFERROR(__xludf.DUMMYFUNCTION("""COMPUTED_VALUE"""),"19/27")</f>
        <v>19/27</v>
      </c>
      <c r="X40" s="149" t="str">
        <f ca="1">IFERROR(__xludf.DUMMYFUNCTION("""COMPUTED_VALUE"""),"I-T")</f>
        <v>I-T</v>
      </c>
      <c r="Y40" s="149" t="str">
        <f ca="1">IFERROR(__xludf.DUMMYFUNCTION("""COMPUTED_VALUE"""),"A-A")</f>
        <v>A-A</v>
      </c>
      <c r="Z40" s="149" t="str">
        <f ca="1">IFERROR(__xludf.DUMMYFUNCTION("""COMPUTED_VALUE"""),"No")</f>
        <v>No</v>
      </c>
      <c r="AA40" s="149" t="str">
        <f ca="1">IFERROR(__xludf.DUMMYFUNCTION("""COMPUTED_VALUE"""),"Yes")</f>
        <v>Yes</v>
      </c>
      <c r="AB40" s="149" t="str">
        <f ca="1">IFERROR(__xludf.DUMMYFUNCTION("""COMPUTED_VALUE"""),"Yes")</f>
        <v>Yes</v>
      </c>
      <c r="AC40" s="149" t="str">
        <f ca="1">IFERROR(__xludf.DUMMYFUNCTION("""COMPUTED_VALUE"""),"S/IS")</f>
        <v>S/IS</v>
      </c>
      <c r="AD40" s="149" t="str">
        <f ca="1">IFERROR(__xludf.DUMMYFUNCTION("""COMPUTED_VALUE"""),"USA")</f>
        <v>USA</v>
      </c>
      <c r="AE40" s="150">
        <f ca="1">IFERROR(__xludf.DUMMYFUNCTION("""COMPUTED_VALUE"""),100)</f>
        <v>100</v>
      </c>
      <c r="AF40" s="149" t="str">
        <f ca="1">IFERROR(__xludf.DUMMYFUNCTION("""COMPUTED_VALUE"""),"F")</f>
        <v>F</v>
      </c>
      <c r="AG40" s="149" t="str">
        <f ca="1">IFERROR(__xludf.DUMMYFUNCTION("""COMPUTED_VALUE"""),"2S,4,2D")</f>
        <v>2S,4,2D</v>
      </c>
      <c r="AH40" s="151">
        <f ca="1">IFERROR(__xludf.DUMMYFUNCTION("""COMPUTED_VALUE"""),30)</f>
        <v>30</v>
      </c>
      <c r="AI40" s="149"/>
      <c r="AJ40" s="149"/>
      <c r="AK40" s="149"/>
      <c r="AL40" s="149"/>
      <c r="AM40" s="149"/>
      <c r="AN40" s="149"/>
      <c r="AO40" s="149"/>
      <c r="AP40" s="149"/>
      <c r="AQ40" s="149"/>
      <c r="AR40" s="149"/>
    </row>
    <row r="41" spans="1:44" ht="12.3">
      <c r="A41" s="142"/>
      <c r="B41" s="142" t="str">
        <f>Raw!A41</f>
        <v>NICHD (2001)</v>
      </c>
      <c r="C41" s="143" t="str">
        <f>CONCATENATE(ROUND(Raw!I41,0),"/",ROUND(Raw!J41,0))</f>
        <v>15/36</v>
      </c>
      <c r="D41" s="143" t="str">
        <f>VLOOKUP(Processed!E41,P$2:Q$10,2,FALSE)</f>
        <v>I-T</v>
      </c>
      <c r="E41" s="143" t="str">
        <f>VLOOKUP(Raw!M41,R$2:S$13,2,FALSE)</f>
        <v>A-CM</v>
      </c>
      <c r="F41" s="143" t="str">
        <f>IF(Raw!P41,"Yes","No")</f>
        <v>No</v>
      </c>
      <c r="G41" s="143" t="str">
        <f>IF(Raw!Q41,"Yes","No")</f>
        <v>No</v>
      </c>
      <c r="H41" s="143" t="str">
        <f>IF(Raw!T41,"Yes","No")</f>
        <v>Yes</v>
      </c>
      <c r="I41" s="143" t="str">
        <f>IF(AND(Raw!N41,Raw!O41), "S/IS, D/O", IF(Raw!N41,"S/IS", IF(Raw!O41,"D/O","-")))</f>
        <v>S/IS</v>
      </c>
      <c r="J41" s="143" t="str">
        <f>Raw!L41</f>
        <v>USA</v>
      </c>
      <c r="K41" s="144">
        <f>IF(Processed!BN41="NA","-",ROUND(Processed!BN41*100,0))</f>
        <v>79</v>
      </c>
      <c r="L41" s="143" t="str">
        <f>VLOOKUP(Raw!F41,T$2:U$4,2,FALSE)</f>
        <v>F</v>
      </c>
      <c r="M41" s="143" t="str">
        <f>CONCATENATE(IF(Processed!F41,"2S",""),IF(Processed!W41,",3",""),IF(Processed!AG41,",4",""),IF(Processed!AQ41,",2D",""))</f>
        <v>2S,4,2D</v>
      </c>
      <c r="N41" s="145">
        <f>IF(NOT(ISBLANK(Raw!AE41)), Raw!AE41, SUM(Raw!AL41:AT41))</f>
        <v>1060</v>
      </c>
      <c r="O41" s="146" t="b">
        <f>COUNTIF(Raw!AV41:BK41, "&gt;=0") = 16</f>
        <v>1</v>
      </c>
      <c r="P41" s="146"/>
      <c r="Q41" s="146"/>
      <c r="R41" s="156"/>
      <c r="S41" s="146"/>
      <c r="T41" s="146"/>
      <c r="U41" s="146"/>
      <c r="V41" s="146" t="str">
        <f ca="1">IFERROR(__xludf.DUMMYFUNCTION("""COMPUTED_VALUE"""),"Goossens et al. (1986)")</f>
        <v>Goossens et al. (1986)</v>
      </c>
      <c r="W41" s="149" t="str">
        <f ca="1">IFERROR(__xludf.DUMMYFUNCTION("""COMPUTED_VALUE"""),"18/19")</f>
        <v>18/19</v>
      </c>
      <c r="X41" s="149" t="str">
        <f ca="1">IFERROR(__xludf.DUMMYFUNCTION("""COMPUTED_VALUE"""),"I-I")</f>
        <v>I-I</v>
      </c>
      <c r="Y41" s="149" t="str">
        <f ca="1">IFERROR(__xludf.DUMMYFUNCTION("""COMPUTED_VALUE"""),"A-A")</f>
        <v>A-A</v>
      </c>
      <c r="Z41" s="149" t="str">
        <f ca="1">IFERROR(__xludf.DUMMYFUNCTION("""COMPUTED_VALUE"""),"No")</f>
        <v>No</v>
      </c>
      <c r="AA41" s="149" t="str">
        <f ca="1">IFERROR(__xludf.DUMMYFUNCTION("""COMPUTED_VALUE"""),"No")</f>
        <v>No</v>
      </c>
      <c r="AB41" s="149" t="str">
        <f ca="1">IFERROR(__xludf.DUMMYFUNCTION("""COMPUTED_VALUE"""),"Yes")</f>
        <v>Yes</v>
      </c>
      <c r="AC41" s="149" t="str">
        <f ca="1">IFERROR(__xludf.DUMMYFUNCTION("""COMPUTED_VALUE"""),"S/IS")</f>
        <v>S/IS</v>
      </c>
      <c r="AD41" s="149" t="str">
        <f ca="1">IFERROR(__xludf.DUMMYFUNCTION("""COMPUTED_VALUE"""),"Netherlands")</f>
        <v>Netherlands</v>
      </c>
      <c r="AE41" s="150">
        <f ca="1">IFERROR(__xludf.DUMMYFUNCTION("""COMPUTED_VALUE"""),94)</f>
        <v>94</v>
      </c>
      <c r="AF41" s="149" t="str">
        <f ca="1">IFERROR(__xludf.DUMMYFUNCTION("""COMPUTED_VALUE"""),"F")</f>
        <v>F</v>
      </c>
      <c r="AG41" s="149" t="str">
        <f ca="1">IFERROR(__xludf.DUMMYFUNCTION("""COMPUTED_VALUE"""),"2S,3")</f>
        <v>2S,3</v>
      </c>
      <c r="AH41" s="151">
        <f ca="1">IFERROR(__xludf.DUMMYFUNCTION("""COMPUTED_VALUE"""),9)</f>
        <v>9</v>
      </c>
      <c r="AI41" s="149"/>
      <c r="AJ41" s="149"/>
      <c r="AK41" s="149"/>
      <c r="AL41" s="149"/>
      <c r="AM41" s="149"/>
      <c r="AN41" s="149"/>
      <c r="AO41" s="149"/>
      <c r="AP41" s="149"/>
      <c r="AQ41" s="149"/>
      <c r="AR41" s="149"/>
    </row>
    <row r="42" spans="1:44" ht="12.3">
      <c r="A42" s="142"/>
      <c r="B42" s="142" t="str">
        <f>Raw!A42</f>
        <v>Rauh et al. (2000)</v>
      </c>
      <c r="C42" s="143" t="str">
        <f>CONCATENATE(ROUND(Raw!I42,0),"/",ROUND(Raw!J42,0))</f>
        <v>12/21</v>
      </c>
      <c r="D42" s="143" t="str">
        <f>VLOOKUP(Processed!E42,P$2:Q$10,2,FALSE)</f>
        <v>I-T</v>
      </c>
      <c r="E42" s="143" t="str">
        <f>VLOOKUP(Raw!M42,R$2:S$13,2,FALSE)</f>
        <v>A-A</v>
      </c>
      <c r="F42" s="143" t="str">
        <f>IF(Raw!P42,"Yes","No")</f>
        <v>No</v>
      </c>
      <c r="G42" s="143" t="str">
        <f>IF(Raw!Q42,"Yes","No")</f>
        <v>No</v>
      </c>
      <c r="H42" s="143" t="str">
        <f>IF(Raw!T42,"Yes","No")</f>
        <v>Yes</v>
      </c>
      <c r="I42" s="143" t="str">
        <f>IF(AND(Raw!N42,Raw!O42), "S/IS, D/O", IF(Raw!N42,"S/IS", IF(Raw!O42,"D/O","-")))</f>
        <v>S/IS, D/O</v>
      </c>
      <c r="J42" s="143" t="str">
        <f>Raw!L42</f>
        <v>Germany</v>
      </c>
      <c r="K42" s="144">
        <f>IF(Processed!BN42="NA","-",ROUND(Processed!BN42*100,0))</f>
        <v>94</v>
      </c>
      <c r="L42" s="143" t="str">
        <f>VLOOKUP(Raw!F42,T$2:U$4,2,FALSE)</f>
        <v>F</v>
      </c>
      <c r="M42" s="143" t="str">
        <f>CONCATENATE(IF(Processed!F42,"2S",""),IF(Processed!W42,",3",""),IF(Processed!AG42,",4",""),IF(Processed!AQ42,",2D",""))</f>
        <v>2S,4,2D</v>
      </c>
      <c r="N42" s="145">
        <f>IF(NOT(ISBLANK(Raw!AE42)), Raw!AE42, SUM(Raw!AL42:AT42))</f>
        <v>75</v>
      </c>
      <c r="O42" s="146" t="b">
        <f>COUNTIF(Raw!AV42:BK42, "&gt;=0") = 16</f>
        <v>1</v>
      </c>
      <c r="P42" s="146"/>
      <c r="Q42" s="146"/>
      <c r="R42" s="156"/>
      <c r="S42" s="146"/>
      <c r="T42" s="146"/>
      <c r="U42" s="146"/>
      <c r="V42" s="146" t="str">
        <f ca="1">IFERROR(__xludf.DUMMYFUNCTION("""COMPUTED_VALUE"""),"Hautamaki et al. (2010)")</f>
        <v>Hautamaki et al. (2010)</v>
      </c>
      <c r="W42" s="149" t="str">
        <f ca="1">IFERROR(__xludf.DUMMYFUNCTION("""COMPUTED_VALUE"""),"12/36")</f>
        <v>12/36</v>
      </c>
      <c r="X42" s="149" t="str">
        <f ca="1">IFERROR(__xludf.DUMMYFUNCTION("""COMPUTED_VALUE"""),"I-T")</f>
        <v>I-T</v>
      </c>
      <c r="Y42" s="149" t="str">
        <f ca="1">IFERROR(__xludf.DUMMYFUNCTION("""COMPUTED_VALUE"""),"A-CM")</f>
        <v>A-CM</v>
      </c>
      <c r="Z42" s="149" t="str">
        <f ca="1">IFERROR(__xludf.DUMMYFUNCTION("""COMPUTED_VALUE"""),"No")</f>
        <v>No</v>
      </c>
      <c r="AA42" s="149" t="str">
        <f ca="1">IFERROR(__xludf.DUMMYFUNCTION("""COMPUTED_VALUE"""),"No")</f>
        <v>No</v>
      </c>
      <c r="AB42" s="149" t="str">
        <f ca="1">IFERROR(__xludf.DUMMYFUNCTION("""COMPUTED_VALUE"""),"Yes")</f>
        <v>Yes</v>
      </c>
      <c r="AC42" s="149" t="str">
        <f ca="1">IFERROR(__xludf.DUMMYFUNCTION("""COMPUTED_VALUE"""),"S/IS")</f>
        <v>S/IS</v>
      </c>
      <c r="AD42" s="149" t="str">
        <f ca="1">IFERROR(__xludf.DUMMYFUNCTION("""COMPUTED_VALUE"""),"Finland")</f>
        <v>Finland</v>
      </c>
      <c r="AE42" s="150">
        <f ca="1">IFERROR(__xludf.DUMMYFUNCTION("""COMPUTED_VALUE"""),98)</f>
        <v>98</v>
      </c>
      <c r="AF42" s="149" t="str">
        <f ca="1">IFERROR(__xludf.DUMMYFUNCTION("""COMPUTED_VALUE"""),"M,F")</f>
        <v>M,F</v>
      </c>
      <c r="AG42" s="149" t="str">
        <f ca="1">IFERROR(__xludf.DUMMYFUNCTION("""COMPUTED_VALUE"""),"2S,3")</f>
        <v>2S,3</v>
      </c>
      <c r="AH42" s="151">
        <f ca="1">IFERROR(__xludf.DUMMYFUNCTION("""COMPUTED_VALUE"""),33)</f>
        <v>33</v>
      </c>
      <c r="AI42" s="149"/>
      <c r="AJ42" s="149"/>
      <c r="AK42" s="149"/>
      <c r="AL42" s="149"/>
      <c r="AM42" s="149"/>
      <c r="AN42" s="149"/>
      <c r="AO42" s="149"/>
      <c r="AP42" s="149"/>
      <c r="AQ42" s="149"/>
      <c r="AR42" s="149"/>
    </row>
    <row r="43" spans="1:44" ht="12.3">
      <c r="A43" s="142"/>
      <c r="B43" s="142" t="str">
        <f>Raw!A43</f>
        <v>Rauh et al. (2000)</v>
      </c>
      <c r="C43" s="143" t="str">
        <f>CONCATENATE(ROUND(Raw!I43,0),"/",ROUND(Raw!J43,0))</f>
        <v>12/21</v>
      </c>
      <c r="D43" s="143" t="str">
        <f>VLOOKUP(Processed!E43,P$2:Q$10,2,FALSE)</f>
        <v>I-T</v>
      </c>
      <c r="E43" s="143" t="str">
        <f>VLOOKUP(Raw!M43,R$2:S$13,2,FALSE)</f>
        <v>MC-MC</v>
      </c>
      <c r="F43" s="143" t="str">
        <f>IF(Raw!P43,"Yes","No")</f>
        <v>No</v>
      </c>
      <c r="G43" s="143" t="str">
        <f>IF(Raw!Q43,"Yes","No")</f>
        <v>No</v>
      </c>
      <c r="H43" s="143" t="str">
        <f>IF(Raw!T43,"Yes","No")</f>
        <v>Yes</v>
      </c>
      <c r="I43" s="143" t="str">
        <f>IF(AND(Raw!N43,Raw!O43), "S/IS, D/O", IF(Raw!N43,"S/IS", IF(Raw!O43,"D/O","-")))</f>
        <v>S/IS</v>
      </c>
      <c r="J43" s="143" t="str">
        <f>Raw!L43</f>
        <v>Germany</v>
      </c>
      <c r="K43" s="144">
        <f>IF(Processed!BN43="NA","-",ROUND(Processed!BN43*100,0))</f>
        <v>94</v>
      </c>
      <c r="L43" s="143" t="str">
        <f>VLOOKUP(Raw!F43,T$2:U$4,2,FALSE)</f>
        <v>F</v>
      </c>
      <c r="M43" s="143" t="str">
        <f>CONCATENATE(IF(Processed!F43,"2S",""),IF(Processed!W43,",3",""),IF(Processed!AG43,",4",""),IF(Processed!AQ43,",2D",""))</f>
        <v>2S,4,2D</v>
      </c>
      <c r="N43" s="145">
        <f>IF(NOT(ISBLANK(Raw!AE43)), Raw!AE43, SUM(Raw!AL43:AT43))</f>
        <v>75</v>
      </c>
      <c r="O43" s="146" t="b">
        <f>COUNTIF(Raw!AV43:BK43, "&gt;=0") = 16</f>
        <v>1</v>
      </c>
      <c r="P43" s="146"/>
      <c r="Q43" s="146"/>
      <c r="R43" s="156"/>
      <c r="S43" s="146"/>
      <c r="T43" s="146"/>
      <c r="U43" s="146"/>
      <c r="V43" s="146" t="str">
        <f ca="1">IFERROR(__xludf.DUMMYFUNCTION("""COMPUTED_VALUE"""),"Howes &amp; Hamilton (1992)")</f>
        <v>Howes &amp; Hamilton (1992)</v>
      </c>
      <c r="W43" s="149" t="str">
        <f ca="1">IFERROR(__xludf.DUMMYFUNCTION("""COMPUTED_VALUE"""),"12/48")</f>
        <v>12/48</v>
      </c>
      <c r="X43" s="149" t="str">
        <f ca="1">IFERROR(__xludf.DUMMYFUNCTION("""COMPUTED_VALUE"""),"I-P")</f>
        <v>I-P</v>
      </c>
      <c r="Y43" s="149" t="str">
        <f ca="1">IFERROR(__xludf.DUMMYFUNCTION("""COMPUTED_VALUE"""),"A-CM")</f>
        <v>A-CM</v>
      </c>
      <c r="Z43" s="149" t="str">
        <f ca="1">IFERROR(__xludf.DUMMYFUNCTION("""COMPUTED_VALUE"""),"No")</f>
        <v>No</v>
      </c>
      <c r="AA43" s="149" t="str">
        <f ca="1">IFERROR(__xludf.DUMMYFUNCTION("""COMPUTED_VALUE"""),"No")</f>
        <v>No</v>
      </c>
      <c r="AB43" s="149" t="str">
        <f ca="1">IFERROR(__xludf.DUMMYFUNCTION("""COMPUTED_VALUE"""),"Yes")</f>
        <v>Yes</v>
      </c>
      <c r="AC43" s="149" t="str">
        <f ca="1">IFERROR(__xludf.DUMMYFUNCTION("""COMPUTED_VALUE"""),"S/IS")</f>
        <v>S/IS</v>
      </c>
      <c r="AD43" s="149" t="str">
        <f ca="1">IFERROR(__xludf.DUMMYFUNCTION("""COMPUTED_VALUE"""),"USA")</f>
        <v>USA</v>
      </c>
      <c r="AE43" s="150" t="str">
        <f ca="1">IFERROR(__xludf.DUMMYFUNCTION("""COMPUTED_VALUE"""),"")</f>
        <v/>
      </c>
      <c r="AF43" s="149" t="str">
        <f ca="1">IFERROR(__xludf.DUMMYFUNCTION("""COMPUTED_VALUE"""),"F")</f>
        <v>F</v>
      </c>
      <c r="AG43" s="149" t="str">
        <f ca="1">IFERROR(__xludf.DUMMYFUNCTION("""COMPUTED_VALUE"""),"2S,3")</f>
        <v>2S,3</v>
      </c>
      <c r="AH43" s="151">
        <f ca="1">IFERROR(__xludf.DUMMYFUNCTION("""COMPUTED_VALUE"""),89)</f>
        <v>89</v>
      </c>
      <c r="AI43" s="149"/>
      <c r="AJ43" s="149"/>
      <c r="AK43" s="149"/>
      <c r="AL43" s="149"/>
      <c r="AM43" s="149"/>
      <c r="AN43" s="149"/>
      <c r="AO43" s="149"/>
      <c r="AP43" s="149"/>
      <c r="AQ43" s="149"/>
      <c r="AR43" s="149"/>
    </row>
    <row r="44" spans="1:44" ht="12.3">
      <c r="A44" s="142"/>
      <c r="B44" s="142" t="str">
        <f>Raw!A44</f>
        <v>Rauh et al. (2000)</v>
      </c>
      <c r="C44" s="143" t="str">
        <f>CONCATENATE(ROUND(Raw!I44,0),"/",ROUND(Raw!J44,0))</f>
        <v>12/21</v>
      </c>
      <c r="D44" s="143" t="str">
        <f>VLOOKUP(Processed!E44,P$2:Q$10,2,FALSE)</f>
        <v>I-T</v>
      </c>
      <c r="E44" s="143" t="str">
        <f>VLOOKUP(Raw!M44,R$2:S$13,2,FALSE)</f>
        <v>MC-A</v>
      </c>
      <c r="F44" s="143" t="str">
        <f>IF(Raw!P44,"Yes","No")</f>
        <v>No</v>
      </c>
      <c r="G44" s="143" t="str">
        <f>IF(Raw!Q44,"Yes","No")</f>
        <v>No</v>
      </c>
      <c r="H44" s="143" t="str">
        <f>IF(Raw!T44,"Yes","No")</f>
        <v>Yes</v>
      </c>
      <c r="I44" s="143" t="str">
        <f>IF(AND(Raw!N44,Raw!O44), "S/IS, D/O", IF(Raw!N44,"S/IS", IF(Raw!O44,"D/O","-")))</f>
        <v>S/IS</v>
      </c>
      <c r="J44" s="143" t="str">
        <f>Raw!L44</f>
        <v>Germany</v>
      </c>
      <c r="K44" s="144">
        <f>IF(Processed!BN44="NA","-",ROUND(Processed!BN44*100,0))</f>
        <v>94</v>
      </c>
      <c r="L44" s="143" t="str">
        <f>VLOOKUP(Raw!F44,T$2:U$4,2,FALSE)</f>
        <v>F</v>
      </c>
      <c r="M44" s="143" t="str">
        <f>CONCATENATE(IF(Processed!F44,"2S",""),IF(Processed!W44,",3",""),IF(Processed!AG44,",4",""),IF(Processed!AQ44,",2D",""))</f>
        <v>2S,4,2D</v>
      </c>
      <c r="N44" s="145">
        <f>IF(NOT(ISBLANK(Raw!AE44)), Raw!AE44, SUM(Raw!AL44:AT44))</f>
        <v>75</v>
      </c>
      <c r="O44" s="146" t="b">
        <f>COUNTIF(Raw!AV44:BK44, "&gt;=0") = 16</f>
        <v>1</v>
      </c>
      <c r="P44" s="146"/>
      <c r="Q44" s="146"/>
      <c r="R44" s="156"/>
      <c r="S44" s="146"/>
      <c r="T44" s="146"/>
      <c r="U44" s="146"/>
      <c r="V44" s="146" t="str">
        <f ca="1">IFERROR(__xludf.DUMMYFUNCTION("""COMPUTED_VALUE"""),"Jacobsen et al. (1997)")</f>
        <v>Jacobsen et al. (1997)</v>
      </c>
      <c r="W44" s="149" t="str">
        <f ca="1">IFERROR(__xludf.DUMMYFUNCTION("""COMPUTED_VALUE"""),"12/72")</f>
        <v>12/72</v>
      </c>
      <c r="X44" s="149" t="str">
        <f ca="1">IFERROR(__xludf.DUMMYFUNCTION("""COMPUTED_VALUE"""),"I-P")</f>
        <v>I-P</v>
      </c>
      <c r="Y44" s="149" t="str">
        <f ca="1">IFERROR(__xludf.DUMMYFUNCTION("""COMPUTED_VALUE"""),"A-MC")</f>
        <v>A-MC</v>
      </c>
      <c r="Z44" s="149" t="str">
        <f ca="1">IFERROR(__xludf.DUMMYFUNCTION("""COMPUTED_VALUE"""),"No")</f>
        <v>No</v>
      </c>
      <c r="AA44" s="149" t="str">
        <f ca="1">IFERROR(__xludf.DUMMYFUNCTION("""COMPUTED_VALUE"""),"No")</f>
        <v>No</v>
      </c>
      <c r="AB44" s="149" t="str">
        <f ca="1">IFERROR(__xludf.DUMMYFUNCTION("""COMPUTED_VALUE"""),"Yes")</f>
        <v>Yes</v>
      </c>
      <c r="AC44" s="149" t="str">
        <f ca="1">IFERROR(__xludf.DUMMYFUNCTION("""COMPUTED_VALUE"""),"S/IS, D/O")</f>
        <v>S/IS, D/O</v>
      </c>
      <c r="AD44" s="149" t="str">
        <f ca="1">IFERROR(__xludf.DUMMYFUNCTION("""COMPUTED_VALUE"""),"Germany")</f>
        <v>Germany</v>
      </c>
      <c r="AE44" s="150" t="str">
        <f ca="1">IFERROR(__xludf.DUMMYFUNCTION("""COMPUTED_VALUE"""),"")</f>
        <v/>
      </c>
      <c r="AF44" s="149" t="str">
        <f ca="1">IFERROR(__xludf.DUMMYFUNCTION("""COMPUTED_VALUE"""),"F")</f>
        <v>F</v>
      </c>
      <c r="AG44" s="149" t="str">
        <f ca="1">IFERROR(__xludf.DUMMYFUNCTION("""COMPUTED_VALUE"""),"2S")</f>
        <v>2S</v>
      </c>
      <c r="AH44" s="151">
        <f ca="1">IFERROR(__xludf.DUMMYFUNCTION("""COMPUTED_VALUE"""),32)</f>
        <v>32</v>
      </c>
      <c r="AI44" s="149"/>
      <c r="AJ44" s="149"/>
      <c r="AK44" s="149"/>
      <c r="AL44" s="149"/>
      <c r="AM44" s="149"/>
      <c r="AN44" s="149"/>
      <c r="AO44" s="149"/>
      <c r="AP44" s="149"/>
      <c r="AQ44" s="149"/>
      <c r="AR44" s="149"/>
    </row>
    <row r="45" spans="1:44" ht="12.3">
      <c r="A45" s="142"/>
      <c r="B45" s="142" t="str">
        <f>Raw!A45</f>
        <v>Rauh et al. (2000)</v>
      </c>
      <c r="C45" s="143" t="str">
        <f>CONCATENATE(ROUND(Raw!I45,0),"/",ROUND(Raw!J45,0))</f>
        <v>12/21</v>
      </c>
      <c r="D45" s="143" t="str">
        <f>VLOOKUP(Processed!E45,P$2:Q$10,2,FALSE)</f>
        <v>I-T</v>
      </c>
      <c r="E45" s="143" t="str">
        <f>VLOOKUP(Raw!M45,R$2:S$13,2,FALSE)</f>
        <v>A-MC</v>
      </c>
      <c r="F45" s="143" t="str">
        <f>IF(Raw!P45,"Yes","No")</f>
        <v>No</v>
      </c>
      <c r="G45" s="143" t="str">
        <f>IF(Raw!Q45,"Yes","No")</f>
        <v>No</v>
      </c>
      <c r="H45" s="143" t="str">
        <f>IF(Raw!T45,"Yes","No")</f>
        <v>Yes</v>
      </c>
      <c r="I45" s="143" t="str">
        <f>IF(AND(Raw!N45,Raw!O45), "S/IS, D/O", IF(Raw!N45,"S/IS", IF(Raw!O45,"D/O","-")))</f>
        <v>S/IS</v>
      </c>
      <c r="J45" s="143" t="str">
        <f>Raw!L45</f>
        <v>Germany</v>
      </c>
      <c r="K45" s="144">
        <f>IF(Processed!BN45="NA","-",ROUND(Processed!BN45*100,0))</f>
        <v>94</v>
      </c>
      <c r="L45" s="143" t="str">
        <f>VLOOKUP(Raw!F45,T$2:U$4,2,FALSE)</f>
        <v>F</v>
      </c>
      <c r="M45" s="143" t="str">
        <f>CONCATENATE(IF(Processed!F45,"2S",""),IF(Processed!W45,",3",""),IF(Processed!AG45,",4",""),IF(Processed!AQ45,",2D",""))</f>
        <v>2S,4,2D</v>
      </c>
      <c r="N45" s="145">
        <f>IF(NOT(ISBLANK(Raw!AE45)), Raw!AE45, SUM(Raw!AL45:AT45))</f>
        <v>75</v>
      </c>
      <c r="O45" s="146" t="b">
        <f>COUNTIF(Raw!AV45:BK45, "&gt;=0") = 16</f>
        <v>1</v>
      </c>
      <c r="P45" s="146"/>
      <c r="Q45" s="146"/>
      <c r="R45" s="156"/>
      <c r="S45" s="146"/>
      <c r="T45" s="146"/>
      <c r="U45" s="146"/>
      <c r="V45" s="146" t="str">
        <f ca="1">IFERROR(__xludf.DUMMYFUNCTION("""COMPUTED_VALUE"""),"Jacobsen et al. (1997)")</f>
        <v>Jacobsen et al. (1997)</v>
      </c>
      <c r="W45" s="149" t="str">
        <f ca="1">IFERROR(__xludf.DUMMYFUNCTION("""COMPUTED_VALUE"""),"18/72")</f>
        <v>18/72</v>
      </c>
      <c r="X45" s="149" t="str">
        <f ca="1">IFERROR(__xludf.DUMMYFUNCTION("""COMPUTED_VALUE"""),"I-P")</f>
        <v>I-P</v>
      </c>
      <c r="Y45" s="149" t="str">
        <f ca="1">IFERROR(__xludf.DUMMYFUNCTION("""COMPUTED_VALUE"""),"A-MC")</f>
        <v>A-MC</v>
      </c>
      <c r="Z45" s="149" t="str">
        <f ca="1">IFERROR(__xludf.DUMMYFUNCTION("""COMPUTED_VALUE"""),"No")</f>
        <v>No</v>
      </c>
      <c r="AA45" s="149" t="str">
        <f ca="1">IFERROR(__xludf.DUMMYFUNCTION("""COMPUTED_VALUE"""),"No")</f>
        <v>No</v>
      </c>
      <c r="AB45" s="149" t="str">
        <f ca="1">IFERROR(__xludf.DUMMYFUNCTION("""COMPUTED_VALUE"""),"Yes")</f>
        <v>Yes</v>
      </c>
      <c r="AC45" s="149" t="str">
        <f ca="1">IFERROR(__xludf.DUMMYFUNCTION("""COMPUTED_VALUE"""),"S/IS")</f>
        <v>S/IS</v>
      </c>
      <c r="AD45" s="149" t="str">
        <f ca="1">IFERROR(__xludf.DUMMYFUNCTION("""COMPUTED_VALUE"""),"Germany")</f>
        <v>Germany</v>
      </c>
      <c r="AE45" s="150" t="str">
        <f ca="1">IFERROR(__xludf.DUMMYFUNCTION("""COMPUTED_VALUE"""),"")</f>
        <v/>
      </c>
      <c r="AF45" s="149" t="str">
        <f ca="1">IFERROR(__xludf.DUMMYFUNCTION("""COMPUTED_VALUE"""),"F")</f>
        <v>F</v>
      </c>
      <c r="AG45" s="149" t="str">
        <f ca="1">IFERROR(__xludf.DUMMYFUNCTION("""COMPUTED_VALUE"""),"2S")</f>
        <v>2S</v>
      </c>
      <c r="AH45" s="151">
        <f ca="1">IFERROR(__xludf.DUMMYFUNCTION("""COMPUTED_VALUE"""),32)</f>
        <v>32</v>
      </c>
      <c r="AI45" s="149"/>
      <c r="AJ45" s="149"/>
      <c r="AK45" s="149"/>
      <c r="AL45" s="149"/>
      <c r="AM45" s="149"/>
      <c r="AN45" s="149"/>
      <c r="AO45" s="149"/>
      <c r="AP45" s="149"/>
      <c r="AQ45" s="149"/>
      <c r="AR45" s="149"/>
    </row>
    <row r="46" spans="1:44" ht="12.3">
      <c r="A46" s="142"/>
      <c r="B46" s="142" t="str">
        <f>Raw!A46</f>
        <v>Rauh et al. (2000)</v>
      </c>
      <c r="C46" s="143" t="str">
        <f>CONCATENATE(ROUND(Raw!I46,0),"/",ROUND(Raw!J46,0))</f>
        <v>12/21</v>
      </c>
      <c r="D46" s="143" t="str">
        <f>VLOOKUP(Processed!E46,P$2:Q$10,2,FALSE)</f>
        <v>I-T</v>
      </c>
      <c r="E46" s="143" t="str">
        <f>VLOOKUP(Raw!M46,R$2:S$13,2,FALSE)</f>
        <v>MC-C</v>
      </c>
      <c r="F46" s="143" t="str">
        <f>IF(Raw!P46,"Yes","No")</f>
        <v>No</v>
      </c>
      <c r="G46" s="143" t="str">
        <f>IF(Raw!Q46,"Yes","No")</f>
        <v>No</v>
      </c>
      <c r="H46" s="143" t="str">
        <f>IF(Raw!T46,"Yes","No")</f>
        <v>Yes</v>
      </c>
      <c r="I46" s="143" t="str">
        <f>IF(AND(Raw!N46,Raw!O46), "S/IS, D/O", IF(Raw!N46,"S/IS", IF(Raw!O46,"D/O","-")))</f>
        <v>S/IS</v>
      </c>
      <c r="J46" s="143" t="str">
        <f>Raw!L46</f>
        <v>Germany</v>
      </c>
      <c r="K46" s="144">
        <f>IF(Processed!BN46="NA","-",ROUND(Processed!BN46*100,0))</f>
        <v>94</v>
      </c>
      <c r="L46" s="143" t="str">
        <f>VLOOKUP(Raw!F46,T$2:U$4,2,FALSE)</f>
        <v>F</v>
      </c>
      <c r="M46" s="143" t="str">
        <f>CONCATENATE(IF(Processed!F46,"2S",""),IF(Processed!W46,",3",""),IF(Processed!AG46,",4",""),IF(Processed!AQ46,",2D",""))</f>
        <v>2S,4,2D</v>
      </c>
      <c r="N46" s="145">
        <f>IF(NOT(ISBLANK(Raw!AE46)), Raw!AE46, SUM(Raw!AL46:AT46))</f>
        <v>75</v>
      </c>
      <c r="O46" s="146" t="b">
        <f>COUNTIF(Raw!AV46:BK46, "&gt;=0") = 16</f>
        <v>1</v>
      </c>
      <c r="P46" s="146"/>
      <c r="Q46" s="146"/>
      <c r="R46" s="156"/>
      <c r="S46" s="146"/>
      <c r="T46" s="146"/>
      <c r="U46" s="146"/>
      <c r="V46" s="146" t="str">
        <f ca="1">IFERROR(__xludf.DUMMYFUNCTION("""COMPUTED_VALUE"""),"Jacobsen et al. (2014)")</f>
        <v>Jacobsen et al. (2014)</v>
      </c>
      <c r="W46" s="149" t="str">
        <f ca="1">IFERROR(__xludf.DUMMYFUNCTION("""COMPUTED_VALUE"""),"23/36")</f>
        <v>23/36</v>
      </c>
      <c r="X46" s="149" t="str">
        <f ca="1">IFERROR(__xludf.DUMMYFUNCTION("""COMPUTED_VALUE"""),"T-P")</f>
        <v>T-P</v>
      </c>
      <c r="Y46" s="149" t="str">
        <f ca="1">IFERROR(__xludf.DUMMYFUNCTION("""COMPUTED_VALUE"""),"A-CM")</f>
        <v>A-CM</v>
      </c>
      <c r="Z46" s="149" t="str">
        <f ca="1">IFERROR(__xludf.DUMMYFUNCTION("""COMPUTED_VALUE"""),"Yes")</f>
        <v>Yes</v>
      </c>
      <c r="AA46" s="149" t="str">
        <f ca="1">IFERROR(__xludf.DUMMYFUNCTION("""COMPUTED_VALUE"""),"No")</f>
        <v>No</v>
      </c>
      <c r="AB46" s="149" t="str">
        <f ca="1">IFERROR(__xludf.DUMMYFUNCTION("""COMPUTED_VALUE"""),"Yes")</f>
        <v>Yes</v>
      </c>
      <c r="AC46" s="149" t="str">
        <f ca="1">IFERROR(__xludf.DUMMYFUNCTION("""COMPUTED_VALUE"""),"-")</f>
        <v>-</v>
      </c>
      <c r="AD46" s="149" t="str">
        <f ca="1">IFERROR(__xludf.DUMMYFUNCTION("""COMPUTED_VALUE"""),"Norway")</f>
        <v>Norway</v>
      </c>
      <c r="AE46" s="150">
        <f ca="1">IFERROR(__xludf.DUMMYFUNCTION("""COMPUTED_VALUE"""),82)</f>
        <v>82</v>
      </c>
      <c r="AF46" s="149" t="str">
        <f ca="1">IFERROR(__xludf.DUMMYFUNCTION("""COMPUTED_VALUE"""),"F")</f>
        <v>F</v>
      </c>
      <c r="AG46" s="149" t="str">
        <f ca="1">IFERROR(__xludf.DUMMYFUNCTION("""COMPUTED_VALUE"""),"2S")</f>
        <v>2S</v>
      </c>
      <c r="AH46" s="151">
        <f ca="1">IFERROR(__xludf.DUMMYFUNCTION("""COMPUTED_VALUE"""),55)</f>
        <v>55</v>
      </c>
      <c r="AI46" s="149"/>
      <c r="AJ46" s="149"/>
      <c r="AK46" s="149"/>
      <c r="AL46" s="149"/>
      <c r="AM46" s="149"/>
      <c r="AN46" s="149"/>
      <c r="AO46" s="149"/>
      <c r="AP46" s="149"/>
      <c r="AQ46" s="149"/>
      <c r="AR46" s="149"/>
    </row>
    <row r="47" spans="1:44" ht="12.3">
      <c r="A47" s="142"/>
      <c r="B47" s="142" t="str">
        <f>Raw!A47</f>
        <v>Rauh et al. (2000)</v>
      </c>
      <c r="C47" s="143" t="str">
        <f>CONCATENATE(ROUND(Raw!I47,0),"/",ROUND(Raw!J47,0))</f>
        <v>12/21</v>
      </c>
      <c r="D47" s="143" t="str">
        <f>VLOOKUP(Processed!E47,P$2:Q$10,2,FALSE)</f>
        <v>I-T</v>
      </c>
      <c r="E47" s="143" t="str">
        <f>VLOOKUP(Raw!M47,R$2:S$13,2,FALSE)</f>
        <v>A-CM</v>
      </c>
      <c r="F47" s="143" t="str">
        <f>IF(Raw!P47,"Yes","No")</f>
        <v>No</v>
      </c>
      <c r="G47" s="143" t="str">
        <f>IF(Raw!Q47,"Yes","No")</f>
        <v>No</v>
      </c>
      <c r="H47" s="143" t="str">
        <f>IF(Raw!T47,"Yes","No")</f>
        <v>Yes</v>
      </c>
      <c r="I47" s="143" t="str">
        <f>IF(AND(Raw!N47,Raw!O47), "S/IS, D/O", IF(Raw!N47,"S/IS", IF(Raw!O47,"D/O","-")))</f>
        <v>S/IS</v>
      </c>
      <c r="J47" s="143" t="str">
        <f>Raw!L47</f>
        <v>Germany</v>
      </c>
      <c r="K47" s="144">
        <f>IF(Processed!BN47="NA","-",ROUND(Processed!BN47*100,0))</f>
        <v>94</v>
      </c>
      <c r="L47" s="143" t="str">
        <f>VLOOKUP(Raw!F47,T$2:U$4,2,FALSE)</f>
        <v>F</v>
      </c>
      <c r="M47" s="143" t="str">
        <f>CONCATENATE(IF(Processed!F47,"2S",""),IF(Processed!W47,",3",""),IF(Processed!AG47,",4",""),IF(Processed!AQ47,",2D",""))</f>
        <v>2S,4,2D</v>
      </c>
      <c r="N47" s="145">
        <f>IF(NOT(ISBLANK(Raw!AE47)), Raw!AE47, SUM(Raw!AL47:AT47))</f>
        <v>75</v>
      </c>
      <c r="O47" s="146" t="b">
        <f>COUNTIF(Raw!AV47:BK47, "&gt;=0") = 16</f>
        <v>1</v>
      </c>
      <c r="P47" s="146"/>
      <c r="Q47" s="146"/>
      <c r="R47" s="156"/>
      <c r="S47" s="146"/>
      <c r="T47" s="146"/>
      <c r="U47" s="146"/>
      <c r="V47" s="146" t="str">
        <f ca="1">IFERROR(__xludf.DUMMYFUNCTION("""COMPUTED_VALUE"""),"Jacobsen et al. (2014)")</f>
        <v>Jacobsen et al. (2014)</v>
      </c>
      <c r="W47" s="149" t="str">
        <f ca="1">IFERROR(__xludf.DUMMYFUNCTION("""COMPUTED_VALUE"""),"23/36")</f>
        <v>23/36</v>
      </c>
      <c r="X47" s="149" t="str">
        <f ca="1">IFERROR(__xludf.DUMMYFUNCTION("""COMPUTED_VALUE"""),"T-P")</f>
        <v>T-P</v>
      </c>
      <c r="Y47" s="149" t="str">
        <f ca="1">IFERROR(__xludf.DUMMYFUNCTION("""COMPUTED_VALUE"""),"CM-CM")</f>
        <v>CM-CM</v>
      </c>
      <c r="Z47" s="149" t="str">
        <f ca="1">IFERROR(__xludf.DUMMYFUNCTION("""COMPUTED_VALUE"""),"No")</f>
        <v>No</v>
      </c>
      <c r="AA47" s="149" t="str">
        <f ca="1">IFERROR(__xludf.DUMMYFUNCTION("""COMPUTED_VALUE"""),"No")</f>
        <v>No</v>
      </c>
      <c r="AB47" s="149" t="str">
        <f ca="1">IFERROR(__xludf.DUMMYFUNCTION("""COMPUTED_VALUE"""),"Yes")</f>
        <v>Yes</v>
      </c>
      <c r="AC47" s="149" t="str">
        <f ca="1">IFERROR(__xludf.DUMMYFUNCTION("""COMPUTED_VALUE"""),"-")</f>
        <v>-</v>
      </c>
      <c r="AD47" s="149" t="str">
        <f ca="1">IFERROR(__xludf.DUMMYFUNCTION("""COMPUTED_VALUE"""),"Norway")</f>
        <v>Norway</v>
      </c>
      <c r="AE47" s="150">
        <f ca="1">IFERROR(__xludf.DUMMYFUNCTION("""COMPUTED_VALUE"""),82)</f>
        <v>82</v>
      </c>
      <c r="AF47" s="149" t="str">
        <f ca="1">IFERROR(__xludf.DUMMYFUNCTION("""COMPUTED_VALUE"""),"F")</f>
        <v>F</v>
      </c>
      <c r="AG47" s="149" t="str">
        <f ca="1">IFERROR(__xludf.DUMMYFUNCTION("""COMPUTED_VALUE"""),"2S")</f>
        <v>2S</v>
      </c>
      <c r="AH47" s="151">
        <f ca="1">IFERROR(__xludf.DUMMYFUNCTION("""COMPUTED_VALUE"""),40)</f>
        <v>40</v>
      </c>
      <c r="AI47" s="149"/>
      <c r="AJ47" s="149"/>
      <c r="AK47" s="149"/>
      <c r="AL47" s="149"/>
      <c r="AM47" s="149"/>
      <c r="AN47" s="149"/>
      <c r="AO47" s="149"/>
      <c r="AP47" s="149"/>
      <c r="AQ47" s="149"/>
      <c r="AR47" s="149"/>
    </row>
    <row r="48" spans="1:44" ht="12.3">
      <c r="A48" s="142"/>
      <c r="B48" s="142" t="str">
        <f>Raw!A48</f>
        <v xml:space="preserve">Seifer et al. (2004) </v>
      </c>
      <c r="C48" s="143" t="str">
        <f>CONCATENATE(ROUND(Raw!I48,0),"/",ROUND(Raw!J48,0))</f>
        <v>18/36</v>
      </c>
      <c r="D48" s="143" t="str">
        <f>VLOOKUP(Processed!E48,P$2:Q$10,2,FALSE)</f>
        <v>I-T</v>
      </c>
      <c r="E48" s="143" t="str">
        <f>VLOOKUP(Raw!M48,R$2:S$13,2,FALSE)</f>
        <v>A-CM</v>
      </c>
      <c r="F48" s="143" t="str">
        <f>IF(Raw!P48,"Yes","No")</f>
        <v>Yes</v>
      </c>
      <c r="G48" s="143" t="str">
        <f>IF(Raw!Q48,"Yes","No")</f>
        <v>No</v>
      </c>
      <c r="H48" s="143" t="str">
        <f>IF(Raw!T48,"Yes","No")</f>
        <v>Yes</v>
      </c>
      <c r="I48" s="143" t="str">
        <f>IF(AND(Raw!N48,Raw!O48), "S/IS, D/O", IF(Raw!N48,"S/IS", IF(Raw!O48,"D/O","-")))</f>
        <v>S/IS</v>
      </c>
      <c r="J48" s="143" t="str">
        <f>Raw!L48</f>
        <v>USA</v>
      </c>
      <c r="K48" s="144">
        <f>IF(Processed!BN48="NA","-",ROUND(Processed!BN48*100,0))</f>
        <v>90</v>
      </c>
      <c r="L48" s="143" t="str">
        <f>VLOOKUP(Raw!F48,T$2:U$4,2,FALSE)</f>
        <v>F</v>
      </c>
      <c r="M48" s="143" t="str">
        <f>CONCATENATE(IF(Processed!F48,"2S",""),IF(Processed!W48,",3",""),IF(Processed!AG48,",4",""),IF(Processed!AQ48,",2D",""))</f>
        <v>2S,4,2D</v>
      </c>
      <c r="N48" s="145">
        <f>IF(NOT(ISBLANK(Raw!AE48)), Raw!AE48, SUM(Raw!AL48:AT48))</f>
        <v>601</v>
      </c>
      <c r="O48" s="146" t="b">
        <f>COUNTIF(Raw!AV48:BK48, "&gt;=0") = 16</f>
        <v>1</v>
      </c>
      <c r="P48" s="146"/>
      <c r="Q48" s="146"/>
      <c r="R48" s="156"/>
      <c r="S48" s="146"/>
      <c r="T48" s="146"/>
      <c r="U48" s="146"/>
      <c r="V48" s="146" t="str">
        <f ca="1">IFERROR(__xludf.DUMMYFUNCTION("""COMPUTED_VALUE"""),"Korntheuer, Lissmann &amp; Lohaus (2010) ")</f>
        <v xml:space="preserve">Korntheuer, Lissmann &amp; Lohaus (2010) </v>
      </c>
      <c r="W48" s="149" t="str">
        <f ca="1">IFERROR(__xludf.DUMMYFUNCTION("""COMPUTED_VALUE"""),"12/24")</f>
        <v>12/24</v>
      </c>
      <c r="X48" s="149" t="str">
        <f ca="1">IFERROR(__xludf.DUMMYFUNCTION("""COMPUTED_VALUE"""),"I-T")</f>
        <v>I-T</v>
      </c>
      <c r="Y48" s="149" t="str">
        <f ca="1">IFERROR(__xludf.DUMMYFUNCTION("""COMPUTED_VALUE"""),"A-G")</f>
        <v>A-G</v>
      </c>
      <c r="Z48" s="149" t="str">
        <f ca="1">IFERROR(__xludf.DUMMYFUNCTION("""COMPUTED_VALUE"""),"No")</f>
        <v>No</v>
      </c>
      <c r="AA48" s="149" t="str">
        <f ca="1">IFERROR(__xludf.DUMMYFUNCTION("""COMPUTED_VALUE"""),"No")</f>
        <v>No</v>
      </c>
      <c r="AB48" s="149" t="str">
        <f ca="1">IFERROR(__xludf.DUMMYFUNCTION("""COMPUTED_VALUE"""),"Yes")</f>
        <v>Yes</v>
      </c>
      <c r="AC48" s="149" t="str">
        <f ca="1">IFERROR(__xludf.DUMMYFUNCTION("""COMPUTED_VALUE"""),"S/IS")</f>
        <v>S/IS</v>
      </c>
      <c r="AD48" s="149" t="str">
        <f ca="1">IFERROR(__xludf.DUMMYFUNCTION("""COMPUTED_VALUE"""),"Germany")</f>
        <v>Germany</v>
      </c>
      <c r="AE48" s="150" t="str">
        <f ca="1">IFERROR(__xludf.DUMMYFUNCTION("""COMPUTED_VALUE"""),"")</f>
        <v/>
      </c>
      <c r="AF48" s="149" t="str">
        <f ca="1">IFERROR(__xludf.DUMMYFUNCTION("""COMPUTED_VALUE"""),"F")</f>
        <v>F</v>
      </c>
      <c r="AG48" s="149" t="str">
        <f ca="1">IFERROR(__xludf.DUMMYFUNCTION("""COMPUTED_VALUE"""),"2S")</f>
        <v>2S</v>
      </c>
      <c r="AH48" s="151">
        <f ca="1">IFERROR(__xludf.DUMMYFUNCTION("""COMPUTED_VALUE"""),81)</f>
        <v>81</v>
      </c>
      <c r="AI48" s="149"/>
      <c r="AJ48" s="149"/>
      <c r="AK48" s="149"/>
      <c r="AL48" s="149"/>
      <c r="AM48" s="149"/>
      <c r="AN48" s="149"/>
      <c r="AO48" s="149"/>
      <c r="AP48" s="149"/>
      <c r="AQ48" s="149"/>
      <c r="AR48" s="149"/>
    </row>
    <row r="49" spans="1:44" ht="12.3">
      <c r="A49" s="142"/>
      <c r="B49" s="142" t="str">
        <f>Raw!A49</f>
        <v>Steele, Steele &amp; Fonagy (1996)</v>
      </c>
      <c r="C49" s="143" t="str">
        <f>CONCATENATE(ROUND(Raw!I49,0),"/",ROUND(Raw!J49,0))</f>
        <v>12/60</v>
      </c>
      <c r="D49" s="143" t="str">
        <f>VLOOKUP(Processed!E49,P$2:Q$10,2,FALSE)</f>
        <v>I-P</v>
      </c>
      <c r="E49" s="143" t="str">
        <f>VLOOKUP(Raw!M49,R$2:S$13,2,FALSE)</f>
        <v>A-CM</v>
      </c>
      <c r="F49" s="143" t="str">
        <f>IF(Raw!P49,"Yes","No")</f>
        <v>No</v>
      </c>
      <c r="G49" s="143" t="str">
        <f>IF(Raw!Q49,"Yes","No")</f>
        <v>No</v>
      </c>
      <c r="H49" s="143" t="str">
        <f>IF(Raw!T49,"Yes","No")</f>
        <v>No</v>
      </c>
      <c r="I49" s="143" t="str">
        <f>IF(AND(Raw!N49,Raw!O49), "S/IS, D/O", IF(Raw!N49,"S/IS", IF(Raw!O49,"D/O","-")))</f>
        <v>D/O</v>
      </c>
      <c r="J49" s="143" t="str">
        <f>Raw!L49</f>
        <v>UK</v>
      </c>
      <c r="K49" s="144">
        <f>IF(Processed!BN49="NA","-",ROUND(Processed!BN49*100,0))</f>
        <v>91</v>
      </c>
      <c r="L49" s="143" t="str">
        <f>VLOOKUP(Raw!F49,T$2:U$4,2,FALSE)</f>
        <v>F</v>
      </c>
      <c r="M49" s="143" t="str">
        <f>CONCATENATE(IF(Processed!F49,"2S",""),IF(Processed!W49,",3",""),IF(Processed!AG49,",4",""),IF(Processed!AQ49,",2D",""))</f>
        <v>2S,4,2D</v>
      </c>
      <c r="N49" s="145">
        <f>IF(NOT(ISBLANK(Raw!AE49)), Raw!AE49, SUM(Raw!AL49:AT49))</f>
        <v>88</v>
      </c>
      <c r="O49" s="146" t="b">
        <f>COUNTIF(Raw!AV49:BK49, "&gt;=0") = 16</f>
        <v>1</v>
      </c>
      <c r="P49" s="146"/>
      <c r="Q49" s="146"/>
      <c r="R49" s="156"/>
      <c r="S49" s="146"/>
      <c r="T49" s="146"/>
      <c r="U49" s="146"/>
      <c r="V49" s="146" t="str">
        <f ca="1">IFERROR(__xludf.DUMMYFUNCTION("""COMPUTED_VALUE"""),"Kreppner et al. (2011)")</f>
        <v>Kreppner et al. (2011)</v>
      </c>
      <c r="W49" s="149" t="str">
        <f ca="1">IFERROR(__xludf.DUMMYFUNCTION("""COMPUTED_VALUE"""),"48/72")</f>
        <v>48/72</v>
      </c>
      <c r="X49" s="149" t="str">
        <f ca="1">IFERROR(__xludf.DUMMYFUNCTION("""COMPUTED_VALUE"""),"P-P")</f>
        <v>P-P</v>
      </c>
      <c r="Y49" s="149" t="str">
        <f ca="1">IFERROR(__xludf.DUMMYFUNCTION("""COMPUTED_VALUE"""),"CM-CM")</f>
        <v>CM-CM</v>
      </c>
      <c r="Z49" s="149" t="str">
        <f ca="1">IFERROR(__xludf.DUMMYFUNCTION("""COMPUTED_VALUE"""),"No")</f>
        <v>No</v>
      </c>
      <c r="AA49" s="149" t="str">
        <f ca="1">IFERROR(__xludf.DUMMYFUNCTION("""COMPUTED_VALUE"""),"No")</f>
        <v>No</v>
      </c>
      <c r="AB49" s="149" t="str">
        <f ca="1">IFERROR(__xludf.DUMMYFUNCTION("""COMPUTED_VALUE"""),"Yes")</f>
        <v>Yes</v>
      </c>
      <c r="AC49" s="149" t="str">
        <f ca="1">IFERROR(__xludf.DUMMYFUNCTION("""COMPUTED_VALUE"""),"-")</f>
        <v>-</v>
      </c>
      <c r="AD49" s="149" t="str">
        <f ca="1">IFERROR(__xludf.DUMMYFUNCTION("""COMPUTED_VALUE"""),"UK")</f>
        <v>UK</v>
      </c>
      <c r="AE49" s="150">
        <f ca="1">IFERROR(__xludf.DUMMYFUNCTION("""COMPUTED_VALUE"""),82)</f>
        <v>82</v>
      </c>
      <c r="AF49" s="149" t="str">
        <f ca="1">IFERROR(__xludf.DUMMYFUNCTION("""COMPUTED_VALUE"""),"F")</f>
        <v>F</v>
      </c>
      <c r="AG49" s="149" t="str">
        <f ca="1">IFERROR(__xludf.DUMMYFUNCTION("""COMPUTED_VALUE"""),"2S,4,2D")</f>
        <v>2S,4,2D</v>
      </c>
      <c r="AH49" s="151">
        <f ca="1">IFERROR(__xludf.DUMMYFUNCTION("""COMPUTED_VALUE"""),106)</f>
        <v>106</v>
      </c>
      <c r="AI49" s="149"/>
      <c r="AJ49" s="149"/>
      <c r="AK49" s="149"/>
      <c r="AL49" s="149"/>
      <c r="AM49" s="149"/>
      <c r="AN49" s="149"/>
      <c r="AO49" s="149"/>
      <c r="AP49" s="149"/>
      <c r="AQ49" s="149"/>
      <c r="AR49" s="149"/>
    </row>
    <row r="50" spans="1:44" ht="12.3">
      <c r="A50" s="142"/>
      <c r="B50" s="142" t="str">
        <f>Raw!A50</f>
        <v>Steele, Steele &amp; Fonagy (1996)</v>
      </c>
      <c r="C50" s="143" t="str">
        <f>CONCATENATE(ROUND(Raw!I50,0),"/",ROUND(Raw!J50,0))</f>
        <v>12/72</v>
      </c>
      <c r="D50" s="143" t="str">
        <f>VLOOKUP(Processed!E50,P$2:Q$10,2,FALSE)</f>
        <v>I-P</v>
      </c>
      <c r="E50" s="143" t="str">
        <f>VLOOKUP(Raw!M50,R$2:S$13,2,FALSE)</f>
        <v>A-CM</v>
      </c>
      <c r="F50" s="143" t="str">
        <f>IF(Raw!P50,"Yes","No")</f>
        <v>No</v>
      </c>
      <c r="G50" s="143" t="str">
        <f>IF(Raw!Q50,"Yes","No")</f>
        <v>No</v>
      </c>
      <c r="H50" s="143" t="str">
        <f>IF(Raw!T50,"Yes","No")</f>
        <v>No</v>
      </c>
      <c r="I50" s="143" t="str">
        <f>IF(AND(Raw!N50,Raw!O50), "S/IS, D/O", IF(Raw!N50,"S/IS", IF(Raw!O50,"D/O","-")))</f>
        <v>D/O</v>
      </c>
      <c r="J50" s="143" t="str">
        <f>Raw!L50</f>
        <v>UK</v>
      </c>
      <c r="K50" s="144">
        <f>IF(Processed!BN50="NA","-",ROUND(Processed!BN50*100,0))</f>
        <v>91</v>
      </c>
      <c r="L50" s="143" t="str">
        <f>VLOOKUP(Raw!F50,T$2:U$4,2,FALSE)</f>
        <v>M</v>
      </c>
      <c r="M50" s="143" t="str">
        <f>CONCATENATE(IF(Processed!F50,"2S",""),IF(Processed!W50,",3",""),IF(Processed!AG50,",4",""),IF(Processed!AQ50,",2D",""))</f>
        <v>2S,4,2D</v>
      </c>
      <c r="N50" s="145">
        <f>IF(NOT(ISBLANK(Raw!AE50)), Raw!AE50, SUM(Raw!AL50:AT50))</f>
        <v>68</v>
      </c>
      <c r="O50" s="146" t="b">
        <f>COUNTIF(Raw!AV50:BK50, "&gt;=0") = 16</f>
        <v>1</v>
      </c>
      <c r="P50" s="146"/>
      <c r="Q50" s="146"/>
      <c r="R50" s="156"/>
      <c r="S50" s="146"/>
      <c r="T50" s="146"/>
      <c r="U50" s="146"/>
      <c r="V50" s="146" t="str">
        <f ca="1">IFERROR(__xludf.DUMMYFUNCTION("""COMPUTED_VALUE"""),"Kreppner et al. (2011)")</f>
        <v>Kreppner et al. (2011)</v>
      </c>
      <c r="W50" s="149" t="str">
        <f ca="1">IFERROR(__xludf.DUMMYFUNCTION("""COMPUTED_VALUE"""),"48/72")</f>
        <v>48/72</v>
      </c>
      <c r="X50" s="149" t="str">
        <f ca="1">IFERROR(__xludf.DUMMYFUNCTION("""COMPUTED_VALUE"""),"P-P")</f>
        <v>P-P</v>
      </c>
      <c r="Y50" s="149" t="str">
        <f ca="1">IFERROR(__xludf.DUMMYFUNCTION("""COMPUTED_VALUE"""),"CM-CM")</f>
        <v>CM-CM</v>
      </c>
      <c r="Z50" s="149" t="str">
        <f ca="1">IFERROR(__xludf.DUMMYFUNCTION("""COMPUTED_VALUE"""),"Yes")</f>
        <v>Yes</v>
      </c>
      <c r="AA50" s="149" t="str">
        <f ca="1">IFERROR(__xludf.DUMMYFUNCTION("""COMPUTED_VALUE"""),"No")</f>
        <v>No</v>
      </c>
      <c r="AB50" s="149" t="str">
        <f ca="1">IFERROR(__xludf.DUMMYFUNCTION("""COMPUTED_VALUE"""),"Yes")</f>
        <v>Yes</v>
      </c>
      <c r="AC50" s="149" t="str">
        <f ca="1">IFERROR(__xludf.DUMMYFUNCTION("""COMPUTED_VALUE"""),"-")</f>
        <v>-</v>
      </c>
      <c r="AD50" s="149" t="str">
        <f ca="1">IFERROR(__xludf.DUMMYFUNCTION("""COMPUTED_VALUE"""),"Romania")</f>
        <v>Romania</v>
      </c>
      <c r="AE50" s="150">
        <f ca="1">IFERROR(__xludf.DUMMYFUNCTION("""COMPUTED_VALUE"""),81)</f>
        <v>81</v>
      </c>
      <c r="AF50" s="149" t="str">
        <f ca="1">IFERROR(__xludf.DUMMYFUNCTION("""COMPUTED_VALUE"""),"F")</f>
        <v>F</v>
      </c>
      <c r="AG50" s="149" t="str">
        <f ca="1">IFERROR(__xludf.DUMMYFUNCTION("""COMPUTED_VALUE"""),"2S,4,2D")</f>
        <v>2S,4,2D</v>
      </c>
      <c r="AH50" s="151">
        <f ca="1">IFERROR(__xludf.DUMMYFUNCTION("""COMPUTED_VALUE"""),31)</f>
        <v>31</v>
      </c>
      <c r="AI50" s="149"/>
      <c r="AJ50" s="149"/>
      <c r="AK50" s="149"/>
      <c r="AL50" s="149"/>
      <c r="AM50" s="149"/>
      <c r="AN50" s="149"/>
      <c r="AO50" s="149"/>
      <c r="AP50" s="149"/>
      <c r="AQ50" s="149"/>
      <c r="AR50" s="149"/>
    </row>
    <row r="51" spans="1:44" ht="21">
      <c r="A51" s="142"/>
      <c r="B51" s="142" t="str">
        <f>Raw!A51</f>
        <v>Stevenson-Hinde &amp; Shouldice (1990)</v>
      </c>
      <c r="C51" s="143" t="str">
        <f>CONCATENATE(ROUND(Raw!I51,0),"/",ROUND(Raw!J51,0))</f>
        <v>30/54</v>
      </c>
      <c r="D51" s="143" t="str">
        <f>VLOOKUP(Processed!E51,P$2:Q$10,2,FALSE)</f>
        <v>T-P</v>
      </c>
      <c r="E51" s="143" t="str">
        <f>VLOOKUP(Raw!M51,R$2:S$13,2,FALSE)</f>
        <v>A-CM</v>
      </c>
      <c r="F51" s="143" t="str">
        <f>IF(Raw!P51,"Yes","No")</f>
        <v>No</v>
      </c>
      <c r="G51" s="143" t="str">
        <f>IF(Raw!Q51,"Yes","No")</f>
        <v>No</v>
      </c>
      <c r="H51" s="143" t="str">
        <f>IF(Raw!T51,"Yes","No")</f>
        <v>Yes</v>
      </c>
      <c r="I51" s="143" t="str">
        <f>IF(AND(Raw!N51,Raw!O51), "S/IS, D/O", IF(Raw!N51,"S/IS", IF(Raw!O51,"D/O","-")))</f>
        <v>S/IS</v>
      </c>
      <c r="J51" s="143" t="str">
        <f>Raw!L51</f>
        <v>UK</v>
      </c>
      <c r="K51" s="144">
        <f>IF(Processed!BN51="NA","-",ROUND(Processed!BN51*100,0))</f>
        <v>88</v>
      </c>
      <c r="L51" s="143" t="str">
        <f>VLOOKUP(Raw!F51,T$2:U$4,2,FALSE)</f>
        <v>F</v>
      </c>
      <c r="M51" s="143" t="str">
        <f>CONCATENATE(IF(Processed!F51,"2S",""),IF(Processed!W51,",3",""),IF(Processed!AG51,",4",""),IF(Processed!AQ51,",2D",""))</f>
        <v>2S,4,2D</v>
      </c>
      <c r="N51" s="145">
        <f>IF(NOT(ISBLANK(Raw!AE51)), Raw!AE51, SUM(Raw!AL51:AT51))</f>
        <v>72</v>
      </c>
      <c r="O51" s="146" t="b">
        <f>COUNTIF(Raw!AV51:BK51, "&gt;=0") = 16</f>
        <v>1</v>
      </c>
      <c r="P51" s="146"/>
      <c r="Q51" s="146"/>
      <c r="R51" s="156"/>
      <c r="S51" s="146"/>
      <c r="T51" s="146"/>
      <c r="U51" s="146"/>
      <c r="V51" s="146" t="str">
        <f ca="1">IFERROR(__xludf.DUMMYFUNCTION("""COMPUTED_VALUE"""),"Levendosky et al. (2011)")</f>
        <v>Levendosky et al. (2011)</v>
      </c>
      <c r="W51" s="149" t="str">
        <f ca="1">IFERROR(__xludf.DUMMYFUNCTION("""COMPUTED_VALUE"""),"12/48")</f>
        <v>12/48</v>
      </c>
      <c r="X51" s="149" t="str">
        <f ca="1">IFERROR(__xludf.DUMMYFUNCTION("""COMPUTED_VALUE"""),"I-P")</f>
        <v>I-P</v>
      </c>
      <c r="Y51" s="149" t="str">
        <f ca="1">IFERROR(__xludf.DUMMYFUNCTION("""COMPUTED_VALUE"""),"A-CM")</f>
        <v>A-CM</v>
      </c>
      <c r="Z51" s="149" t="str">
        <f ca="1">IFERROR(__xludf.DUMMYFUNCTION("""COMPUTED_VALUE"""),"Yes")</f>
        <v>Yes</v>
      </c>
      <c r="AA51" s="149" t="str">
        <f ca="1">IFERROR(__xludf.DUMMYFUNCTION("""COMPUTED_VALUE"""),"No")</f>
        <v>No</v>
      </c>
      <c r="AB51" s="149" t="str">
        <f ca="1">IFERROR(__xludf.DUMMYFUNCTION("""COMPUTED_VALUE"""),"Yes")</f>
        <v>Yes</v>
      </c>
      <c r="AC51" s="149" t="str">
        <f ca="1">IFERROR(__xludf.DUMMYFUNCTION("""COMPUTED_VALUE"""),"S/IS")</f>
        <v>S/IS</v>
      </c>
      <c r="AD51" s="149" t="str">
        <f ca="1">IFERROR(__xludf.DUMMYFUNCTION("""COMPUTED_VALUE"""),"USA")</f>
        <v>USA</v>
      </c>
      <c r="AE51" s="150">
        <f ca="1">IFERROR(__xludf.DUMMYFUNCTION("""COMPUTED_VALUE"""),83)</f>
        <v>83</v>
      </c>
      <c r="AF51" s="149" t="str">
        <f ca="1">IFERROR(__xludf.DUMMYFUNCTION("""COMPUTED_VALUE"""),"F")</f>
        <v>F</v>
      </c>
      <c r="AG51" s="149" t="str">
        <f ca="1">IFERROR(__xludf.DUMMYFUNCTION("""COMPUTED_VALUE"""),"2S,4,2D")</f>
        <v>2S,4,2D</v>
      </c>
      <c r="AH51" s="151">
        <f ca="1">IFERROR(__xludf.DUMMYFUNCTION("""COMPUTED_VALUE"""),150)</f>
        <v>150</v>
      </c>
      <c r="AI51" s="149"/>
      <c r="AJ51" s="149"/>
      <c r="AK51" s="149"/>
      <c r="AL51" s="149"/>
      <c r="AM51" s="149"/>
      <c r="AN51" s="149"/>
      <c r="AO51" s="149"/>
      <c r="AP51" s="149"/>
      <c r="AQ51" s="149"/>
      <c r="AR51" s="149"/>
    </row>
    <row r="52" spans="1:44" ht="12.3">
      <c r="A52" s="142"/>
      <c r="B52" s="142" t="str">
        <f>Raw!A52</f>
        <v xml:space="preserve">Takahashi (1990) </v>
      </c>
      <c r="C52" s="143" t="str">
        <f>CONCATENATE(ROUND(Raw!I52,0),"/",ROUND(Raw!J52,0))</f>
        <v>12/23</v>
      </c>
      <c r="D52" s="143" t="str">
        <f>VLOOKUP(Processed!E52,P$2:Q$10,2,FALSE)</f>
        <v>I-T</v>
      </c>
      <c r="E52" s="143" t="str">
        <f>VLOOKUP(Raw!M52,R$2:S$13,2,FALSE)</f>
        <v>A-A</v>
      </c>
      <c r="F52" s="143" t="str">
        <f>IF(Raw!P52,"Yes","No")</f>
        <v>No</v>
      </c>
      <c r="G52" s="143" t="str">
        <f>IF(Raw!Q52,"Yes","No")</f>
        <v>No</v>
      </c>
      <c r="H52" s="143" t="str">
        <f>IF(Raw!T52,"Yes","No")</f>
        <v>Yes</v>
      </c>
      <c r="I52" s="143" t="str">
        <f>IF(AND(Raw!N52,Raw!O52), "S/IS, D/O", IF(Raw!N52,"S/IS", IF(Raw!O52,"D/O","-")))</f>
        <v>S/IS</v>
      </c>
      <c r="J52" s="143" t="str">
        <f>Raw!L52</f>
        <v>Japan</v>
      </c>
      <c r="K52" s="144" t="str">
        <f>IF(Processed!BN52="NA","-",ROUND(Processed!BN52*100,0))</f>
        <v>-</v>
      </c>
      <c r="L52" s="143" t="str">
        <f>VLOOKUP(Raw!F52,T$2:U$4,2,FALSE)</f>
        <v>F</v>
      </c>
      <c r="M52" s="143" t="str">
        <f>CONCATENATE(IF(Processed!F52,"2S",""),IF(Processed!W52,",3",""),IF(Processed!AG52,",4",""),IF(Processed!AQ52,",2D",""))</f>
        <v>2S</v>
      </c>
      <c r="N52" s="145">
        <f>IF(NOT(ISBLANK(Raw!AE52)), Raw!AE52, SUM(Raw!AL52:AT52))</f>
        <v>60</v>
      </c>
      <c r="O52" s="146" t="b">
        <f>COUNTIF(Raw!AV52:BK52, "&gt;=0") = 16</f>
        <v>0</v>
      </c>
      <c r="P52" s="146"/>
      <c r="Q52" s="146"/>
      <c r="R52" s="156"/>
      <c r="S52" s="146"/>
      <c r="T52" s="146"/>
      <c r="U52" s="146"/>
      <c r="V52" s="146" t="str">
        <f ca="1">IFERROR(__xludf.DUMMYFUNCTION("""COMPUTED_VALUE"""),"Lounds et al. (2005)")</f>
        <v>Lounds et al. (2005)</v>
      </c>
      <c r="W52" s="149" t="str">
        <f ca="1">IFERROR(__xludf.DUMMYFUNCTION("""COMPUTED_VALUE"""),"12/60")</f>
        <v>12/60</v>
      </c>
      <c r="X52" s="149" t="str">
        <f ca="1">IFERROR(__xludf.DUMMYFUNCTION("""COMPUTED_VALUE"""),"I-P")</f>
        <v>I-P</v>
      </c>
      <c r="Y52" s="149" t="str">
        <f ca="1">IFERROR(__xludf.DUMMYFUNCTION("""COMPUTED_VALUE"""),"A-CM")</f>
        <v>A-CM</v>
      </c>
      <c r="Z52" s="149" t="str">
        <f ca="1">IFERROR(__xludf.DUMMYFUNCTION("""COMPUTED_VALUE"""),"Yes")</f>
        <v>Yes</v>
      </c>
      <c r="AA52" s="149" t="str">
        <f ca="1">IFERROR(__xludf.DUMMYFUNCTION("""COMPUTED_VALUE"""),"No")</f>
        <v>No</v>
      </c>
      <c r="AB52" s="149" t="str">
        <f ca="1">IFERROR(__xludf.DUMMYFUNCTION("""COMPUTED_VALUE"""),"Yes")</f>
        <v>Yes</v>
      </c>
      <c r="AC52" s="149" t="str">
        <f ca="1">IFERROR(__xludf.DUMMYFUNCTION("""COMPUTED_VALUE"""),"S/IS")</f>
        <v>S/IS</v>
      </c>
      <c r="AD52" s="149" t="str">
        <f ca="1">IFERROR(__xludf.DUMMYFUNCTION("""COMPUTED_VALUE"""),"USA")</f>
        <v>USA</v>
      </c>
      <c r="AE52" s="150" t="str">
        <f ca="1">IFERROR(__xludf.DUMMYFUNCTION("""COMPUTED_VALUE"""),"")</f>
        <v/>
      </c>
      <c r="AF52" s="149" t="str">
        <f ca="1">IFERROR(__xludf.DUMMYFUNCTION("""COMPUTED_VALUE"""),"F")</f>
        <v>F</v>
      </c>
      <c r="AG52" s="149" t="str">
        <f ca="1">IFERROR(__xludf.DUMMYFUNCTION("""COMPUTED_VALUE"""),"2S")</f>
        <v>2S</v>
      </c>
      <c r="AH52" s="151">
        <f ca="1">IFERROR(__xludf.DUMMYFUNCTION("""COMPUTED_VALUE"""),78)</f>
        <v>78</v>
      </c>
      <c r="AI52" s="149"/>
      <c r="AJ52" s="149"/>
      <c r="AK52" s="149"/>
      <c r="AL52" s="149"/>
      <c r="AM52" s="149"/>
      <c r="AN52" s="149"/>
      <c r="AO52" s="149"/>
      <c r="AP52" s="149"/>
      <c r="AQ52" s="149"/>
      <c r="AR52" s="149"/>
    </row>
    <row r="53" spans="1:44" ht="12.3">
      <c r="A53" s="142"/>
      <c r="B53" s="142" t="str">
        <f>Raw!A53</f>
        <v xml:space="preserve">Wartner et al. (1994) </v>
      </c>
      <c r="C53" s="143" t="str">
        <f>CONCATENATE(ROUND(Raw!I53,0),"/",ROUND(Raw!J53,0))</f>
        <v>15/72</v>
      </c>
      <c r="D53" s="143" t="str">
        <f>VLOOKUP(Processed!E53,P$2:Q$10,2,FALSE)</f>
        <v>I-P</v>
      </c>
      <c r="E53" s="143" t="str">
        <f>VLOOKUP(Raw!M53,R$2:S$13,2,FALSE)</f>
        <v>A-MC</v>
      </c>
      <c r="F53" s="143" t="str">
        <f>IF(Raw!P53,"Yes","No")</f>
        <v>No</v>
      </c>
      <c r="G53" s="143" t="str">
        <f>IF(Raw!Q53,"Yes","No")</f>
        <v>No</v>
      </c>
      <c r="H53" s="143" t="str">
        <f>IF(Raw!T53,"Yes","No")</f>
        <v>Yes</v>
      </c>
      <c r="I53" s="143" t="str">
        <f>IF(AND(Raw!N53,Raw!O53), "S/IS, D/O", IF(Raw!N53,"S/IS", IF(Raw!O53,"D/O","-")))</f>
        <v>D/O</v>
      </c>
      <c r="J53" s="143" t="str">
        <f>Raw!L53</f>
        <v>Germany</v>
      </c>
      <c r="K53" s="144">
        <f>IF(Processed!BN53="NA","-",ROUND(Processed!BN53*100,0))</f>
        <v>97</v>
      </c>
      <c r="L53" s="143" t="str">
        <f>VLOOKUP(Raw!F53,T$2:U$4,2,FALSE)</f>
        <v>F</v>
      </c>
      <c r="M53" s="143" t="str">
        <f>CONCATENATE(IF(Processed!F53,"2S",""),IF(Processed!W53,",3",""),IF(Processed!AG53,",4",""),IF(Processed!AQ53,",2D",""))</f>
        <v>2S,3,4,2D</v>
      </c>
      <c r="N53" s="145">
        <f>IF(NOT(ISBLANK(Raw!AE53)), Raw!AE53, SUM(Raw!AL53:AT53))</f>
        <v>39</v>
      </c>
      <c r="O53" s="146" t="b">
        <f>COUNTIF(Raw!AV53:BK53, "&gt;=0") = 16</f>
        <v>1</v>
      </c>
      <c r="P53" s="146"/>
      <c r="Q53" s="146"/>
      <c r="R53" s="156"/>
      <c r="S53" s="146"/>
      <c r="T53" s="146"/>
      <c r="U53" s="146"/>
      <c r="V53" s="146" t="str">
        <f ca="1">IFERROR(__xludf.DUMMYFUNCTION("""COMPUTED_VALUE"""),"Lyons-Ruth et al. (1991)")</f>
        <v>Lyons-Ruth et al. (1991)</v>
      </c>
      <c r="W53" s="149" t="str">
        <f ca="1">IFERROR(__xludf.DUMMYFUNCTION("""COMPUTED_VALUE"""),"12/18")</f>
        <v>12/18</v>
      </c>
      <c r="X53" s="149" t="str">
        <f ca="1">IFERROR(__xludf.DUMMYFUNCTION("""COMPUTED_VALUE"""),"I-I")</f>
        <v>I-I</v>
      </c>
      <c r="Y53" s="149" t="str">
        <f ca="1">IFERROR(__xludf.DUMMYFUNCTION("""COMPUTED_VALUE"""),"A-A")</f>
        <v>A-A</v>
      </c>
      <c r="Z53" s="149" t="str">
        <f ca="1">IFERROR(__xludf.DUMMYFUNCTION("""COMPUTED_VALUE"""),"Yes")</f>
        <v>Yes</v>
      </c>
      <c r="AA53" s="149" t="str">
        <f ca="1">IFERROR(__xludf.DUMMYFUNCTION("""COMPUTED_VALUE"""),"No")</f>
        <v>No</v>
      </c>
      <c r="AB53" s="149" t="str">
        <f ca="1">IFERROR(__xludf.DUMMYFUNCTION("""COMPUTED_VALUE"""),"Yes")</f>
        <v>Yes</v>
      </c>
      <c r="AC53" s="149" t="str">
        <f ca="1">IFERROR(__xludf.DUMMYFUNCTION("""COMPUTED_VALUE"""),"S/IS, D/O")</f>
        <v>S/IS, D/O</v>
      </c>
      <c r="AD53" s="149" t="str">
        <f ca="1">IFERROR(__xludf.DUMMYFUNCTION("""COMPUTED_VALUE"""),"USA")</f>
        <v>USA</v>
      </c>
      <c r="AE53" s="150">
        <f ca="1">IFERROR(__xludf.DUMMYFUNCTION("""COMPUTED_VALUE"""),86)</f>
        <v>86</v>
      </c>
      <c r="AF53" s="149" t="str">
        <f ca="1">IFERROR(__xludf.DUMMYFUNCTION("""COMPUTED_VALUE"""),"F")</f>
        <v>F</v>
      </c>
      <c r="AG53" s="149" t="str">
        <f ca="1">IFERROR(__xludf.DUMMYFUNCTION("""COMPUTED_VALUE"""),"2S")</f>
        <v>2S</v>
      </c>
      <c r="AH53" s="151">
        <f ca="1">IFERROR(__xludf.DUMMYFUNCTION("""COMPUTED_VALUE"""),46)</f>
        <v>46</v>
      </c>
      <c r="AI53" s="149"/>
      <c r="AJ53" s="149"/>
      <c r="AK53" s="149"/>
      <c r="AL53" s="149"/>
      <c r="AM53" s="149"/>
      <c r="AN53" s="149"/>
      <c r="AO53" s="149"/>
      <c r="AP53" s="149"/>
      <c r="AQ53" s="149"/>
      <c r="AR53" s="149"/>
    </row>
    <row r="54" spans="1:44" ht="12.3">
      <c r="A54" s="142"/>
      <c r="B54" s="142" t="str">
        <f>Raw!A54</f>
        <v>Waters &amp; Valenzuela (1999)</v>
      </c>
      <c r="C54" s="143" t="str">
        <f>CONCATENATE(ROUND(Raw!I54,0),"/",ROUND(Raw!J54,0))</f>
        <v>18/28</v>
      </c>
      <c r="D54" s="143" t="str">
        <f>VLOOKUP(Processed!E54,P$2:Q$10,2,FALSE)</f>
        <v>I-T</v>
      </c>
      <c r="E54" s="143" t="str">
        <f>VLOOKUP(Raw!M54,R$2:S$13,2,FALSE)</f>
        <v>A-A</v>
      </c>
      <c r="F54" s="143" t="str">
        <f>IF(Raw!P54,"Yes","No")</f>
        <v>Yes</v>
      </c>
      <c r="G54" s="143" t="str">
        <f>IF(Raw!Q54,"Yes","No")</f>
        <v>No</v>
      </c>
      <c r="H54" s="143" t="str">
        <f>IF(Raw!T54,"Yes","No")</f>
        <v>Yes</v>
      </c>
      <c r="I54" s="143" t="str">
        <f>IF(AND(Raw!N54,Raw!O54), "S/IS, D/O", IF(Raw!N54,"S/IS", IF(Raw!O54,"D/O","-")))</f>
        <v>-</v>
      </c>
      <c r="J54" s="143" t="str">
        <f>Raw!L54</f>
        <v>Chile</v>
      </c>
      <c r="K54" s="144">
        <f>IF(Processed!BN54="NA","-",ROUND(Processed!BN54*100,0))</f>
        <v>86</v>
      </c>
      <c r="L54" s="143" t="str">
        <f>VLOOKUP(Raw!F54,T$2:U$4,2,FALSE)</f>
        <v>F</v>
      </c>
      <c r="M54" s="143" t="str">
        <f>CONCATENATE(IF(Processed!F54,"2S",""),IF(Processed!W54,",3",""),IF(Processed!AG54,",4",""),IF(Processed!AQ54,",2D",""))</f>
        <v>2S,4,2D</v>
      </c>
      <c r="N54" s="145">
        <f>IF(NOT(ISBLANK(Raw!AE54)), Raw!AE54, SUM(Raw!AL54:AT54))</f>
        <v>34</v>
      </c>
      <c r="O54" s="146" t="b">
        <f>COUNTIF(Raw!AV54:BK54, "&gt;=0") = 16</f>
        <v>1</v>
      </c>
      <c r="P54" s="146"/>
      <c r="Q54" s="146"/>
      <c r="R54" s="156"/>
      <c r="S54" s="146"/>
      <c r="T54" s="146"/>
      <c r="U54" s="146"/>
      <c r="V54" s="146" t="str">
        <f ca="1">IFERROR(__xludf.DUMMYFUNCTION("""COMPUTED_VALUE"""),"Main &amp; Cassidy (1988)")</f>
        <v>Main &amp; Cassidy (1988)</v>
      </c>
      <c r="W54" s="149" t="str">
        <f ca="1">IFERROR(__xludf.DUMMYFUNCTION("""COMPUTED_VALUE"""),"12/70")</f>
        <v>12/70</v>
      </c>
      <c r="X54" s="149" t="str">
        <f ca="1">IFERROR(__xludf.DUMMYFUNCTION("""COMPUTED_VALUE"""),"I-P")</f>
        <v>I-P</v>
      </c>
      <c r="Y54" s="149" t="str">
        <f ca="1">IFERROR(__xludf.DUMMYFUNCTION("""COMPUTED_VALUE"""),"A-MC")</f>
        <v>A-MC</v>
      </c>
      <c r="Z54" s="149" t="str">
        <f ca="1">IFERROR(__xludf.DUMMYFUNCTION("""COMPUTED_VALUE"""),"No")</f>
        <v>No</v>
      </c>
      <c r="AA54" s="149" t="str">
        <f ca="1">IFERROR(__xludf.DUMMYFUNCTION("""COMPUTED_VALUE"""),"No")</f>
        <v>No</v>
      </c>
      <c r="AB54" s="149" t="str">
        <f ca="1">IFERROR(__xludf.DUMMYFUNCTION("""COMPUTED_VALUE"""),"Yes")</f>
        <v>Yes</v>
      </c>
      <c r="AC54" s="149" t="str">
        <f ca="1">IFERROR(__xludf.DUMMYFUNCTION("""COMPUTED_VALUE"""),"S/IS, D/O")</f>
        <v>S/IS, D/O</v>
      </c>
      <c r="AD54" s="149" t="str">
        <f ca="1">IFERROR(__xludf.DUMMYFUNCTION("""COMPUTED_VALUE"""),"USA")</f>
        <v>USA</v>
      </c>
      <c r="AE54" s="150">
        <f ca="1">IFERROR(__xludf.DUMMYFUNCTION("""COMPUTED_VALUE"""),83)</f>
        <v>83</v>
      </c>
      <c r="AF54" s="149" t="str">
        <f ca="1">IFERROR(__xludf.DUMMYFUNCTION("""COMPUTED_VALUE"""),"F")</f>
        <v>F</v>
      </c>
      <c r="AG54" s="149" t="str">
        <f ca="1">IFERROR(__xludf.DUMMYFUNCTION("""COMPUTED_VALUE"""),"2S,4,2D")</f>
        <v>2S,4,2D</v>
      </c>
      <c r="AH54" s="151">
        <f ca="1">IFERROR(__xludf.DUMMYFUNCTION("""COMPUTED_VALUE"""),40)</f>
        <v>40</v>
      </c>
      <c r="AI54" s="149"/>
      <c r="AJ54" s="149"/>
      <c r="AK54" s="149"/>
      <c r="AL54" s="149"/>
      <c r="AM54" s="149"/>
      <c r="AN54" s="149"/>
      <c r="AO54" s="149"/>
      <c r="AP54" s="149"/>
      <c r="AQ54" s="149"/>
      <c r="AR54" s="149"/>
    </row>
    <row r="55" spans="1:44" ht="12.3">
      <c r="A55" s="142"/>
      <c r="B55" s="142" t="str">
        <f>Raw!A55</f>
        <v>Waters &amp; Valenzuela (1999)</v>
      </c>
      <c r="C55" s="143" t="str">
        <f>CONCATENATE(ROUND(Raw!I55,0),"/",ROUND(Raw!J55,0))</f>
        <v>18/28</v>
      </c>
      <c r="D55" s="143" t="str">
        <f>VLOOKUP(Processed!E55,P$2:Q$10,2,FALSE)</f>
        <v>I-T</v>
      </c>
      <c r="E55" s="143" t="str">
        <f>VLOOKUP(Raw!M55,R$2:S$13,2,FALSE)</f>
        <v>A-A</v>
      </c>
      <c r="F55" s="143" t="str">
        <f>IF(Raw!P55,"Yes","No")</f>
        <v>Yes</v>
      </c>
      <c r="G55" s="143" t="str">
        <f>IF(Raw!Q55,"Yes","No")</f>
        <v>Yes</v>
      </c>
      <c r="H55" s="143" t="str">
        <f>IF(Raw!T55,"Yes","No")</f>
        <v>Yes</v>
      </c>
      <c r="I55" s="143" t="str">
        <f>IF(AND(Raw!N55,Raw!O55), "S/IS, D/O", IF(Raw!N55,"S/IS", IF(Raw!O55,"D/O","-")))</f>
        <v>-</v>
      </c>
      <c r="J55" s="143" t="str">
        <f>Raw!L55</f>
        <v>Chile</v>
      </c>
      <c r="K55" s="144">
        <f>IF(Processed!BN55="NA","-",ROUND(Processed!BN55*100,0))</f>
        <v>86</v>
      </c>
      <c r="L55" s="143" t="str">
        <f>VLOOKUP(Raw!F55,T$2:U$4,2,FALSE)</f>
        <v>F</v>
      </c>
      <c r="M55" s="143" t="str">
        <f>CONCATENATE(IF(Processed!F55,"2S",""),IF(Processed!W55,",3",""),IF(Processed!AG55,",4",""),IF(Processed!AQ55,",2D",""))</f>
        <v>2S,4,2D</v>
      </c>
      <c r="N55" s="145">
        <f>IF(NOT(ISBLANK(Raw!AE55)), Raw!AE55, SUM(Raw!AL55:AT55))</f>
        <v>37</v>
      </c>
      <c r="O55" s="146" t="b">
        <f>COUNTIF(Raw!AV55:BK55, "&gt;=0") = 16</f>
        <v>1</v>
      </c>
      <c r="P55" s="146"/>
      <c r="Q55" s="146"/>
      <c r="R55" s="156"/>
      <c r="S55" s="146"/>
      <c r="T55" s="146"/>
      <c r="U55" s="146"/>
      <c r="V55" s="146" t="str">
        <f ca="1">IFERROR(__xludf.DUMMYFUNCTION("""COMPUTED_VALUE"""),"Main &amp; Cassidy (1988)")</f>
        <v>Main &amp; Cassidy (1988)</v>
      </c>
      <c r="W55" s="149" t="str">
        <f ca="1">IFERROR(__xludf.DUMMYFUNCTION("""COMPUTED_VALUE"""),"12/70")</f>
        <v>12/70</v>
      </c>
      <c r="X55" s="149" t="str">
        <f ca="1">IFERROR(__xludf.DUMMYFUNCTION("""COMPUTED_VALUE"""),"I-P")</f>
        <v>I-P</v>
      </c>
      <c r="Y55" s="149" t="str">
        <f ca="1">IFERROR(__xludf.DUMMYFUNCTION("""COMPUTED_VALUE"""),"A-MC")</f>
        <v>A-MC</v>
      </c>
      <c r="Z55" s="149" t="str">
        <f ca="1">IFERROR(__xludf.DUMMYFUNCTION("""COMPUTED_VALUE"""),"No")</f>
        <v>No</v>
      </c>
      <c r="AA55" s="149" t="str">
        <f ca="1">IFERROR(__xludf.DUMMYFUNCTION("""COMPUTED_VALUE"""),"No")</f>
        <v>No</v>
      </c>
      <c r="AB55" s="149" t="str">
        <f ca="1">IFERROR(__xludf.DUMMYFUNCTION("""COMPUTED_VALUE"""),"Yes")</f>
        <v>Yes</v>
      </c>
      <c r="AC55" s="149" t="str">
        <f ca="1">IFERROR(__xludf.DUMMYFUNCTION("""COMPUTED_VALUE"""),"S/IS, D/O")</f>
        <v>S/IS, D/O</v>
      </c>
      <c r="AD55" s="149" t="str">
        <f ca="1">IFERROR(__xludf.DUMMYFUNCTION("""COMPUTED_VALUE"""),"USA")</f>
        <v>USA</v>
      </c>
      <c r="AE55" s="150">
        <f ca="1">IFERROR(__xludf.DUMMYFUNCTION("""COMPUTED_VALUE"""),77)</f>
        <v>77</v>
      </c>
      <c r="AF55" s="149" t="str">
        <f ca="1">IFERROR(__xludf.DUMMYFUNCTION("""COMPUTED_VALUE"""),"M")</f>
        <v>M</v>
      </c>
      <c r="AG55" s="149" t="str">
        <f ca="1">IFERROR(__xludf.DUMMYFUNCTION("""COMPUTED_VALUE"""),"2S,4,2D")</f>
        <v>2S,4,2D</v>
      </c>
      <c r="AH55" s="151">
        <f ca="1">IFERROR(__xludf.DUMMYFUNCTION("""COMPUTED_VALUE"""),40)</f>
        <v>40</v>
      </c>
      <c r="AI55" s="149"/>
      <c r="AJ55" s="149"/>
      <c r="AK55" s="149"/>
      <c r="AL55" s="149"/>
      <c r="AM55" s="149"/>
      <c r="AN55" s="149"/>
      <c r="AO55" s="149"/>
      <c r="AP55" s="149"/>
      <c r="AQ55" s="149"/>
      <c r="AR55" s="149"/>
    </row>
    <row r="56" spans="1:44" ht="12.3">
      <c r="A56" s="142"/>
      <c r="B56" s="142" t="str">
        <f>Raw!A56</f>
        <v>Vondra et al. (2001)</v>
      </c>
      <c r="C56" s="143" t="str">
        <f>CONCATENATE(ROUND(Raw!I56,0),"/",ROUND(Raw!J56,0))</f>
        <v>12/24</v>
      </c>
      <c r="D56" s="143" t="str">
        <f>VLOOKUP(Processed!E56,P$2:Q$10,2,FALSE)</f>
        <v>I-T</v>
      </c>
      <c r="E56" s="143" t="str">
        <f>VLOOKUP(Raw!M56,R$2:S$13,2,FALSE)</f>
        <v>A-CM</v>
      </c>
      <c r="F56" s="143" t="str">
        <f>IF(Raw!P56,"Yes","No")</f>
        <v>Yes</v>
      </c>
      <c r="G56" s="143" t="str">
        <f>IF(Raw!Q56,"Yes","No")</f>
        <v>No</v>
      </c>
      <c r="H56" s="143" t="str">
        <f>IF(Raw!T56,"Yes","No")</f>
        <v>Yes</v>
      </c>
      <c r="I56" s="143" t="str">
        <f>IF(AND(Raw!N56,Raw!O56), "S/IS, D/O", IF(Raw!N56,"S/IS", IF(Raw!O56,"D/O","-")))</f>
        <v>-</v>
      </c>
      <c r="J56" s="143" t="str">
        <f>Raw!L56</f>
        <v>USA</v>
      </c>
      <c r="K56" s="144">
        <f>IF(Processed!BN56="NA","-",ROUND(Processed!BN56*100,0))</f>
        <v>70</v>
      </c>
      <c r="L56" s="143" t="str">
        <f>VLOOKUP(Raw!F56,T$2:U$4,2,FALSE)</f>
        <v>F</v>
      </c>
      <c r="M56" s="143" t="str">
        <f>CONCATENATE(IF(Processed!F56,"2S",""),IF(Processed!W56,",3",""),IF(Processed!AG56,",4",""),IF(Processed!AQ56,",2D",""))</f>
        <v>2S,4,2D</v>
      </c>
      <c r="N56" s="145">
        <f>IF(NOT(ISBLANK(Raw!AE56)), Raw!AE56, SUM(Raw!AL56:AT56))</f>
        <v>198</v>
      </c>
      <c r="O56" s="146" t="b">
        <f>COUNTIF(Raw!AV56:BK56, "&gt;=0") = 16</f>
        <v>1</v>
      </c>
      <c r="P56" s="146"/>
      <c r="Q56" s="146"/>
      <c r="R56" s="156"/>
      <c r="S56" s="146"/>
      <c r="T56" s="146"/>
      <c r="U56" s="146"/>
      <c r="V56" s="146" t="str">
        <f ca="1">IFERROR(__xludf.DUMMYFUNCTION("""COMPUTED_VALUE"""),"Main &amp; Weston (1981)")</f>
        <v>Main &amp; Weston (1981)</v>
      </c>
      <c r="W56" s="149" t="str">
        <f ca="1">IFERROR(__xludf.DUMMYFUNCTION("""COMPUTED_VALUE"""),"12/20")</f>
        <v>12/20</v>
      </c>
      <c r="X56" s="149" t="str">
        <f ca="1">IFERROR(__xludf.DUMMYFUNCTION("""COMPUTED_VALUE"""),"I-T")</f>
        <v>I-T</v>
      </c>
      <c r="Y56" s="149" t="str">
        <f ca="1">IFERROR(__xludf.DUMMYFUNCTION("""COMPUTED_VALUE"""),"A-A")</f>
        <v>A-A</v>
      </c>
      <c r="Z56" s="149" t="str">
        <f ca="1">IFERROR(__xludf.DUMMYFUNCTION("""COMPUTED_VALUE"""),"No")</f>
        <v>No</v>
      </c>
      <c r="AA56" s="149" t="str">
        <f ca="1">IFERROR(__xludf.DUMMYFUNCTION("""COMPUTED_VALUE"""),"No")</f>
        <v>No</v>
      </c>
      <c r="AB56" s="149" t="str">
        <f ca="1">IFERROR(__xludf.DUMMYFUNCTION("""COMPUTED_VALUE"""),"Yes")</f>
        <v>Yes</v>
      </c>
      <c r="AC56" s="149" t="str">
        <f ca="1">IFERROR(__xludf.DUMMYFUNCTION("""COMPUTED_VALUE"""),"S/IS")</f>
        <v>S/IS</v>
      </c>
      <c r="AD56" s="149" t="str">
        <f ca="1">IFERROR(__xludf.DUMMYFUNCTION("""COMPUTED_VALUE"""),"USA")</f>
        <v>USA</v>
      </c>
      <c r="AE56" s="150">
        <f ca="1">IFERROR(__xludf.DUMMYFUNCTION("""COMPUTED_VALUE"""),94)</f>
        <v>94</v>
      </c>
      <c r="AF56" s="149" t="str">
        <f ca="1">IFERROR(__xludf.DUMMYFUNCTION("""COMPUTED_VALUE"""),"F")</f>
        <v>F</v>
      </c>
      <c r="AG56" s="149" t="str">
        <f ca="1">IFERROR(__xludf.DUMMYFUNCTION("""COMPUTED_VALUE"""),"2S")</f>
        <v>2S</v>
      </c>
      <c r="AH56" s="151">
        <f ca="1">IFERROR(__xludf.DUMMYFUNCTION("""COMPUTED_VALUE"""),15)</f>
        <v>15</v>
      </c>
      <c r="AI56" s="149"/>
      <c r="AJ56" s="149"/>
      <c r="AK56" s="149"/>
      <c r="AL56" s="149"/>
      <c r="AM56" s="149"/>
      <c r="AN56" s="149"/>
      <c r="AO56" s="149"/>
      <c r="AP56" s="149"/>
      <c r="AQ56" s="149"/>
      <c r="AR56" s="149"/>
    </row>
    <row r="57" spans="1:44" ht="12.3">
      <c r="A57" s="142"/>
      <c r="B57" s="142" t="str">
        <f>Raw!A57</f>
        <v>Vondra et al. (2001)</v>
      </c>
      <c r="C57" s="143" t="str">
        <f>CONCATENATE(ROUND(Raw!I57,0),"/",ROUND(Raw!J57,0))</f>
        <v>12/18</v>
      </c>
      <c r="D57" s="143" t="str">
        <f>VLOOKUP(Processed!E57,P$2:Q$10,2,FALSE)</f>
        <v>I-I</v>
      </c>
      <c r="E57" s="143" t="str">
        <f>VLOOKUP(Raw!M57,R$2:S$13,2,FALSE)</f>
        <v>A-A</v>
      </c>
      <c r="F57" s="143" t="str">
        <f>IF(Raw!P57,"Yes","No")</f>
        <v>Yes</v>
      </c>
      <c r="G57" s="143" t="str">
        <f>IF(Raw!Q57,"Yes","No")</f>
        <v>No</v>
      </c>
      <c r="H57" s="143" t="str">
        <f>IF(Raw!T57,"Yes","No")</f>
        <v>Yes</v>
      </c>
      <c r="I57" s="143" t="str">
        <f>IF(AND(Raw!N57,Raw!O57), "S/IS, D/O", IF(Raw!N57,"S/IS", IF(Raw!O57,"D/O","-")))</f>
        <v>S/IS</v>
      </c>
      <c r="J57" s="143" t="str">
        <f>Raw!L57</f>
        <v>USA</v>
      </c>
      <c r="K57" s="144">
        <f>IF(Processed!BN57="NA","-",ROUND(Processed!BN57*100,0))</f>
        <v>77</v>
      </c>
      <c r="L57" s="143" t="str">
        <f>VLOOKUP(Raw!F57,T$2:U$4,2,FALSE)</f>
        <v>F</v>
      </c>
      <c r="M57" s="143" t="str">
        <f>CONCATENATE(IF(Processed!F57,"2S",""),IF(Processed!W57,",3",""),IF(Processed!AG57,",4",""),IF(Processed!AQ57,",2D",""))</f>
        <v>2S,4,2D</v>
      </c>
      <c r="N57" s="145">
        <f>IF(NOT(ISBLANK(Raw!AE57)), Raw!AE57, SUM(Raw!AL57:AT57))</f>
        <v>195</v>
      </c>
      <c r="O57" s="146" t="b">
        <f>COUNTIF(Raw!AV57:BK57, "&gt;=0") = 16</f>
        <v>1</v>
      </c>
      <c r="P57" s="146"/>
      <c r="Q57" s="146"/>
      <c r="R57" s="156"/>
      <c r="S57" s="146"/>
      <c r="T57" s="146"/>
      <c r="U57" s="146"/>
      <c r="V57" s="146" t="str">
        <f ca="1">IFERROR(__xludf.DUMMYFUNCTION("""COMPUTED_VALUE"""),"Main &amp; Weston (1981)")</f>
        <v>Main &amp; Weston (1981)</v>
      </c>
      <c r="W57" s="149" t="str">
        <f ca="1">IFERROR(__xludf.DUMMYFUNCTION("""COMPUTED_VALUE"""),"12/20")</f>
        <v>12/20</v>
      </c>
      <c r="X57" s="149" t="str">
        <f ca="1">IFERROR(__xludf.DUMMYFUNCTION("""COMPUTED_VALUE"""),"I-T")</f>
        <v>I-T</v>
      </c>
      <c r="Y57" s="149" t="str">
        <f ca="1">IFERROR(__xludf.DUMMYFUNCTION("""COMPUTED_VALUE"""),"A-A")</f>
        <v>A-A</v>
      </c>
      <c r="Z57" s="149" t="str">
        <f ca="1">IFERROR(__xludf.DUMMYFUNCTION("""COMPUTED_VALUE"""),"No")</f>
        <v>No</v>
      </c>
      <c r="AA57" s="149" t="str">
        <f ca="1">IFERROR(__xludf.DUMMYFUNCTION("""COMPUTED_VALUE"""),"No")</f>
        <v>No</v>
      </c>
      <c r="AB57" s="149" t="str">
        <f ca="1">IFERROR(__xludf.DUMMYFUNCTION("""COMPUTED_VALUE"""),"Yes")</f>
        <v>Yes</v>
      </c>
      <c r="AC57" s="149" t="str">
        <f ca="1">IFERROR(__xludf.DUMMYFUNCTION("""COMPUTED_VALUE"""),"S/IS")</f>
        <v>S/IS</v>
      </c>
      <c r="AD57" s="149" t="str">
        <f ca="1">IFERROR(__xludf.DUMMYFUNCTION("""COMPUTED_VALUE"""),"USA")</f>
        <v>USA</v>
      </c>
      <c r="AE57" s="150">
        <f ca="1">IFERROR(__xludf.DUMMYFUNCTION("""COMPUTED_VALUE"""),94)</f>
        <v>94</v>
      </c>
      <c r="AF57" s="149" t="str">
        <f ca="1">IFERROR(__xludf.DUMMYFUNCTION("""COMPUTED_VALUE"""),"M")</f>
        <v>M</v>
      </c>
      <c r="AG57" s="149" t="str">
        <f ca="1">IFERROR(__xludf.DUMMYFUNCTION("""COMPUTED_VALUE"""),"2S")</f>
        <v>2S</v>
      </c>
      <c r="AH57" s="151">
        <f ca="1">IFERROR(__xludf.DUMMYFUNCTION("""COMPUTED_VALUE"""),15)</f>
        <v>15</v>
      </c>
      <c r="AI57" s="149"/>
      <c r="AJ57" s="149"/>
      <c r="AK57" s="149"/>
      <c r="AL57" s="149"/>
      <c r="AM57" s="149"/>
      <c r="AN57" s="149"/>
      <c r="AO57" s="149"/>
      <c r="AP57" s="149"/>
      <c r="AQ57" s="149"/>
      <c r="AR57" s="149"/>
    </row>
    <row r="58" spans="1:44" ht="12.3">
      <c r="A58" s="142"/>
      <c r="B58" s="142" t="str">
        <f>Raw!A58</f>
        <v>Xue (2010)</v>
      </c>
      <c r="C58" s="143" t="str">
        <f>CONCATENATE(ROUND(Raw!I58,0),"/",ROUND(Raw!J58,0))</f>
        <v>13/42</v>
      </c>
      <c r="D58" s="143" t="str">
        <f>VLOOKUP(Processed!E58,P$2:Q$10,2,FALSE)</f>
        <v>I-P</v>
      </c>
      <c r="E58" s="143" t="str">
        <f>VLOOKUP(Raw!M58,R$2:S$13,2,FALSE)</f>
        <v>A-CM</v>
      </c>
      <c r="F58" s="143" t="str">
        <f>IF(Raw!P58,"Yes","No")</f>
        <v>No</v>
      </c>
      <c r="G58" s="143" t="str">
        <f>IF(Raw!Q58,"Yes","No")</f>
        <v>No</v>
      </c>
      <c r="H58" s="143" t="str">
        <f>IF(Raw!T58,"Yes","No")</f>
        <v>No</v>
      </c>
      <c r="I58" s="143" t="str">
        <f>IF(AND(Raw!N58,Raw!O58), "S/IS, D/O", IF(Raw!N58,"S/IS", IF(Raw!O58,"D/O","-")))</f>
        <v>-</v>
      </c>
      <c r="J58" s="143" t="str">
        <f>Raw!L58</f>
        <v>Canada</v>
      </c>
      <c r="K58" s="144">
        <f>IF(Processed!BN58="NA","-",ROUND(Processed!BN58*100,0))</f>
        <v>89</v>
      </c>
      <c r="L58" s="143" t="str">
        <f>VLOOKUP(Raw!F58,T$2:U$4,2,FALSE)</f>
        <v>F</v>
      </c>
      <c r="M58" s="143" t="str">
        <f>CONCATENATE(IF(Processed!F58,"2S",""),IF(Processed!W58,",3",""),IF(Processed!AG58,",4",""),IF(Processed!AQ58,",2D",""))</f>
        <v>2S,4,2D</v>
      </c>
      <c r="N58" s="145">
        <f>IF(NOT(ISBLANK(Raw!AE58)), Raw!AE58, SUM(Raw!AL58:AT58))</f>
        <v>61</v>
      </c>
      <c r="O58" s="146" t="b">
        <f>COUNTIF(Raw!AV58:BK58, "&gt;=0") = 16</f>
        <v>1</v>
      </c>
      <c r="P58" s="146"/>
      <c r="Q58" s="146"/>
      <c r="R58" s="156"/>
      <c r="S58" s="146"/>
      <c r="T58" s="146"/>
      <c r="U58" s="146"/>
      <c r="V58" s="146" t="str">
        <f ca="1">IFERROR(__xludf.DUMMYFUNCTION("""COMPUTED_VALUE"""),"Mangelsdorf et al. (1996)")</f>
        <v>Mangelsdorf et al. (1996)</v>
      </c>
      <c r="W58" s="149" t="str">
        <f ca="1">IFERROR(__xludf.DUMMYFUNCTION("""COMPUTED_VALUE"""),"14/19")</f>
        <v>14/19</v>
      </c>
      <c r="X58" s="149" t="str">
        <f ca="1">IFERROR(__xludf.DUMMYFUNCTION("""COMPUTED_VALUE"""),"I-I")</f>
        <v>I-I</v>
      </c>
      <c r="Y58" s="149" t="str">
        <f ca="1">IFERROR(__xludf.DUMMYFUNCTION("""COMPUTED_VALUE"""),"A-A")</f>
        <v>A-A</v>
      </c>
      <c r="Z58" s="149" t="str">
        <f ca="1">IFERROR(__xludf.DUMMYFUNCTION("""COMPUTED_VALUE"""),"No")</f>
        <v>No</v>
      </c>
      <c r="AA58" s="149" t="str">
        <f ca="1">IFERROR(__xludf.DUMMYFUNCTION("""COMPUTED_VALUE"""),"No")</f>
        <v>No</v>
      </c>
      <c r="AB58" s="149" t="str">
        <f ca="1">IFERROR(__xludf.DUMMYFUNCTION("""COMPUTED_VALUE"""),"Yes")</f>
        <v>Yes</v>
      </c>
      <c r="AC58" s="149" t="str">
        <f ca="1">IFERROR(__xludf.DUMMYFUNCTION("""COMPUTED_VALUE"""),"S/IS")</f>
        <v>S/IS</v>
      </c>
      <c r="AD58" s="149" t="str">
        <f ca="1">IFERROR(__xludf.DUMMYFUNCTION("""COMPUTED_VALUE"""),"USA")</f>
        <v>USA</v>
      </c>
      <c r="AE58" s="150">
        <f ca="1">IFERROR(__xludf.DUMMYFUNCTION("""COMPUTED_VALUE"""),90)</f>
        <v>90</v>
      </c>
      <c r="AF58" s="149" t="str">
        <f ca="1">IFERROR(__xludf.DUMMYFUNCTION("""COMPUTED_VALUE"""),"F")</f>
        <v>F</v>
      </c>
      <c r="AG58" s="149" t="str">
        <f ca="1">IFERROR(__xludf.DUMMYFUNCTION("""COMPUTED_VALUE"""),"2S")</f>
        <v>2S</v>
      </c>
      <c r="AH58" s="151">
        <f ca="1">IFERROR(__xludf.DUMMYFUNCTION("""COMPUTED_VALUE"""),39)</f>
        <v>39</v>
      </c>
      <c r="AI58" s="149"/>
      <c r="AJ58" s="149"/>
      <c r="AK58" s="149"/>
      <c r="AL58" s="149"/>
      <c r="AM58" s="149"/>
      <c r="AN58" s="149"/>
      <c r="AO58" s="149"/>
      <c r="AP58" s="149"/>
      <c r="AQ58" s="149"/>
      <c r="AR58" s="149"/>
    </row>
    <row r="59" spans="1:44" ht="12.3">
      <c r="A59" s="142"/>
      <c r="B59" s="142" t="str">
        <f>Raw!A59</f>
        <v>Fargot &amp; Pears (1996)</v>
      </c>
      <c r="C59" s="143" t="str">
        <f>CONCATENATE(ROUND(Raw!I59,0),"/",ROUND(Raw!J59,0))</f>
        <v>18/30</v>
      </c>
      <c r="D59" s="143" t="str">
        <f>VLOOKUP(Processed!E59,P$2:Q$10,2,FALSE)</f>
        <v>I-T</v>
      </c>
      <c r="E59" s="143" t="str">
        <f>VLOOKUP(Raw!M59,R$2:S$13,2,FALSE)</f>
        <v>A-CM</v>
      </c>
      <c r="F59" s="143" t="str">
        <f>IF(Raw!P59,"Yes","No")</f>
        <v>No</v>
      </c>
      <c r="G59" s="143" t="str">
        <f>IF(Raw!Q59,"Yes","No")</f>
        <v>No</v>
      </c>
      <c r="H59" s="143" t="str">
        <f>IF(Raw!T59,"Yes","No")</f>
        <v>Yes</v>
      </c>
      <c r="I59" s="143" t="str">
        <f>IF(AND(Raw!N59,Raw!O59), "S/IS, D/O", IF(Raw!N59,"S/IS", IF(Raw!O59,"D/O","-")))</f>
        <v>S/IS</v>
      </c>
      <c r="J59" s="143" t="str">
        <f>Raw!L59</f>
        <v>USA</v>
      </c>
      <c r="K59" s="144">
        <f>IF(Processed!BN59="NA","-",ROUND(Processed!BN59*100,0))</f>
        <v>83</v>
      </c>
      <c r="L59" s="143" t="str">
        <f>VLOOKUP(Raw!F59,T$2:U$4,2,FALSE)</f>
        <v>F</v>
      </c>
      <c r="M59" s="143" t="str">
        <f>CONCATENATE(IF(Processed!F59,"2S",""),IF(Processed!W59,",3",""),IF(Processed!AG59,",4",""),IF(Processed!AQ59,",2D",""))</f>
        <v>2S,3</v>
      </c>
      <c r="N59" s="145">
        <f>IF(NOT(ISBLANK(Raw!AE59)), Raw!AE59, SUM(Raw!AL59:AT59))</f>
        <v>96</v>
      </c>
      <c r="O59" s="146" t="b">
        <f>COUNTIF(Raw!AV59:BK59, "&gt;=0") = 16</f>
        <v>0</v>
      </c>
      <c r="P59" s="146"/>
      <c r="Q59" s="146"/>
      <c r="R59" s="156"/>
      <c r="S59" s="146"/>
      <c r="T59" s="146"/>
      <c r="U59" s="146"/>
      <c r="V59" s="146" t="str">
        <f ca="1">IFERROR(__xludf.DUMMYFUNCTION("""COMPUTED_VALUE"""),"Mangelsdorf et al. (1996)")</f>
        <v>Mangelsdorf et al. (1996)</v>
      </c>
      <c r="W59" s="149" t="str">
        <f ca="1">IFERROR(__xludf.DUMMYFUNCTION("""COMPUTED_VALUE"""),"14/19")</f>
        <v>14/19</v>
      </c>
      <c r="X59" s="149" t="str">
        <f ca="1">IFERROR(__xludf.DUMMYFUNCTION("""COMPUTED_VALUE"""),"I-I")</f>
        <v>I-I</v>
      </c>
      <c r="Y59" s="149" t="str">
        <f ca="1">IFERROR(__xludf.DUMMYFUNCTION("""COMPUTED_VALUE"""),"A-A")</f>
        <v>A-A</v>
      </c>
      <c r="Z59" s="149" t="str">
        <f ca="1">IFERROR(__xludf.DUMMYFUNCTION("""COMPUTED_VALUE"""),"No")</f>
        <v>No</v>
      </c>
      <c r="AA59" s="149" t="str">
        <f ca="1">IFERROR(__xludf.DUMMYFUNCTION("""COMPUTED_VALUE"""),"Yes")</f>
        <v>Yes</v>
      </c>
      <c r="AB59" s="149" t="str">
        <f ca="1">IFERROR(__xludf.DUMMYFUNCTION("""COMPUTED_VALUE"""),"Yes")</f>
        <v>Yes</v>
      </c>
      <c r="AC59" s="149" t="str">
        <f ca="1">IFERROR(__xludf.DUMMYFUNCTION("""COMPUTED_VALUE"""),"S/IS")</f>
        <v>S/IS</v>
      </c>
      <c r="AD59" s="149" t="str">
        <f ca="1">IFERROR(__xludf.DUMMYFUNCTION("""COMPUTED_VALUE"""),"USA")</f>
        <v>USA</v>
      </c>
      <c r="AE59" s="150">
        <f ca="1">IFERROR(__xludf.DUMMYFUNCTION("""COMPUTED_VALUE"""),90)</f>
        <v>90</v>
      </c>
      <c r="AF59" s="149" t="str">
        <f ca="1">IFERROR(__xludf.DUMMYFUNCTION("""COMPUTED_VALUE"""),"F")</f>
        <v>F</v>
      </c>
      <c r="AG59" s="149" t="str">
        <f ca="1">IFERROR(__xludf.DUMMYFUNCTION("""COMPUTED_VALUE"""),"2S")</f>
        <v>2S</v>
      </c>
      <c r="AH59" s="151">
        <f ca="1">IFERROR(__xludf.DUMMYFUNCTION("""COMPUTED_VALUE"""),31)</f>
        <v>31</v>
      </c>
      <c r="AI59" s="149"/>
      <c r="AJ59" s="149"/>
      <c r="AK59" s="149"/>
      <c r="AL59" s="149"/>
      <c r="AM59" s="149"/>
      <c r="AN59" s="149"/>
      <c r="AO59" s="149"/>
      <c r="AP59" s="149"/>
      <c r="AQ59" s="149"/>
      <c r="AR59" s="149"/>
    </row>
    <row r="60" spans="1:44" ht="12.3">
      <c r="A60" s="142"/>
      <c r="B60" s="142" t="str">
        <f>Raw!A60</f>
        <v>Toth et al. (2006)</v>
      </c>
      <c r="C60" s="143" t="str">
        <f>CONCATENATE(ROUND(Raw!I60,0),"/",ROUND(Raw!J60,0))</f>
        <v>20/36</v>
      </c>
      <c r="D60" s="143" t="str">
        <f>VLOOKUP(Processed!E60,P$2:Q$10,2,FALSE)</f>
        <v>T-P</v>
      </c>
      <c r="E60" s="143" t="str">
        <f>VLOOKUP(Raw!M60,R$2:S$13,2,FALSE)</f>
        <v>A-CM</v>
      </c>
      <c r="F60" s="143" t="str">
        <f>IF(Raw!P60,"Yes","No")</f>
        <v>No</v>
      </c>
      <c r="G60" s="143" t="str">
        <f>IF(Raw!Q60,"Yes","No")</f>
        <v>No</v>
      </c>
      <c r="H60" s="143" t="str">
        <f>IF(Raw!T60,"Yes","No")</f>
        <v>Yes</v>
      </c>
      <c r="I60" s="143" t="str">
        <f>IF(AND(Raw!N60,Raw!O60), "S/IS, D/O", IF(Raw!N60,"S/IS", IF(Raw!O60,"D/O","-")))</f>
        <v>-</v>
      </c>
      <c r="J60" s="143" t="str">
        <f>Raw!L60</f>
        <v>USA</v>
      </c>
      <c r="K60" s="144">
        <f>IF(Processed!BN60="NA","-",ROUND(Processed!BN60*100,0))</f>
        <v>92</v>
      </c>
      <c r="L60" s="143" t="str">
        <f>VLOOKUP(Raw!F60,T$2:U$4,2,FALSE)</f>
        <v>F</v>
      </c>
      <c r="M60" s="143" t="str">
        <f>CONCATENATE(IF(Processed!F60,"2S",""),IF(Processed!W60,",3",""),IF(Processed!AG60,",4",""),IF(Processed!AQ60,",2D",""))</f>
        <v>2S,4,2D</v>
      </c>
      <c r="N60" s="145">
        <f>IF(NOT(ISBLANK(Raw!AE60)), Raw!AE60, SUM(Raw!AL60:AT60))</f>
        <v>63</v>
      </c>
      <c r="O60" s="146" t="b">
        <f>COUNTIF(Raw!AV60:BK60, "&gt;=0") = 16</f>
        <v>1</v>
      </c>
      <c r="P60" s="146"/>
      <c r="Q60" s="146"/>
      <c r="R60" s="156"/>
      <c r="S60" s="146"/>
      <c r="T60" s="146"/>
      <c r="U60" s="146"/>
      <c r="V60" s="146" t="str">
        <f ca="1">IFERROR(__xludf.DUMMYFUNCTION("""COMPUTED_VALUE"""),"Maris et al. (2000)")</f>
        <v>Maris et al. (2000)</v>
      </c>
      <c r="W60" s="149" t="str">
        <f ca="1">IFERROR(__xludf.DUMMYFUNCTION("""COMPUTED_VALUE"""),"12/24")</f>
        <v>12/24</v>
      </c>
      <c r="X60" s="149" t="str">
        <f ca="1">IFERROR(__xludf.DUMMYFUNCTION("""COMPUTED_VALUE"""),"I-T")</f>
        <v>I-T</v>
      </c>
      <c r="Y60" s="149" t="str">
        <f ca="1">IFERROR(__xludf.DUMMYFUNCTION("""COMPUTED_VALUE"""),"A-CM")</f>
        <v>A-CM</v>
      </c>
      <c r="Z60" s="149" t="str">
        <f ca="1">IFERROR(__xludf.DUMMYFUNCTION("""COMPUTED_VALUE"""),"No")</f>
        <v>No</v>
      </c>
      <c r="AA60" s="149" t="str">
        <f ca="1">IFERROR(__xludf.DUMMYFUNCTION("""COMPUTED_VALUE"""),"Yes")</f>
        <v>Yes</v>
      </c>
      <c r="AB60" s="149" t="str">
        <f ca="1">IFERROR(__xludf.DUMMYFUNCTION("""COMPUTED_VALUE"""),"Yes")</f>
        <v>Yes</v>
      </c>
      <c r="AC60" s="149" t="str">
        <f ca="1">IFERROR(__xludf.DUMMYFUNCTION("""COMPUTED_VALUE"""),"S/IS")</f>
        <v>S/IS</v>
      </c>
      <c r="AD60" s="149" t="str">
        <f ca="1">IFERROR(__xludf.DUMMYFUNCTION("""COMPUTED_VALUE"""),"USA")</f>
        <v>USA</v>
      </c>
      <c r="AE60" s="150">
        <f ca="1">IFERROR(__xludf.DUMMYFUNCTION("""COMPUTED_VALUE"""),83)</f>
        <v>83</v>
      </c>
      <c r="AF60" s="149" t="str">
        <f ca="1">IFERROR(__xludf.DUMMYFUNCTION("""COMPUTED_VALUE"""),"F")</f>
        <v>F</v>
      </c>
      <c r="AG60" s="149" t="str">
        <f ca="1">IFERROR(__xludf.DUMMYFUNCTION("""COMPUTED_VALUE"""),"2S")</f>
        <v>2S</v>
      </c>
      <c r="AH60" s="151">
        <f ca="1">IFERROR(__xludf.DUMMYFUNCTION("""COMPUTED_VALUE"""),24)</f>
        <v>24</v>
      </c>
      <c r="AI60" s="149"/>
      <c r="AJ60" s="149"/>
      <c r="AK60" s="149"/>
      <c r="AL60" s="149"/>
      <c r="AM60" s="149"/>
      <c r="AN60" s="149"/>
      <c r="AO60" s="149"/>
      <c r="AP60" s="149"/>
      <c r="AQ60" s="149"/>
      <c r="AR60" s="149"/>
    </row>
    <row r="61" spans="1:44" ht="12.3">
      <c r="A61" s="142"/>
      <c r="B61" s="142" t="str">
        <f>Raw!A61</f>
        <v>Toth et al. (2006)</v>
      </c>
      <c r="C61" s="143" t="str">
        <f>CONCATENATE(ROUND(Raw!I61,0),"/",ROUND(Raw!J61,0))</f>
        <v>20/36</v>
      </c>
      <c r="D61" s="143" t="str">
        <f>VLOOKUP(Processed!E61,P$2:Q$10,2,FALSE)</f>
        <v>T-P</v>
      </c>
      <c r="E61" s="143" t="str">
        <f>VLOOKUP(Raw!M61,R$2:S$13,2,FALSE)</f>
        <v>A-CM</v>
      </c>
      <c r="F61" s="143" t="str">
        <f>IF(Raw!P61,"Yes","No")</f>
        <v>Yes</v>
      </c>
      <c r="G61" s="143" t="str">
        <f>IF(Raw!Q61,"Yes","No")</f>
        <v>No</v>
      </c>
      <c r="H61" s="143" t="str">
        <f>IF(Raw!T61,"Yes","No")</f>
        <v>Yes</v>
      </c>
      <c r="I61" s="143" t="str">
        <f>IF(AND(Raw!N61,Raw!O61), "S/IS, D/O", IF(Raw!N61,"S/IS", IF(Raw!O61,"D/O","-")))</f>
        <v>-</v>
      </c>
      <c r="J61" s="143" t="str">
        <f>Raw!L61</f>
        <v>USA</v>
      </c>
      <c r="K61" s="144">
        <f>IF(Processed!BN61="NA","-",ROUND(Processed!BN61*100,0))</f>
        <v>92</v>
      </c>
      <c r="L61" s="143" t="str">
        <f>VLOOKUP(Raw!F61,T$2:U$4,2,FALSE)</f>
        <v>F</v>
      </c>
      <c r="M61" s="143" t="str">
        <f>CONCATENATE(IF(Processed!F61,"2S",""),IF(Processed!W61,",3",""),IF(Processed!AG61,",4",""),IF(Processed!AQ61,",2D",""))</f>
        <v>2S,4,2D</v>
      </c>
      <c r="N61" s="145">
        <f>IF(NOT(ISBLANK(Raw!AE61)), Raw!AE61, SUM(Raw!AL61:AT61))</f>
        <v>54</v>
      </c>
      <c r="O61" s="146" t="b">
        <f>COUNTIF(Raw!AV61:BK61, "&gt;=0") = 16</f>
        <v>1</v>
      </c>
      <c r="P61" s="146"/>
      <c r="Q61" s="146"/>
      <c r="R61" s="156"/>
      <c r="S61" s="146"/>
      <c r="T61" s="146"/>
      <c r="U61" s="146"/>
      <c r="V61" s="146" t="str">
        <f ca="1">IFERROR(__xludf.DUMMYFUNCTION("""COMPUTED_VALUE"""),"Maris et al. (2000)")</f>
        <v>Maris et al. (2000)</v>
      </c>
      <c r="W61" s="149" t="str">
        <f ca="1">IFERROR(__xludf.DUMMYFUNCTION("""COMPUTED_VALUE"""),"12/24")</f>
        <v>12/24</v>
      </c>
      <c r="X61" s="149" t="str">
        <f ca="1">IFERROR(__xludf.DUMMYFUNCTION("""COMPUTED_VALUE"""),"I-T")</f>
        <v>I-T</v>
      </c>
      <c r="Y61" s="149" t="str">
        <f ca="1">IFERROR(__xludf.DUMMYFUNCTION("""COMPUTED_VALUE"""),"A-CM")</f>
        <v>A-CM</v>
      </c>
      <c r="Z61" s="149" t="str">
        <f ca="1">IFERROR(__xludf.DUMMYFUNCTION("""COMPUTED_VALUE"""),"No")</f>
        <v>No</v>
      </c>
      <c r="AA61" s="149" t="str">
        <f ca="1">IFERROR(__xludf.DUMMYFUNCTION("""COMPUTED_VALUE"""),"No")</f>
        <v>No</v>
      </c>
      <c r="AB61" s="149" t="str">
        <f ca="1">IFERROR(__xludf.DUMMYFUNCTION("""COMPUTED_VALUE"""),"Yes")</f>
        <v>Yes</v>
      </c>
      <c r="AC61" s="149" t="str">
        <f ca="1">IFERROR(__xludf.DUMMYFUNCTION("""COMPUTED_VALUE"""),"S/IS")</f>
        <v>S/IS</v>
      </c>
      <c r="AD61" s="149" t="str">
        <f ca="1">IFERROR(__xludf.DUMMYFUNCTION("""COMPUTED_VALUE"""),"USA")</f>
        <v>USA</v>
      </c>
      <c r="AE61" s="150">
        <f ca="1">IFERROR(__xludf.DUMMYFUNCTION("""COMPUTED_VALUE"""),83)</f>
        <v>83</v>
      </c>
      <c r="AF61" s="149" t="str">
        <f ca="1">IFERROR(__xludf.DUMMYFUNCTION("""COMPUTED_VALUE"""),"F")</f>
        <v>F</v>
      </c>
      <c r="AG61" s="149" t="str">
        <f ca="1">IFERROR(__xludf.DUMMYFUNCTION("""COMPUTED_VALUE"""),"2S")</f>
        <v>2S</v>
      </c>
      <c r="AH61" s="151">
        <f ca="1">IFERROR(__xludf.DUMMYFUNCTION("""COMPUTED_VALUE"""),61)</f>
        <v>61</v>
      </c>
      <c r="AI61" s="149"/>
      <c r="AJ61" s="149"/>
      <c r="AK61" s="149"/>
      <c r="AL61" s="149"/>
      <c r="AM61" s="149"/>
      <c r="AN61" s="149"/>
      <c r="AO61" s="149"/>
      <c r="AP61" s="149"/>
      <c r="AQ61" s="149"/>
      <c r="AR61" s="149"/>
    </row>
    <row r="62" spans="1:44" ht="12.3">
      <c r="A62" s="142"/>
      <c r="B62" s="142" t="str">
        <f>Raw!A62</f>
        <v>Kreppner et al. (2011)</v>
      </c>
      <c r="C62" s="143" t="str">
        <f>CONCATENATE(ROUND(Raw!I62,0),"/",ROUND(Raw!J62,0))</f>
        <v>48/72</v>
      </c>
      <c r="D62" s="143" t="str">
        <f>VLOOKUP(Processed!E62,P$2:Q$10,2,FALSE)</f>
        <v>P-P</v>
      </c>
      <c r="E62" s="143" t="str">
        <f>VLOOKUP(Raw!M62,R$2:S$13,2,FALSE)</f>
        <v>CM-CM</v>
      </c>
      <c r="F62" s="143" t="str">
        <f>IF(Raw!P62,"Yes","No")</f>
        <v>No</v>
      </c>
      <c r="G62" s="143" t="str">
        <f>IF(Raw!Q62,"Yes","No")</f>
        <v>No</v>
      </c>
      <c r="H62" s="143" t="str">
        <f>IF(Raw!T62,"Yes","No")</f>
        <v>Yes</v>
      </c>
      <c r="I62" s="143" t="str">
        <f>IF(AND(Raw!N62,Raw!O62), "S/IS, D/O", IF(Raw!N62,"S/IS", IF(Raw!O62,"D/O","-")))</f>
        <v>-</v>
      </c>
      <c r="J62" s="143" t="str">
        <f>Raw!L62</f>
        <v>UK</v>
      </c>
      <c r="K62" s="144">
        <f>IF(Processed!BN62="NA","-",ROUND(Processed!BN62*100,0))</f>
        <v>82</v>
      </c>
      <c r="L62" s="143" t="str">
        <f>VLOOKUP(Raw!F62,T$2:U$4,2,FALSE)</f>
        <v>F</v>
      </c>
      <c r="M62" s="143" t="str">
        <f>CONCATENATE(IF(Processed!F62,"2S",""),IF(Processed!W62,",3",""),IF(Processed!AG62,",4",""),IF(Processed!AQ62,",2D",""))</f>
        <v>2S,4,2D</v>
      </c>
      <c r="N62" s="145">
        <f>IF(NOT(ISBLANK(Raw!AE62)), Raw!AE62, SUM(Raw!AL62:AT62))</f>
        <v>106</v>
      </c>
      <c r="O62" s="146" t="b">
        <f>COUNTIF(Raw!AV62:BK62, "&gt;=0") = 16</f>
        <v>1</v>
      </c>
      <c r="P62" s="146"/>
      <c r="Q62" s="146"/>
      <c r="R62" s="156"/>
      <c r="S62" s="146"/>
      <c r="T62" s="146"/>
      <c r="U62" s="146"/>
      <c r="V62" s="146" t="str">
        <f ca="1">IFERROR(__xludf.DUMMYFUNCTION("""COMPUTED_VALUE"""),"Maris et al. (2000)")</f>
        <v>Maris et al. (2000)</v>
      </c>
      <c r="W62" s="149" t="str">
        <f ca="1">IFERROR(__xludf.DUMMYFUNCTION("""COMPUTED_VALUE"""),"12/24")</f>
        <v>12/24</v>
      </c>
      <c r="X62" s="149" t="str">
        <f ca="1">IFERROR(__xludf.DUMMYFUNCTION("""COMPUTED_VALUE"""),"I-T")</f>
        <v>I-T</v>
      </c>
      <c r="Y62" s="149" t="str">
        <f ca="1">IFERROR(__xludf.DUMMYFUNCTION("""COMPUTED_VALUE"""),"A-CM")</f>
        <v>A-CM</v>
      </c>
      <c r="Z62" s="149" t="str">
        <f ca="1">IFERROR(__xludf.DUMMYFUNCTION("""COMPUTED_VALUE"""),"No")</f>
        <v>No</v>
      </c>
      <c r="AA62" s="149" t="str">
        <f ca="1">IFERROR(__xludf.DUMMYFUNCTION("""COMPUTED_VALUE"""),"Yes")</f>
        <v>Yes</v>
      </c>
      <c r="AB62" s="149" t="str">
        <f ca="1">IFERROR(__xludf.DUMMYFUNCTION("""COMPUTED_VALUE"""),"Yes")</f>
        <v>Yes</v>
      </c>
      <c r="AC62" s="149" t="str">
        <f ca="1">IFERROR(__xludf.DUMMYFUNCTION("""COMPUTED_VALUE"""),"S/IS")</f>
        <v>S/IS</v>
      </c>
      <c r="AD62" s="149" t="str">
        <f ca="1">IFERROR(__xludf.DUMMYFUNCTION("""COMPUTED_VALUE"""),"USA")</f>
        <v>USA</v>
      </c>
      <c r="AE62" s="150">
        <f ca="1">IFERROR(__xludf.DUMMYFUNCTION("""COMPUTED_VALUE"""),83)</f>
        <v>83</v>
      </c>
      <c r="AF62" s="149" t="str">
        <f ca="1">IFERROR(__xludf.DUMMYFUNCTION("""COMPUTED_VALUE"""),"F")</f>
        <v>F</v>
      </c>
      <c r="AG62" s="149" t="str">
        <f ca="1">IFERROR(__xludf.DUMMYFUNCTION("""COMPUTED_VALUE"""),"2S")</f>
        <v>2S</v>
      </c>
      <c r="AH62" s="151">
        <f ca="1">IFERROR(__xludf.DUMMYFUNCTION("""COMPUTED_VALUE"""),22)</f>
        <v>22</v>
      </c>
      <c r="AI62" s="149"/>
      <c r="AJ62" s="149"/>
      <c r="AK62" s="149"/>
      <c r="AL62" s="149"/>
      <c r="AM62" s="149"/>
      <c r="AN62" s="149"/>
      <c r="AO62" s="149"/>
      <c r="AP62" s="149"/>
      <c r="AQ62" s="149"/>
      <c r="AR62" s="149"/>
    </row>
    <row r="63" spans="1:44" ht="12.3">
      <c r="A63" s="142"/>
      <c r="B63" s="142" t="str">
        <f>Raw!A63</f>
        <v>Kreppner et al. (2011)</v>
      </c>
      <c r="C63" s="143" t="str">
        <f>CONCATENATE(ROUND(Raw!I63,0),"/",ROUND(Raw!J63,0))</f>
        <v>48/72</v>
      </c>
      <c r="D63" s="143" t="str">
        <f>VLOOKUP(Processed!E63,P$2:Q$10,2,FALSE)</f>
        <v>P-P</v>
      </c>
      <c r="E63" s="143" t="str">
        <f>VLOOKUP(Raw!M63,R$2:S$13,2,FALSE)</f>
        <v>CM-CM</v>
      </c>
      <c r="F63" s="143" t="str">
        <f>IF(Raw!P63,"Yes","No")</f>
        <v>Yes</v>
      </c>
      <c r="G63" s="143" t="str">
        <f>IF(Raw!Q63,"Yes","No")</f>
        <v>No</v>
      </c>
      <c r="H63" s="143" t="str">
        <f>IF(Raw!T63,"Yes","No")</f>
        <v>Yes</v>
      </c>
      <c r="I63" s="143" t="str">
        <f>IF(AND(Raw!N63,Raw!O63), "S/IS, D/O", IF(Raw!N63,"S/IS", IF(Raw!O63,"D/O","-")))</f>
        <v>-</v>
      </c>
      <c r="J63" s="143" t="str">
        <f>Raw!L63</f>
        <v>Romania</v>
      </c>
      <c r="K63" s="144">
        <f>IF(Processed!BN63="NA","-",ROUND(Processed!BN63*100,0))</f>
        <v>81</v>
      </c>
      <c r="L63" s="143" t="str">
        <f>VLOOKUP(Raw!F63,T$2:U$4,2,FALSE)</f>
        <v>F</v>
      </c>
      <c r="M63" s="143" t="str">
        <f>CONCATENATE(IF(Processed!F63,"2S",""),IF(Processed!W63,",3",""),IF(Processed!AG63,",4",""),IF(Processed!AQ63,",2D",""))</f>
        <v>2S,4,2D</v>
      </c>
      <c r="N63" s="145">
        <f>IF(NOT(ISBLANK(Raw!AE63)), Raw!AE63, SUM(Raw!AL63:AT63))</f>
        <v>31</v>
      </c>
      <c r="O63" s="146" t="b">
        <f>COUNTIF(Raw!AV63:BK63, "&gt;=0") = 16</f>
        <v>1</v>
      </c>
      <c r="P63" s="146"/>
      <c r="Q63" s="146"/>
      <c r="R63" s="156"/>
      <c r="S63" s="146"/>
      <c r="T63" s="146"/>
      <c r="U63" s="146"/>
      <c r="V63" s="146" t="str">
        <f ca="1">IFERROR(__xludf.DUMMYFUNCTION("""COMPUTED_VALUE"""),"Meins, Bureau &amp; Fernyhough (2017)")</f>
        <v>Meins, Bureau &amp; Fernyhough (2017)</v>
      </c>
      <c r="W63" s="149" t="str">
        <f ca="1">IFERROR(__xludf.DUMMYFUNCTION("""COMPUTED_VALUE"""),"15/44")</f>
        <v>15/44</v>
      </c>
      <c r="X63" s="149" t="str">
        <f ca="1">IFERROR(__xludf.DUMMYFUNCTION("""COMPUTED_VALUE"""),"I-P")</f>
        <v>I-P</v>
      </c>
      <c r="Y63" s="149" t="str">
        <f ca="1">IFERROR(__xludf.DUMMYFUNCTION("""COMPUTED_VALUE"""),"A-CM")</f>
        <v>A-CM</v>
      </c>
      <c r="Z63" s="149" t="str">
        <f ca="1">IFERROR(__xludf.DUMMYFUNCTION("""COMPUTED_VALUE"""),"No")</f>
        <v>No</v>
      </c>
      <c r="AA63" s="149" t="str">
        <f ca="1">IFERROR(__xludf.DUMMYFUNCTION("""COMPUTED_VALUE"""),"No")</f>
        <v>No</v>
      </c>
      <c r="AB63" s="149" t="str">
        <f ca="1">IFERROR(__xludf.DUMMYFUNCTION("""COMPUTED_VALUE"""),"Yes")</f>
        <v>Yes</v>
      </c>
      <c r="AC63" s="149" t="str">
        <f ca="1">IFERROR(__xludf.DUMMYFUNCTION("""COMPUTED_VALUE"""),"-")</f>
        <v>-</v>
      </c>
      <c r="AD63" s="149" t="str">
        <f ca="1">IFERROR(__xludf.DUMMYFUNCTION("""COMPUTED_VALUE"""),"UK")</f>
        <v>UK</v>
      </c>
      <c r="AE63" s="150">
        <f ca="1">IFERROR(__xludf.DUMMYFUNCTION("""COMPUTED_VALUE"""),88)</f>
        <v>88</v>
      </c>
      <c r="AF63" s="149" t="str">
        <f ca="1">IFERROR(__xludf.DUMMYFUNCTION("""COMPUTED_VALUE"""),"F")</f>
        <v>F</v>
      </c>
      <c r="AG63" s="149" t="str">
        <f ca="1">IFERROR(__xludf.DUMMYFUNCTION("""COMPUTED_VALUE"""),"2S,4,2D")</f>
        <v>2S,4,2D</v>
      </c>
      <c r="AH63" s="151">
        <f ca="1">IFERROR(__xludf.DUMMYFUNCTION("""COMPUTED_VALUE"""),164)</f>
        <v>164</v>
      </c>
      <c r="AI63" s="149"/>
      <c r="AJ63" s="149"/>
      <c r="AK63" s="149"/>
      <c r="AL63" s="149"/>
      <c r="AM63" s="149"/>
      <c r="AN63" s="149"/>
      <c r="AO63" s="149"/>
      <c r="AP63" s="149"/>
      <c r="AQ63" s="149"/>
      <c r="AR63" s="149"/>
    </row>
    <row r="64" spans="1:44" ht="12.3">
      <c r="A64" s="142"/>
      <c r="B64" s="142" t="str">
        <f>Raw!A64</f>
        <v>Nakano (1984)</v>
      </c>
      <c r="C64" s="143" t="str">
        <f>CONCATENATE(ROUND(Raw!I64,0),"/",ROUND(Raw!J64,0))</f>
        <v>12/23</v>
      </c>
      <c r="D64" s="143" t="str">
        <f>VLOOKUP(Processed!E64,P$2:Q$10,2,FALSE)</f>
        <v>I-T</v>
      </c>
      <c r="E64" s="143" t="str">
        <f>VLOOKUP(Raw!M64,R$2:S$13,2,FALSE)</f>
        <v>A-A</v>
      </c>
      <c r="F64" s="143" t="str">
        <f>IF(Raw!P64,"Yes","No")</f>
        <v>No</v>
      </c>
      <c r="G64" s="143" t="str">
        <f>IF(Raw!Q64,"Yes","No")</f>
        <v>No</v>
      </c>
      <c r="H64" s="143" t="str">
        <f>IF(Raw!T64,"Yes","No")</f>
        <v>No</v>
      </c>
      <c r="I64" s="143" t="str">
        <f>IF(AND(Raw!N64,Raw!O64), "S/IS, D/O", IF(Raw!N64,"S/IS", IF(Raw!O64,"D/O","-")))</f>
        <v>-</v>
      </c>
      <c r="J64" s="143" t="str">
        <f>Raw!L64</f>
        <v>Japan</v>
      </c>
      <c r="K64" s="144" t="str">
        <f>IF(Processed!BN64="NA","-",ROUND(Processed!BN64*100,0))</f>
        <v>-</v>
      </c>
      <c r="L64" s="143" t="str">
        <f>VLOOKUP(Raw!F64,T$2:U$4,2,FALSE)</f>
        <v>F</v>
      </c>
      <c r="M64" s="143" t="str">
        <f>CONCATENATE(IF(Processed!F64,"2S",""),IF(Processed!W64,",3",""),IF(Processed!AG64,",4",""),IF(Processed!AQ64,",2D",""))</f>
        <v>,3</v>
      </c>
      <c r="N64" s="145">
        <f>IF(NOT(ISBLANK(Raw!AE64)), Raw!AE64, SUM(Raw!AL64:AT64))</f>
        <v>7</v>
      </c>
      <c r="O64" s="146" t="b">
        <f>COUNTIF(Raw!AV64:BK64, "&gt;=0") = 16</f>
        <v>0</v>
      </c>
      <c r="P64" s="146"/>
      <c r="Q64" s="146"/>
      <c r="R64" s="156"/>
      <c r="S64" s="146"/>
      <c r="T64" s="146"/>
      <c r="U64" s="146"/>
      <c r="V64" s="146" t="str">
        <f ca="1">IFERROR(__xludf.DUMMYFUNCTION("""COMPUTED_VALUE"""),"Meins, Bureau &amp; Fernyhough (2017)")</f>
        <v>Meins, Bureau &amp; Fernyhough (2017)</v>
      </c>
      <c r="W64" s="149" t="str">
        <f ca="1">IFERROR(__xludf.DUMMYFUNCTION("""COMPUTED_VALUE"""),"15/51")</f>
        <v>15/51</v>
      </c>
      <c r="X64" s="149" t="str">
        <f ca="1">IFERROR(__xludf.DUMMYFUNCTION("""COMPUTED_VALUE"""),"I-P")</f>
        <v>I-P</v>
      </c>
      <c r="Y64" s="149" t="str">
        <f ca="1">IFERROR(__xludf.DUMMYFUNCTION("""COMPUTED_VALUE"""),"A-CM")</f>
        <v>A-CM</v>
      </c>
      <c r="Z64" s="149" t="str">
        <f ca="1">IFERROR(__xludf.DUMMYFUNCTION("""COMPUTED_VALUE"""),"No")</f>
        <v>No</v>
      </c>
      <c r="AA64" s="149" t="str">
        <f ca="1">IFERROR(__xludf.DUMMYFUNCTION("""COMPUTED_VALUE"""),"No")</f>
        <v>No</v>
      </c>
      <c r="AB64" s="149" t="str">
        <f ca="1">IFERROR(__xludf.DUMMYFUNCTION("""COMPUTED_VALUE"""),"Yes")</f>
        <v>Yes</v>
      </c>
      <c r="AC64" s="149" t="str">
        <f ca="1">IFERROR(__xludf.DUMMYFUNCTION("""COMPUTED_VALUE"""),"-")</f>
        <v>-</v>
      </c>
      <c r="AD64" s="149" t="str">
        <f ca="1">IFERROR(__xludf.DUMMYFUNCTION("""COMPUTED_VALUE"""),"UK")</f>
        <v>UK</v>
      </c>
      <c r="AE64" s="150">
        <f ca="1">IFERROR(__xludf.DUMMYFUNCTION("""COMPUTED_VALUE"""),87)</f>
        <v>87</v>
      </c>
      <c r="AF64" s="149" t="str">
        <f ca="1">IFERROR(__xludf.DUMMYFUNCTION("""COMPUTED_VALUE"""),"F")</f>
        <v>F</v>
      </c>
      <c r="AG64" s="149" t="str">
        <f ca="1">IFERROR(__xludf.DUMMYFUNCTION("""COMPUTED_VALUE"""),"2S,4,2D")</f>
        <v>2S,4,2D</v>
      </c>
      <c r="AH64" s="151">
        <f ca="1">IFERROR(__xludf.DUMMYFUNCTION("""COMPUTED_VALUE"""),128)</f>
        <v>128</v>
      </c>
      <c r="AI64" s="149"/>
      <c r="AJ64" s="149"/>
      <c r="AK64" s="149"/>
      <c r="AL64" s="149"/>
      <c r="AM64" s="149"/>
      <c r="AN64" s="149"/>
      <c r="AO64" s="149"/>
      <c r="AP64" s="149"/>
      <c r="AQ64" s="149"/>
      <c r="AR64" s="149"/>
    </row>
    <row r="65" spans="1:44" ht="12.3">
      <c r="A65" s="142"/>
      <c r="B65" s="142" t="str">
        <f>Raw!A65</f>
        <v>Frodi, Grolnick &amp; Bridges (1985)</v>
      </c>
      <c r="C65" s="143" t="str">
        <f>CONCATENATE(ROUND(Raw!I65,0),"/",ROUND(Raw!J65,0))</f>
        <v>12/20</v>
      </c>
      <c r="D65" s="143" t="str">
        <f>VLOOKUP(Processed!E65,P$2:Q$10,2,FALSE)</f>
        <v>I-T</v>
      </c>
      <c r="E65" s="143" t="str">
        <f>VLOOKUP(Raw!M65,R$2:S$13,2,FALSE)</f>
        <v>A-A</v>
      </c>
      <c r="F65" s="143" t="str">
        <f>IF(Raw!P65,"Yes","No")</f>
        <v>No</v>
      </c>
      <c r="G65" s="143" t="str">
        <f>IF(Raw!Q65,"Yes","No")</f>
        <v>No</v>
      </c>
      <c r="H65" s="143" t="str">
        <f>IF(Raw!T65,"Yes","No")</f>
        <v>Yes</v>
      </c>
      <c r="I65" s="143" t="str">
        <f>IF(AND(Raw!N65,Raw!O65), "S/IS, D/O", IF(Raw!N65,"S/IS", IF(Raw!O65,"D/O","-")))</f>
        <v>S/IS</v>
      </c>
      <c r="J65" s="143" t="str">
        <f>Raw!L65</f>
        <v>USA</v>
      </c>
      <c r="K65" s="144">
        <f>IF(Processed!BN65="NA","-",ROUND(Processed!BN65*100,0))</f>
        <v>79</v>
      </c>
      <c r="L65" s="143" t="str">
        <f>VLOOKUP(Raw!F65,T$2:U$4,2,FALSE)</f>
        <v>F</v>
      </c>
      <c r="M65" s="143" t="str">
        <f>CONCATENATE(IF(Processed!F65,"2S",""),IF(Processed!W65,",3",""),IF(Processed!AG65,",4",""),IF(Processed!AQ65,",2D",""))</f>
        <v>2S,3</v>
      </c>
      <c r="N65" s="145">
        <f>IF(NOT(ISBLANK(Raw!AE65)), Raw!AE65, SUM(Raw!AL65:AT65))</f>
        <v>38</v>
      </c>
      <c r="O65" s="146" t="b">
        <f>COUNTIF(Raw!AV65:BK65, "&gt;=0") = 16</f>
        <v>0</v>
      </c>
      <c r="P65" s="146"/>
      <c r="Q65" s="146"/>
      <c r="R65" s="156"/>
      <c r="S65" s="146"/>
      <c r="T65" s="146"/>
      <c r="U65" s="146"/>
      <c r="V65" s="146" t="str">
        <f ca="1">IFERROR(__xludf.DUMMYFUNCTION("""COMPUTED_VALUE"""),"Milentijevic, Altman &amp; Ward (1995)")</f>
        <v>Milentijevic, Altman &amp; Ward (1995)</v>
      </c>
      <c r="W65" s="149" t="str">
        <f ca="1">IFERROR(__xludf.DUMMYFUNCTION("""COMPUTED_VALUE"""),"14/42")</f>
        <v>14/42</v>
      </c>
      <c r="X65" s="149" t="str">
        <f ca="1">IFERROR(__xludf.DUMMYFUNCTION("""COMPUTED_VALUE"""),"I-P")</f>
        <v>I-P</v>
      </c>
      <c r="Y65" s="149" t="str">
        <f ca="1">IFERROR(__xludf.DUMMYFUNCTION("""COMPUTED_VALUE"""),"A-CM")</f>
        <v>A-CM</v>
      </c>
      <c r="Z65" s="149" t="str">
        <f ca="1">IFERROR(__xludf.DUMMYFUNCTION("""COMPUTED_VALUE"""),"Yes")</f>
        <v>Yes</v>
      </c>
      <c r="AA65" s="149" t="str">
        <f ca="1">IFERROR(__xludf.DUMMYFUNCTION("""COMPUTED_VALUE"""),"No")</f>
        <v>No</v>
      </c>
      <c r="AB65" s="149" t="str">
        <f ca="1">IFERROR(__xludf.DUMMYFUNCTION("""COMPUTED_VALUE"""),"No")</f>
        <v>No</v>
      </c>
      <c r="AC65" s="149" t="str">
        <f ca="1">IFERROR(__xludf.DUMMYFUNCTION("""COMPUTED_VALUE"""),"D/O")</f>
        <v>D/O</v>
      </c>
      <c r="AD65" s="149" t="str">
        <f ca="1">IFERROR(__xludf.DUMMYFUNCTION("""COMPUTED_VALUE"""),"USA")</f>
        <v>USA</v>
      </c>
      <c r="AE65" s="150">
        <f ca="1">IFERROR(__xludf.DUMMYFUNCTION("""COMPUTED_VALUE"""),80)</f>
        <v>80</v>
      </c>
      <c r="AF65" s="149" t="str">
        <f ca="1">IFERROR(__xludf.DUMMYFUNCTION("""COMPUTED_VALUE"""),"F")</f>
        <v>F</v>
      </c>
      <c r="AG65" s="149" t="str">
        <f ca="1">IFERROR(__xludf.DUMMYFUNCTION("""COMPUTED_VALUE"""),"2S,4,2D")</f>
        <v>2S,4,2D</v>
      </c>
      <c r="AH65" s="151">
        <f ca="1">IFERROR(__xludf.DUMMYFUNCTION("""COMPUTED_VALUE"""),86)</f>
        <v>86</v>
      </c>
      <c r="AI65" s="149"/>
      <c r="AJ65" s="149"/>
      <c r="AK65" s="149"/>
      <c r="AL65" s="149"/>
      <c r="AM65" s="149"/>
      <c r="AN65" s="149"/>
      <c r="AO65" s="149"/>
      <c r="AP65" s="149"/>
      <c r="AQ65" s="149"/>
      <c r="AR65" s="149"/>
    </row>
    <row r="66" spans="1:44" ht="12.3">
      <c r="A66" s="142"/>
      <c r="B66" s="142" t="str">
        <f>Raw!A66</f>
        <v>Thompson, Lamb &amp; Estes (1982)</v>
      </c>
      <c r="C66" s="143" t="str">
        <f>CONCATENATE(ROUND(Raw!I66,0),"/",ROUND(Raw!J66,0))</f>
        <v>13/20</v>
      </c>
      <c r="D66" s="143" t="str">
        <f>VLOOKUP(Processed!E66,P$2:Q$10,2,FALSE)</f>
        <v>I-T</v>
      </c>
      <c r="E66" s="143" t="str">
        <f>VLOOKUP(Raw!M66,R$2:S$13,2,FALSE)</f>
        <v>A-A</v>
      </c>
      <c r="F66" s="143" t="str">
        <f>IF(Raw!P66,"Yes","No")</f>
        <v>No</v>
      </c>
      <c r="G66" s="143" t="str">
        <f>IF(Raw!Q66,"Yes","No")</f>
        <v>No</v>
      </c>
      <c r="H66" s="143" t="str">
        <f>IF(Raw!T66,"Yes","No")</f>
        <v>Yes</v>
      </c>
      <c r="I66" s="143" t="str">
        <f>IF(AND(Raw!N66,Raw!O66), "S/IS, D/O", IF(Raw!N66,"S/IS", IF(Raw!O66,"D/O","-")))</f>
        <v>S/IS</v>
      </c>
      <c r="J66" s="143" t="str">
        <f>Raw!L66</f>
        <v>USA</v>
      </c>
      <c r="K66" s="144">
        <f>IF(Processed!BN66="NA","-",ROUND(Processed!BN66*100,0))</f>
        <v>94</v>
      </c>
      <c r="L66" s="143" t="str">
        <f>VLOOKUP(Raw!F66,T$2:U$4,2,FALSE)</f>
        <v>F</v>
      </c>
      <c r="M66" s="143" t="str">
        <f>CONCATENATE(IF(Processed!F66,"2S",""),IF(Processed!W66,",3",""),IF(Processed!AG66,",4",""),IF(Processed!AQ66,",2D",""))</f>
        <v>2S,3</v>
      </c>
      <c r="N66" s="145">
        <f>IF(NOT(ISBLANK(Raw!AE66)), Raw!AE66, SUM(Raw!AL66:AT66))</f>
        <v>43</v>
      </c>
      <c r="O66" s="146" t="b">
        <f>COUNTIF(Raw!AV66:BK66, "&gt;=0") = 16</f>
        <v>0</v>
      </c>
      <c r="P66" s="146"/>
      <c r="Q66" s="146"/>
      <c r="R66" s="156"/>
      <c r="S66" s="146"/>
      <c r="T66" s="146"/>
      <c r="U66" s="146"/>
      <c r="V66" s="146" t="str">
        <f ca="1">IFERROR(__xludf.DUMMYFUNCTION("""COMPUTED_VALUE"""),"Moss et al. (2005)")</f>
        <v>Moss et al. (2005)</v>
      </c>
      <c r="W66" s="149" t="str">
        <f ca="1">IFERROR(__xludf.DUMMYFUNCTION("""COMPUTED_VALUE"""),"44/67")</f>
        <v>44/67</v>
      </c>
      <c r="X66" s="149" t="str">
        <f ca="1">IFERROR(__xludf.DUMMYFUNCTION("""COMPUTED_VALUE"""),"P-P")</f>
        <v>P-P</v>
      </c>
      <c r="Y66" s="149" t="str">
        <f ca="1">IFERROR(__xludf.DUMMYFUNCTION("""COMPUTED_VALUE"""),"CM-CM")</f>
        <v>CM-CM</v>
      </c>
      <c r="Z66" s="149" t="str">
        <f ca="1">IFERROR(__xludf.DUMMYFUNCTION("""COMPUTED_VALUE"""),"No")</f>
        <v>No</v>
      </c>
      <c r="AA66" s="149" t="str">
        <f ca="1">IFERROR(__xludf.DUMMYFUNCTION("""COMPUTED_VALUE"""),"No")</f>
        <v>No</v>
      </c>
      <c r="AB66" s="149" t="str">
        <f ca="1">IFERROR(__xludf.DUMMYFUNCTION("""COMPUTED_VALUE"""),"Yes")</f>
        <v>Yes</v>
      </c>
      <c r="AC66" s="149" t="str">
        <f ca="1">IFERROR(__xludf.DUMMYFUNCTION("""COMPUTED_VALUE"""),"S/IS")</f>
        <v>S/IS</v>
      </c>
      <c r="AD66" s="149" t="str">
        <f ca="1">IFERROR(__xludf.DUMMYFUNCTION("""COMPUTED_VALUE"""),"Canada")</f>
        <v>Canada</v>
      </c>
      <c r="AE66" s="150">
        <f ca="1">IFERROR(__xludf.DUMMYFUNCTION("""COMPUTED_VALUE"""),90)</f>
        <v>90</v>
      </c>
      <c r="AF66" s="149" t="str">
        <f ca="1">IFERROR(__xludf.DUMMYFUNCTION("""COMPUTED_VALUE"""),"F")</f>
        <v>F</v>
      </c>
      <c r="AG66" s="149" t="str">
        <f ca="1">IFERROR(__xludf.DUMMYFUNCTION("""COMPUTED_VALUE"""),"2S,4,2D")</f>
        <v>2S,4,2D</v>
      </c>
      <c r="AH66" s="151">
        <f ca="1">IFERROR(__xludf.DUMMYFUNCTION("""COMPUTED_VALUE"""),120)</f>
        <v>120</v>
      </c>
      <c r="AI66" s="149"/>
      <c r="AJ66" s="149"/>
      <c r="AK66" s="149"/>
      <c r="AL66" s="149"/>
      <c r="AM66" s="149"/>
      <c r="AN66" s="149"/>
      <c r="AO66" s="149"/>
      <c r="AP66" s="149"/>
      <c r="AQ66" s="149"/>
      <c r="AR66" s="149"/>
    </row>
    <row r="67" spans="1:44" ht="12.3">
      <c r="A67" s="142"/>
      <c r="B67" s="142" t="str">
        <f>Raw!A67</f>
        <v>Owen et al. (1984)</v>
      </c>
      <c r="C67" s="143" t="str">
        <f>CONCATENATE(ROUND(Raw!I67,0),"/",ROUND(Raw!J67,0))</f>
        <v>12/20</v>
      </c>
      <c r="D67" s="143" t="str">
        <f>VLOOKUP(Processed!E67,P$2:Q$10,2,FALSE)</f>
        <v>I-T</v>
      </c>
      <c r="E67" s="143" t="str">
        <f>VLOOKUP(Raw!M67,R$2:S$13,2,FALSE)</f>
        <v>A-A</v>
      </c>
      <c r="F67" s="143" t="str">
        <f>IF(Raw!P67,"Yes","No")</f>
        <v>No</v>
      </c>
      <c r="G67" s="143" t="str">
        <f>IF(Raw!Q67,"Yes","No")</f>
        <v>No</v>
      </c>
      <c r="H67" s="143" t="str">
        <f>IF(Raw!T67,"Yes","No")</f>
        <v>Yes</v>
      </c>
      <c r="I67" s="143" t="str">
        <f>IF(AND(Raw!N67,Raw!O67), "S/IS, D/O", IF(Raw!N67,"S/IS", IF(Raw!O67,"D/O","-")))</f>
        <v>S/IS</v>
      </c>
      <c r="J67" s="143" t="str">
        <f>Raw!L67</f>
        <v>USA</v>
      </c>
      <c r="K67" s="144">
        <f>IF(Processed!BN67="NA","-",ROUND(Processed!BN67*100,0))</f>
        <v>95</v>
      </c>
      <c r="L67" s="143" t="str">
        <f>VLOOKUP(Raw!F67,T$2:U$4,2,FALSE)</f>
        <v>F</v>
      </c>
      <c r="M67" s="143" t="str">
        <f>CONCATENATE(IF(Processed!F67,"2S",""),IF(Processed!W67,",3",""),IF(Processed!AG67,",4",""),IF(Processed!AQ67,",2D",""))</f>
        <v>2S,3</v>
      </c>
      <c r="N67" s="145">
        <f>IF(NOT(ISBLANK(Raw!AE67)), Raw!AE67, SUM(Raw!AL67:AT67))</f>
        <v>59</v>
      </c>
      <c r="O67" s="146" t="b">
        <f>COUNTIF(Raw!AV67:BK67, "&gt;=0") = 16</f>
        <v>0</v>
      </c>
      <c r="P67" s="146"/>
      <c r="Q67" s="146"/>
      <c r="R67" s="156"/>
      <c r="S67" s="146"/>
      <c r="T67" s="146"/>
      <c r="U67" s="146"/>
      <c r="V67" s="146" t="str">
        <f ca="1">IFERROR(__xludf.DUMMYFUNCTION("""COMPUTED_VALUE"""),"Nakano (1984)")</f>
        <v>Nakano (1984)</v>
      </c>
      <c r="W67" s="149" t="str">
        <f ca="1">IFERROR(__xludf.DUMMYFUNCTION("""COMPUTED_VALUE"""),"12/23")</f>
        <v>12/23</v>
      </c>
      <c r="X67" s="149" t="str">
        <f ca="1">IFERROR(__xludf.DUMMYFUNCTION("""COMPUTED_VALUE"""),"I-T")</f>
        <v>I-T</v>
      </c>
      <c r="Y67" s="149" t="str">
        <f ca="1">IFERROR(__xludf.DUMMYFUNCTION("""COMPUTED_VALUE"""),"A-A")</f>
        <v>A-A</v>
      </c>
      <c r="Z67" s="149" t="str">
        <f ca="1">IFERROR(__xludf.DUMMYFUNCTION("""COMPUTED_VALUE"""),"No")</f>
        <v>No</v>
      </c>
      <c r="AA67" s="149" t="str">
        <f ca="1">IFERROR(__xludf.DUMMYFUNCTION("""COMPUTED_VALUE"""),"No")</f>
        <v>No</v>
      </c>
      <c r="AB67" s="149" t="str">
        <f ca="1">IFERROR(__xludf.DUMMYFUNCTION("""COMPUTED_VALUE"""),"No")</f>
        <v>No</v>
      </c>
      <c r="AC67" s="149" t="str">
        <f ca="1">IFERROR(__xludf.DUMMYFUNCTION("""COMPUTED_VALUE"""),"-")</f>
        <v>-</v>
      </c>
      <c r="AD67" s="149" t="str">
        <f ca="1">IFERROR(__xludf.DUMMYFUNCTION("""COMPUTED_VALUE"""),"Japan")</f>
        <v>Japan</v>
      </c>
      <c r="AE67" s="150" t="str">
        <f ca="1">IFERROR(__xludf.DUMMYFUNCTION("""COMPUTED_VALUE"""),"")</f>
        <v/>
      </c>
      <c r="AF67" s="149" t="str">
        <f ca="1">IFERROR(__xludf.DUMMYFUNCTION("""COMPUTED_VALUE"""),"F")</f>
        <v>F</v>
      </c>
      <c r="AG67" s="149" t="str">
        <f ca="1">IFERROR(__xludf.DUMMYFUNCTION("""COMPUTED_VALUE"""),",3")</f>
        <v>,3</v>
      </c>
      <c r="AH67" s="151">
        <f ca="1">IFERROR(__xludf.DUMMYFUNCTION("""COMPUTED_VALUE"""),7)</f>
        <v>7</v>
      </c>
      <c r="AI67" s="149"/>
      <c r="AJ67" s="149"/>
      <c r="AK67" s="149"/>
      <c r="AL67" s="149"/>
      <c r="AM67" s="149"/>
      <c r="AN67" s="149"/>
      <c r="AO67" s="149"/>
      <c r="AP67" s="149"/>
      <c r="AQ67" s="149"/>
      <c r="AR67" s="149"/>
    </row>
    <row r="68" spans="1:44" ht="12.3">
      <c r="A68" s="142"/>
      <c r="B68" s="142" t="str">
        <f>Raw!A68</f>
        <v>Owen et al. (1984)</v>
      </c>
      <c r="C68" s="143" t="str">
        <f>CONCATENATE(ROUND(Raw!I68,0),"/",ROUND(Raw!J68,0))</f>
        <v>12/20</v>
      </c>
      <c r="D68" s="143" t="str">
        <f>VLOOKUP(Processed!E68,P$2:Q$10,2,FALSE)</f>
        <v>I-T</v>
      </c>
      <c r="E68" s="143" t="str">
        <f>VLOOKUP(Raw!M68,R$2:S$13,2,FALSE)</f>
        <v>A-A</v>
      </c>
      <c r="F68" s="143" t="str">
        <f>IF(Raw!P68,"Yes","No")</f>
        <v>No</v>
      </c>
      <c r="G68" s="143" t="str">
        <f>IF(Raw!Q68,"Yes","No")</f>
        <v>No</v>
      </c>
      <c r="H68" s="143" t="str">
        <f>IF(Raw!T68,"Yes","No")</f>
        <v>Yes</v>
      </c>
      <c r="I68" s="143" t="str">
        <f>IF(AND(Raw!N68,Raw!O68), "S/IS, D/O", IF(Raw!N68,"S/IS", IF(Raw!O68,"D/O","-")))</f>
        <v>S/IS</v>
      </c>
      <c r="J68" s="143" t="str">
        <f>Raw!L68</f>
        <v>USA</v>
      </c>
      <c r="K68" s="144">
        <f>IF(Processed!BN68="NA","-",ROUND(Processed!BN68*100,0))</f>
        <v>95</v>
      </c>
      <c r="L68" s="143" t="str">
        <f>VLOOKUP(Raw!F68,T$2:U$4,2,FALSE)</f>
        <v>M</v>
      </c>
      <c r="M68" s="143" t="str">
        <f>CONCATENATE(IF(Processed!F68,"2S",""),IF(Processed!W68,",3",""),IF(Processed!AG68,",4",""),IF(Processed!AQ68,",2D",""))</f>
        <v>2S,3</v>
      </c>
      <c r="N68" s="145">
        <f>IF(NOT(ISBLANK(Raw!AE68)), Raw!AE68, SUM(Raw!AL68:AT68))</f>
        <v>53</v>
      </c>
      <c r="O68" s="146" t="b">
        <f>COUNTIF(Raw!AV68:BK68, "&gt;=0") = 16</f>
        <v>0</v>
      </c>
      <c r="P68" s="146"/>
      <c r="Q68" s="146"/>
      <c r="R68" s="156"/>
      <c r="S68" s="146"/>
      <c r="T68" s="146"/>
      <c r="U68" s="146"/>
      <c r="V68" s="146" t="str">
        <f ca="1">IFERROR(__xludf.DUMMYFUNCTION("""COMPUTED_VALUE"""),"NICHD (2001)")</f>
        <v>NICHD (2001)</v>
      </c>
      <c r="W68" s="149" t="str">
        <f ca="1">IFERROR(__xludf.DUMMYFUNCTION("""COMPUTED_VALUE"""),"15/36")</f>
        <v>15/36</v>
      </c>
      <c r="X68" s="149" t="str">
        <f ca="1">IFERROR(__xludf.DUMMYFUNCTION("""COMPUTED_VALUE"""),"I-T")</f>
        <v>I-T</v>
      </c>
      <c r="Y68" s="149" t="str">
        <f ca="1">IFERROR(__xludf.DUMMYFUNCTION("""COMPUTED_VALUE"""),"A-CM")</f>
        <v>A-CM</v>
      </c>
      <c r="Z68" s="149" t="str">
        <f ca="1">IFERROR(__xludf.DUMMYFUNCTION("""COMPUTED_VALUE"""),"No")</f>
        <v>No</v>
      </c>
      <c r="AA68" s="149" t="str">
        <f ca="1">IFERROR(__xludf.DUMMYFUNCTION("""COMPUTED_VALUE"""),"No")</f>
        <v>No</v>
      </c>
      <c r="AB68" s="149" t="str">
        <f ca="1">IFERROR(__xludf.DUMMYFUNCTION("""COMPUTED_VALUE"""),"Yes")</f>
        <v>Yes</v>
      </c>
      <c r="AC68" s="149" t="str">
        <f ca="1">IFERROR(__xludf.DUMMYFUNCTION("""COMPUTED_VALUE"""),"S/IS")</f>
        <v>S/IS</v>
      </c>
      <c r="AD68" s="149" t="str">
        <f ca="1">IFERROR(__xludf.DUMMYFUNCTION("""COMPUTED_VALUE"""),"USA")</f>
        <v>USA</v>
      </c>
      <c r="AE68" s="150">
        <f ca="1">IFERROR(__xludf.DUMMYFUNCTION("""COMPUTED_VALUE"""),79)</f>
        <v>79</v>
      </c>
      <c r="AF68" s="149" t="str">
        <f ca="1">IFERROR(__xludf.DUMMYFUNCTION("""COMPUTED_VALUE"""),"F")</f>
        <v>F</v>
      </c>
      <c r="AG68" s="149" t="str">
        <f ca="1">IFERROR(__xludf.DUMMYFUNCTION("""COMPUTED_VALUE"""),"2S,4,2D")</f>
        <v>2S,4,2D</v>
      </c>
      <c r="AH68" s="151">
        <f ca="1">IFERROR(__xludf.DUMMYFUNCTION("""COMPUTED_VALUE"""),1060)</f>
        <v>1060</v>
      </c>
      <c r="AI68" s="149"/>
      <c r="AJ68" s="149"/>
      <c r="AK68" s="149"/>
      <c r="AL68" s="149"/>
      <c r="AM68" s="149"/>
      <c r="AN68" s="149"/>
      <c r="AO68" s="149"/>
      <c r="AP68" s="149"/>
      <c r="AQ68" s="149"/>
      <c r="AR68" s="149"/>
    </row>
    <row r="69" spans="1:44" ht="12.3">
      <c r="A69" s="157"/>
      <c r="B69" s="142" t="str">
        <f>Raw!A69</f>
        <v>Belsky et al. (1996)</v>
      </c>
      <c r="C69" s="143" t="str">
        <f>CONCATENATE(ROUND(Raw!I69,0),"/",ROUND(Raw!J69,0))</f>
        <v>13/20</v>
      </c>
      <c r="D69" s="143" t="str">
        <f>VLOOKUP(Processed!E69,P$2:Q$10,2,FALSE)</f>
        <v>I-T</v>
      </c>
      <c r="E69" s="143" t="str">
        <f>VLOOKUP(Raw!M69,R$2:S$13,2,FALSE)</f>
        <v>A-A</v>
      </c>
      <c r="F69" s="143" t="str">
        <f>IF(Raw!P69,"Yes","No")</f>
        <v>No</v>
      </c>
      <c r="G69" s="143" t="str">
        <f>IF(Raw!Q69,"Yes","No")</f>
        <v>No</v>
      </c>
      <c r="H69" s="143" t="str">
        <f>IF(Raw!T69,"Yes","No")</f>
        <v>Yes</v>
      </c>
      <c r="I69" s="143" t="str">
        <f>IF(AND(Raw!N69,Raw!O69), "S/IS, D/O", IF(Raw!N69,"S/IS", IF(Raw!O69,"D/O","-")))</f>
        <v>S/IS</v>
      </c>
      <c r="J69" s="143" t="str">
        <f>Raw!L69</f>
        <v>USA</v>
      </c>
      <c r="K69" s="144">
        <f>IF(Processed!BN69="NA","-",ROUND(Processed!BN69*100,0))</f>
        <v>93</v>
      </c>
      <c r="L69" s="143" t="str">
        <f>VLOOKUP(Raw!F69,T$2:U$4,2,FALSE)</f>
        <v>M</v>
      </c>
      <c r="M69" s="143" t="str">
        <f>CONCATENATE(IF(Processed!F69,"2S",""),IF(Processed!W69,",3",""),IF(Processed!AG69,",4",""),IF(Processed!AQ69,",2D",""))</f>
        <v>2S,3</v>
      </c>
      <c r="N69" s="145">
        <f>IF(NOT(ISBLANK(Raw!AE69)), Raw!AE69, SUM(Raw!AL69:AT69))</f>
        <v>120</v>
      </c>
      <c r="O69" s="146" t="b">
        <f>COUNTIF(Raw!AV69:BK69, "&gt;=0") = 16</f>
        <v>0</v>
      </c>
      <c r="P69" s="146"/>
      <c r="Q69" s="146"/>
      <c r="R69" s="156"/>
      <c r="S69" s="146"/>
      <c r="T69" s="146"/>
      <c r="U69" s="146"/>
      <c r="V69" s="146" t="str">
        <f ca="1">IFERROR(__xludf.DUMMYFUNCTION("""COMPUTED_VALUE"""),"Owen et al. (1984)")</f>
        <v>Owen et al. (1984)</v>
      </c>
      <c r="W69" s="146" t="str">
        <f ca="1">IFERROR(__xludf.DUMMYFUNCTION("""COMPUTED_VALUE"""),"12/20")</f>
        <v>12/20</v>
      </c>
      <c r="X69" s="146" t="str">
        <f ca="1">IFERROR(__xludf.DUMMYFUNCTION("""COMPUTED_VALUE"""),"I-T")</f>
        <v>I-T</v>
      </c>
      <c r="Y69" s="146" t="str">
        <f ca="1">IFERROR(__xludf.DUMMYFUNCTION("""COMPUTED_VALUE"""),"A-A")</f>
        <v>A-A</v>
      </c>
      <c r="Z69" s="146" t="str">
        <f ca="1">IFERROR(__xludf.DUMMYFUNCTION("""COMPUTED_VALUE"""),"No")</f>
        <v>No</v>
      </c>
      <c r="AA69" s="146" t="str">
        <f ca="1">IFERROR(__xludf.DUMMYFUNCTION("""COMPUTED_VALUE"""),"No")</f>
        <v>No</v>
      </c>
      <c r="AB69" s="146" t="str">
        <f ca="1">IFERROR(__xludf.DUMMYFUNCTION("""COMPUTED_VALUE"""),"Yes")</f>
        <v>Yes</v>
      </c>
      <c r="AC69" s="146" t="str">
        <f ca="1">IFERROR(__xludf.DUMMYFUNCTION("""COMPUTED_VALUE"""),"S/IS")</f>
        <v>S/IS</v>
      </c>
      <c r="AD69" s="146" t="str">
        <f ca="1">IFERROR(__xludf.DUMMYFUNCTION("""COMPUTED_VALUE"""),"USA")</f>
        <v>USA</v>
      </c>
      <c r="AE69" s="158">
        <f ca="1">IFERROR(__xludf.DUMMYFUNCTION("""COMPUTED_VALUE"""),95)</f>
        <v>95</v>
      </c>
      <c r="AF69" s="146" t="str">
        <f ca="1">IFERROR(__xludf.DUMMYFUNCTION("""COMPUTED_VALUE"""),"F")</f>
        <v>F</v>
      </c>
      <c r="AG69" s="146" t="str">
        <f ca="1">IFERROR(__xludf.DUMMYFUNCTION("""COMPUTED_VALUE"""),"2S,3")</f>
        <v>2S,3</v>
      </c>
      <c r="AH69" s="159">
        <f ca="1">IFERROR(__xludf.DUMMYFUNCTION("""COMPUTED_VALUE"""),59)</f>
        <v>59</v>
      </c>
      <c r="AI69" s="146"/>
      <c r="AJ69" s="146"/>
      <c r="AK69" s="146"/>
      <c r="AL69" s="146"/>
      <c r="AM69" s="146"/>
      <c r="AN69" s="146"/>
      <c r="AO69" s="146"/>
      <c r="AP69" s="146"/>
      <c r="AQ69" s="146"/>
      <c r="AR69" s="146"/>
    </row>
    <row r="70" spans="1:44" ht="12.3">
      <c r="A70" s="157"/>
      <c r="B70" s="142" t="str">
        <f>Raw!A70</f>
        <v>Belsky et al. (1996)</v>
      </c>
      <c r="C70" s="143" t="str">
        <f>CONCATENATE(ROUND(Raw!I70,0),"/",ROUND(Raw!J70,0))</f>
        <v>12/18</v>
      </c>
      <c r="D70" s="143" t="str">
        <f>VLOOKUP(Processed!E70,P$2:Q$10,2,FALSE)</f>
        <v>I-I</v>
      </c>
      <c r="E70" s="143" t="str">
        <f>VLOOKUP(Raw!M70,R$2:S$13,2,FALSE)</f>
        <v>A-A</v>
      </c>
      <c r="F70" s="143" t="str">
        <f>IF(Raw!P70,"Yes","No")</f>
        <v>No</v>
      </c>
      <c r="G70" s="143" t="str">
        <f>IF(Raw!Q70,"Yes","No")</f>
        <v>No</v>
      </c>
      <c r="H70" s="143" t="str">
        <f>IF(Raw!T70,"Yes","No")</f>
        <v>Yes</v>
      </c>
      <c r="I70" s="143" t="str">
        <f>IF(AND(Raw!N70,Raw!O70), "S/IS, D/O", IF(Raw!N70,"S/IS", IF(Raw!O70,"D/O","-")))</f>
        <v>S/IS</v>
      </c>
      <c r="J70" s="143" t="str">
        <f>Raw!L70</f>
        <v>USA</v>
      </c>
      <c r="K70" s="144">
        <f>IF(Processed!BN70="NA","-",ROUND(Processed!BN70*100,0))</f>
        <v>93</v>
      </c>
      <c r="L70" s="143" t="str">
        <f>VLOOKUP(Raw!F70,T$2:U$4,2,FALSE)</f>
        <v>F</v>
      </c>
      <c r="M70" s="143" t="str">
        <f>CONCATENATE(IF(Processed!F70,"2S",""),IF(Processed!W70,",3",""),IF(Processed!AG70,",4",""),IF(Processed!AQ70,",2D",""))</f>
        <v>2S,3</v>
      </c>
      <c r="N70" s="145">
        <f>IF(NOT(ISBLANK(Raw!AE70)), Raw!AE70, SUM(Raw!AL70:AT70))</f>
        <v>125</v>
      </c>
      <c r="O70" s="146" t="b">
        <f>COUNTIF(Raw!AV70:BK70, "&gt;=0") = 16</f>
        <v>0</v>
      </c>
      <c r="P70" s="146"/>
      <c r="Q70" s="146"/>
      <c r="R70" s="156"/>
      <c r="S70" s="146"/>
      <c r="T70" s="146"/>
      <c r="U70" s="146"/>
      <c r="V70" s="146" t="str">
        <f ca="1">IFERROR(__xludf.DUMMYFUNCTION("""COMPUTED_VALUE"""),"Owen et al. (1984)")</f>
        <v>Owen et al. (1984)</v>
      </c>
      <c r="W70" s="146" t="str">
        <f ca="1">IFERROR(__xludf.DUMMYFUNCTION("""COMPUTED_VALUE"""),"12/20")</f>
        <v>12/20</v>
      </c>
      <c r="X70" s="146" t="str">
        <f ca="1">IFERROR(__xludf.DUMMYFUNCTION("""COMPUTED_VALUE"""),"I-T")</f>
        <v>I-T</v>
      </c>
      <c r="Y70" s="146" t="str">
        <f ca="1">IFERROR(__xludf.DUMMYFUNCTION("""COMPUTED_VALUE"""),"A-A")</f>
        <v>A-A</v>
      </c>
      <c r="Z70" s="146" t="str">
        <f ca="1">IFERROR(__xludf.DUMMYFUNCTION("""COMPUTED_VALUE"""),"No")</f>
        <v>No</v>
      </c>
      <c r="AA70" s="146" t="str">
        <f ca="1">IFERROR(__xludf.DUMMYFUNCTION("""COMPUTED_VALUE"""),"No")</f>
        <v>No</v>
      </c>
      <c r="AB70" s="146" t="str">
        <f ca="1">IFERROR(__xludf.DUMMYFUNCTION("""COMPUTED_VALUE"""),"Yes")</f>
        <v>Yes</v>
      </c>
      <c r="AC70" s="146" t="str">
        <f ca="1">IFERROR(__xludf.DUMMYFUNCTION("""COMPUTED_VALUE"""),"S/IS")</f>
        <v>S/IS</v>
      </c>
      <c r="AD70" s="146" t="str">
        <f ca="1">IFERROR(__xludf.DUMMYFUNCTION("""COMPUTED_VALUE"""),"USA")</f>
        <v>USA</v>
      </c>
      <c r="AE70" s="158">
        <f ca="1">IFERROR(__xludf.DUMMYFUNCTION("""COMPUTED_VALUE"""),95)</f>
        <v>95</v>
      </c>
      <c r="AF70" s="146" t="str">
        <f ca="1">IFERROR(__xludf.DUMMYFUNCTION("""COMPUTED_VALUE"""),"M")</f>
        <v>M</v>
      </c>
      <c r="AG70" s="146" t="str">
        <f ca="1">IFERROR(__xludf.DUMMYFUNCTION("""COMPUTED_VALUE"""),"2S,3")</f>
        <v>2S,3</v>
      </c>
      <c r="AH70" s="159">
        <f ca="1">IFERROR(__xludf.DUMMYFUNCTION("""COMPUTED_VALUE"""),53)</f>
        <v>53</v>
      </c>
      <c r="AI70" s="146"/>
      <c r="AJ70" s="146"/>
      <c r="AK70" s="146"/>
      <c r="AL70" s="146"/>
      <c r="AM70" s="146"/>
      <c r="AN70" s="146"/>
      <c r="AO70" s="146"/>
      <c r="AP70" s="146"/>
      <c r="AQ70" s="146"/>
      <c r="AR70" s="146"/>
    </row>
    <row r="71" spans="1:44" ht="12.3">
      <c r="A71" s="157"/>
      <c r="B71" s="142" t="str">
        <f>Raw!A71</f>
        <v>Belsky et al. (1996)</v>
      </c>
      <c r="C71" s="143" t="str">
        <f>CONCATENATE(ROUND(Raw!I71,0),"/",ROUND(Raw!J71,0))</f>
        <v>12/18</v>
      </c>
      <c r="D71" s="143" t="str">
        <f>VLOOKUP(Processed!E71,P$2:Q$10,2,FALSE)</f>
        <v>I-I</v>
      </c>
      <c r="E71" s="143" t="str">
        <f>VLOOKUP(Raw!M71,R$2:S$13,2,FALSE)</f>
        <v>A-A</v>
      </c>
      <c r="F71" s="143" t="str">
        <f>IF(Raw!P71,"Yes","No")</f>
        <v>No</v>
      </c>
      <c r="G71" s="143" t="str">
        <f>IF(Raw!Q71,"Yes","No")</f>
        <v>No</v>
      </c>
      <c r="H71" s="143" t="str">
        <f>IF(Raw!T71,"Yes","No")</f>
        <v>Yes</v>
      </c>
      <c r="I71" s="143" t="str">
        <f>IF(AND(Raw!N71,Raw!O71), "S/IS, D/O", IF(Raw!N71,"S/IS", IF(Raw!O71,"D/O","-")))</f>
        <v>S/IS</v>
      </c>
      <c r="J71" s="143" t="str">
        <f>Raw!L71</f>
        <v>USA</v>
      </c>
      <c r="K71" s="144">
        <f>IF(Processed!BN71="NA","-",ROUND(Processed!BN71*100,0))</f>
        <v>96</v>
      </c>
      <c r="L71" s="143" t="str">
        <f>VLOOKUP(Raw!F71,T$2:U$4,2,FALSE)</f>
        <v>F</v>
      </c>
      <c r="M71" s="143" t="str">
        <f>CONCATENATE(IF(Processed!F71,"2S",""),IF(Processed!W71,",3",""),IF(Processed!AG71,",4",""),IF(Processed!AQ71,",2D",""))</f>
        <v>2S,3</v>
      </c>
      <c r="N71" s="145">
        <f>IF(NOT(ISBLANK(Raw!AE71)), Raw!AE71, SUM(Raw!AL71:AT71))</f>
        <v>90</v>
      </c>
      <c r="O71" s="146" t="b">
        <f>COUNTIF(Raw!AV71:BK71, "&gt;=0") = 16</f>
        <v>0</v>
      </c>
      <c r="P71" s="146"/>
      <c r="Q71" s="146"/>
      <c r="R71" s="156"/>
      <c r="S71" s="146"/>
      <c r="T71" s="146"/>
      <c r="U71" s="146"/>
      <c r="V71" s="146" t="str">
        <f ca="1">IFERROR(__xludf.DUMMYFUNCTION("""COMPUTED_VALUE"""),"Rauh et al. (2000)")</f>
        <v>Rauh et al. (2000)</v>
      </c>
      <c r="W71" s="146" t="str">
        <f ca="1">IFERROR(__xludf.DUMMYFUNCTION("""COMPUTED_VALUE"""),"12/21")</f>
        <v>12/21</v>
      </c>
      <c r="X71" s="146" t="str">
        <f ca="1">IFERROR(__xludf.DUMMYFUNCTION("""COMPUTED_VALUE"""),"I-T")</f>
        <v>I-T</v>
      </c>
      <c r="Y71" s="146" t="str">
        <f ca="1">IFERROR(__xludf.DUMMYFUNCTION("""COMPUTED_VALUE"""),"A-A")</f>
        <v>A-A</v>
      </c>
      <c r="Z71" s="146" t="str">
        <f ca="1">IFERROR(__xludf.DUMMYFUNCTION("""COMPUTED_VALUE"""),"No")</f>
        <v>No</v>
      </c>
      <c r="AA71" s="146" t="str">
        <f ca="1">IFERROR(__xludf.DUMMYFUNCTION("""COMPUTED_VALUE"""),"No")</f>
        <v>No</v>
      </c>
      <c r="AB71" s="146" t="str">
        <f ca="1">IFERROR(__xludf.DUMMYFUNCTION("""COMPUTED_VALUE"""),"Yes")</f>
        <v>Yes</v>
      </c>
      <c r="AC71" s="146" t="str">
        <f ca="1">IFERROR(__xludf.DUMMYFUNCTION("""COMPUTED_VALUE"""),"S/IS, D/O")</f>
        <v>S/IS, D/O</v>
      </c>
      <c r="AD71" s="146" t="str">
        <f ca="1">IFERROR(__xludf.DUMMYFUNCTION("""COMPUTED_VALUE"""),"Germany")</f>
        <v>Germany</v>
      </c>
      <c r="AE71" s="158">
        <f ca="1">IFERROR(__xludf.DUMMYFUNCTION("""COMPUTED_VALUE"""),94)</f>
        <v>94</v>
      </c>
      <c r="AF71" s="146" t="str">
        <f ca="1">IFERROR(__xludf.DUMMYFUNCTION("""COMPUTED_VALUE"""),"F")</f>
        <v>F</v>
      </c>
      <c r="AG71" s="146" t="str">
        <f ca="1">IFERROR(__xludf.DUMMYFUNCTION("""COMPUTED_VALUE"""),"2S,4,2D")</f>
        <v>2S,4,2D</v>
      </c>
      <c r="AH71" s="159">
        <f ca="1">IFERROR(__xludf.DUMMYFUNCTION("""COMPUTED_VALUE"""),75)</f>
        <v>75</v>
      </c>
      <c r="AI71" s="146"/>
      <c r="AJ71" s="146"/>
      <c r="AK71" s="146"/>
      <c r="AL71" s="146"/>
      <c r="AM71" s="146"/>
      <c r="AN71" s="146"/>
      <c r="AO71" s="146"/>
      <c r="AP71" s="146"/>
      <c r="AQ71" s="146"/>
      <c r="AR71" s="146"/>
    </row>
    <row r="72" spans="1:44" ht="12.3">
      <c r="A72" s="157"/>
      <c r="B72" s="142" t="str">
        <f>Raw!A72</f>
        <v>Main &amp; Weston (1981)</v>
      </c>
      <c r="C72" s="143" t="str">
        <f>CONCATENATE(ROUND(Raw!I72,0),"/",ROUND(Raw!J72,0))</f>
        <v>12/20</v>
      </c>
      <c r="D72" s="143" t="str">
        <f>VLOOKUP(Processed!E72,P$2:Q$10,2,FALSE)</f>
        <v>I-T</v>
      </c>
      <c r="E72" s="143" t="str">
        <f>VLOOKUP(Raw!M72,R$2:S$13,2,FALSE)</f>
        <v>A-A</v>
      </c>
      <c r="F72" s="143" t="str">
        <f>IF(Raw!P72,"Yes","No")</f>
        <v>No</v>
      </c>
      <c r="G72" s="143" t="str">
        <f>IF(Raw!Q72,"Yes","No")</f>
        <v>No</v>
      </c>
      <c r="H72" s="143" t="str">
        <f>IF(Raw!T72,"Yes","No")</f>
        <v>Yes</v>
      </c>
      <c r="I72" s="143" t="str">
        <f>IF(AND(Raw!N72,Raw!O72), "S/IS, D/O", IF(Raw!N72,"S/IS", IF(Raw!O72,"D/O","-")))</f>
        <v>S/IS</v>
      </c>
      <c r="J72" s="143" t="str">
        <f>Raw!L72</f>
        <v>USA</v>
      </c>
      <c r="K72" s="144">
        <f>IF(Processed!BN72="NA","-",ROUND(Processed!BN72*100,0))</f>
        <v>94</v>
      </c>
      <c r="L72" s="143" t="str">
        <f>VLOOKUP(Raw!F72,T$2:U$4,2,FALSE)</f>
        <v>F</v>
      </c>
      <c r="M72" s="143" t="str">
        <f>CONCATENATE(IF(Processed!F72,"2S",""),IF(Processed!W72,",3",""),IF(Processed!AG72,",4",""),IF(Processed!AQ72,",2D",""))</f>
        <v>2S</v>
      </c>
      <c r="N72" s="145">
        <f>IF(NOT(ISBLANK(Raw!AE72)), Raw!AE72, SUM(Raw!AL72:AT72))</f>
        <v>15</v>
      </c>
      <c r="O72" s="146" t="b">
        <f>COUNTIF(Raw!AV72:BK72, "&gt;=0") = 16</f>
        <v>0</v>
      </c>
      <c r="P72" s="146"/>
      <c r="Q72" s="146"/>
      <c r="R72" s="156"/>
      <c r="S72" s="146"/>
      <c r="T72" s="146"/>
      <c r="U72" s="146"/>
      <c r="V72" s="146" t="str">
        <f ca="1">IFERROR(__xludf.DUMMYFUNCTION("""COMPUTED_VALUE"""),"Rauh et al. (2000)")</f>
        <v>Rauh et al. (2000)</v>
      </c>
      <c r="W72" s="146" t="str">
        <f ca="1">IFERROR(__xludf.DUMMYFUNCTION("""COMPUTED_VALUE"""),"12/21")</f>
        <v>12/21</v>
      </c>
      <c r="X72" s="146" t="str">
        <f ca="1">IFERROR(__xludf.DUMMYFUNCTION("""COMPUTED_VALUE"""),"I-T")</f>
        <v>I-T</v>
      </c>
      <c r="Y72" s="146" t="str">
        <f ca="1">IFERROR(__xludf.DUMMYFUNCTION("""COMPUTED_VALUE"""),"MC-MC")</f>
        <v>MC-MC</v>
      </c>
      <c r="Z72" s="146" t="str">
        <f ca="1">IFERROR(__xludf.DUMMYFUNCTION("""COMPUTED_VALUE"""),"No")</f>
        <v>No</v>
      </c>
      <c r="AA72" s="146" t="str">
        <f ca="1">IFERROR(__xludf.DUMMYFUNCTION("""COMPUTED_VALUE"""),"No")</f>
        <v>No</v>
      </c>
      <c r="AB72" s="146" t="str">
        <f ca="1">IFERROR(__xludf.DUMMYFUNCTION("""COMPUTED_VALUE"""),"Yes")</f>
        <v>Yes</v>
      </c>
      <c r="AC72" s="146" t="str">
        <f ca="1">IFERROR(__xludf.DUMMYFUNCTION("""COMPUTED_VALUE"""),"S/IS")</f>
        <v>S/IS</v>
      </c>
      <c r="AD72" s="146" t="str">
        <f ca="1">IFERROR(__xludf.DUMMYFUNCTION("""COMPUTED_VALUE"""),"Germany")</f>
        <v>Germany</v>
      </c>
      <c r="AE72" s="158">
        <f ca="1">IFERROR(__xludf.DUMMYFUNCTION("""COMPUTED_VALUE"""),94)</f>
        <v>94</v>
      </c>
      <c r="AF72" s="146" t="str">
        <f ca="1">IFERROR(__xludf.DUMMYFUNCTION("""COMPUTED_VALUE"""),"F")</f>
        <v>F</v>
      </c>
      <c r="AG72" s="146" t="str">
        <f ca="1">IFERROR(__xludf.DUMMYFUNCTION("""COMPUTED_VALUE"""),"2S,4,2D")</f>
        <v>2S,4,2D</v>
      </c>
      <c r="AH72" s="159">
        <f ca="1">IFERROR(__xludf.DUMMYFUNCTION("""COMPUTED_VALUE"""),75)</f>
        <v>75</v>
      </c>
      <c r="AI72" s="146"/>
      <c r="AJ72" s="146"/>
      <c r="AK72" s="146"/>
      <c r="AL72" s="146"/>
      <c r="AM72" s="146"/>
      <c r="AN72" s="146"/>
      <c r="AO72" s="146"/>
      <c r="AP72" s="146"/>
      <c r="AQ72" s="146"/>
      <c r="AR72" s="146"/>
    </row>
    <row r="73" spans="1:44" ht="12.3">
      <c r="A73" s="157"/>
      <c r="B73" s="142" t="str">
        <f>Raw!A73</f>
        <v>Main &amp; Weston (1981)</v>
      </c>
      <c r="C73" s="143" t="str">
        <f>CONCATENATE(ROUND(Raw!I73,0),"/",ROUND(Raw!J73,0))</f>
        <v>12/20</v>
      </c>
      <c r="D73" s="143" t="str">
        <f>VLOOKUP(Processed!E73,P$2:Q$10,2,FALSE)</f>
        <v>I-T</v>
      </c>
      <c r="E73" s="143" t="str">
        <f>VLOOKUP(Raw!M73,R$2:S$13,2,FALSE)</f>
        <v>A-A</v>
      </c>
      <c r="F73" s="143" t="str">
        <f>IF(Raw!P73,"Yes","No")</f>
        <v>No</v>
      </c>
      <c r="G73" s="143" t="str">
        <f>IF(Raw!Q73,"Yes","No")</f>
        <v>No</v>
      </c>
      <c r="H73" s="143" t="str">
        <f>IF(Raw!T73,"Yes","No")</f>
        <v>Yes</v>
      </c>
      <c r="I73" s="143" t="str">
        <f>IF(AND(Raw!N73,Raw!O73), "S/IS, D/O", IF(Raw!N73,"S/IS", IF(Raw!O73,"D/O","-")))</f>
        <v>S/IS</v>
      </c>
      <c r="J73" s="143" t="str">
        <f>Raw!L73</f>
        <v>USA</v>
      </c>
      <c r="K73" s="144">
        <f>IF(Processed!BN73="NA","-",ROUND(Processed!BN73*100,0))</f>
        <v>94</v>
      </c>
      <c r="L73" s="143" t="str">
        <f>VLOOKUP(Raw!F73,T$2:U$4,2,FALSE)</f>
        <v>M</v>
      </c>
      <c r="M73" s="143" t="str">
        <f>CONCATENATE(IF(Processed!F73,"2S",""),IF(Processed!W73,",3",""),IF(Processed!AG73,",4",""),IF(Processed!AQ73,",2D",""))</f>
        <v>2S</v>
      </c>
      <c r="N73" s="145">
        <f>IF(NOT(ISBLANK(Raw!AE73)), Raw!AE73, SUM(Raw!AL73:AT73))</f>
        <v>15</v>
      </c>
      <c r="O73" s="146" t="b">
        <f>COUNTIF(Raw!AV73:BK73, "&gt;=0") = 16</f>
        <v>0</v>
      </c>
      <c r="P73" s="146"/>
      <c r="Q73" s="146"/>
      <c r="R73" s="156"/>
      <c r="S73" s="146"/>
      <c r="T73" s="146"/>
      <c r="U73" s="146"/>
      <c r="V73" s="146" t="str">
        <f ca="1">IFERROR(__xludf.DUMMYFUNCTION("""COMPUTED_VALUE"""),"Rauh et al. (2000)")</f>
        <v>Rauh et al. (2000)</v>
      </c>
      <c r="W73" s="146" t="str">
        <f ca="1">IFERROR(__xludf.DUMMYFUNCTION("""COMPUTED_VALUE"""),"12/21")</f>
        <v>12/21</v>
      </c>
      <c r="X73" s="146" t="str">
        <f ca="1">IFERROR(__xludf.DUMMYFUNCTION("""COMPUTED_VALUE"""),"I-T")</f>
        <v>I-T</v>
      </c>
      <c r="Y73" s="146" t="str">
        <f ca="1">IFERROR(__xludf.DUMMYFUNCTION("""COMPUTED_VALUE"""),"MC-A")</f>
        <v>MC-A</v>
      </c>
      <c r="Z73" s="146" t="str">
        <f ca="1">IFERROR(__xludf.DUMMYFUNCTION("""COMPUTED_VALUE"""),"No")</f>
        <v>No</v>
      </c>
      <c r="AA73" s="146" t="str">
        <f ca="1">IFERROR(__xludf.DUMMYFUNCTION("""COMPUTED_VALUE"""),"No")</f>
        <v>No</v>
      </c>
      <c r="AB73" s="146" t="str">
        <f ca="1">IFERROR(__xludf.DUMMYFUNCTION("""COMPUTED_VALUE"""),"Yes")</f>
        <v>Yes</v>
      </c>
      <c r="AC73" s="146" t="str">
        <f ca="1">IFERROR(__xludf.DUMMYFUNCTION("""COMPUTED_VALUE"""),"S/IS")</f>
        <v>S/IS</v>
      </c>
      <c r="AD73" s="146" t="str">
        <f ca="1">IFERROR(__xludf.DUMMYFUNCTION("""COMPUTED_VALUE"""),"Germany")</f>
        <v>Germany</v>
      </c>
      <c r="AE73" s="158">
        <f ca="1">IFERROR(__xludf.DUMMYFUNCTION("""COMPUTED_VALUE"""),94)</f>
        <v>94</v>
      </c>
      <c r="AF73" s="146" t="str">
        <f ca="1">IFERROR(__xludf.DUMMYFUNCTION("""COMPUTED_VALUE"""),"F")</f>
        <v>F</v>
      </c>
      <c r="AG73" s="146" t="str">
        <f ca="1">IFERROR(__xludf.DUMMYFUNCTION("""COMPUTED_VALUE"""),"2S,4,2D")</f>
        <v>2S,4,2D</v>
      </c>
      <c r="AH73" s="159">
        <f ca="1">IFERROR(__xludf.DUMMYFUNCTION("""COMPUTED_VALUE"""),75)</f>
        <v>75</v>
      </c>
      <c r="AI73" s="146"/>
      <c r="AJ73" s="146"/>
      <c r="AK73" s="146"/>
      <c r="AL73" s="146"/>
      <c r="AM73" s="146"/>
      <c r="AN73" s="146"/>
      <c r="AO73" s="146"/>
      <c r="AP73" s="146"/>
      <c r="AQ73" s="146"/>
      <c r="AR73" s="146"/>
    </row>
    <row r="74" spans="1:44" ht="21">
      <c r="A74" s="157"/>
      <c r="B74" s="142" t="str">
        <f>Raw!A74</f>
        <v>Meins, Bureau &amp; Fernyhough (2017)</v>
      </c>
      <c r="C74" s="143" t="str">
        <f>CONCATENATE(ROUND(Raw!I74,0),"/",ROUND(Raw!J74,0))</f>
        <v>15/44</v>
      </c>
      <c r="D74" s="143" t="str">
        <f>VLOOKUP(Processed!E74,P$2:Q$10,2,FALSE)</f>
        <v>I-P</v>
      </c>
      <c r="E74" s="143" t="str">
        <f>VLOOKUP(Raw!M74,R$2:S$13,2,FALSE)</f>
        <v>A-CM</v>
      </c>
      <c r="F74" s="143" t="str">
        <f>IF(Raw!P74,"Yes","No")</f>
        <v>No</v>
      </c>
      <c r="G74" s="143" t="str">
        <f>IF(Raw!Q74,"Yes","No")</f>
        <v>No</v>
      </c>
      <c r="H74" s="143" t="str">
        <f>IF(Raw!T74,"Yes","No")</f>
        <v>Yes</v>
      </c>
      <c r="I74" s="143" t="str">
        <f>IF(AND(Raw!N74,Raw!O74), "S/IS, D/O", IF(Raw!N74,"S/IS", IF(Raw!O74,"D/O","-")))</f>
        <v>-</v>
      </c>
      <c r="J74" s="143" t="str">
        <f>Raw!L74</f>
        <v>UK</v>
      </c>
      <c r="K74" s="144">
        <f>IF(Processed!BN74="NA","-",ROUND(Processed!BN74*100,0))</f>
        <v>88</v>
      </c>
      <c r="L74" s="143" t="str">
        <f>VLOOKUP(Raw!F74,T$2:U$4,2,FALSE)</f>
        <v>F</v>
      </c>
      <c r="M74" s="143" t="str">
        <f>CONCATENATE(IF(Processed!F74,"2S",""),IF(Processed!W74,",3",""),IF(Processed!AG74,",4",""),IF(Processed!AQ74,",2D",""))</f>
        <v>2S,4,2D</v>
      </c>
      <c r="N74" s="145">
        <f>IF(NOT(ISBLANK(Raw!AE74)), Raw!AE74, SUM(Raw!AL74:AT74))</f>
        <v>164</v>
      </c>
      <c r="O74" s="146" t="b">
        <f>COUNTIF(Raw!AV74:BK74, "&gt;=0") = 16</f>
        <v>1</v>
      </c>
      <c r="P74" s="146"/>
      <c r="Q74" s="146"/>
      <c r="R74" s="156"/>
      <c r="S74" s="146"/>
      <c r="T74" s="146"/>
      <c r="U74" s="146"/>
      <c r="V74" s="146" t="str">
        <f ca="1">IFERROR(__xludf.DUMMYFUNCTION("""COMPUTED_VALUE"""),"Rauh et al. (2000)")</f>
        <v>Rauh et al. (2000)</v>
      </c>
      <c r="W74" s="146" t="str">
        <f ca="1">IFERROR(__xludf.DUMMYFUNCTION("""COMPUTED_VALUE"""),"12/21")</f>
        <v>12/21</v>
      </c>
      <c r="X74" s="146" t="str">
        <f ca="1">IFERROR(__xludf.DUMMYFUNCTION("""COMPUTED_VALUE"""),"I-T")</f>
        <v>I-T</v>
      </c>
      <c r="Y74" s="146" t="str">
        <f ca="1">IFERROR(__xludf.DUMMYFUNCTION("""COMPUTED_VALUE"""),"A-MC")</f>
        <v>A-MC</v>
      </c>
      <c r="Z74" s="146" t="str">
        <f ca="1">IFERROR(__xludf.DUMMYFUNCTION("""COMPUTED_VALUE"""),"No")</f>
        <v>No</v>
      </c>
      <c r="AA74" s="146" t="str">
        <f ca="1">IFERROR(__xludf.DUMMYFUNCTION("""COMPUTED_VALUE"""),"No")</f>
        <v>No</v>
      </c>
      <c r="AB74" s="146" t="str">
        <f ca="1">IFERROR(__xludf.DUMMYFUNCTION("""COMPUTED_VALUE"""),"Yes")</f>
        <v>Yes</v>
      </c>
      <c r="AC74" s="146" t="str">
        <f ca="1">IFERROR(__xludf.DUMMYFUNCTION("""COMPUTED_VALUE"""),"S/IS")</f>
        <v>S/IS</v>
      </c>
      <c r="AD74" s="146" t="str">
        <f ca="1">IFERROR(__xludf.DUMMYFUNCTION("""COMPUTED_VALUE"""),"Germany")</f>
        <v>Germany</v>
      </c>
      <c r="AE74" s="158">
        <f ca="1">IFERROR(__xludf.DUMMYFUNCTION("""COMPUTED_VALUE"""),94)</f>
        <v>94</v>
      </c>
      <c r="AF74" s="146" t="str">
        <f ca="1">IFERROR(__xludf.DUMMYFUNCTION("""COMPUTED_VALUE"""),"F")</f>
        <v>F</v>
      </c>
      <c r="AG74" s="146" t="str">
        <f ca="1">IFERROR(__xludf.DUMMYFUNCTION("""COMPUTED_VALUE"""),"2S,4,2D")</f>
        <v>2S,4,2D</v>
      </c>
      <c r="AH74" s="159">
        <f ca="1">IFERROR(__xludf.DUMMYFUNCTION("""COMPUTED_VALUE"""),75)</f>
        <v>75</v>
      </c>
      <c r="AI74" s="146"/>
      <c r="AJ74" s="146"/>
      <c r="AK74" s="146"/>
      <c r="AL74" s="146"/>
      <c r="AM74" s="146"/>
      <c r="AN74" s="146"/>
      <c r="AO74" s="146"/>
      <c r="AP74" s="146"/>
      <c r="AQ74" s="146"/>
      <c r="AR74" s="146"/>
    </row>
    <row r="75" spans="1:44" ht="21">
      <c r="A75" s="157"/>
      <c r="B75" s="142" t="str">
        <f>Raw!A75</f>
        <v>Meins, Bureau &amp; Fernyhough (2017)</v>
      </c>
      <c r="C75" s="143" t="str">
        <f>CONCATENATE(ROUND(Raw!I75,0),"/",ROUND(Raw!J75,0))</f>
        <v>15/51</v>
      </c>
      <c r="D75" s="143" t="str">
        <f>VLOOKUP(Processed!E75,P$2:Q$10,2,FALSE)</f>
        <v>I-P</v>
      </c>
      <c r="E75" s="143" t="str">
        <f>VLOOKUP(Raw!M75,R$2:S$13,2,FALSE)</f>
        <v>A-CM</v>
      </c>
      <c r="F75" s="143" t="str">
        <f>IF(Raw!P75,"Yes","No")</f>
        <v>No</v>
      </c>
      <c r="G75" s="143" t="str">
        <f>IF(Raw!Q75,"Yes","No")</f>
        <v>No</v>
      </c>
      <c r="H75" s="143" t="str">
        <f>IF(Raw!T75,"Yes","No")</f>
        <v>Yes</v>
      </c>
      <c r="I75" s="143" t="str">
        <f>IF(AND(Raw!N75,Raw!O75), "S/IS, D/O", IF(Raw!N75,"S/IS", IF(Raw!O75,"D/O","-")))</f>
        <v>-</v>
      </c>
      <c r="J75" s="143" t="str">
        <f>Raw!L75</f>
        <v>UK</v>
      </c>
      <c r="K75" s="144">
        <f>IF(Processed!BN75="NA","-",ROUND(Processed!BN75*100,0))</f>
        <v>87</v>
      </c>
      <c r="L75" s="143" t="str">
        <f>VLOOKUP(Raw!F75,T$2:U$4,2,FALSE)</f>
        <v>F</v>
      </c>
      <c r="M75" s="143" t="str">
        <f>CONCATENATE(IF(Processed!F75,"2S",""),IF(Processed!W75,",3",""),IF(Processed!AG75,",4",""),IF(Processed!AQ75,",2D",""))</f>
        <v>2S,4,2D</v>
      </c>
      <c r="N75" s="145">
        <f>IF(NOT(ISBLANK(Raw!AE75)), Raw!AE75, SUM(Raw!AL75:AT75))</f>
        <v>128</v>
      </c>
      <c r="O75" s="146" t="b">
        <f>COUNTIF(Raw!AV75:BK75, "&gt;=0") = 16</f>
        <v>1</v>
      </c>
      <c r="P75" s="146"/>
      <c r="Q75" s="146"/>
      <c r="R75" s="156"/>
      <c r="S75" s="146"/>
      <c r="T75" s="146"/>
      <c r="U75" s="146"/>
      <c r="V75" s="146" t="str">
        <f ca="1">IFERROR(__xludf.DUMMYFUNCTION("""COMPUTED_VALUE"""),"Rauh et al. (2000)")</f>
        <v>Rauh et al. (2000)</v>
      </c>
      <c r="W75" s="146" t="str">
        <f ca="1">IFERROR(__xludf.DUMMYFUNCTION("""COMPUTED_VALUE"""),"12/21")</f>
        <v>12/21</v>
      </c>
      <c r="X75" s="146" t="str">
        <f ca="1">IFERROR(__xludf.DUMMYFUNCTION("""COMPUTED_VALUE"""),"I-T")</f>
        <v>I-T</v>
      </c>
      <c r="Y75" s="146" t="str">
        <f ca="1">IFERROR(__xludf.DUMMYFUNCTION("""COMPUTED_VALUE"""),"MC-C")</f>
        <v>MC-C</v>
      </c>
      <c r="Z75" s="146" t="str">
        <f ca="1">IFERROR(__xludf.DUMMYFUNCTION("""COMPUTED_VALUE"""),"No")</f>
        <v>No</v>
      </c>
      <c r="AA75" s="146" t="str">
        <f ca="1">IFERROR(__xludf.DUMMYFUNCTION("""COMPUTED_VALUE"""),"No")</f>
        <v>No</v>
      </c>
      <c r="AB75" s="146" t="str">
        <f ca="1">IFERROR(__xludf.DUMMYFUNCTION("""COMPUTED_VALUE"""),"Yes")</f>
        <v>Yes</v>
      </c>
      <c r="AC75" s="146" t="str">
        <f ca="1">IFERROR(__xludf.DUMMYFUNCTION("""COMPUTED_VALUE"""),"S/IS")</f>
        <v>S/IS</v>
      </c>
      <c r="AD75" s="146" t="str">
        <f ca="1">IFERROR(__xludf.DUMMYFUNCTION("""COMPUTED_VALUE"""),"Germany")</f>
        <v>Germany</v>
      </c>
      <c r="AE75" s="158">
        <f ca="1">IFERROR(__xludf.DUMMYFUNCTION("""COMPUTED_VALUE"""),94)</f>
        <v>94</v>
      </c>
      <c r="AF75" s="146" t="str">
        <f ca="1">IFERROR(__xludf.DUMMYFUNCTION("""COMPUTED_VALUE"""),"F")</f>
        <v>F</v>
      </c>
      <c r="AG75" s="146" t="str">
        <f ca="1">IFERROR(__xludf.DUMMYFUNCTION("""COMPUTED_VALUE"""),"2S,4,2D")</f>
        <v>2S,4,2D</v>
      </c>
      <c r="AH75" s="159">
        <f ca="1">IFERROR(__xludf.DUMMYFUNCTION("""COMPUTED_VALUE"""),75)</f>
        <v>75</v>
      </c>
      <c r="AI75" s="146"/>
      <c r="AJ75" s="146"/>
      <c r="AK75" s="146"/>
      <c r="AL75" s="146"/>
      <c r="AM75" s="146"/>
      <c r="AN75" s="146"/>
      <c r="AO75" s="146"/>
      <c r="AP75" s="146"/>
      <c r="AQ75" s="146"/>
      <c r="AR75" s="146"/>
    </row>
    <row r="76" spans="1:44" ht="12.3">
      <c r="A76" s="157"/>
      <c r="B76" s="142" t="str">
        <f>Raw!A76</f>
        <v>Waters (1978)</v>
      </c>
      <c r="C76" s="143" t="str">
        <f>CONCATENATE(ROUND(Raw!I76,0),"/",ROUND(Raw!J76,0))</f>
        <v>12/18</v>
      </c>
      <c r="D76" s="143" t="str">
        <f>VLOOKUP(Processed!E76,P$2:Q$10,2,FALSE)</f>
        <v>I-I</v>
      </c>
      <c r="E76" s="143" t="str">
        <f>VLOOKUP(Raw!M76,R$2:S$13,2,FALSE)</f>
        <v>A-A</v>
      </c>
      <c r="F76" s="143" t="str">
        <f>IF(Raw!P76,"Yes","No")</f>
        <v>No</v>
      </c>
      <c r="G76" s="143" t="str">
        <f>IF(Raw!Q76,"Yes","No")</f>
        <v>No</v>
      </c>
      <c r="H76" s="143" t="str">
        <f>IF(Raw!T76,"Yes","No")</f>
        <v>Yes</v>
      </c>
      <c r="I76" s="143" t="str">
        <f>IF(AND(Raw!N76,Raw!O76), "S/IS, D/O", IF(Raw!N76,"S/IS", IF(Raw!O76,"D/O","-")))</f>
        <v>S/IS</v>
      </c>
      <c r="J76" s="143" t="str">
        <f>Raw!L76</f>
        <v>USA</v>
      </c>
      <c r="K76" s="144">
        <f>IF(Processed!BN76="NA","-",ROUND(Processed!BN76*100,0))</f>
        <v>92</v>
      </c>
      <c r="L76" s="143" t="str">
        <f>VLOOKUP(Raw!F76,T$2:U$4,2,FALSE)</f>
        <v>F</v>
      </c>
      <c r="M76" s="143" t="str">
        <f>CONCATENATE(IF(Processed!F76,"2S",""),IF(Processed!W76,",3",""),IF(Processed!AG76,",4",""),IF(Processed!AQ76,",2D",""))</f>
        <v>2S,3</v>
      </c>
      <c r="N76" s="143">
        <f>IF(NOT(ISBLANK(Raw!AE76)), Raw!AE76, SUM(Raw!AL76:AT76))</f>
        <v>50</v>
      </c>
      <c r="O76" s="146" t="b">
        <f>COUNTIF(Raw!AV76:BK76, "&gt;=0") = 16</f>
        <v>0</v>
      </c>
      <c r="P76" s="146"/>
      <c r="Q76" s="146"/>
      <c r="R76" s="156"/>
      <c r="S76" s="146"/>
      <c r="T76" s="146"/>
      <c r="U76" s="146"/>
      <c r="V76" s="146" t="str">
        <f ca="1">IFERROR(__xludf.DUMMYFUNCTION("""COMPUTED_VALUE"""),"Rauh et al. (2000)")</f>
        <v>Rauh et al. (2000)</v>
      </c>
      <c r="W76" s="146" t="str">
        <f ca="1">IFERROR(__xludf.DUMMYFUNCTION("""COMPUTED_VALUE"""),"12/21")</f>
        <v>12/21</v>
      </c>
      <c r="X76" s="146" t="str">
        <f ca="1">IFERROR(__xludf.DUMMYFUNCTION("""COMPUTED_VALUE"""),"I-T")</f>
        <v>I-T</v>
      </c>
      <c r="Y76" s="146" t="str">
        <f ca="1">IFERROR(__xludf.DUMMYFUNCTION("""COMPUTED_VALUE"""),"A-CM")</f>
        <v>A-CM</v>
      </c>
      <c r="Z76" s="146" t="str">
        <f ca="1">IFERROR(__xludf.DUMMYFUNCTION("""COMPUTED_VALUE"""),"No")</f>
        <v>No</v>
      </c>
      <c r="AA76" s="146" t="str">
        <f ca="1">IFERROR(__xludf.DUMMYFUNCTION("""COMPUTED_VALUE"""),"No")</f>
        <v>No</v>
      </c>
      <c r="AB76" s="146" t="str">
        <f ca="1">IFERROR(__xludf.DUMMYFUNCTION("""COMPUTED_VALUE"""),"Yes")</f>
        <v>Yes</v>
      </c>
      <c r="AC76" s="146" t="str">
        <f ca="1">IFERROR(__xludf.DUMMYFUNCTION("""COMPUTED_VALUE"""),"S/IS")</f>
        <v>S/IS</v>
      </c>
      <c r="AD76" s="146" t="str">
        <f ca="1">IFERROR(__xludf.DUMMYFUNCTION("""COMPUTED_VALUE"""),"Germany")</f>
        <v>Germany</v>
      </c>
      <c r="AE76" s="158">
        <f ca="1">IFERROR(__xludf.DUMMYFUNCTION("""COMPUTED_VALUE"""),94)</f>
        <v>94</v>
      </c>
      <c r="AF76" s="146" t="str">
        <f ca="1">IFERROR(__xludf.DUMMYFUNCTION("""COMPUTED_VALUE"""),"F")</f>
        <v>F</v>
      </c>
      <c r="AG76" s="146" t="str">
        <f ca="1">IFERROR(__xludf.DUMMYFUNCTION("""COMPUTED_VALUE"""),"2S,4,2D")</f>
        <v>2S,4,2D</v>
      </c>
      <c r="AH76" s="159">
        <f ca="1">IFERROR(__xludf.DUMMYFUNCTION("""COMPUTED_VALUE"""),75)</f>
        <v>75</v>
      </c>
      <c r="AI76" s="146"/>
      <c r="AJ76" s="146"/>
      <c r="AK76" s="146"/>
      <c r="AL76" s="146"/>
      <c r="AM76" s="146"/>
      <c r="AN76" s="146"/>
      <c r="AO76" s="146"/>
      <c r="AP76" s="146"/>
      <c r="AQ76" s="146"/>
      <c r="AR76" s="146"/>
    </row>
    <row r="77" spans="1:44" ht="12.3">
      <c r="A77" s="157"/>
      <c r="B77" s="142" t="str">
        <f>Raw!A77</f>
        <v>Lyons-Ruth et al. (1991)</v>
      </c>
      <c r="C77" s="143" t="str">
        <f>CONCATENATE(ROUND(Raw!I77,0),"/",ROUND(Raw!J77,0))</f>
        <v>12/18</v>
      </c>
      <c r="D77" s="143" t="str">
        <f>VLOOKUP(Processed!E77,P$2:Q$10,2,FALSE)</f>
        <v>I-I</v>
      </c>
      <c r="E77" s="143" t="str">
        <f>VLOOKUP(Raw!M77,R$2:S$13,2,FALSE)</f>
        <v>A-A</v>
      </c>
      <c r="F77" s="143" t="str">
        <f>IF(Raw!P77,"Yes","No")</f>
        <v>Yes</v>
      </c>
      <c r="G77" s="143" t="str">
        <f>IF(Raw!Q77,"Yes","No")</f>
        <v>No</v>
      </c>
      <c r="H77" s="143" t="str">
        <f>IF(Raw!T77,"Yes","No")</f>
        <v>Yes</v>
      </c>
      <c r="I77" s="143" t="str">
        <f>IF(AND(Raw!N77,Raw!O77), "S/IS, D/O", IF(Raw!N77,"S/IS", IF(Raw!O77,"D/O","-")))</f>
        <v>S/IS, D/O</v>
      </c>
      <c r="J77" s="143" t="str">
        <f>Raw!L77</f>
        <v>USA</v>
      </c>
      <c r="K77" s="144">
        <f>IF(Processed!BN77="NA","-",ROUND(Processed!BN77*100,0))</f>
        <v>86</v>
      </c>
      <c r="L77" s="143" t="str">
        <f>VLOOKUP(Raw!F77,T$2:U$4,2,FALSE)</f>
        <v>F</v>
      </c>
      <c r="M77" s="143" t="str">
        <f>CONCATENATE(IF(Processed!F77,"2S",""),IF(Processed!W77,",3",""),IF(Processed!AG77,",4",""),IF(Processed!AQ77,",2D",""))</f>
        <v>2S</v>
      </c>
      <c r="N77" s="143">
        <f>IF(NOT(ISBLANK(Raw!AE77)), Raw!AE77, SUM(Raw!AL77:AT77))</f>
        <v>46</v>
      </c>
      <c r="O77" s="146" t="b">
        <f>COUNTIF(Raw!AV77:BK77, "&gt;=0") = 16</f>
        <v>0</v>
      </c>
      <c r="P77" s="146"/>
      <c r="Q77" s="146"/>
      <c r="R77" s="156"/>
      <c r="S77" s="146"/>
      <c r="T77" s="146"/>
      <c r="U77" s="146"/>
      <c r="V77" s="146" t="str">
        <f ca="1">IFERROR(__xludf.DUMMYFUNCTION("""COMPUTED_VALUE"""),"Schneider-Rosen et al. (1985) ")</f>
        <v xml:space="preserve">Schneider-Rosen et al. (1985) </v>
      </c>
      <c r="W77" s="146" t="str">
        <f ca="1">IFERROR(__xludf.DUMMYFUNCTION("""COMPUTED_VALUE"""),"12/18")</f>
        <v>12/18</v>
      </c>
      <c r="X77" s="146" t="str">
        <f ca="1">IFERROR(__xludf.DUMMYFUNCTION("""COMPUTED_VALUE"""),"I-I")</f>
        <v>I-I</v>
      </c>
      <c r="Y77" s="146" t="str">
        <f ca="1">IFERROR(__xludf.DUMMYFUNCTION("""COMPUTED_VALUE"""),"A-A")</f>
        <v>A-A</v>
      </c>
      <c r="Z77" s="146" t="str">
        <f ca="1">IFERROR(__xludf.DUMMYFUNCTION("""COMPUTED_VALUE"""),"No")</f>
        <v>No</v>
      </c>
      <c r="AA77" s="146" t="str">
        <f ca="1">IFERROR(__xludf.DUMMYFUNCTION("""COMPUTED_VALUE"""),"No")</f>
        <v>No</v>
      </c>
      <c r="AB77" s="146" t="str">
        <f ca="1">IFERROR(__xludf.DUMMYFUNCTION("""COMPUTED_VALUE"""),"Yes")</f>
        <v>Yes</v>
      </c>
      <c r="AC77" s="146" t="str">
        <f ca="1">IFERROR(__xludf.DUMMYFUNCTION("""COMPUTED_VALUE"""),"S/IS")</f>
        <v>S/IS</v>
      </c>
      <c r="AD77" s="146" t="str">
        <f ca="1">IFERROR(__xludf.DUMMYFUNCTION("""COMPUTED_VALUE"""),"USA")</f>
        <v>USA</v>
      </c>
      <c r="AE77" s="158">
        <f ca="1">IFERROR(__xludf.DUMMYFUNCTION("""COMPUTED_VALUE"""),90)</f>
        <v>90</v>
      </c>
      <c r="AF77" s="146" t="str">
        <f ca="1">IFERROR(__xludf.DUMMYFUNCTION("""COMPUTED_VALUE"""),"M,F")</f>
        <v>M,F</v>
      </c>
      <c r="AG77" s="146" t="str">
        <f ca="1">IFERROR(__xludf.DUMMYFUNCTION("""COMPUTED_VALUE"""),"2S,3")</f>
        <v>2S,3</v>
      </c>
      <c r="AH77" s="159">
        <f ca="1">IFERROR(__xludf.DUMMYFUNCTION("""COMPUTED_VALUE"""),17)</f>
        <v>17</v>
      </c>
      <c r="AI77" s="146"/>
      <c r="AJ77" s="146"/>
      <c r="AK77" s="146"/>
      <c r="AL77" s="146"/>
      <c r="AM77" s="146"/>
      <c r="AN77" s="146"/>
      <c r="AO77" s="146"/>
      <c r="AP77" s="146"/>
      <c r="AQ77" s="146"/>
      <c r="AR77" s="146"/>
    </row>
    <row r="78" spans="1:44" ht="12.3">
      <c r="A78" s="157"/>
      <c r="B78" s="142" t="str">
        <f>Raw!A78</f>
        <v>Ziegenhain &amp; Wolff (2000)</v>
      </c>
      <c r="C78" s="143" t="str">
        <f>CONCATENATE(ROUND(Raw!I78,0),"/",ROUND(Raw!J78,0))</f>
        <v>12/18</v>
      </c>
      <c r="D78" s="143" t="str">
        <f>VLOOKUP(Processed!E78,P$2:Q$10,2,FALSE)</f>
        <v>I-I</v>
      </c>
      <c r="E78" s="143" t="str">
        <f>VLOOKUP(Raw!M78,R$2:S$13,2,FALSE)</f>
        <v>A-A</v>
      </c>
      <c r="F78" s="143" t="str">
        <f>IF(Raw!P78,"Yes","No")</f>
        <v>No</v>
      </c>
      <c r="G78" s="143" t="str">
        <f>IF(Raw!Q78,"Yes","No")</f>
        <v>No</v>
      </c>
      <c r="H78" s="143" t="str">
        <f>IF(Raw!T78,"Yes","No")</f>
        <v>Yes</v>
      </c>
      <c r="I78" s="143" t="str">
        <f>IF(AND(Raw!N78,Raw!O78), "S/IS, D/O", IF(Raw!N78,"S/IS", IF(Raw!O78,"D/O","-")))</f>
        <v>S/IS</v>
      </c>
      <c r="J78" s="143" t="str">
        <f>Raw!L78</f>
        <v>Germany</v>
      </c>
      <c r="K78" s="144" t="str">
        <f>IF(Processed!BN78="NA","-",ROUND(Processed!BN78*100,0))</f>
        <v>-</v>
      </c>
      <c r="L78" s="143" t="str">
        <f>VLOOKUP(Raw!F78,T$2:U$4,2,FALSE)</f>
        <v>F</v>
      </c>
      <c r="M78" s="143" t="str">
        <f>CONCATENATE(IF(Processed!F78,"2S",""),IF(Processed!W78,",3",""),IF(Processed!AG78,",4",""),IF(Processed!AQ78,",2D",""))</f>
        <v>2S,4,2D</v>
      </c>
      <c r="N78" s="143">
        <f>IF(NOT(ISBLANK(Raw!AE78)), Raw!AE78, SUM(Raw!AL78:AT78))</f>
        <v>35</v>
      </c>
      <c r="O78" s="146" t="b">
        <f>COUNTIF(Raw!AV78:BK78, "&gt;=0") = 16</f>
        <v>1</v>
      </c>
      <c r="P78" s="146"/>
      <c r="Q78" s="146"/>
      <c r="R78" s="156"/>
      <c r="S78" s="146"/>
      <c r="T78" s="146"/>
      <c r="U78" s="146"/>
      <c r="V78" s="146" t="str">
        <f ca="1">IFERROR(__xludf.DUMMYFUNCTION("""COMPUTED_VALUE"""),"Schneider-Rosen et al. (1985) ")</f>
        <v xml:space="preserve">Schneider-Rosen et al. (1985) </v>
      </c>
      <c r="W78" s="146" t="str">
        <f ca="1">IFERROR(__xludf.DUMMYFUNCTION("""COMPUTED_VALUE"""),"12/18")</f>
        <v>12/18</v>
      </c>
      <c r="X78" s="146" t="str">
        <f ca="1">IFERROR(__xludf.DUMMYFUNCTION("""COMPUTED_VALUE"""),"I-I")</f>
        <v>I-I</v>
      </c>
      <c r="Y78" s="146" t="str">
        <f ca="1">IFERROR(__xludf.DUMMYFUNCTION("""COMPUTED_VALUE"""),"A-A")</f>
        <v>A-A</v>
      </c>
      <c r="Z78" s="146" t="str">
        <f ca="1">IFERROR(__xludf.DUMMYFUNCTION("""COMPUTED_VALUE"""),"No")</f>
        <v>No</v>
      </c>
      <c r="AA78" s="146" t="str">
        <f ca="1">IFERROR(__xludf.DUMMYFUNCTION("""COMPUTED_VALUE"""),"No")</f>
        <v>No</v>
      </c>
      <c r="AB78" s="146" t="str">
        <f ca="1">IFERROR(__xludf.DUMMYFUNCTION("""COMPUTED_VALUE"""),"Yes")</f>
        <v>Yes</v>
      </c>
      <c r="AC78" s="146" t="str">
        <f ca="1">IFERROR(__xludf.DUMMYFUNCTION("""COMPUTED_VALUE"""),"S/IS")</f>
        <v>S/IS</v>
      </c>
      <c r="AD78" s="146" t="str">
        <f ca="1">IFERROR(__xludf.DUMMYFUNCTION("""COMPUTED_VALUE"""),"USA")</f>
        <v>USA</v>
      </c>
      <c r="AE78" s="158">
        <f ca="1">IFERROR(__xludf.DUMMYFUNCTION("""COMPUTED_VALUE"""),91)</f>
        <v>91</v>
      </c>
      <c r="AF78" s="146" t="str">
        <f ca="1">IFERROR(__xludf.DUMMYFUNCTION("""COMPUTED_VALUE"""),"M,F")</f>
        <v>M,F</v>
      </c>
      <c r="AG78" s="146" t="str">
        <f ca="1">IFERROR(__xludf.DUMMYFUNCTION("""COMPUTED_VALUE"""),"2S,3")</f>
        <v>2S,3</v>
      </c>
      <c r="AH78" s="159">
        <f ca="1">IFERROR(__xludf.DUMMYFUNCTION("""COMPUTED_VALUE"""),23)</f>
        <v>23</v>
      </c>
      <c r="AI78" s="146"/>
      <c r="AJ78" s="146"/>
      <c r="AK78" s="146"/>
      <c r="AL78" s="146"/>
      <c r="AM78" s="146"/>
      <c r="AN78" s="146"/>
      <c r="AO78" s="146"/>
      <c r="AP78" s="146"/>
      <c r="AQ78" s="146"/>
      <c r="AR78" s="146"/>
    </row>
    <row r="79" spans="1:44" ht="12.3">
      <c r="A79" s="157"/>
      <c r="B79" s="142" t="str">
        <f>Raw!A79</f>
        <v>Edwards et al. (2004)</v>
      </c>
      <c r="C79" s="143" t="str">
        <f>CONCATENATE(ROUND(Raw!I79,0),"/",ROUND(Raw!J79,0))</f>
        <v>12/18</v>
      </c>
      <c r="D79" s="143" t="str">
        <f>VLOOKUP(Processed!E79,P$2:Q$10,2,FALSE)</f>
        <v>I-I</v>
      </c>
      <c r="E79" s="143" t="str">
        <f>VLOOKUP(Raw!M79,R$2:S$13,2,FALSE)</f>
        <v>A-A</v>
      </c>
      <c r="F79" s="143" t="str">
        <f>IF(Raw!P79,"Yes","No")</f>
        <v>Yes</v>
      </c>
      <c r="G79" s="143" t="str">
        <f>IF(Raw!Q79,"Yes","No")</f>
        <v>No</v>
      </c>
      <c r="H79" s="143" t="str">
        <f>IF(Raw!T79,"Yes","No")</f>
        <v>Yes</v>
      </c>
      <c r="I79" s="143" t="str">
        <f>IF(AND(Raw!N79,Raw!O79), "S/IS, D/O", IF(Raw!N79,"S/IS", IF(Raw!O79,"D/O","-")))</f>
        <v>S/IS</v>
      </c>
      <c r="J79" s="143" t="str">
        <f>Raw!L79</f>
        <v>USA</v>
      </c>
      <c r="K79" s="144">
        <f>IF(Processed!BN79="NA","-",ROUND(Processed!BN79*100,0))</f>
        <v>89</v>
      </c>
      <c r="L79" s="143" t="str">
        <f>VLOOKUP(Raw!F79,T$2:U$4,2,FALSE)</f>
        <v>F</v>
      </c>
      <c r="M79" s="143" t="str">
        <f>CONCATENATE(IF(Processed!F79,"2S",""),IF(Processed!W79,",3",""),IF(Processed!AG79,",4",""),IF(Processed!AQ79,",2D",""))</f>
        <v>2S,4,2D</v>
      </c>
      <c r="N79" s="143">
        <f>IF(NOT(ISBLANK(Raw!AE79)), Raw!AE79, SUM(Raw!AL79:AT79))</f>
        <v>217</v>
      </c>
      <c r="O79" s="146" t="b">
        <f>COUNTIF(Raw!AV79:BK79, "&gt;=0") = 16</f>
        <v>1</v>
      </c>
      <c r="P79" s="146"/>
      <c r="Q79" s="146"/>
      <c r="R79" s="156"/>
      <c r="S79" s="146"/>
      <c r="T79" s="146"/>
      <c r="U79" s="146"/>
      <c r="V79" s="146" t="str">
        <f ca="1">IFERROR(__xludf.DUMMYFUNCTION("""COMPUTED_VALUE"""),"Schneider-Rosen et al. (1985) ")</f>
        <v xml:space="preserve">Schneider-Rosen et al. (1985) </v>
      </c>
      <c r="W79" s="146" t="str">
        <f ca="1">IFERROR(__xludf.DUMMYFUNCTION("""COMPUTED_VALUE"""),"12/18")</f>
        <v>12/18</v>
      </c>
      <c r="X79" s="146" t="str">
        <f ca="1">IFERROR(__xludf.DUMMYFUNCTION("""COMPUTED_VALUE"""),"I-I")</f>
        <v>I-I</v>
      </c>
      <c r="Y79" s="146" t="str">
        <f ca="1">IFERROR(__xludf.DUMMYFUNCTION("""COMPUTED_VALUE"""),"A-A")</f>
        <v>A-A</v>
      </c>
      <c r="Z79" s="146" t="str">
        <f ca="1">IFERROR(__xludf.DUMMYFUNCTION("""COMPUTED_VALUE"""),"Yes")</f>
        <v>Yes</v>
      </c>
      <c r="AA79" s="146" t="str">
        <f ca="1">IFERROR(__xludf.DUMMYFUNCTION("""COMPUTED_VALUE"""),"No")</f>
        <v>No</v>
      </c>
      <c r="AB79" s="146" t="str">
        <f ca="1">IFERROR(__xludf.DUMMYFUNCTION("""COMPUTED_VALUE"""),"Yes")</f>
        <v>Yes</v>
      </c>
      <c r="AC79" s="146" t="str">
        <f ca="1">IFERROR(__xludf.DUMMYFUNCTION("""COMPUTED_VALUE"""),"S/IS")</f>
        <v>S/IS</v>
      </c>
      <c r="AD79" s="146" t="str">
        <f ca="1">IFERROR(__xludf.DUMMYFUNCTION("""COMPUTED_VALUE"""),"USA")</f>
        <v>USA</v>
      </c>
      <c r="AE79" s="158">
        <f ca="1">IFERROR(__xludf.DUMMYFUNCTION("""COMPUTED_VALUE"""),90)</f>
        <v>90</v>
      </c>
      <c r="AF79" s="146" t="str">
        <f ca="1">IFERROR(__xludf.DUMMYFUNCTION("""COMPUTED_VALUE"""),"M,F")</f>
        <v>M,F</v>
      </c>
      <c r="AG79" s="146" t="str">
        <f ca="1">IFERROR(__xludf.DUMMYFUNCTION("""COMPUTED_VALUE"""),"2S,3")</f>
        <v>2S,3</v>
      </c>
      <c r="AH79" s="159">
        <f ca="1">IFERROR(__xludf.DUMMYFUNCTION("""COMPUTED_VALUE"""),12)</f>
        <v>12</v>
      </c>
      <c r="AI79" s="146"/>
      <c r="AJ79" s="146"/>
      <c r="AK79" s="146"/>
      <c r="AL79" s="146"/>
      <c r="AM79" s="146"/>
      <c r="AN79" s="146"/>
      <c r="AO79" s="146"/>
      <c r="AP79" s="146"/>
      <c r="AQ79" s="146"/>
      <c r="AR79" s="146"/>
    </row>
    <row r="80" spans="1:44" ht="12.3">
      <c r="A80" s="157"/>
      <c r="B80" s="142" t="str">
        <f>Raw!A80</f>
        <v>Edwards et al. (2004)</v>
      </c>
      <c r="C80" s="143" t="str">
        <f>CONCATENATE(ROUND(Raw!I80,0),"/",ROUND(Raw!J80,0))</f>
        <v>12/18</v>
      </c>
      <c r="D80" s="143" t="str">
        <f>VLOOKUP(Processed!E80,P$2:Q$10,2,FALSE)</f>
        <v>I-I</v>
      </c>
      <c r="E80" s="143" t="str">
        <f>VLOOKUP(Raw!M80,R$2:S$13,2,FALSE)</f>
        <v>A-A</v>
      </c>
      <c r="F80" s="143" t="str">
        <f>IF(Raw!P80,"Yes","No")</f>
        <v>Yes</v>
      </c>
      <c r="G80" s="143" t="str">
        <f>IF(Raw!Q80,"Yes","No")</f>
        <v>No</v>
      </c>
      <c r="H80" s="143" t="str">
        <f>IF(Raw!T80,"Yes","No")</f>
        <v>Yes</v>
      </c>
      <c r="I80" s="143" t="str">
        <f>IF(AND(Raw!N80,Raw!O80), "S/IS, D/O", IF(Raw!N80,"S/IS", IF(Raw!O80,"D/O","-")))</f>
        <v>S/IS</v>
      </c>
      <c r="J80" s="143" t="str">
        <f>Raw!L80</f>
        <v>USA</v>
      </c>
      <c r="K80" s="144">
        <f>IF(Processed!BN80="NA","-",ROUND(Processed!BN80*100,0))</f>
        <v>89</v>
      </c>
      <c r="L80" s="143" t="str">
        <f>VLOOKUP(Raw!F80,T$2:U$4,2,FALSE)</f>
        <v>M</v>
      </c>
      <c r="M80" s="143" t="str">
        <f>CONCATENATE(IF(Processed!F80,"2S",""),IF(Processed!W80,",3",""),IF(Processed!AG80,",4",""),IF(Processed!AQ80,",2D",""))</f>
        <v>2S,4,2D</v>
      </c>
      <c r="N80" s="143">
        <f>IF(NOT(ISBLANK(Raw!AE80)), Raw!AE80, SUM(Raw!AL80:AT80))</f>
        <v>208</v>
      </c>
      <c r="O80" s="146" t="b">
        <f>COUNTIF(Raw!AV80:BK80, "&gt;=0") = 16</f>
        <v>1</v>
      </c>
      <c r="P80" s="146"/>
      <c r="Q80" s="146"/>
      <c r="R80" s="156"/>
      <c r="S80" s="146"/>
      <c r="T80" s="146"/>
      <c r="U80" s="146"/>
      <c r="V80" s="146" t="str">
        <f ca="1">IFERROR(__xludf.DUMMYFUNCTION("""COMPUTED_VALUE"""),"Schneider-Rosen et al. (1985) ")</f>
        <v xml:space="preserve">Schneider-Rosen et al. (1985) </v>
      </c>
      <c r="W80" s="146" t="str">
        <f ca="1">IFERROR(__xludf.DUMMYFUNCTION("""COMPUTED_VALUE"""),"12/18")</f>
        <v>12/18</v>
      </c>
      <c r="X80" s="146" t="str">
        <f ca="1">IFERROR(__xludf.DUMMYFUNCTION("""COMPUTED_VALUE"""),"I-I")</f>
        <v>I-I</v>
      </c>
      <c r="Y80" s="146" t="str">
        <f ca="1">IFERROR(__xludf.DUMMYFUNCTION("""COMPUTED_VALUE"""),"A-A")</f>
        <v>A-A</v>
      </c>
      <c r="Z80" s="146" t="str">
        <f ca="1">IFERROR(__xludf.DUMMYFUNCTION("""COMPUTED_VALUE"""),"Yes")</f>
        <v>Yes</v>
      </c>
      <c r="AA80" s="146" t="str">
        <f ca="1">IFERROR(__xludf.DUMMYFUNCTION("""COMPUTED_VALUE"""),"No")</f>
        <v>No</v>
      </c>
      <c r="AB80" s="146" t="str">
        <f ca="1">IFERROR(__xludf.DUMMYFUNCTION("""COMPUTED_VALUE"""),"Yes")</f>
        <v>Yes</v>
      </c>
      <c r="AC80" s="146" t="str">
        <f ca="1">IFERROR(__xludf.DUMMYFUNCTION("""COMPUTED_VALUE"""),"S/IS")</f>
        <v>S/IS</v>
      </c>
      <c r="AD80" s="146" t="str">
        <f ca="1">IFERROR(__xludf.DUMMYFUNCTION("""COMPUTED_VALUE"""),"USA")</f>
        <v>USA</v>
      </c>
      <c r="AE80" s="158">
        <f ca="1">IFERROR(__xludf.DUMMYFUNCTION("""COMPUTED_VALUE"""),91)</f>
        <v>91</v>
      </c>
      <c r="AF80" s="146" t="str">
        <f ca="1">IFERROR(__xludf.DUMMYFUNCTION("""COMPUTED_VALUE"""),"M,F")</f>
        <v>M,F</v>
      </c>
      <c r="AG80" s="146" t="str">
        <f ca="1">IFERROR(__xludf.DUMMYFUNCTION("""COMPUTED_VALUE"""),"2S,3")</f>
        <v>2S,3</v>
      </c>
      <c r="AH80" s="159">
        <f ca="1">IFERROR(__xludf.DUMMYFUNCTION("""COMPUTED_VALUE"""),19)</f>
        <v>19</v>
      </c>
      <c r="AI80" s="146"/>
      <c r="AJ80" s="146"/>
      <c r="AK80" s="146"/>
      <c r="AL80" s="146"/>
      <c r="AM80" s="146"/>
      <c r="AN80" s="146"/>
      <c r="AO80" s="146"/>
      <c r="AP80" s="146"/>
      <c r="AQ80" s="146"/>
      <c r="AR80" s="146"/>
    </row>
    <row r="81" spans="1:44" ht="12.3">
      <c r="A81" s="157"/>
      <c r="B81" s="142" t="str">
        <f>Raw!A81</f>
        <v>Ahnert et al. (2004)</v>
      </c>
      <c r="C81" s="143" t="str">
        <f>CONCATENATE(ROUND(Raw!I81,0),"/",ROUND(Raw!J81,0))</f>
        <v>15/18</v>
      </c>
      <c r="D81" s="143" t="str">
        <f>VLOOKUP(Processed!E81,P$2:Q$10,2,FALSE)</f>
        <v>I-I</v>
      </c>
      <c r="E81" s="143" t="str">
        <f>VLOOKUP(Raw!M81,R$2:S$13,2,FALSE)</f>
        <v>A-A</v>
      </c>
      <c r="F81" s="143" t="str">
        <f>IF(Raw!P81,"Yes","No")</f>
        <v>No</v>
      </c>
      <c r="G81" s="143" t="str">
        <f>IF(Raw!Q81,"Yes","No")</f>
        <v>No</v>
      </c>
      <c r="H81" s="143" t="str">
        <f>IF(Raw!T81,"Yes","No")</f>
        <v>Yes</v>
      </c>
      <c r="I81" s="143" t="str">
        <f>IF(AND(Raw!N81,Raw!O81), "S/IS, D/O", IF(Raw!N81,"S/IS", IF(Raw!O81,"D/O","-")))</f>
        <v>S/IS</v>
      </c>
      <c r="J81" s="143" t="str">
        <f>Raw!L81</f>
        <v>Germany</v>
      </c>
      <c r="K81" s="144">
        <f>IF(Processed!BN81="NA","-",ROUND(Processed!BN81*100,0))</f>
        <v>89</v>
      </c>
      <c r="L81" s="143" t="str">
        <f>VLOOKUP(Raw!F81,T$2:U$4,2,FALSE)</f>
        <v>F</v>
      </c>
      <c r="M81" s="143" t="str">
        <f>CONCATENATE(IF(Processed!F81,"2S",""),IF(Processed!W81,",3",""),IF(Processed!AG81,",4",""),IF(Processed!AQ81,",2D",""))</f>
        <v>2S</v>
      </c>
      <c r="N81" s="143">
        <f>IF(NOT(ISBLANK(Raw!AE81)), Raw!AE81, SUM(Raw!AL81:AT81))</f>
        <v>56</v>
      </c>
      <c r="O81" s="146" t="b">
        <f>COUNTIF(Raw!AV81:BK81, "&gt;=0") = 16</f>
        <v>0</v>
      </c>
      <c r="P81" s="146"/>
      <c r="Q81" s="146"/>
      <c r="R81" s="156"/>
      <c r="S81" s="146"/>
      <c r="T81" s="146"/>
      <c r="U81" s="146"/>
      <c r="V81" s="146" t="str">
        <f ca="1">IFERROR(__xludf.DUMMYFUNCTION("""COMPUTED_VALUE"""),"Seifer et al. (2004) ")</f>
        <v xml:space="preserve">Seifer et al. (2004) </v>
      </c>
      <c r="W81" s="146" t="str">
        <f ca="1">IFERROR(__xludf.DUMMYFUNCTION("""COMPUTED_VALUE"""),"18/36")</f>
        <v>18/36</v>
      </c>
      <c r="X81" s="146" t="str">
        <f ca="1">IFERROR(__xludf.DUMMYFUNCTION("""COMPUTED_VALUE"""),"I-T")</f>
        <v>I-T</v>
      </c>
      <c r="Y81" s="146" t="str">
        <f ca="1">IFERROR(__xludf.DUMMYFUNCTION("""COMPUTED_VALUE"""),"A-CM")</f>
        <v>A-CM</v>
      </c>
      <c r="Z81" s="146" t="str">
        <f ca="1">IFERROR(__xludf.DUMMYFUNCTION("""COMPUTED_VALUE"""),"Yes")</f>
        <v>Yes</v>
      </c>
      <c r="AA81" s="146" t="str">
        <f ca="1">IFERROR(__xludf.DUMMYFUNCTION("""COMPUTED_VALUE"""),"No")</f>
        <v>No</v>
      </c>
      <c r="AB81" s="146" t="str">
        <f ca="1">IFERROR(__xludf.DUMMYFUNCTION("""COMPUTED_VALUE"""),"Yes")</f>
        <v>Yes</v>
      </c>
      <c r="AC81" s="146" t="str">
        <f ca="1">IFERROR(__xludf.DUMMYFUNCTION("""COMPUTED_VALUE"""),"S/IS")</f>
        <v>S/IS</v>
      </c>
      <c r="AD81" s="146" t="str">
        <f ca="1">IFERROR(__xludf.DUMMYFUNCTION("""COMPUTED_VALUE"""),"USA")</f>
        <v>USA</v>
      </c>
      <c r="AE81" s="158">
        <f ca="1">IFERROR(__xludf.DUMMYFUNCTION("""COMPUTED_VALUE"""),90)</f>
        <v>90</v>
      </c>
      <c r="AF81" s="146" t="str">
        <f ca="1">IFERROR(__xludf.DUMMYFUNCTION("""COMPUTED_VALUE"""),"F")</f>
        <v>F</v>
      </c>
      <c r="AG81" s="146" t="str">
        <f ca="1">IFERROR(__xludf.DUMMYFUNCTION("""COMPUTED_VALUE"""),"2S,4,2D")</f>
        <v>2S,4,2D</v>
      </c>
      <c r="AH81" s="159">
        <f ca="1">IFERROR(__xludf.DUMMYFUNCTION("""COMPUTED_VALUE"""),601)</f>
        <v>601</v>
      </c>
      <c r="AI81" s="146"/>
      <c r="AJ81" s="146"/>
      <c r="AK81" s="146"/>
      <c r="AL81" s="146"/>
      <c r="AM81" s="146"/>
      <c r="AN81" s="146"/>
      <c r="AO81" s="146"/>
      <c r="AP81" s="146"/>
      <c r="AQ81" s="146"/>
      <c r="AR81" s="146"/>
    </row>
    <row r="82" spans="1:44" ht="12.3">
      <c r="A82" s="157"/>
      <c r="B82" s="142" t="str">
        <f>Raw!A82</f>
        <v>Connell (1977)</v>
      </c>
      <c r="C82" s="143" t="str">
        <f>CONCATENATE(ROUND(Raw!I82,0),"/",ROUND(Raw!J82,0))</f>
        <v>12/18</v>
      </c>
      <c r="D82" s="143" t="str">
        <f>VLOOKUP(Processed!E82,P$2:Q$10,2,FALSE)</f>
        <v>I-I</v>
      </c>
      <c r="E82" s="143" t="str">
        <f>VLOOKUP(Raw!M82,R$2:S$13,2,FALSE)</f>
        <v>A-A</v>
      </c>
      <c r="F82" s="143" t="str">
        <f>IF(Raw!P82,"Yes","No")</f>
        <v>No</v>
      </c>
      <c r="G82" s="143" t="str">
        <f>IF(Raw!Q82,"Yes","No")</f>
        <v>No</v>
      </c>
      <c r="H82" s="143" t="str">
        <f>IF(Raw!T82,"Yes","No")</f>
        <v>No</v>
      </c>
      <c r="I82" s="143" t="str">
        <f>IF(AND(Raw!N82,Raw!O82), "S/IS, D/O", IF(Raw!N82,"S/IS", IF(Raw!O82,"D/O","-")))</f>
        <v>S/IS</v>
      </c>
      <c r="J82" s="143" t="str">
        <f>Raw!L82</f>
        <v>USA</v>
      </c>
      <c r="K82" s="144">
        <f>IF(Processed!BN82="NA","-",ROUND(Processed!BN82*100,0))</f>
        <v>94</v>
      </c>
      <c r="L82" s="143" t="str">
        <f>VLOOKUP(Raw!F82,T$2:U$4,2,FALSE)</f>
        <v>F</v>
      </c>
      <c r="M82" s="143" t="str">
        <f>CONCATENATE(IF(Processed!F82,"2S",""),IF(Processed!W82,",3",""),IF(Processed!AG82,",4",""),IF(Processed!AQ82,",2D",""))</f>
        <v>2S,3</v>
      </c>
      <c r="N82" s="143">
        <f>IF(NOT(ISBLANK(Raw!AE82)), Raw!AE82, SUM(Raw!AL82:AT82))</f>
        <v>47</v>
      </c>
      <c r="O82" s="146" t="b">
        <f>COUNTIF(Raw!AV82:BK82, "&gt;=0") = 16</f>
        <v>0</v>
      </c>
      <c r="P82" s="146"/>
      <c r="Q82" s="146"/>
      <c r="R82" s="156"/>
      <c r="S82" s="146"/>
      <c r="T82" s="146"/>
      <c r="U82" s="146"/>
      <c r="V82" s="146" t="str">
        <f ca="1">IFERROR(__xludf.DUMMYFUNCTION("""COMPUTED_VALUE"""),"Steele, Steele &amp; Fonagy (1996)")</f>
        <v>Steele, Steele &amp; Fonagy (1996)</v>
      </c>
      <c r="W82" s="146" t="str">
        <f ca="1">IFERROR(__xludf.DUMMYFUNCTION("""COMPUTED_VALUE"""),"12/60")</f>
        <v>12/60</v>
      </c>
      <c r="X82" s="146" t="str">
        <f ca="1">IFERROR(__xludf.DUMMYFUNCTION("""COMPUTED_VALUE"""),"I-P")</f>
        <v>I-P</v>
      </c>
      <c r="Y82" s="146" t="str">
        <f ca="1">IFERROR(__xludf.DUMMYFUNCTION("""COMPUTED_VALUE"""),"A-CM")</f>
        <v>A-CM</v>
      </c>
      <c r="Z82" s="146" t="str">
        <f ca="1">IFERROR(__xludf.DUMMYFUNCTION("""COMPUTED_VALUE"""),"No")</f>
        <v>No</v>
      </c>
      <c r="AA82" s="146" t="str">
        <f ca="1">IFERROR(__xludf.DUMMYFUNCTION("""COMPUTED_VALUE"""),"No")</f>
        <v>No</v>
      </c>
      <c r="AB82" s="146" t="str">
        <f ca="1">IFERROR(__xludf.DUMMYFUNCTION("""COMPUTED_VALUE"""),"No")</f>
        <v>No</v>
      </c>
      <c r="AC82" s="146" t="str">
        <f ca="1">IFERROR(__xludf.DUMMYFUNCTION("""COMPUTED_VALUE"""),"D/O")</f>
        <v>D/O</v>
      </c>
      <c r="AD82" s="146" t="str">
        <f ca="1">IFERROR(__xludf.DUMMYFUNCTION("""COMPUTED_VALUE"""),"UK")</f>
        <v>UK</v>
      </c>
      <c r="AE82" s="158">
        <f ca="1">IFERROR(__xludf.DUMMYFUNCTION("""COMPUTED_VALUE"""),91)</f>
        <v>91</v>
      </c>
      <c r="AF82" s="146" t="str">
        <f ca="1">IFERROR(__xludf.DUMMYFUNCTION("""COMPUTED_VALUE"""),"F")</f>
        <v>F</v>
      </c>
      <c r="AG82" s="146" t="str">
        <f ca="1">IFERROR(__xludf.DUMMYFUNCTION("""COMPUTED_VALUE"""),"2S,4,2D")</f>
        <v>2S,4,2D</v>
      </c>
      <c r="AH82" s="159">
        <f ca="1">IFERROR(__xludf.DUMMYFUNCTION("""COMPUTED_VALUE"""),88)</f>
        <v>88</v>
      </c>
      <c r="AI82" s="146"/>
      <c r="AJ82" s="146"/>
      <c r="AK82" s="146"/>
      <c r="AL82" s="146"/>
      <c r="AM82" s="146"/>
      <c r="AN82" s="146"/>
      <c r="AO82" s="146"/>
      <c r="AP82" s="146"/>
      <c r="AQ82" s="146"/>
      <c r="AR82" s="146"/>
    </row>
    <row r="83" spans="1:44" ht="12.3">
      <c r="A83" s="157"/>
      <c r="B83" s="142" t="str">
        <f>Raw!A83</f>
        <v>Carlson (1998)</v>
      </c>
      <c r="C83" s="143" t="str">
        <f>CONCATENATE(ROUND(Raw!I83,0),"/",ROUND(Raw!J83,0))</f>
        <v>12/18</v>
      </c>
      <c r="D83" s="143" t="str">
        <f>VLOOKUP(Processed!E83,P$2:Q$10,2,FALSE)</f>
        <v>I-I</v>
      </c>
      <c r="E83" s="143" t="str">
        <f>VLOOKUP(Raw!M83,R$2:S$13,2,FALSE)</f>
        <v>A-A</v>
      </c>
      <c r="F83" s="143" t="str">
        <f>IF(Raw!P83,"Yes","No")</f>
        <v>Yes</v>
      </c>
      <c r="G83" s="143" t="str">
        <f>IF(Raw!Q83,"Yes","No")</f>
        <v>No</v>
      </c>
      <c r="H83" s="143" t="str">
        <f>IF(Raw!T83,"Yes","No")</f>
        <v>Yes</v>
      </c>
      <c r="I83" s="143" t="str">
        <f>IF(AND(Raw!N83,Raw!O83), "S/IS, D/O", IF(Raw!N83,"S/IS", IF(Raw!O83,"D/O","-")))</f>
        <v>D/O</v>
      </c>
      <c r="J83" s="143" t="str">
        <f>Raw!L83</f>
        <v>USA</v>
      </c>
      <c r="K83" s="144">
        <f>IF(Processed!BN83="NA","-",ROUND(Processed!BN83*100,0))</f>
        <v>91</v>
      </c>
      <c r="L83" s="143" t="str">
        <f>VLOOKUP(Raw!F83,T$2:U$4,2,FALSE)</f>
        <v>F</v>
      </c>
      <c r="M83" s="143" t="str">
        <f>CONCATENATE(IF(Processed!F83,"2S",""),IF(Processed!W83,",3",""),IF(Processed!AG83,",4",""),IF(Processed!AQ83,",2D",""))</f>
        <v/>
      </c>
      <c r="N83" s="143">
        <f>IF(NOT(ISBLANK(Raw!AE83)), Raw!AE83, SUM(Raw!AL83:AT83))</f>
        <v>0</v>
      </c>
      <c r="O83" s="146" t="b">
        <f>COUNTIF(Raw!AV83:BK83, "&gt;=0") = 16</f>
        <v>0</v>
      </c>
      <c r="P83" s="146"/>
      <c r="Q83" s="146"/>
      <c r="R83" s="156"/>
      <c r="S83" s="146"/>
      <c r="T83" s="146"/>
      <c r="U83" s="146"/>
      <c r="V83" s="146" t="str">
        <f ca="1">IFERROR(__xludf.DUMMYFUNCTION("""COMPUTED_VALUE"""),"Steele, Steele &amp; Fonagy (1996)")</f>
        <v>Steele, Steele &amp; Fonagy (1996)</v>
      </c>
      <c r="W83" s="146" t="str">
        <f ca="1">IFERROR(__xludf.DUMMYFUNCTION("""COMPUTED_VALUE"""),"12/72")</f>
        <v>12/72</v>
      </c>
      <c r="X83" s="146" t="str">
        <f ca="1">IFERROR(__xludf.DUMMYFUNCTION("""COMPUTED_VALUE"""),"I-P")</f>
        <v>I-P</v>
      </c>
      <c r="Y83" s="146" t="str">
        <f ca="1">IFERROR(__xludf.DUMMYFUNCTION("""COMPUTED_VALUE"""),"A-CM")</f>
        <v>A-CM</v>
      </c>
      <c r="Z83" s="146" t="str">
        <f ca="1">IFERROR(__xludf.DUMMYFUNCTION("""COMPUTED_VALUE"""),"No")</f>
        <v>No</v>
      </c>
      <c r="AA83" s="146" t="str">
        <f ca="1">IFERROR(__xludf.DUMMYFUNCTION("""COMPUTED_VALUE"""),"No")</f>
        <v>No</v>
      </c>
      <c r="AB83" s="146" t="str">
        <f ca="1">IFERROR(__xludf.DUMMYFUNCTION("""COMPUTED_VALUE"""),"No")</f>
        <v>No</v>
      </c>
      <c r="AC83" s="146" t="str">
        <f ca="1">IFERROR(__xludf.DUMMYFUNCTION("""COMPUTED_VALUE"""),"D/O")</f>
        <v>D/O</v>
      </c>
      <c r="AD83" s="146" t="str">
        <f ca="1">IFERROR(__xludf.DUMMYFUNCTION("""COMPUTED_VALUE"""),"UK")</f>
        <v>UK</v>
      </c>
      <c r="AE83" s="158">
        <f ca="1">IFERROR(__xludf.DUMMYFUNCTION("""COMPUTED_VALUE"""),91)</f>
        <v>91</v>
      </c>
      <c r="AF83" s="146" t="str">
        <f ca="1">IFERROR(__xludf.DUMMYFUNCTION("""COMPUTED_VALUE"""),"M")</f>
        <v>M</v>
      </c>
      <c r="AG83" s="146" t="str">
        <f ca="1">IFERROR(__xludf.DUMMYFUNCTION("""COMPUTED_VALUE"""),"2S,4,2D")</f>
        <v>2S,4,2D</v>
      </c>
      <c r="AH83" s="159">
        <f ca="1">IFERROR(__xludf.DUMMYFUNCTION("""COMPUTED_VALUE"""),68)</f>
        <v>68</v>
      </c>
      <c r="AI83" s="146"/>
      <c r="AJ83" s="146"/>
      <c r="AK83" s="146"/>
      <c r="AL83" s="146"/>
      <c r="AM83" s="146"/>
      <c r="AN83" s="146"/>
      <c r="AO83" s="146"/>
      <c r="AP83" s="146"/>
      <c r="AQ83" s="146"/>
      <c r="AR83" s="146"/>
    </row>
    <row r="84" spans="1:44" ht="12.3">
      <c r="A84" s="157"/>
      <c r="B84" s="142" t="str">
        <f>Raw!A84</f>
        <v>Ainsworthet al. (1978)</v>
      </c>
      <c r="C84" s="143" t="str">
        <f>CONCATENATE(ROUND(Raw!I84,0),"/",ROUND(Raw!J84,0))</f>
        <v>12/13</v>
      </c>
      <c r="D84" s="143" t="str">
        <f>VLOOKUP(Processed!E84,P$2:Q$10,2,FALSE)</f>
        <v>I-I</v>
      </c>
      <c r="E84" s="143" t="str">
        <f>VLOOKUP(Raw!M84,R$2:S$13,2,FALSE)</f>
        <v>A-A</v>
      </c>
      <c r="F84" s="143" t="str">
        <f>IF(Raw!P84,"Yes","No")</f>
        <v>No</v>
      </c>
      <c r="G84" s="143" t="str">
        <f>IF(Raw!Q84,"Yes","No")</f>
        <v>No</v>
      </c>
      <c r="H84" s="143" t="str">
        <f>IF(Raw!T84,"Yes","No")</f>
        <v>Yes</v>
      </c>
      <c r="I84" s="143" t="str">
        <f>IF(AND(Raw!N84,Raw!O84), "S/IS, D/O", IF(Raw!N84,"S/IS", IF(Raw!O84,"D/O","-")))</f>
        <v>S/IS</v>
      </c>
      <c r="J84" s="143" t="str">
        <f>Raw!L84</f>
        <v>USA</v>
      </c>
      <c r="K84" s="144" t="str">
        <f>IF(Processed!BN84="NA","-",ROUND(Processed!BN84*100,0))</f>
        <v>-</v>
      </c>
      <c r="L84" s="143" t="str">
        <f>VLOOKUP(Raw!F84,T$2:U$4,2,FALSE)</f>
        <v>F</v>
      </c>
      <c r="M84" s="143" t="str">
        <f>CONCATENATE(IF(Processed!F84,"2S",""),IF(Processed!W84,",3",""),IF(Processed!AG84,",4",""),IF(Processed!AQ84,",2D",""))</f>
        <v>2S,3</v>
      </c>
      <c r="N84" s="143">
        <f>IF(NOT(ISBLANK(Raw!AE84)), Raw!AE84, SUM(Raw!AL84:AT84))</f>
        <v>23</v>
      </c>
      <c r="O84" s="146" t="b">
        <f>COUNTIF(Raw!AV84:BK84, "&gt;=0") = 16</f>
        <v>0</v>
      </c>
      <c r="P84" s="146"/>
      <c r="Q84" s="146"/>
      <c r="R84" s="156"/>
      <c r="S84" s="146"/>
      <c r="T84" s="146"/>
      <c r="U84" s="146"/>
      <c r="V84" s="146" t="str">
        <f ca="1">IFERROR(__xludf.DUMMYFUNCTION("""COMPUTED_VALUE"""),"Stevenson-Hinde &amp; Shouldice (1990)")</f>
        <v>Stevenson-Hinde &amp; Shouldice (1990)</v>
      </c>
      <c r="W84" s="146" t="str">
        <f ca="1">IFERROR(__xludf.DUMMYFUNCTION("""COMPUTED_VALUE"""),"30/54")</f>
        <v>30/54</v>
      </c>
      <c r="X84" s="146" t="str">
        <f ca="1">IFERROR(__xludf.DUMMYFUNCTION("""COMPUTED_VALUE"""),"T-P")</f>
        <v>T-P</v>
      </c>
      <c r="Y84" s="146" t="str">
        <f ca="1">IFERROR(__xludf.DUMMYFUNCTION("""COMPUTED_VALUE"""),"A-CM")</f>
        <v>A-CM</v>
      </c>
      <c r="Z84" s="146" t="str">
        <f ca="1">IFERROR(__xludf.DUMMYFUNCTION("""COMPUTED_VALUE"""),"No")</f>
        <v>No</v>
      </c>
      <c r="AA84" s="146" t="str">
        <f ca="1">IFERROR(__xludf.DUMMYFUNCTION("""COMPUTED_VALUE"""),"No")</f>
        <v>No</v>
      </c>
      <c r="AB84" s="146" t="str">
        <f ca="1">IFERROR(__xludf.DUMMYFUNCTION("""COMPUTED_VALUE"""),"Yes")</f>
        <v>Yes</v>
      </c>
      <c r="AC84" s="146" t="str">
        <f ca="1">IFERROR(__xludf.DUMMYFUNCTION("""COMPUTED_VALUE"""),"S/IS")</f>
        <v>S/IS</v>
      </c>
      <c r="AD84" s="146" t="str">
        <f ca="1">IFERROR(__xludf.DUMMYFUNCTION("""COMPUTED_VALUE"""),"UK")</f>
        <v>UK</v>
      </c>
      <c r="AE84" s="158">
        <f ca="1">IFERROR(__xludf.DUMMYFUNCTION("""COMPUTED_VALUE"""),88)</f>
        <v>88</v>
      </c>
      <c r="AF84" s="146" t="str">
        <f ca="1">IFERROR(__xludf.DUMMYFUNCTION("""COMPUTED_VALUE"""),"F")</f>
        <v>F</v>
      </c>
      <c r="AG84" s="146" t="str">
        <f ca="1">IFERROR(__xludf.DUMMYFUNCTION("""COMPUTED_VALUE"""),"2S,4,2D")</f>
        <v>2S,4,2D</v>
      </c>
      <c r="AH84" s="159">
        <f ca="1">IFERROR(__xludf.DUMMYFUNCTION("""COMPUTED_VALUE"""),72)</f>
        <v>72</v>
      </c>
      <c r="AI84" s="146"/>
      <c r="AJ84" s="146"/>
      <c r="AK84" s="146"/>
      <c r="AL84" s="146"/>
      <c r="AM84" s="146"/>
      <c r="AN84" s="146"/>
      <c r="AO84" s="146"/>
      <c r="AP84" s="146"/>
      <c r="AQ84" s="146"/>
      <c r="AR84" s="146"/>
    </row>
    <row r="85" spans="1:44" ht="12.3">
      <c r="A85" s="157"/>
      <c r="B85" s="142" t="str">
        <f>Raw!A85</f>
        <v>Cassidy (1988)</v>
      </c>
      <c r="C85" s="143" t="str">
        <f>CONCATENATE(ROUND(Raw!I85,0),"/",ROUND(Raw!J85,0))</f>
        <v>74/75</v>
      </c>
      <c r="D85" s="143" t="str">
        <f>VLOOKUP(Processed!E85,P$2:Q$10,2,FALSE)</f>
        <v>P-P</v>
      </c>
      <c r="E85" s="143" t="str">
        <f>VLOOKUP(Raw!M85,R$2:S$13,2,FALSE)</f>
        <v>MC-MC</v>
      </c>
      <c r="F85" s="143" t="str">
        <f>IF(Raw!P85,"Yes","No")</f>
        <v>No</v>
      </c>
      <c r="G85" s="143" t="str">
        <f>IF(Raw!Q85,"Yes","No")</f>
        <v>No</v>
      </c>
      <c r="H85" s="143" t="str">
        <f>IF(Raw!T85,"Yes","No")</f>
        <v>Yes</v>
      </c>
      <c r="I85" s="143" t="str">
        <f>IF(AND(Raw!N85,Raw!O85), "S/IS, D/O", IF(Raw!N85,"S/IS", IF(Raw!O85,"D/O","-")))</f>
        <v>S/IS</v>
      </c>
      <c r="J85" s="143" t="str">
        <f>Raw!L85</f>
        <v>USA</v>
      </c>
      <c r="K85" s="144">
        <f>IF(Processed!BN85="NA","-",ROUND(Processed!BN85*100,0))</f>
        <v>84</v>
      </c>
      <c r="L85" s="143" t="str">
        <f>VLOOKUP(Raw!F85,T$2:U$4,2,FALSE)</f>
        <v>F</v>
      </c>
      <c r="M85" s="143" t="str">
        <f>CONCATENATE(IF(Processed!F85,"2S",""),IF(Processed!W85,",3",""),IF(Processed!AG85,",4",""),IF(Processed!AQ85,",2D",""))</f>
        <v>2S,3</v>
      </c>
      <c r="N85" s="143">
        <f>IF(NOT(ISBLANK(Raw!AE85)), Raw!AE85, SUM(Raw!AL85:AT85))</f>
        <v>50</v>
      </c>
      <c r="O85" s="146" t="b">
        <f>COUNTIF(Raw!AV85:BK85, "&gt;=0") = 16</f>
        <v>0</v>
      </c>
      <c r="P85" s="146"/>
      <c r="Q85" s="146"/>
      <c r="R85" s="156"/>
      <c r="S85" s="146"/>
      <c r="T85" s="146"/>
      <c r="U85" s="146"/>
      <c r="V85" s="146" t="str">
        <f ca="1">IFERROR(__xludf.DUMMYFUNCTION("""COMPUTED_VALUE"""),"Sutton (1994)")</f>
        <v>Sutton (1994)</v>
      </c>
      <c r="W85" s="146" t="str">
        <f ca="1">IFERROR(__xludf.DUMMYFUNCTION("""COMPUTED_VALUE"""),"12/24")</f>
        <v>12/24</v>
      </c>
      <c r="X85" s="146" t="str">
        <f ca="1">IFERROR(__xludf.DUMMYFUNCTION("""COMPUTED_VALUE"""),"I-T")</f>
        <v>I-T</v>
      </c>
      <c r="Y85" s="146" t="str">
        <f ca="1">IFERROR(__xludf.DUMMYFUNCTION("""COMPUTED_VALUE"""),"A-A")</f>
        <v>A-A</v>
      </c>
      <c r="Z85" s="146" t="str">
        <f ca="1">IFERROR(__xludf.DUMMYFUNCTION("""COMPUTED_VALUE"""),"No")</f>
        <v>No</v>
      </c>
      <c r="AA85" s="146" t="str">
        <f ca="1">IFERROR(__xludf.DUMMYFUNCTION("""COMPUTED_VALUE"""),"No")</f>
        <v>No</v>
      </c>
      <c r="AB85" s="146" t="str">
        <f ca="1">IFERROR(__xludf.DUMMYFUNCTION("""COMPUTED_VALUE"""),"No")</f>
        <v>No</v>
      </c>
      <c r="AC85" s="146" t="str">
        <f ca="1">IFERROR(__xludf.DUMMYFUNCTION("""COMPUTED_VALUE"""),"-")</f>
        <v>-</v>
      </c>
      <c r="AD85" s="146" t="str">
        <f ca="1">IFERROR(__xludf.DUMMYFUNCTION("""COMPUTED_VALUE"""),"USA")</f>
        <v>USA</v>
      </c>
      <c r="AE85" s="158">
        <f ca="1">IFERROR(__xludf.DUMMYFUNCTION("""COMPUTED_VALUE"""),82)</f>
        <v>82</v>
      </c>
      <c r="AF85" s="146" t="str">
        <f ca="1">IFERROR(__xludf.DUMMYFUNCTION("""COMPUTED_VALUE"""),"F")</f>
        <v>F</v>
      </c>
      <c r="AG85" s="146" t="str">
        <f ca="1">IFERROR(__xludf.DUMMYFUNCTION("""COMPUTED_VALUE"""),"2S")</f>
        <v>2S</v>
      </c>
      <c r="AH85" s="159">
        <f ca="1">IFERROR(__xludf.DUMMYFUNCTION("""COMPUTED_VALUE"""),44)</f>
        <v>44</v>
      </c>
      <c r="AI85" s="146"/>
      <c r="AJ85" s="146"/>
      <c r="AK85" s="146"/>
      <c r="AL85" s="146"/>
      <c r="AM85" s="146"/>
      <c r="AN85" s="146"/>
      <c r="AO85" s="146"/>
      <c r="AP85" s="146"/>
      <c r="AQ85" s="146"/>
      <c r="AR85" s="146"/>
    </row>
    <row r="86" spans="1:44" ht="12.3">
      <c r="A86" s="157"/>
      <c r="B86" s="142" t="str">
        <f>Raw!A86</f>
        <v>Goossens et al. (1986)</v>
      </c>
      <c r="C86" s="143" t="str">
        <f>CONCATENATE(ROUND(Raw!I86,0),"/",ROUND(Raw!J86,0))</f>
        <v>18/19</v>
      </c>
      <c r="D86" s="143" t="str">
        <f>VLOOKUP(Processed!E86,P$2:Q$10,2,FALSE)</f>
        <v>I-I</v>
      </c>
      <c r="E86" s="143" t="str">
        <f>VLOOKUP(Raw!M86,R$2:S$13,2,FALSE)</f>
        <v>A-A</v>
      </c>
      <c r="F86" s="143" t="str">
        <f>IF(Raw!P86,"Yes","No")</f>
        <v>No</v>
      </c>
      <c r="G86" s="143" t="str">
        <f>IF(Raw!Q86,"Yes","No")</f>
        <v>No</v>
      </c>
      <c r="H86" s="143" t="str">
        <f>IF(Raw!T86,"Yes","No")</f>
        <v>Yes</v>
      </c>
      <c r="I86" s="143" t="str">
        <f>IF(AND(Raw!N86,Raw!O86), "S/IS, D/O", IF(Raw!N86,"S/IS", IF(Raw!O86,"D/O","-")))</f>
        <v>S/IS</v>
      </c>
      <c r="J86" s="143" t="str">
        <f>Raw!L86</f>
        <v>Netherlands</v>
      </c>
      <c r="K86" s="144">
        <f>IF(Processed!BN86="NA","-",ROUND(Processed!BN86*100,0))</f>
        <v>94</v>
      </c>
      <c r="L86" s="143" t="str">
        <f>VLOOKUP(Raw!F86,T$2:U$4,2,FALSE)</f>
        <v>F</v>
      </c>
      <c r="M86" s="143" t="str">
        <f>CONCATENATE(IF(Processed!F86,"2S",""),IF(Processed!W86,",3",""),IF(Processed!AG86,",4",""),IF(Processed!AQ86,",2D",""))</f>
        <v>2S,3</v>
      </c>
      <c r="N86" s="143">
        <f>IF(NOT(ISBLANK(Raw!AE86)), Raw!AE86, SUM(Raw!AL86:AT86))</f>
        <v>9</v>
      </c>
      <c r="O86" s="146" t="b">
        <f>COUNTIF(Raw!AV86:BK86, "&gt;=0") = 16</f>
        <v>0</v>
      </c>
      <c r="P86" s="146"/>
      <c r="Q86" s="146"/>
      <c r="R86" s="156"/>
      <c r="S86" s="146"/>
      <c r="T86" s="146"/>
      <c r="U86" s="146"/>
      <c r="V86" s="146" t="str">
        <f ca="1">IFERROR(__xludf.DUMMYFUNCTION("""COMPUTED_VALUE"""),"Sutton (1994)")</f>
        <v>Sutton (1994)</v>
      </c>
      <c r="W86" s="146" t="str">
        <f ca="1">IFERROR(__xludf.DUMMYFUNCTION("""COMPUTED_VALUE"""),"12/58")</f>
        <v>12/58</v>
      </c>
      <c r="X86" s="146" t="str">
        <f ca="1">IFERROR(__xludf.DUMMYFUNCTION("""COMPUTED_VALUE"""),"I-P")</f>
        <v>I-P</v>
      </c>
      <c r="Y86" s="146" t="str">
        <f ca="1">IFERROR(__xludf.DUMMYFUNCTION("""COMPUTED_VALUE"""),"A-CM")</f>
        <v>A-CM</v>
      </c>
      <c r="Z86" s="146" t="str">
        <f ca="1">IFERROR(__xludf.DUMMYFUNCTION("""COMPUTED_VALUE"""),"No")</f>
        <v>No</v>
      </c>
      <c r="AA86" s="146" t="str">
        <f ca="1">IFERROR(__xludf.DUMMYFUNCTION("""COMPUTED_VALUE"""),"No")</f>
        <v>No</v>
      </c>
      <c r="AB86" s="146" t="str">
        <f ca="1">IFERROR(__xludf.DUMMYFUNCTION("""COMPUTED_VALUE"""),"No")</f>
        <v>No</v>
      </c>
      <c r="AC86" s="146" t="str">
        <f ca="1">IFERROR(__xludf.DUMMYFUNCTION("""COMPUTED_VALUE"""),"-")</f>
        <v>-</v>
      </c>
      <c r="AD86" s="146" t="str">
        <f ca="1">IFERROR(__xludf.DUMMYFUNCTION("""COMPUTED_VALUE"""),"USA")</f>
        <v>USA</v>
      </c>
      <c r="AE86" s="158">
        <f ca="1">IFERROR(__xludf.DUMMYFUNCTION("""COMPUTED_VALUE"""),82)</f>
        <v>82</v>
      </c>
      <c r="AF86" s="146" t="str">
        <f ca="1">IFERROR(__xludf.DUMMYFUNCTION("""COMPUTED_VALUE"""),"F")</f>
        <v>F</v>
      </c>
      <c r="AG86" s="146" t="str">
        <f ca="1">IFERROR(__xludf.DUMMYFUNCTION("""COMPUTED_VALUE"""),"2S")</f>
        <v>2S</v>
      </c>
      <c r="AH86" s="159">
        <f ca="1">IFERROR(__xludf.DUMMYFUNCTION("""COMPUTED_VALUE"""),44)</f>
        <v>44</v>
      </c>
      <c r="AI86" s="146"/>
      <c r="AJ86" s="146"/>
      <c r="AK86" s="146"/>
      <c r="AL86" s="146"/>
      <c r="AM86" s="146"/>
      <c r="AN86" s="146"/>
      <c r="AO86" s="146"/>
      <c r="AP86" s="146"/>
      <c r="AQ86" s="146"/>
      <c r="AR86" s="146"/>
    </row>
    <row r="87" spans="1:44" ht="21">
      <c r="A87" s="157"/>
      <c r="B87" s="142" t="str">
        <f>Raw!A87</f>
        <v>Vondra, Hommerding, &amp; Shaw (1999)</v>
      </c>
      <c r="C87" s="143" t="str">
        <f>CONCATENATE(ROUND(Raw!I87,0),"/",ROUND(Raw!J87,0))</f>
        <v>12/18</v>
      </c>
      <c r="D87" s="143" t="str">
        <f>VLOOKUP(Processed!E87,P$2:Q$10,2,FALSE)</f>
        <v>I-I</v>
      </c>
      <c r="E87" s="143" t="str">
        <f>VLOOKUP(Raw!M87,R$2:S$13,2,FALSE)</f>
        <v>A-A</v>
      </c>
      <c r="F87" s="143" t="str">
        <f>IF(Raw!P87,"Yes","No")</f>
        <v>Yes</v>
      </c>
      <c r="G87" s="143" t="str">
        <f>IF(Raw!Q87,"Yes","No")</f>
        <v>No</v>
      </c>
      <c r="H87" s="143" t="str">
        <f>IF(Raw!T87,"Yes","No")</f>
        <v>Yes</v>
      </c>
      <c r="I87" s="143" t="str">
        <f>IF(AND(Raw!N87,Raw!O87), "S/IS, D/O", IF(Raw!N87,"S/IS", IF(Raw!O87,"D/O","-")))</f>
        <v>-</v>
      </c>
      <c r="J87" s="143" t="str">
        <f>Raw!L87</f>
        <v>USA</v>
      </c>
      <c r="K87" s="144">
        <f>IF(Processed!BN87="NA","-",ROUND(Processed!BN87*100,0))</f>
        <v>80</v>
      </c>
      <c r="L87" s="143" t="str">
        <f>VLOOKUP(Raw!F87,T$2:U$4,2,FALSE)</f>
        <v>F</v>
      </c>
      <c r="M87" s="143" t="str">
        <f>CONCATENATE(IF(Processed!F87,"2S",""),IF(Processed!W87,",3",""),IF(Processed!AG87,",4",""),IF(Processed!AQ87,",2D",""))</f>
        <v>2S,4,2D</v>
      </c>
      <c r="N87" s="143">
        <f>IF(NOT(ISBLANK(Raw!AE87)), Raw!AE87, SUM(Raw!AL87:AT87))</f>
        <v>90</v>
      </c>
      <c r="O87" s="146" t="b">
        <f>COUNTIF(Raw!AV87:BK87, "&gt;=0") = 16</f>
        <v>1</v>
      </c>
      <c r="P87" s="146"/>
      <c r="Q87" s="146"/>
      <c r="R87" s="156"/>
      <c r="S87" s="146"/>
      <c r="T87" s="146"/>
      <c r="U87" s="146"/>
      <c r="V87" s="146" t="str">
        <f ca="1">IFERROR(__xludf.DUMMYFUNCTION("""COMPUTED_VALUE"""),"Sutton (1994)")</f>
        <v>Sutton (1994)</v>
      </c>
      <c r="W87" s="146" t="str">
        <f ca="1">IFERROR(__xludf.DUMMYFUNCTION("""COMPUTED_VALUE"""),"24/58")</f>
        <v>24/58</v>
      </c>
      <c r="X87" s="146" t="str">
        <f ca="1">IFERROR(__xludf.DUMMYFUNCTION("""COMPUTED_VALUE"""),"T-P")</f>
        <v>T-P</v>
      </c>
      <c r="Y87" s="146" t="str">
        <f ca="1">IFERROR(__xludf.DUMMYFUNCTION("""COMPUTED_VALUE"""),"A-CM")</f>
        <v>A-CM</v>
      </c>
      <c r="Z87" s="146" t="str">
        <f ca="1">IFERROR(__xludf.DUMMYFUNCTION("""COMPUTED_VALUE"""),"No")</f>
        <v>No</v>
      </c>
      <c r="AA87" s="146" t="str">
        <f ca="1">IFERROR(__xludf.DUMMYFUNCTION("""COMPUTED_VALUE"""),"No")</f>
        <v>No</v>
      </c>
      <c r="AB87" s="146" t="str">
        <f ca="1">IFERROR(__xludf.DUMMYFUNCTION("""COMPUTED_VALUE"""),"No")</f>
        <v>No</v>
      </c>
      <c r="AC87" s="146" t="str">
        <f ca="1">IFERROR(__xludf.DUMMYFUNCTION("""COMPUTED_VALUE"""),"-")</f>
        <v>-</v>
      </c>
      <c r="AD87" s="146" t="str">
        <f ca="1">IFERROR(__xludf.DUMMYFUNCTION("""COMPUTED_VALUE"""),"USA")</f>
        <v>USA</v>
      </c>
      <c r="AE87" s="158">
        <f ca="1">IFERROR(__xludf.DUMMYFUNCTION("""COMPUTED_VALUE"""),82)</f>
        <v>82</v>
      </c>
      <c r="AF87" s="146" t="str">
        <f ca="1">IFERROR(__xludf.DUMMYFUNCTION("""COMPUTED_VALUE"""),"F")</f>
        <v>F</v>
      </c>
      <c r="AG87" s="146" t="str">
        <f ca="1">IFERROR(__xludf.DUMMYFUNCTION("""COMPUTED_VALUE"""),"2S")</f>
        <v>2S</v>
      </c>
      <c r="AH87" s="159">
        <f ca="1">IFERROR(__xludf.DUMMYFUNCTION("""COMPUTED_VALUE"""),46)</f>
        <v>46</v>
      </c>
      <c r="AI87" s="146"/>
      <c r="AJ87" s="146"/>
      <c r="AK87" s="146"/>
      <c r="AL87" s="146"/>
      <c r="AM87" s="146"/>
      <c r="AN87" s="146"/>
      <c r="AO87" s="146"/>
      <c r="AP87" s="146"/>
      <c r="AQ87" s="146"/>
      <c r="AR87" s="146"/>
    </row>
    <row r="88" spans="1:44" ht="12.3">
      <c r="A88" s="157"/>
      <c r="B88" s="142" t="str">
        <f>Raw!A88</f>
        <v>Vaughn et al. (1979)</v>
      </c>
      <c r="C88" s="143" t="str">
        <f>CONCATENATE(ROUND(Raw!I88,0),"/",ROUND(Raw!J88,0))</f>
        <v>12/18</v>
      </c>
      <c r="D88" s="143" t="str">
        <f>VLOOKUP(Processed!E88,P$2:Q$10,2,FALSE)</f>
        <v>I-I</v>
      </c>
      <c r="E88" s="143" t="str">
        <f>VLOOKUP(Raw!M88,R$2:S$13,2,FALSE)</f>
        <v>A-A</v>
      </c>
      <c r="F88" s="143" t="str">
        <f>IF(Raw!P88,"Yes","No")</f>
        <v>Yes</v>
      </c>
      <c r="G88" s="143" t="str">
        <f>IF(Raw!Q88,"Yes","No")</f>
        <v>No</v>
      </c>
      <c r="H88" s="143" t="str">
        <f>IF(Raw!T88,"Yes","No")</f>
        <v>Yes</v>
      </c>
      <c r="I88" s="143" t="str">
        <f>IF(AND(Raw!N88,Raw!O88), "S/IS, D/O", IF(Raw!N88,"S/IS", IF(Raw!O88,"D/O","-")))</f>
        <v>S/IS</v>
      </c>
      <c r="J88" s="143" t="str">
        <f>Raw!L88</f>
        <v>USA</v>
      </c>
      <c r="K88" s="144">
        <f>IF(Processed!BN88="NA","-",ROUND(Processed!BN88*100,0))</f>
        <v>91</v>
      </c>
      <c r="L88" s="143" t="str">
        <f>VLOOKUP(Raw!F88,T$2:U$4,2,FALSE)</f>
        <v>F</v>
      </c>
      <c r="M88" s="143" t="str">
        <f>CONCATENATE(IF(Processed!F88,"2S",""),IF(Processed!W88,",3",""),IF(Processed!AG88,",4",""),IF(Processed!AQ88,",2D",""))</f>
        <v>2S,3</v>
      </c>
      <c r="N88" s="143">
        <f>IF(NOT(ISBLANK(Raw!AE88)), Raw!AE88, SUM(Raw!AL88:AT88))</f>
        <v>100</v>
      </c>
      <c r="O88" s="146" t="b">
        <f>COUNTIF(Raw!AV88:BK88, "&gt;=0") = 16</f>
        <v>0</v>
      </c>
      <c r="P88" s="146"/>
      <c r="Q88" s="146"/>
      <c r="R88" s="156"/>
      <c r="S88" s="146"/>
      <c r="T88" s="146"/>
      <c r="U88" s="146"/>
      <c r="V88" s="146" t="str">
        <f ca="1">IFERROR(__xludf.DUMMYFUNCTION("""COMPUTED_VALUE"""),"Takahashi (1990) ")</f>
        <v xml:space="preserve">Takahashi (1990) </v>
      </c>
      <c r="W88" s="146" t="str">
        <f ca="1">IFERROR(__xludf.DUMMYFUNCTION("""COMPUTED_VALUE"""),"12/23")</f>
        <v>12/23</v>
      </c>
      <c r="X88" s="146" t="str">
        <f ca="1">IFERROR(__xludf.DUMMYFUNCTION("""COMPUTED_VALUE"""),"I-T")</f>
        <v>I-T</v>
      </c>
      <c r="Y88" s="146" t="str">
        <f ca="1">IFERROR(__xludf.DUMMYFUNCTION("""COMPUTED_VALUE"""),"A-A")</f>
        <v>A-A</v>
      </c>
      <c r="Z88" s="146" t="str">
        <f ca="1">IFERROR(__xludf.DUMMYFUNCTION("""COMPUTED_VALUE"""),"No")</f>
        <v>No</v>
      </c>
      <c r="AA88" s="146" t="str">
        <f ca="1">IFERROR(__xludf.DUMMYFUNCTION("""COMPUTED_VALUE"""),"No")</f>
        <v>No</v>
      </c>
      <c r="AB88" s="146" t="str">
        <f ca="1">IFERROR(__xludf.DUMMYFUNCTION("""COMPUTED_VALUE"""),"Yes")</f>
        <v>Yes</v>
      </c>
      <c r="AC88" s="146" t="str">
        <f ca="1">IFERROR(__xludf.DUMMYFUNCTION("""COMPUTED_VALUE"""),"S/IS")</f>
        <v>S/IS</v>
      </c>
      <c r="AD88" s="146" t="str">
        <f ca="1">IFERROR(__xludf.DUMMYFUNCTION("""COMPUTED_VALUE"""),"Japan")</f>
        <v>Japan</v>
      </c>
      <c r="AE88" s="158" t="str">
        <f ca="1">IFERROR(__xludf.DUMMYFUNCTION("""COMPUTED_VALUE"""),"")</f>
        <v/>
      </c>
      <c r="AF88" s="146" t="str">
        <f ca="1">IFERROR(__xludf.DUMMYFUNCTION("""COMPUTED_VALUE"""),"F")</f>
        <v>F</v>
      </c>
      <c r="AG88" s="146" t="str">
        <f ca="1">IFERROR(__xludf.DUMMYFUNCTION("""COMPUTED_VALUE"""),"2S")</f>
        <v>2S</v>
      </c>
      <c r="AH88" s="159">
        <f ca="1">IFERROR(__xludf.DUMMYFUNCTION("""COMPUTED_VALUE"""),60)</f>
        <v>60</v>
      </c>
      <c r="AI88" s="146"/>
      <c r="AJ88" s="146"/>
      <c r="AK88" s="146"/>
      <c r="AL88" s="146"/>
      <c r="AM88" s="146"/>
      <c r="AN88" s="146"/>
      <c r="AO88" s="146"/>
      <c r="AP88" s="146"/>
      <c r="AQ88" s="146"/>
      <c r="AR88" s="146"/>
    </row>
    <row r="89" spans="1:44" ht="12.3">
      <c r="A89" s="157"/>
      <c r="B89" s="142" t="str">
        <f>Raw!A89</f>
        <v xml:space="preserve">Schneider-Rosen et al. (1985) </v>
      </c>
      <c r="C89" s="143" t="str">
        <f>CONCATENATE(ROUND(Raw!I89,0),"/",ROUND(Raw!J89,0))</f>
        <v>12/18</v>
      </c>
      <c r="D89" s="143" t="str">
        <f>VLOOKUP(Processed!E89,P$2:Q$10,2,FALSE)</f>
        <v>I-I</v>
      </c>
      <c r="E89" s="143" t="str">
        <f>VLOOKUP(Raw!M89,R$2:S$13,2,FALSE)</f>
        <v>A-A</v>
      </c>
      <c r="F89" s="143" t="str">
        <f>IF(Raw!P89,"Yes","No")</f>
        <v>No</v>
      </c>
      <c r="G89" s="143" t="str">
        <f>IF(Raw!Q89,"Yes","No")</f>
        <v>No</v>
      </c>
      <c r="H89" s="143" t="str">
        <f>IF(Raw!T89,"Yes","No")</f>
        <v>Yes</v>
      </c>
      <c r="I89" s="143" t="str">
        <f>IF(AND(Raw!N89,Raw!O89), "S/IS, D/O", IF(Raw!N89,"S/IS", IF(Raw!O89,"D/O","-")))</f>
        <v>S/IS</v>
      </c>
      <c r="J89" s="143" t="str">
        <f>Raw!L89</f>
        <v>USA</v>
      </c>
      <c r="K89" s="144">
        <f>IF(Processed!BN89="NA","-",ROUND(Processed!BN89*100,0))</f>
        <v>90</v>
      </c>
      <c r="L89" s="143" t="str">
        <f>VLOOKUP(Raw!F89,T$2:U$4,2,FALSE)</f>
        <v>M,F</v>
      </c>
      <c r="M89" s="143" t="str">
        <f>CONCATENATE(IF(Processed!F89,"2S",""),IF(Processed!W89,",3",""),IF(Processed!AG89,",4",""),IF(Processed!AQ89,",2D",""))</f>
        <v>2S,3</v>
      </c>
      <c r="N89" s="143">
        <f>IF(NOT(ISBLANK(Raw!AE89)), Raw!AE89, SUM(Raw!AL89:AT89))</f>
        <v>17</v>
      </c>
      <c r="O89" s="146" t="b">
        <f>COUNTIF(Raw!AV89:BK89, "&gt;=0") = 16</f>
        <v>0</v>
      </c>
      <c r="P89" s="146"/>
      <c r="Q89" s="146"/>
      <c r="R89" s="156"/>
      <c r="S89" s="146"/>
      <c r="T89" s="146"/>
      <c r="U89" s="146"/>
      <c r="V89" s="146" t="str">
        <f ca="1">IFERROR(__xludf.DUMMYFUNCTION("""COMPUTED_VALUE"""),"Thompson, Lamb &amp; Estes (1982)")</f>
        <v>Thompson, Lamb &amp; Estes (1982)</v>
      </c>
      <c r="W89" s="146" t="str">
        <f ca="1">IFERROR(__xludf.DUMMYFUNCTION("""COMPUTED_VALUE"""),"13/20")</f>
        <v>13/20</v>
      </c>
      <c r="X89" s="146" t="str">
        <f ca="1">IFERROR(__xludf.DUMMYFUNCTION("""COMPUTED_VALUE"""),"I-T")</f>
        <v>I-T</v>
      </c>
      <c r="Y89" s="146" t="str">
        <f ca="1">IFERROR(__xludf.DUMMYFUNCTION("""COMPUTED_VALUE"""),"A-A")</f>
        <v>A-A</v>
      </c>
      <c r="Z89" s="146" t="str">
        <f ca="1">IFERROR(__xludf.DUMMYFUNCTION("""COMPUTED_VALUE"""),"No")</f>
        <v>No</v>
      </c>
      <c r="AA89" s="146" t="str">
        <f ca="1">IFERROR(__xludf.DUMMYFUNCTION("""COMPUTED_VALUE"""),"No")</f>
        <v>No</v>
      </c>
      <c r="AB89" s="146" t="str">
        <f ca="1">IFERROR(__xludf.DUMMYFUNCTION("""COMPUTED_VALUE"""),"Yes")</f>
        <v>Yes</v>
      </c>
      <c r="AC89" s="146" t="str">
        <f ca="1">IFERROR(__xludf.DUMMYFUNCTION("""COMPUTED_VALUE"""),"S/IS")</f>
        <v>S/IS</v>
      </c>
      <c r="AD89" s="146" t="str">
        <f ca="1">IFERROR(__xludf.DUMMYFUNCTION("""COMPUTED_VALUE"""),"USA")</f>
        <v>USA</v>
      </c>
      <c r="AE89" s="158">
        <f ca="1">IFERROR(__xludf.DUMMYFUNCTION("""COMPUTED_VALUE"""),94)</f>
        <v>94</v>
      </c>
      <c r="AF89" s="146" t="str">
        <f ca="1">IFERROR(__xludf.DUMMYFUNCTION("""COMPUTED_VALUE"""),"F")</f>
        <v>F</v>
      </c>
      <c r="AG89" s="146" t="str">
        <f ca="1">IFERROR(__xludf.DUMMYFUNCTION("""COMPUTED_VALUE"""),"2S,3")</f>
        <v>2S,3</v>
      </c>
      <c r="AH89" s="159">
        <f ca="1">IFERROR(__xludf.DUMMYFUNCTION("""COMPUTED_VALUE"""),43)</f>
        <v>43</v>
      </c>
      <c r="AI89" s="146"/>
      <c r="AJ89" s="146"/>
      <c r="AK89" s="146"/>
      <c r="AL89" s="146"/>
      <c r="AM89" s="146"/>
      <c r="AN89" s="146"/>
      <c r="AO89" s="146"/>
      <c r="AP89" s="146"/>
      <c r="AQ89" s="146"/>
      <c r="AR89" s="146"/>
    </row>
    <row r="90" spans="1:44" ht="12.3">
      <c r="A90" s="157"/>
      <c r="B90" s="142" t="str">
        <f>Raw!A90</f>
        <v xml:space="preserve">Schneider-Rosen et al. (1985) </v>
      </c>
      <c r="C90" s="143" t="str">
        <f>CONCATENATE(ROUND(Raw!I90,0),"/",ROUND(Raw!J90,0))</f>
        <v>12/18</v>
      </c>
      <c r="D90" s="143" t="str">
        <f>VLOOKUP(Processed!E90,P$2:Q$10,2,FALSE)</f>
        <v>I-I</v>
      </c>
      <c r="E90" s="143" t="str">
        <f>VLOOKUP(Raw!M90,R$2:S$13,2,FALSE)</f>
        <v>A-A</v>
      </c>
      <c r="F90" s="143" t="str">
        <f>IF(Raw!P90,"Yes","No")</f>
        <v>No</v>
      </c>
      <c r="G90" s="143" t="str">
        <f>IF(Raw!Q90,"Yes","No")</f>
        <v>No</v>
      </c>
      <c r="H90" s="143" t="str">
        <f>IF(Raw!T90,"Yes","No")</f>
        <v>Yes</v>
      </c>
      <c r="I90" s="143" t="str">
        <f>IF(AND(Raw!N90,Raw!O90), "S/IS, D/O", IF(Raw!N90,"S/IS", IF(Raw!O90,"D/O","-")))</f>
        <v>S/IS</v>
      </c>
      <c r="J90" s="143" t="str">
        <f>Raw!L90</f>
        <v>USA</v>
      </c>
      <c r="K90" s="144">
        <f>IF(Processed!BN90="NA","-",ROUND(Processed!BN90*100,0))</f>
        <v>91</v>
      </c>
      <c r="L90" s="143" t="str">
        <f>VLOOKUP(Raw!F90,T$2:U$4,2,FALSE)</f>
        <v>M,F</v>
      </c>
      <c r="M90" s="143" t="str">
        <f>CONCATENATE(IF(Processed!F90,"2S",""),IF(Processed!W90,",3",""),IF(Processed!AG90,",4",""),IF(Processed!AQ90,",2D",""))</f>
        <v>2S,3</v>
      </c>
      <c r="N90" s="143">
        <f>IF(NOT(ISBLANK(Raw!AE90)), Raw!AE90, SUM(Raw!AL90:AT90))</f>
        <v>23</v>
      </c>
      <c r="O90" s="146" t="b">
        <f>COUNTIF(Raw!AV90:BK90, "&gt;=0") = 16</f>
        <v>0</v>
      </c>
      <c r="P90" s="146"/>
      <c r="Q90" s="146"/>
      <c r="R90" s="156"/>
      <c r="S90" s="146"/>
      <c r="T90" s="146"/>
      <c r="U90" s="146"/>
      <c r="V90" s="146" t="str">
        <f ca="1">IFERROR(__xludf.DUMMYFUNCTION("""COMPUTED_VALUE"""),"Toth et al. (2006)")</f>
        <v>Toth et al. (2006)</v>
      </c>
      <c r="W90" s="146" t="str">
        <f ca="1">IFERROR(__xludf.DUMMYFUNCTION("""COMPUTED_VALUE"""),"20/36")</f>
        <v>20/36</v>
      </c>
      <c r="X90" s="146" t="str">
        <f ca="1">IFERROR(__xludf.DUMMYFUNCTION("""COMPUTED_VALUE"""),"T-P")</f>
        <v>T-P</v>
      </c>
      <c r="Y90" s="146" t="str">
        <f ca="1">IFERROR(__xludf.DUMMYFUNCTION("""COMPUTED_VALUE"""),"A-CM")</f>
        <v>A-CM</v>
      </c>
      <c r="Z90" s="146" t="str">
        <f ca="1">IFERROR(__xludf.DUMMYFUNCTION("""COMPUTED_VALUE"""),"No")</f>
        <v>No</v>
      </c>
      <c r="AA90" s="146" t="str">
        <f ca="1">IFERROR(__xludf.DUMMYFUNCTION("""COMPUTED_VALUE"""),"No")</f>
        <v>No</v>
      </c>
      <c r="AB90" s="146" t="str">
        <f ca="1">IFERROR(__xludf.DUMMYFUNCTION("""COMPUTED_VALUE"""),"Yes")</f>
        <v>Yes</v>
      </c>
      <c r="AC90" s="146" t="str">
        <f ca="1">IFERROR(__xludf.DUMMYFUNCTION("""COMPUTED_VALUE"""),"-")</f>
        <v>-</v>
      </c>
      <c r="AD90" s="146" t="str">
        <f ca="1">IFERROR(__xludf.DUMMYFUNCTION("""COMPUTED_VALUE"""),"USA")</f>
        <v>USA</v>
      </c>
      <c r="AE90" s="158">
        <f ca="1">IFERROR(__xludf.DUMMYFUNCTION("""COMPUTED_VALUE"""),92)</f>
        <v>92</v>
      </c>
      <c r="AF90" s="146" t="str">
        <f ca="1">IFERROR(__xludf.DUMMYFUNCTION("""COMPUTED_VALUE"""),"F")</f>
        <v>F</v>
      </c>
      <c r="AG90" s="146" t="str">
        <f ca="1">IFERROR(__xludf.DUMMYFUNCTION("""COMPUTED_VALUE"""),"2S,4,2D")</f>
        <v>2S,4,2D</v>
      </c>
      <c r="AH90" s="159">
        <f ca="1">IFERROR(__xludf.DUMMYFUNCTION("""COMPUTED_VALUE"""),63)</f>
        <v>63</v>
      </c>
      <c r="AI90" s="146"/>
      <c r="AJ90" s="146"/>
      <c r="AK90" s="146"/>
      <c r="AL90" s="146"/>
      <c r="AM90" s="146"/>
      <c r="AN90" s="146"/>
      <c r="AO90" s="146"/>
      <c r="AP90" s="146"/>
      <c r="AQ90" s="146"/>
      <c r="AR90" s="146"/>
    </row>
    <row r="91" spans="1:44" ht="12.3">
      <c r="A91" s="157"/>
      <c r="B91" s="142" t="str">
        <f>Raw!A91</f>
        <v xml:space="preserve">Schneider-Rosen et al. (1985) </v>
      </c>
      <c r="C91" s="143" t="str">
        <f>CONCATENATE(ROUND(Raw!I91,0),"/",ROUND(Raw!J91,0))</f>
        <v>12/18</v>
      </c>
      <c r="D91" s="143" t="str">
        <f>VLOOKUP(Processed!E91,P$2:Q$10,2,FALSE)</f>
        <v>I-I</v>
      </c>
      <c r="E91" s="143" t="str">
        <f>VLOOKUP(Raw!M91,R$2:S$13,2,FALSE)</f>
        <v>A-A</v>
      </c>
      <c r="F91" s="143" t="str">
        <f>IF(Raw!P91,"Yes","No")</f>
        <v>Yes</v>
      </c>
      <c r="G91" s="143" t="str">
        <f>IF(Raw!Q91,"Yes","No")</f>
        <v>No</v>
      </c>
      <c r="H91" s="143" t="str">
        <f>IF(Raw!T91,"Yes","No")</f>
        <v>Yes</v>
      </c>
      <c r="I91" s="143" t="str">
        <f>IF(AND(Raw!N91,Raw!O91), "S/IS, D/O", IF(Raw!N91,"S/IS", IF(Raw!O91,"D/O","-")))</f>
        <v>S/IS</v>
      </c>
      <c r="J91" s="143" t="str">
        <f>Raw!L91</f>
        <v>USA</v>
      </c>
      <c r="K91" s="144">
        <f>IF(Processed!BN91="NA","-",ROUND(Processed!BN91*100,0))</f>
        <v>90</v>
      </c>
      <c r="L91" s="143" t="str">
        <f>VLOOKUP(Raw!F91,T$2:U$4,2,FALSE)</f>
        <v>M,F</v>
      </c>
      <c r="M91" s="143" t="str">
        <f>CONCATENATE(IF(Processed!F91,"2S",""),IF(Processed!W91,",3",""),IF(Processed!AG91,",4",""),IF(Processed!AQ91,",2D",""))</f>
        <v>2S,3</v>
      </c>
      <c r="N91" s="143">
        <f>IF(NOT(ISBLANK(Raw!AE91)), Raw!AE91, SUM(Raw!AL91:AT91))</f>
        <v>12</v>
      </c>
      <c r="O91" s="146" t="b">
        <f>COUNTIF(Raw!AV91:BK91, "&gt;=0") = 16</f>
        <v>0</v>
      </c>
      <c r="P91" s="146"/>
      <c r="Q91" s="146"/>
      <c r="R91" s="156"/>
      <c r="S91" s="146"/>
      <c r="T91" s="146"/>
      <c r="U91" s="146"/>
      <c r="V91" s="146" t="str">
        <f ca="1">IFERROR(__xludf.DUMMYFUNCTION("""COMPUTED_VALUE"""),"Toth et al. (2006)")</f>
        <v>Toth et al. (2006)</v>
      </c>
      <c r="W91" s="146" t="str">
        <f ca="1">IFERROR(__xludf.DUMMYFUNCTION("""COMPUTED_VALUE"""),"20/36")</f>
        <v>20/36</v>
      </c>
      <c r="X91" s="146" t="str">
        <f ca="1">IFERROR(__xludf.DUMMYFUNCTION("""COMPUTED_VALUE"""),"T-P")</f>
        <v>T-P</v>
      </c>
      <c r="Y91" s="146" t="str">
        <f ca="1">IFERROR(__xludf.DUMMYFUNCTION("""COMPUTED_VALUE"""),"A-CM")</f>
        <v>A-CM</v>
      </c>
      <c r="Z91" s="146" t="str">
        <f ca="1">IFERROR(__xludf.DUMMYFUNCTION("""COMPUTED_VALUE"""),"Yes")</f>
        <v>Yes</v>
      </c>
      <c r="AA91" s="146" t="str">
        <f ca="1">IFERROR(__xludf.DUMMYFUNCTION("""COMPUTED_VALUE"""),"No")</f>
        <v>No</v>
      </c>
      <c r="AB91" s="146" t="str">
        <f ca="1">IFERROR(__xludf.DUMMYFUNCTION("""COMPUTED_VALUE"""),"Yes")</f>
        <v>Yes</v>
      </c>
      <c r="AC91" s="146" t="str">
        <f ca="1">IFERROR(__xludf.DUMMYFUNCTION("""COMPUTED_VALUE"""),"-")</f>
        <v>-</v>
      </c>
      <c r="AD91" s="146" t="str">
        <f ca="1">IFERROR(__xludf.DUMMYFUNCTION("""COMPUTED_VALUE"""),"USA")</f>
        <v>USA</v>
      </c>
      <c r="AE91" s="158">
        <f ca="1">IFERROR(__xludf.DUMMYFUNCTION("""COMPUTED_VALUE"""),92)</f>
        <v>92</v>
      </c>
      <c r="AF91" s="146" t="str">
        <f ca="1">IFERROR(__xludf.DUMMYFUNCTION("""COMPUTED_VALUE"""),"F")</f>
        <v>F</v>
      </c>
      <c r="AG91" s="146" t="str">
        <f ca="1">IFERROR(__xludf.DUMMYFUNCTION("""COMPUTED_VALUE"""),"2S,4,2D")</f>
        <v>2S,4,2D</v>
      </c>
      <c r="AH91" s="159">
        <f ca="1">IFERROR(__xludf.DUMMYFUNCTION("""COMPUTED_VALUE"""),54)</f>
        <v>54</v>
      </c>
      <c r="AI91" s="146"/>
      <c r="AJ91" s="146"/>
      <c r="AK91" s="146"/>
      <c r="AL91" s="146"/>
      <c r="AM91" s="146"/>
      <c r="AN91" s="146"/>
      <c r="AO91" s="146"/>
      <c r="AP91" s="146"/>
      <c r="AQ91" s="146"/>
      <c r="AR91" s="146"/>
    </row>
    <row r="92" spans="1:44" ht="12.3">
      <c r="A92" s="157"/>
      <c r="B92" s="142" t="str">
        <f>Raw!A92</f>
        <v xml:space="preserve">Schneider-Rosen et al. (1985) </v>
      </c>
      <c r="C92" s="143" t="str">
        <f>CONCATENATE(ROUND(Raw!I92,0),"/",ROUND(Raw!J92,0))</f>
        <v>12/18</v>
      </c>
      <c r="D92" s="143" t="str">
        <f>VLOOKUP(Processed!E92,P$2:Q$10,2,FALSE)</f>
        <v>I-I</v>
      </c>
      <c r="E92" s="143" t="str">
        <f>VLOOKUP(Raw!M92,R$2:S$13,2,FALSE)</f>
        <v>A-A</v>
      </c>
      <c r="F92" s="143" t="str">
        <f>IF(Raw!P92,"Yes","No")</f>
        <v>Yes</v>
      </c>
      <c r="G92" s="143" t="str">
        <f>IF(Raw!Q92,"Yes","No")</f>
        <v>No</v>
      </c>
      <c r="H92" s="143" t="str">
        <f>IF(Raw!T92,"Yes","No")</f>
        <v>Yes</v>
      </c>
      <c r="I92" s="143" t="str">
        <f>IF(AND(Raw!N92,Raw!O92), "S/IS, D/O", IF(Raw!N92,"S/IS", IF(Raw!O92,"D/O","-")))</f>
        <v>S/IS</v>
      </c>
      <c r="J92" s="143" t="str">
        <f>Raw!L92</f>
        <v>USA</v>
      </c>
      <c r="K92" s="144">
        <f>IF(Processed!BN92="NA","-",ROUND(Processed!BN92*100,0))</f>
        <v>91</v>
      </c>
      <c r="L92" s="143" t="str">
        <f>VLOOKUP(Raw!F92,T$2:U$4,2,FALSE)</f>
        <v>M,F</v>
      </c>
      <c r="M92" s="143" t="str">
        <f>CONCATENATE(IF(Processed!F92,"2S",""),IF(Processed!W92,",3",""),IF(Processed!AG92,",4",""),IF(Processed!AQ92,",2D",""))</f>
        <v>2S,3</v>
      </c>
      <c r="N92" s="143">
        <f>IF(NOT(ISBLANK(Raw!AE92)), Raw!AE92, SUM(Raw!AL92:AT92))</f>
        <v>19</v>
      </c>
      <c r="O92" s="146" t="b">
        <f>COUNTIF(Raw!AV92:BK92, "&gt;=0") = 16</f>
        <v>0</v>
      </c>
      <c r="P92" s="146"/>
      <c r="Q92" s="146"/>
      <c r="R92" s="156"/>
      <c r="S92" s="146"/>
      <c r="T92" s="146"/>
      <c r="U92" s="146"/>
      <c r="V92" s="146" t="str">
        <f ca="1">IFERROR(__xludf.DUMMYFUNCTION("""COMPUTED_VALUE"""),"Touris, Krimelow, &amp; Harding (1995)")</f>
        <v>Touris, Krimelow, &amp; Harding (1995)</v>
      </c>
      <c r="W92" s="146" t="str">
        <f ca="1">IFERROR(__xludf.DUMMYFUNCTION("""COMPUTED_VALUE"""),"20/25")</f>
        <v>20/25</v>
      </c>
      <c r="X92" s="146" t="str">
        <f ca="1">IFERROR(__xludf.DUMMYFUNCTION("""COMPUTED_VALUE"""),"T-T")</f>
        <v>T-T</v>
      </c>
      <c r="Y92" s="146" t="str">
        <f ca="1">IFERROR(__xludf.DUMMYFUNCTION("""COMPUTED_VALUE"""),"A-A")</f>
        <v>A-A</v>
      </c>
      <c r="Z92" s="146" t="str">
        <f ca="1">IFERROR(__xludf.DUMMYFUNCTION("""COMPUTED_VALUE"""),"Yes")</f>
        <v>Yes</v>
      </c>
      <c r="AA92" s="146" t="str">
        <f ca="1">IFERROR(__xludf.DUMMYFUNCTION("""COMPUTED_VALUE"""),"No")</f>
        <v>No</v>
      </c>
      <c r="AB92" s="146" t="str">
        <f ca="1">IFERROR(__xludf.DUMMYFUNCTION("""COMPUTED_VALUE"""),"Yes")</f>
        <v>Yes</v>
      </c>
      <c r="AC92" s="146" t="str">
        <f ca="1">IFERROR(__xludf.DUMMYFUNCTION("""COMPUTED_VALUE"""),"S/IS")</f>
        <v>S/IS</v>
      </c>
      <c r="AD92" s="146" t="str">
        <f ca="1">IFERROR(__xludf.DUMMYFUNCTION("""COMPUTED_VALUE"""),"USA")</f>
        <v>USA</v>
      </c>
      <c r="AE92" s="158">
        <f ca="1">IFERROR(__xludf.DUMMYFUNCTION("""COMPUTED_VALUE"""),82)</f>
        <v>82</v>
      </c>
      <c r="AF92" s="146" t="str">
        <f ca="1">IFERROR(__xludf.DUMMYFUNCTION("""COMPUTED_VALUE"""),"F")</f>
        <v>F</v>
      </c>
      <c r="AG92" s="146" t="str">
        <f ca="1">IFERROR(__xludf.DUMMYFUNCTION("""COMPUTED_VALUE"""),"2S")</f>
        <v>2S</v>
      </c>
      <c r="AH92" s="159">
        <f ca="1">IFERROR(__xludf.DUMMYFUNCTION("""COMPUTED_VALUE"""),20)</f>
        <v>20</v>
      </c>
      <c r="AI92" s="146"/>
      <c r="AJ92" s="146"/>
      <c r="AK92" s="146"/>
      <c r="AL92" s="146"/>
      <c r="AM92" s="146"/>
      <c r="AN92" s="146"/>
      <c r="AO92" s="146"/>
      <c r="AP92" s="146"/>
      <c r="AQ92" s="146"/>
      <c r="AR92" s="146"/>
    </row>
    <row r="93" spans="1:44" ht="12.3">
      <c r="A93" s="157"/>
      <c r="B93" s="142" t="str">
        <f>Raw!A93</f>
        <v>Mangelsdorf et al. (1996)</v>
      </c>
      <c r="C93" s="143" t="str">
        <f>CONCATENATE(ROUND(Raw!I93,0),"/",ROUND(Raw!J93,0))</f>
        <v>14/19</v>
      </c>
      <c r="D93" s="143" t="str">
        <f>VLOOKUP(Processed!E93,P$2:Q$10,2,FALSE)</f>
        <v>I-I</v>
      </c>
      <c r="E93" s="143" t="str">
        <f>VLOOKUP(Raw!M93,R$2:S$13,2,FALSE)</f>
        <v>A-A</v>
      </c>
      <c r="F93" s="143" t="str">
        <f>IF(Raw!P93,"Yes","No")</f>
        <v>No</v>
      </c>
      <c r="G93" s="143" t="str">
        <f>IF(Raw!Q93,"Yes","No")</f>
        <v>No</v>
      </c>
      <c r="H93" s="143" t="str">
        <f>IF(Raw!T93,"Yes","No")</f>
        <v>Yes</v>
      </c>
      <c r="I93" s="143" t="str">
        <f>IF(AND(Raw!N93,Raw!O93), "S/IS, D/O", IF(Raw!N93,"S/IS", IF(Raw!O93,"D/O","-")))</f>
        <v>S/IS</v>
      </c>
      <c r="J93" s="143" t="str">
        <f>Raw!L93</f>
        <v>USA</v>
      </c>
      <c r="K93" s="144">
        <f>IF(Processed!BN93="NA","-",ROUND(Processed!BN93*100,0))</f>
        <v>90</v>
      </c>
      <c r="L93" s="143" t="str">
        <f>VLOOKUP(Raw!F93,T$2:U$4,2,FALSE)</f>
        <v>F</v>
      </c>
      <c r="M93" s="143" t="str">
        <f>CONCATENATE(IF(Processed!F93,"2S",""),IF(Processed!W93,",3",""),IF(Processed!AG93,",4",""),IF(Processed!AQ93,",2D",""))</f>
        <v>2S</v>
      </c>
      <c r="N93" s="143">
        <f>IF(NOT(ISBLANK(Raw!AE93)), Raw!AE93, SUM(Raw!AL93:AT93))</f>
        <v>39</v>
      </c>
      <c r="O93" s="146" t="b">
        <f>COUNTIF(Raw!AV93:BK93, "&gt;=0") = 16</f>
        <v>0</v>
      </c>
      <c r="P93" s="146"/>
      <c r="Q93" s="146"/>
      <c r="R93" s="156"/>
      <c r="S93" s="146"/>
      <c r="T93" s="146"/>
      <c r="U93" s="146"/>
      <c r="V93" s="146" t="str">
        <f ca="1">IFERROR(__xludf.DUMMYFUNCTION("""COMPUTED_VALUE"""),"Touris, Krimelow, &amp; Harding (1995)")</f>
        <v>Touris, Krimelow, &amp; Harding (1995)</v>
      </c>
      <c r="W93" s="146" t="str">
        <f ca="1">IFERROR(__xludf.DUMMYFUNCTION("""COMPUTED_VALUE"""),"20/24")</f>
        <v>20/24</v>
      </c>
      <c r="X93" s="146" t="str">
        <f ca="1">IFERROR(__xludf.DUMMYFUNCTION("""COMPUTED_VALUE"""),"T-T")</f>
        <v>T-T</v>
      </c>
      <c r="Y93" s="146" t="str">
        <f ca="1">IFERROR(__xludf.DUMMYFUNCTION("""COMPUTED_VALUE"""),"A-A")</f>
        <v>A-A</v>
      </c>
      <c r="Z93" s="146" t="str">
        <f ca="1">IFERROR(__xludf.DUMMYFUNCTION("""COMPUTED_VALUE"""),"No")</f>
        <v>No</v>
      </c>
      <c r="AA93" s="146" t="str">
        <f ca="1">IFERROR(__xludf.DUMMYFUNCTION("""COMPUTED_VALUE"""),"No")</f>
        <v>No</v>
      </c>
      <c r="AB93" s="146" t="str">
        <f ca="1">IFERROR(__xludf.DUMMYFUNCTION("""COMPUTED_VALUE"""),"Yes")</f>
        <v>Yes</v>
      </c>
      <c r="AC93" s="146" t="str">
        <f ca="1">IFERROR(__xludf.DUMMYFUNCTION("""COMPUTED_VALUE"""),"S/IS")</f>
        <v>S/IS</v>
      </c>
      <c r="AD93" s="146" t="str">
        <f ca="1">IFERROR(__xludf.DUMMYFUNCTION("""COMPUTED_VALUE"""),"USA")</f>
        <v>USA</v>
      </c>
      <c r="AE93" s="158">
        <f ca="1">IFERROR(__xludf.DUMMYFUNCTION("""COMPUTED_VALUE"""),82)</f>
        <v>82</v>
      </c>
      <c r="AF93" s="146" t="str">
        <f ca="1">IFERROR(__xludf.DUMMYFUNCTION("""COMPUTED_VALUE"""),"F")</f>
        <v>F</v>
      </c>
      <c r="AG93" s="146" t="str">
        <f ca="1">IFERROR(__xludf.DUMMYFUNCTION("""COMPUTED_VALUE"""),"2S")</f>
        <v>2S</v>
      </c>
      <c r="AH93" s="159">
        <f ca="1">IFERROR(__xludf.DUMMYFUNCTION("""COMPUTED_VALUE"""),20)</f>
        <v>20</v>
      </c>
      <c r="AI93" s="146"/>
      <c r="AJ93" s="146"/>
      <c r="AK93" s="146"/>
      <c r="AL93" s="146"/>
      <c r="AM93" s="146"/>
      <c r="AN93" s="146"/>
      <c r="AO93" s="146"/>
      <c r="AP93" s="146"/>
      <c r="AQ93" s="146"/>
      <c r="AR93" s="146"/>
    </row>
    <row r="94" spans="1:44" ht="12.3">
      <c r="A94" s="157"/>
      <c r="B94" s="142" t="str">
        <f>Raw!A94</f>
        <v>Mangelsdorf et al. (1996)</v>
      </c>
      <c r="C94" s="143" t="str">
        <f>CONCATENATE(ROUND(Raw!I94,0),"/",ROUND(Raw!J94,0))</f>
        <v>14/19</v>
      </c>
      <c r="D94" s="143" t="str">
        <f>VLOOKUP(Processed!E94,P$2:Q$10,2,FALSE)</f>
        <v>I-I</v>
      </c>
      <c r="E94" s="143" t="str">
        <f>VLOOKUP(Raw!M94,R$2:S$13,2,FALSE)</f>
        <v>A-A</v>
      </c>
      <c r="F94" s="143" t="str">
        <f>IF(Raw!P94,"Yes","No")</f>
        <v>No</v>
      </c>
      <c r="G94" s="143" t="str">
        <f>IF(Raw!Q94,"Yes","No")</f>
        <v>Yes</v>
      </c>
      <c r="H94" s="143" t="str">
        <f>IF(Raw!T94,"Yes","No")</f>
        <v>Yes</v>
      </c>
      <c r="I94" s="143" t="str">
        <f>IF(AND(Raw!N94,Raw!O94), "S/IS, D/O", IF(Raw!N94,"S/IS", IF(Raw!O94,"D/O","-")))</f>
        <v>S/IS</v>
      </c>
      <c r="J94" s="143" t="str">
        <f>Raw!L94</f>
        <v>USA</v>
      </c>
      <c r="K94" s="144">
        <f>IF(Processed!BN94="NA","-",ROUND(Processed!BN94*100,0))</f>
        <v>90</v>
      </c>
      <c r="L94" s="143" t="str">
        <f>VLOOKUP(Raw!F94,T$2:U$4,2,FALSE)</f>
        <v>F</v>
      </c>
      <c r="M94" s="143" t="str">
        <f>CONCATENATE(IF(Processed!F94,"2S",""),IF(Processed!W94,",3",""),IF(Processed!AG94,",4",""),IF(Processed!AQ94,",2D",""))</f>
        <v>2S</v>
      </c>
      <c r="N94" s="143">
        <f>IF(NOT(ISBLANK(Raw!AE94)), Raw!AE94, SUM(Raw!AL94:AT94))</f>
        <v>31</v>
      </c>
      <c r="O94" s="146" t="b">
        <f>COUNTIF(Raw!AV94:BK94, "&gt;=0") = 16</f>
        <v>0</v>
      </c>
      <c r="P94" s="146"/>
      <c r="Q94" s="146"/>
      <c r="R94" s="156"/>
      <c r="S94" s="146"/>
      <c r="T94" s="146"/>
      <c r="U94" s="146"/>
      <c r="V94" s="146" t="str">
        <f ca="1">IFERROR(__xludf.DUMMYFUNCTION("""COMPUTED_VALUE"""),"Vaughn et al. (1979)")</f>
        <v>Vaughn et al. (1979)</v>
      </c>
      <c r="W94" s="146" t="str">
        <f ca="1">IFERROR(__xludf.DUMMYFUNCTION("""COMPUTED_VALUE"""),"12/18")</f>
        <v>12/18</v>
      </c>
      <c r="X94" s="146" t="str">
        <f ca="1">IFERROR(__xludf.DUMMYFUNCTION("""COMPUTED_VALUE"""),"I-I")</f>
        <v>I-I</v>
      </c>
      <c r="Y94" s="146" t="str">
        <f ca="1">IFERROR(__xludf.DUMMYFUNCTION("""COMPUTED_VALUE"""),"A-A")</f>
        <v>A-A</v>
      </c>
      <c r="Z94" s="146" t="str">
        <f ca="1">IFERROR(__xludf.DUMMYFUNCTION("""COMPUTED_VALUE"""),"Yes")</f>
        <v>Yes</v>
      </c>
      <c r="AA94" s="146" t="str">
        <f ca="1">IFERROR(__xludf.DUMMYFUNCTION("""COMPUTED_VALUE"""),"No")</f>
        <v>No</v>
      </c>
      <c r="AB94" s="146" t="str">
        <f ca="1">IFERROR(__xludf.DUMMYFUNCTION("""COMPUTED_VALUE"""),"Yes")</f>
        <v>Yes</v>
      </c>
      <c r="AC94" s="146" t="str">
        <f ca="1">IFERROR(__xludf.DUMMYFUNCTION("""COMPUTED_VALUE"""),"S/IS")</f>
        <v>S/IS</v>
      </c>
      <c r="AD94" s="146" t="str">
        <f ca="1">IFERROR(__xludf.DUMMYFUNCTION("""COMPUTED_VALUE"""),"USA")</f>
        <v>USA</v>
      </c>
      <c r="AE94" s="158">
        <f ca="1">IFERROR(__xludf.DUMMYFUNCTION("""COMPUTED_VALUE"""),91)</f>
        <v>91</v>
      </c>
      <c r="AF94" s="146" t="str">
        <f ca="1">IFERROR(__xludf.DUMMYFUNCTION("""COMPUTED_VALUE"""),"F")</f>
        <v>F</v>
      </c>
      <c r="AG94" s="146" t="str">
        <f ca="1">IFERROR(__xludf.DUMMYFUNCTION("""COMPUTED_VALUE"""),"2S,3")</f>
        <v>2S,3</v>
      </c>
      <c r="AH94" s="159">
        <f ca="1">IFERROR(__xludf.DUMMYFUNCTION("""COMPUTED_VALUE"""),100)</f>
        <v>100</v>
      </c>
      <c r="AI94" s="146"/>
      <c r="AJ94" s="146"/>
      <c r="AK94" s="146"/>
      <c r="AL94" s="146"/>
      <c r="AM94" s="146"/>
      <c r="AN94" s="146"/>
      <c r="AO94" s="146"/>
      <c r="AP94" s="146"/>
      <c r="AQ94" s="146"/>
      <c r="AR94" s="146"/>
    </row>
    <row r="95" spans="1:44" ht="12.3">
      <c r="A95" s="157"/>
      <c r="B95" s="142" t="str">
        <f>Raw!A95</f>
        <v>Sutton (1994)</v>
      </c>
      <c r="C95" s="143" t="str">
        <f>CONCATENATE(ROUND(Raw!I95,0),"/",ROUND(Raw!J95,0))</f>
        <v>12/24</v>
      </c>
      <c r="D95" s="143" t="str">
        <f>VLOOKUP(Processed!E95,P$2:Q$10,2,FALSE)</f>
        <v>I-T</v>
      </c>
      <c r="E95" s="143" t="str">
        <f>VLOOKUP(Raw!M95,R$2:S$13,2,FALSE)</f>
        <v>A-A</v>
      </c>
      <c r="F95" s="143" t="str">
        <f>IF(Raw!P95,"Yes","No")</f>
        <v>No</v>
      </c>
      <c r="G95" s="143" t="str">
        <f>IF(Raw!Q95,"Yes","No")</f>
        <v>No</v>
      </c>
      <c r="H95" s="143" t="str">
        <f>IF(Raw!T95,"Yes","No")</f>
        <v>No</v>
      </c>
      <c r="I95" s="143" t="str">
        <f>IF(AND(Raw!N95,Raw!O95), "S/IS, D/O", IF(Raw!N95,"S/IS", IF(Raw!O95,"D/O","-")))</f>
        <v>-</v>
      </c>
      <c r="J95" s="143" t="str">
        <f>Raw!L95</f>
        <v>USA</v>
      </c>
      <c r="K95" s="144">
        <f>IF(Processed!BN95="NA","-",ROUND(Processed!BN95*100,0))</f>
        <v>82</v>
      </c>
      <c r="L95" s="143" t="str">
        <f>VLOOKUP(Raw!F95,T$2:U$4,2,FALSE)</f>
        <v>F</v>
      </c>
      <c r="M95" s="143" t="str">
        <f>CONCATENATE(IF(Processed!F95,"2S",""),IF(Processed!W95,",3",""),IF(Processed!AG95,",4",""),IF(Processed!AQ95,",2D",""))</f>
        <v>2S</v>
      </c>
      <c r="N95" s="143">
        <f>IF(NOT(ISBLANK(Raw!AE95)), Raw!AE95, SUM(Raw!AL95:AT95))</f>
        <v>44</v>
      </c>
      <c r="O95" s="146" t="b">
        <f>COUNTIF(Raw!AV95:BK95, "&gt;=0") = 16</f>
        <v>0</v>
      </c>
      <c r="P95" s="146"/>
      <c r="Q95" s="146"/>
      <c r="R95" s="156"/>
      <c r="S95" s="146"/>
      <c r="T95" s="146"/>
      <c r="U95" s="146"/>
      <c r="V95" s="146" t="str">
        <f ca="1">IFERROR(__xludf.DUMMYFUNCTION("""COMPUTED_VALUE"""),"Vaughn, Gove, &amp; Egeland (1980) ")</f>
        <v xml:space="preserve">Vaughn, Gove, &amp; Egeland (1980) </v>
      </c>
      <c r="W95" s="146" t="str">
        <f ca="1">IFERROR(__xludf.DUMMYFUNCTION("""COMPUTED_VALUE"""),"12/18")</f>
        <v>12/18</v>
      </c>
      <c r="X95" s="146" t="str">
        <f ca="1">IFERROR(__xludf.DUMMYFUNCTION("""COMPUTED_VALUE"""),"I-I")</f>
        <v>I-I</v>
      </c>
      <c r="Y95" s="146" t="str">
        <f ca="1">IFERROR(__xludf.DUMMYFUNCTION("""COMPUTED_VALUE"""),"A-A")</f>
        <v>A-A</v>
      </c>
      <c r="Z95" s="146" t="str">
        <f ca="1">IFERROR(__xludf.DUMMYFUNCTION("""COMPUTED_VALUE"""),"Yes")</f>
        <v>Yes</v>
      </c>
      <c r="AA95" s="146" t="str">
        <f ca="1">IFERROR(__xludf.DUMMYFUNCTION("""COMPUTED_VALUE"""),"No")</f>
        <v>No</v>
      </c>
      <c r="AB95" s="146" t="str">
        <f ca="1">IFERROR(__xludf.DUMMYFUNCTION("""COMPUTED_VALUE"""),"Yes")</f>
        <v>Yes</v>
      </c>
      <c r="AC95" s="146" t="str">
        <f ca="1">IFERROR(__xludf.DUMMYFUNCTION("""COMPUTED_VALUE"""),"-")</f>
        <v>-</v>
      </c>
      <c r="AD95" s="146" t="str">
        <f ca="1">IFERROR(__xludf.DUMMYFUNCTION("""COMPUTED_VALUE"""),"USA")</f>
        <v>USA</v>
      </c>
      <c r="AE95" s="158">
        <f ca="1">IFERROR(__xludf.DUMMYFUNCTION("""COMPUTED_VALUE"""),92)</f>
        <v>92</v>
      </c>
      <c r="AF95" s="146" t="str">
        <f ca="1">IFERROR(__xludf.DUMMYFUNCTION("""COMPUTED_VALUE"""),"F")</f>
        <v>F</v>
      </c>
      <c r="AG95" s="146" t="str">
        <f ca="1">IFERROR(__xludf.DUMMYFUNCTION("""COMPUTED_VALUE"""),"2S,3")</f>
        <v>2S,3</v>
      </c>
      <c r="AH95" s="159">
        <f ca="1">IFERROR(__xludf.DUMMYFUNCTION("""COMPUTED_VALUE"""),34)</f>
        <v>34</v>
      </c>
      <c r="AI95" s="146"/>
      <c r="AJ95" s="146"/>
      <c r="AK95" s="146"/>
      <c r="AL95" s="146"/>
      <c r="AM95" s="146"/>
      <c r="AN95" s="146"/>
      <c r="AO95" s="146"/>
      <c r="AP95" s="146"/>
      <c r="AQ95" s="146"/>
      <c r="AR95" s="146"/>
    </row>
    <row r="96" spans="1:44" ht="12.3">
      <c r="A96" s="157"/>
      <c r="B96" s="142" t="str">
        <f>Raw!A96</f>
        <v>Sutton (1994)</v>
      </c>
      <c r="C96" s="143" t="str">
        <f>CONCATENATE(ROUND(Raw!I96,0),"/",ROUND(Raw!J96,0))</f>
        <v>12/58</v>
      </c>
      <c r="D96" s="143" t="str">
        <f>VLOOKUP(Processed!E96,P$2:Q$10,2,FALSE)</f>
        <v>I-P</v>
      </c>
      <c r="E96" s="143" t="str">
        <f>VLOOKUP(Raw!M96,R$2:S$13,2,FALSE)</f>
        <v>A-CM</v>
      </c>
      <c r="F96" s="143" t="str">
        <f>IF(Raw!P96,"Yes","No")</f>
        <v>No</v>
      </c>
      <c r="G96" s="143" t="str">
        <f>IF(Raw!Q96,"Yes","No")</f>
        <v>No</v>
      </c>
      <c r="H96" s="143" t="str">
        <f>IF(Raw!T96,"Yes","No")</f>
        <v>No</v>
      </c>
      <c r="I96" s="143" t="str">
        <f>IF(AND(Raw!N96,Raw!O96), "S/IS, D/O", IF(Raw!N96,"S/IS", IF(Raw!O96,"D/O","-")))</f>
        <v>-</v>
      </c>
      <c r="J96" s="143" t="str">
        <f>Raw!L96</f>
        <v>USA</v>
      </c>
      <c r="K96" s="144">
        <f>IF(Processed!BN96="NA","-",ROUND(Processed!BN96*100,0))</f>
        <v>82</v>
      </c>
      <c r="L96" s="143" t="str">
        <f>VLOOKUP(Raw!F96,T$2:U$4,2,FALSE)</f>
        <v>F</v>
      </c>
      <c r="M96" s="143" t="str">
        <f>CONCATENATE(IF(Processed!F96,"2S",""),IF(Processed!W96,",3",""),IF(Processed!AG96,",4",""),IF(Processed!AQ96,",2D",""))</f>
        <v>2S</v>
      </c>
      <c r="N96" s="143">
        <f>IF(NOT(ISBLANK(Raw!AE96)), Raw!AE96, SUM(Raw!AL96:AT96))</f>
        <v>44</v>
      </c>
      <c r="O96" s="146" t="b">
        <f>COUNTIF(Raw!AV96:BK96, "&gt;=0") = 16</f>
        <v>0</v>
      </c>
      <c r="P96" s="146"/>
      <c r="Q96" s="146"/>
      <c r="R96" s="156"/>
      <c r="S96" s="146"/>
      <c r="T96" s="146"/>
      <c r="U96" s="146"/>
      <c r="V96" s="146" t="str">
        <f ca="1">IFERROR(__xludf.DUMMYFUNCTION("""COMPUTED_VALUE"""),"Vaughn, Gove, &amp; Egeland (1980) ")</f>
        <v xml:space="preserve">Vaughn, Gove, &amp; Egeland (1980) </v>
      </c>
      <c r="W96" s="146" t="str">
        <f ca="1">IFERROR(__xludf.DUMMYFUNCTION("""COMPUTED_VALUE"""),"12/18")</f>
        <v>12/18</v>
      </c>
      <c r="X96" s="146" t="str">
        <f ca="1">IFERROR(__xludf.DUMMYFUNCTION("""COMPUTED_VALUE"""),"I-I")</f>
        <v>I-I</v>
      </c>
      <c r="Y96" s="146" t="str">
        <f ca="1">IFERROR(__xludf.DUMMYFUNCTION("""COMPUTED_VALUE"""),"A-A")</f>
        <v>A-A</v>
      </c>
      <c r="Z96" s="146" t="str">
        <f ca="1">IFERROR(__xludf.DUMMYFUNCTION("""COMPUTED_VALUE"""),"Yes")</f>
        <v>Yes</v>
      </c>
      <c r="AA96" s="146" t="str">
        <f ca="1">IFERROR(__xludf.DUMMYFUNCTION("""COMPUTED_VALUE"""),"No")</f>
        <v>No</v>
      </c>
      <c r="AB96" s="146" t="str">
        <f ca="1">IFERROR(__xludf.DUMMYFUNCTION("""COMPUTED_VALUE"""),"Yes")</f>
        <v>Yes</v>
      </c>
      <c r="AC96" s="146" t="str">
        <f ca="1">IFERROR(__xludf.DUMMYFUNCTION("""COMPUTED_VALUE"""),"-")</f>
        <v>-</v>
      </c>
      <c r="AD96" s="146" t="str">
        <f ca="1">IFERROR(__xludf.DUMMYFUNCTION("""COMPUTED_VALUE"""),"USA")</f>
        <v>USA</v>
      </c>
      <c r="AE96" s="158">
        <f ca="1">IFERROR(__xludf.DUMMYFUNCTION("""COMPUTED_VALUE"""),92)</f>
        <v>92</v>
      </c>
      <c r="AF96" s="146" t="str">
        <f ca="1">IFERROR(__xludf.DUMMYFUNCTION("""COMPUTED_VALUE"""),"F")</f>
        <v>F</v>
      </c>
      <c r="AG96" s="146" t="str">
        <f ca="1">IFERROR(__xludf.DUMMYFUNCTION("""COMPUTED_VALUE"""),"2S,3")</f>
        <v>2S,3</v>
      </c>
      <c r="AH96" s="159">
        <f ca="1">IFERROR(__xludf.DUMMYFUNCTION("""COMPUTED_VALUE"""),18)</f>
        <v>18</v>
      </c>
      <c r="AI96" s="146"/>
      <c r="AJ96" s="146"/>
      <c r="AK96" s="146"/>
      <c r="AL96" s="146"/>
      <c r="AM96" s="146"/>
      <c r="AN96" s="146"/>
      <c r="AO96" s="146"/>
      <c r="AP96" s="146"/>
      <c r="AQ96" s="146"/>
      <c r="AR96" s="146"/>
    </row>
    <row r="97" spans="1:44" ht="12.3">
      <c r="A97" s="157"/>
      <c r="B97" s="142" t="str">
        <f>Raw!A97</f>
        <v>Sutton (1994)</v>
      </c>
      <c r="C97" s="143" t="str">
        <f>CONCATENATE(ROUND(Raw!I97,0),"/",ROUND(Raw!J97,0))</f>
        <v>24/58</v>
      </c>
      <c r="D97" s="143" t="str">
        <f>VLOOKUP(Processed!E97,P$2:Q$10,2,FALSE)</f>
        <v>T-P</v>
      </c>
      <c r="E97" s="143" t="str">
        <f>VLOOKUP(Raw!M97,R$2:S$13,2,FALSE)</f>
        <v>A-CM</v>
      </c>
      <c r="F97" s="143" t="str">
        <f>IF(Raw!P97,"Yes","No")</f>
        <v>No</v>
      </c>
      <c r="G97" s="143" t="str">
        <f>IF(Raw!Q97,"Yes","No")</f>
        <v>No</v>
      </c>
      <c r="H97" s="143" t="str">
        <f>IF(Raw!T97,"Yes","No")</f>
        <v>No</v>
      </c>
      <c r="I97" s="143" t="str">
        <f>IF(AND(Raw!N97,Raw!O97), "S/IS, D/O", IF(Raw!N97,"S/IS", IF(Raw!O97,"D/O","-")))</f>
        <v>-</v>
      </c>
      <c r="J97" s="143" t="str">
        <f>Raw!L97</f>
        <v>USA</v>
      </c>
      <c r="K97" s="144">
        <f>IF(Processed!BN97="NA","-",ROUND(Processed!BN97*100,0))</f>
        <v>82</v>
      </c>
      <c r="L97" s="143" t="str">
        <f>VLOOKUP(Raw!F97,T$2:U$4,2,FALSE)</f>
        <v>F</v>
      </c>
      <c r="M97" s="143" t="str">
        <f>CONCATENATE(IF(Processed!F97,"2S",""),IF(Processed!W97,",3",""),IF(Processed!AG97,",4",""),IF(Processed!AQ97,",2D",""))</f>
        <v>2S</v>
      </c>
      <c r="N97" s="143">
        <f>IF(NOT(ISBLANK(Raw!AE97)), Raw!AE97, SUM(Raw!AL97:AT97))</f>
        <v>46</v>
      </c>
      <c r="O97" s="146" t="b">
        <f>COUNTIF(Raw!AV97:BK97, "&gt;=0") = 16</f>
        <v>0</v>
      </c>
      <c r="P97" s="146"/>
      <c r="Q97" s="146"/>
      <c r="R97" s="156"/>
      <c r="S97" s="146"/>
      <c r="T97" s="146"/>
      <c r="U97" s="146"/>
      <c r="V97" s="146" t="str">
        <f ca="1">IFERROR(__xludf.DUMMYFUNCTION("""COMPUTED_VALUE"""),"Vaughn, Gove, &amp; Egeland (1980) ")</f>
        <v xml:space="preserve">Vaughn, Gove, &amp; Egeland (1980) </v>
      </c>
      <c r="W97" s="146" t="str">
        <f ca="1">IFERROR(__xludf.DUMMYFUNCTION("""COMPUTED_VALUE"""),"12/18")</f>
        <v>12/18</v>
      </c>
      <c r="X97" s="146" t="str">
        <f ca="1">IFERROR(__xludf.DUMMYFUNCTION("""COMPUTED_VALUE"""),"I-I")</f>
        <v>I-I</v>
      </c>
      <c r="Y97" s="146" t="str">
        <f ca="1">IFERROR(__xludf.DUMMYFUNCTION("""COMPUTED_VALUE"""),"A-A")</f>
        <v>A-A</v>
      </c>
      <c r="Z97" s="146" t="str">
        <f ca="1">IFERROR(__xludf.DUMMYFUNCTION("""COMPUTED_VALUE"""),"Yes")</f>
        <v>Yes</v>
      </c>
      <c r="AA97" s="146" t="str">
        <f ca="1">IFERROR(__xludf.DUMMYFUNCTION("""COMPUTED_VALUE"""),"No")</f>
        <v>No</v>
      </c>
      <c r="AB97" s="146" t="str">
        <f ca="1">IFERROR(__xludf.DUMMYFUNCTION("""COMPUTED_VALUE"""),"Yes")</f>
        <v>Yes</v>
      </c>
      <c r="AC97" s="146" t="str">
        <f ca="1">IFERROR(__xludf.DUMMYFUNCTION("""COMPUTED_VALUE"""),"-")</f>
        <v>-</v>
      </c>
      <c r="AD97" s="146" t="str">
        <f ca="1">IFERROR(__xludf.DUMMYFUNCTION("""COMPUTED_VALUE"""),"USA")</f>
        <v>USA</v>
      </c>
      <c r="AE97" s="158">
        <f ca="1">IFERROR(__xludf.DUMMYFUNCTION("""COMPUTED_VALUE"""),92)</f>
        <v>92</v>
      </c>
      <c r="AF97" s="146" t="str">
        <f ca="1">IFERROR(__xludf.DUMMYFUNCTION("""COMPUTED_VALUE"""),"F")</f>
        <v>F</v>
      </c>
      <c r="AG97" s="146" t="str">
        <f ca="1">IFERROR(__xludf.DUMMYFUNCTION("""COMPUTED_VALUE"""),"2S,3")</f>
        <v>2S,3</v>
      </c>
      <c r="AH97" s="159">
        <f ca="1">IFERROR(__xludf.DUMMYFUNCTION("""COMPUTED_VALUE"""),52)</f>
        <v>52</v>
      </c>
      <c r="AI97" s="146"/>
      <c r="AJ97" s="146"/>
      <c r="AK97" s="146"/>
      <c r="AL97" s="146"/>
      <c r="AM97" s="146"/>
      <c r="AN97" s="146"/>
      <c r="AO97" s="146"/>
      <c r="AP97" s="146"/>
      <c r="AQ97" s="146"/>
      <c r="AR97" s="146"/>
    </row>
    <row r="98" spans="1:44" ht="21">
      <c r="A98" s="157"/>
      <c r="B98" s="142" t="str">
        <f>Raw!A98</f>
        <v>Touris, Krimelow, &amp; Harding (1995)</v>
      </c>
      <c r="C98" s="143" t="str">
        <f>CONCATENATE(ROUND(Raw!I98,0),"/",ROUND(Raw!J98,0))</f>
        <v>20/25</v>
      </c>
      <c r="D98" s="143" t="str">
        <f>VLOOKUP(Processed!E98,P$2:Q$10,2,FALSE)</f>
        <v>T-T</v>
      </c>
      <c r="E98" s="143" t="str">
        <f>VLOOKUP(Raw!M98,R$2:S$13,2,FALSE)</f>
        <v>A-A</v>
      </c>
      <c r="F98" s="143" t="str">
        <f>IF(Raw!P98,"Yes","No")</f>
        <v>Yes</v>
      </c>
      <c r="G98" s="143" t="str">
        <f>IF(Raw!Q98,"Yes","No")</f>
        <v>No</v>
      </c>
      <c r="H98" s="143" t="str">
        <f>IF(Raw!T98,"Yes","No")</f>
        <v>Yes</v>
      </c>
      <c r="I98" s="143" t="str">
        <f>IF(AND(Raw!N98,Raw!O98), "S/IS, D/O", IF(Raw!N98,"S/IS", IF(Raw!O98,"D/O","-")))</f>
        <v>S/IS</v>
      </c>
      <c r="J98" s="143" t="str">
        <f>Raw!L98</f>
        <v>USA</v>
      </c>
      <c r="K98" s="144">
        <f>IF(Processed!BN98="NA","-",ROUND(Processed!BN98*100,0))</f>
        <v>82</v>
      </c>
      <c r="L98" s="143" t="str">
        <f>VLOOKUP(Raw!F98,T$2:U$4,2,FALSE)</f>
        <v>F</v>
      </c>
      <c r="M98" s="143" t="str">
        <f>CONCATENATE(IF(Processed!F98,"2S",""),IF(Processed!W98,",3",""),IF(Processed!AG98,",4",""),IF(Processed!AQ98,",2D",""))</f>
        <v>2S</v>
      </c>
      <c r="N98" s="143">
        <f>IF(NOT(ISBLANK(Raw!AE98)), Raw!AE98, SUM(Raw!AL98:AT98))</f>
        <v>20</v>
      </c>
      <c r="O98" s="146" t="b">
        <f>COUNTIF(Raw!AV98:BK98, "&gt;=0") = 16</f>
        <v>0</v>
      </c>
      <c r="P98" s="146"/>
      <c r="Q98" s="146"/>
      <c r="R98" s="156"/>
      <c r="S98" s="146"/>
      <c r="T98" s="146"/>
      <c r="U98" s="146"/>
      <c r="V98" s="146" t="str">
        <f ca="1">IFERROR(__xludf.DUMMYFUNCTION("""COMPUTED_VALUE"""),"Vondra et al. (2001)")</f>
        <v>Vondra et al. (2001)</v>
      </c>
      <c r="W98" s="146" t="str">
        <f ca="1">IFERROR(__xludf.DUMMYFUNCTION("""COMPUTED_VALUE"""),"12/24")</f>
        <v>12/24</v>
      </c>
      <c r="X98" s="146" t="str">
        <f ca="1">IFERROR(__xludf.DUMMYFUNCTION("""COMPUTED_VALUE"""),"I-T")</f>
        <v>I-T</v>
      </c>
      <c r="Y98" s="146" t="str">
        <f ca="1">IFERROR(__xludf.DUMMYFUNCTION("""COMPUTED_VALUE"""),"A-CM")</f>
        <v>A-CM</v>
      </c>
      <c r="Z98" s="146" t="str">
        <f ca="1">IFERROR(__xludf.DUMMYFUNCTION("""COMPUTED_VALUE"""),"Yes")</f>
        <v>Yes</v>
      </c>
      <c r="AA98" s="146" t="str">
        <f ca="1">IFERROR(__xludf.DUMMYFUNCTION("""COMPUTED_VALUE"""),"No")</f>
        <v>No</v>
      </c>
      <c r="AB98" s="146" t="str">
        <f ca="1">IFERROR(__xludf.DUMMYFUNCTION("""COMPUTED_VALUE"""),"Yes")</f>
        <v>Yes</v>
      </c>
      <c r="AC98" s="146" t="str">
        <f ca="1">IFERROR(__xludf.DUMMYFUNCTION("""COMPUTED_VALUE"""),"-")</f>
        <v>-</v>
      </c>
      <c r="AD98" s="146" t="str">
        <f ca="1">IFERROR(__xludf.DUMMYFUNCTION("""COMPUTED_VALUE"""),"USA")</f>
        <v>USA</v>
      </c>
      <c r="AE98" s="158">
        <f ca="1">IFERROR(__xludf.DUMMYFUNCTION("""COMPUTED_VALUE"""),70)</f>
        <v>70</v>
      </c>
      <c r="AF98" s="146" t="str">
        <f ca="1">IFERROR(__xludf.DUMMYFUNCTION("""COMPUTED_VALUE"""),"F")</f>
        <v>F</v>
      </c>
      <c r="AG98" s="146" t="str">
        <f ca="1">IFERROR(__xludf.DUMMYFUNCTION("""COMPUTED_VALUE"""),"2S,4,2D")</f>
        <v>2S,4,2D</v>
      </c>
      <c r="AH98" s="159">
        <f ca="1">IFERROR(__xludf.DUMMYFUNCTION("""COMPUTED_VALUE"""),198)</f>
        <v>198</v>
      </c>
      <c r="AI98" s="146"/>
      <c r="AJ98" s="146"/>
      <c r="AK98" s="146"/>
      <c r="AL98" s="146"/>
      <c r="AM98" s="146"/>
      <c r="AN98" s="146"/>
      <c r="AO98" s="146"/>
      <c r="AP98" s="146"/>
      <c r="AQ98" s="146"/>
      <c r="AR98" s="146"/>
    </row>
    <row r="99" spans="1:44" ht="21">
      <c r="A99" s="157"/>
      <c r="B99" s="142" t="str">
        <f>Raw!A99</f>
        <v>Touris, Krimelow, &amp; Harding (1995)</v>
      </c>
      <c r="C99" s="143" t="str">
        <f>CONCATENATE(ROUND(Raw!I99,0),"/",ROUND(Raw!J99,0))</f>
        <v>20/24</v>
      </c>
      <c r="D99" s="143" t="str">
        <f>VLOOKUP(Processed!E99,P$2:Q$10,2,FALSE)</f>
        <v>T-T</v>
      </c>
      <c r="E99" s="143" t="str">
        <f>VLOOKUP(Raw!M99,R$2:S$13,2,FALSE)</f>
        <v>A-A</v>
      </c>
      <c r="F99" s="143" t="str">
        <f>IF(Raw!P99,"Yes","No")</f>
        <v>No</v>
      </c>
      <c r="G99" s="143" t="str">
        <f>IF(Raw!Q99,"Yes","No")</f>
        <v>No</v>
      </c>
      <c r="H99" s="143" t="str">
        <f>IF(Raw!T99,"Yes","No")</f>
        <v>Yes</v>
      </c>
      <c r="I99" s="143" t="str">
        <f>IF(AND(Raw!N99,Raw!O99), "S/IS, D/O", IF(Raw!N99,"S/IS", IF(Raw!O99,"D/O","-")))</f>
        <v>S/IS</v>
      </c>
      <c r="J99" s="143" t="str">
        <f>Raw!L99</f>
        <v>USA</v>
      </c>
      <c r="K99" s="144">
        <f>IF(Processed!BN99="NA","-",ROUND(Processed!BN99*100,0))</f>
        <v>82</v>
      </c>
      <c r="L99" s="143" t="str">
        <f>VLOOKUP(Raw!F99,T$2:U$4,2,FALSE)</f>
        <v>F</v>
      </c>
      <c r="M99" s="143" t="str">
        <f>CONCATENATE(IF(Processed!F99,"2S",""),IF(Processed!W99,",3",""),IF(Processed!AG99,",4",""),IF(Processed!AQ99,",2D",""))</f>
        <v>2S</v>
      </c>
      <c r="N99" s="143">
        <f>IF(NOT(ISBLANK(Raw!AE99)), Raw!AE99, SUM(Raw!AL99:AT99))</f>
        <v>20</v>
      </c>
      <c r="O99" s="146" t="b">
        <f>COUNTIF(Raw!AV99:BK99, "&gt;=0") = 16</f>
        <v>0</v>
      </c>
      <c r="P99" s="146"/>
      <c r="Q99" s="146"/>
      <c r="R99" s="156"/>
      <c r="S99" s="146"/>
      <c r="T99" s="146"/>
      <c r="U99" s="146"/>
      <c r="V99" s="146" t="str">
        <f ca="1">IFERROR(__xludf.DUMMYFUNCTION("""COMPUTED_VALUE"""),"Vondra et al. (2001)")</f>
        <v>Vondra et al. (2001)</v>
      </c>
      <c r="W99" s="146" t="str">
        <f ca="1">IFERROR(__xludf.DUMMYFUNCTION("""COMPUTED_VALUE"""),"12/18")</f>
        <v>12/18</v>
      </c>
      <c r="X99" s="146" t="str">
        <f ca="1">IFERROR(__xludf.DUMMYFUNCTION("""COMPUTED_VALUE"""),"I-I")</f>
        <v>I-I</v>
      </c>
      <c r="Y99" s="146" t="str">
        <f ca="1">IFERROR(__xludf.DUMMYFUNCTION("""COMPUTED_VALUE"""),"A-A")</f>
        <v>A-A</v>
      </c>
      <c r="Z99" s="146" t="str">
        <f ca="1">IFERROR(__xludf.DUMMYFUNCTION("""COMPUTED_VALUE"""),"Yes")</f>
        <v>Yes</v>
      </c>
      <c r="AA99" s="146" t="str">
        <f ca="1">IFERROR(__xludf.DUMMYFUNCTION("""COMPUTED_VALUE"""),"No")</f>
        <v>No</v>
      </c>
      <c r="AB99" s="146" t="str">
        <f ca="1">IFERROR(__xludf.DUMMYFUNCTION("""COMPUTED_VALUE"""),"Yes")</f>
        <v>Yes</v>
      </c>
      <c r="AC99" s="146" t="str">
        <f ca="1">IFERROR(__xludf.DUMMYFUNCTION("""COMPUTED_VALUE"""),"S/IS")</f>
        <v>S/IS</v>
      </c>
      <c r="AD99" s="146" t="str">
        <f ca="1">IFERROR(__xludf.DUMMYFUNCTION("""COMPUTED_VALUE"""),"USA")</f>
        <v>USA</v>
      </c>
      <c r="AE99" s="158">
        <f ca="1">IFERROR(__xludf.DUMMYFUNCTION("""COMPUTED_VALUE"""),77)</f>
        <v>77</v>
      </c>
      <c r="AF99" s="146" t="str">
        <f ca="1">IFERROR(__xludf.DUMMYFUNCTION("""COMPUTED_VALUE"""),"F")</f>
        <v>F</v>
      </c>
      <c r="AG99" s="146" t="str">
        <f ca="1">IFERROR(__xludf.DUMMYFUNCTION("""COMPUTED_VALUE"""),"2S,4,2D")</f>
        <v>2S,4,2D</v>
      </c>
      <c r="AH99" s="159">
        <f ca="1">IFERROR(__xludf.DUMMYFUNCTION("""COMPUTED_VALUE"""),195)</f>
        <v>195</v>
      </c>
      <c r="AI99" s="146"/>
      <c r="AJ99" s="146"/>
      <c r="AK99" s="146"/>
      <c r="AL99" s="146"/>
      <c r="AM99" s="146"/>
      <c r="AN99" s="146"/>
      <c r="AO99" s="146"/>
      <c r="AP99" s="146"/>
      <c r="AQ99" s="146"/>
      <c r="AR99" s="146"/>
    </row>
    <row r="100" spans="1:44" ht="12.3">
      <c r="A100" s="157"/>
      <c r="B100" s="142" t="str">
        <f>Raw!A100</f>
        <v>Egeland &amp; Farber (1984)</v>
      </c>
      <c r="C100" s="143" t="str">
        <f>CONCATENATE(ROUND(Raw!I100,0),"/",ROUND(Raw!J100,0))</f>
        <v>12/18</v>
      </c>
      <c r="D100" s="143" t="str">
        <f>VLOOKUP(Processed!E100,P$2:Q$10,2,FALSE)</f>
        <v>I-I</v>
      </c>
      <c r="E100" s="143" t="str">
        <f>VLOOKUP(Raw!M100,R$2:S$13,2,FALSE)</f>
        <v>A-A</v>
      </c>
      <c r="F100" s="143" t="str">
        <f>IF(Raw!P100,"Yes","No")</f>
        <v>Yes</v>
      </c>
      <c r="G100" s="143" t="str">
        <f>IF(Raw!Q100,"Yes","No")</f>
        <v>No</v>
      </c>
      <c r="H100" s="143" t="str">
        <f>IF(Raw!T100,"Yes","No")</f>
        <v>Yes</v>
      </c>
      <c r="I100" s="143" t="str">
        <f>IF(AND(Raw!N100,Raw!O100), "S/IS, D/O", IF(Raw!N100,"S/IS", IF(Raw!O100,"D/O","-")))</f>
        <v>S/IS</v>
      </c>
      <c r="J100" s="143" t="str">
        <f>Raw!L100</f>
        <v>USA</v>
      </c>
      <c r="K100" s="144">
        <f>IF(Processed!BN100="NA","-",ROUND(Processed!BN100*100,0))</f>
        <v>91</v>
      </c>
      <c r="L100" s="143" t="str">
        <f>VLOOKUP(Raw!F100,T$2:U$4,2,FALSE)</f>
        <v>F</v>
      </c>
      <c r="M100" s="143" t="str">
        <f>CONCATENATE(IF(Processed!F100,"2S",""),IF(Processed!W100,",3",""),IF(Processed!AG100,",4",""),IF(Processed!AQ100,",2D",""))</f>
        <v>2S,3</v>
      </c>
      <c r="N100" s="143">
        <f>IF(NOT(ISBLANK(Raw!AE100)), Raw!AE100, SUM(Raw!AL100:AT100))</f>
        <v>189</v>
      </c>
      <c r="O100" s="146" t="b">
        <f>COUNTIF(Raw!AV100:BK100, "&gt;=0") = 16</f>
        <v>0</v>
      </c>
      <c r="P100" s="146"/>
      <c r="Q100" s="146"/>
      <c r="R100" s="156"/>
      <c r="S100" s="146"/>
      <c r="T100" s="146"/>
      <c r="U100" s="146"/>
      <c r="V100" s="146" t="str">
        <f ca="1">IFERROR(__xludf.DUMMYFUNCTION("""COMPUTED_VALUE"""),"Vondra, Hommerding, &amp; Shaw (1999)")</f>
        <v>Vondra, Hommerding, &amp; Shaw (1999)</v>
      </c>
      <c r="W100" s="146" t="str">
        <f ca="1">IFERROR(__xludf.DUMMYFUNCTION("""COMPUTED_VALUE"""),"12/18")</f>
        <v>12/18</v>
      </c>
      <c r="X100" s="146" t="str">
        <f ca="1">IFERROR(__xludf.DUMMYFUNCTION("""COMPUTED_VALUE"""),"I-I")</f>
        <v>I-I</v>
      </c>
      <c r="Y100" s="146" t="str">
        <f ca="1">IFERROR(__xludf.DUMMYFUNCTION("""COMPUTED_VALUE"""),"A-A")</f>
        <v>A-A</v>
      </c>
      <c r="Z100" s="146" t="str">
        <f ca="1">IFERROR(__xludf.DUMMYFUNCTION("""COMPUTED_VALUE"""),"Yes")</f>
        <v>Yes</v>
      </c>
      <c r="AA100" s="146" t="str">
        <f ca="1">IFERROR(__xludf.DUMMYFUNCTION("""COMPUTED_VALUE"""),"No")</f>
        <v>No</v>
      </c>
      <c r="AB100" s="146" t="str">
        <f ca="1">IFERROR(__xludf.DUMMYFUNCTION("""COMPUTED_VALUE"""),"Yes")</f>
        <v>Yes</v>
      </c>
      <c r="AC100" s="146" t="str">
        <f ca="1">IFERROR(__xludf.DUMMYFUNCTION("""COMPUTED_VALUE"""),"-")</f>
        <v>-</v>
      </c>
      <c r="AD100" s="146" t="str">
        <f ca="1">IFERROR(__xludf.DUMMYFUNCTION("""COMPUTED_VALUE"""),"USA")</f>
        <v>USA</v>
      </c>
      <c r="AE100" s="158">
        <f ca="1">IFERROR(__xludf.DUMMYFUNCTION("""COMPUTED_VALUE"""),80)</f>
        <v>80</v>
      </c>
      <c r="AF100" s="146" t="str">
        <f ca="1">IFERROR(__xludf.DUMMYFUNCTION("""COMPUTED_VALUE"""),"F")</f>
        <v>F</v>
      </c>
      <c r="AG100" s="146" t="str">
        <f ca="1">IFERROR(__xludf.DUMMYFUNCTION("""COMPUTED_VALUE"""),"2S,4,2D")</f>
        <v>2S,4,2D</v>
      </c>
      <c r="AH100" s="159">
        <f ca="1">IFERROR(__xludf.DUMMYFUNCTION("""COMPUTED_VALUE"""),90)</f>
        <v>90</v>
      </c>
      <c r="AI100" s="146"/>
      <c r="AJ100" s="146"/>
      <c r="AK100" s="146"/>
      <c r="AL100" s="146"/>
      <c r="AM100" s="146"/>
      <c r="AN100" s="146"/>
      <c r="AO100" s="146"/>
      <c r="AP100" s="146"/>
      <c r="AQ100" s="146"/>
      <c r="AR100" s="146"/>
    </row>
    <row r="101" spans="1:44" ht="12.3">
      <c r="A101" s="157"/>
      <c r="B101" s="142" t="str">
        <f>Raw!A101</f>
        <v>Egeland &amp; Sroufe (1981)</v>
      </c>
      <c r="C101" s="143" t="str">
        <f>CONCATENATE(ROUND(Raw!I101,0),"/",ROUND(Raw!J101,0))</f>
        <v>12/18</v>
      </c>
      <c r="D101" s="143" t="str">
        <f>VLOOKUP(Processed!E101,P$2:Q$10,2,FALSE)</f>
        <v>I-I</v>
      </c>
      <c r="E101" s="143" t="str">
        <f>VLOOKUP(Raw!M101,R$2:S$13,2,FALSE)</f>
        <v>A-A</v>
      </c>
      <c r="F101" s="143" t="str">
        <f>IF(Raw!P101,"Yes","No")</f>
        <v>Yes</v>
      </c>
      <c r="G101" s="143" t="str">
        <f>IF(Raw!Q101,"Yes","No")</f>
        <v>No</v>
      </c>
      <c r="H101" s="143" t="str">
        <f>IF(Raw!T101,"Yes","No")</f>
        <v>Yes</v>
      </c>
      <c r="I101" s="143" t="str">
        <f>IF(AND(Raw!N101,Raw!O101), "S/IS, D/O", IF(Raw!N101,"S/IS", IF(Raw!O101,"D/O","-")))</f>
        <v>S/IS</v>
      </c>
      <c r="J101" s="143" t="str">
        <f>Raw!L101</f>
        <v>USA</v>
      </c>
      <c r="K101" s="144">
        <f>IF(Processed!BN101="NA","-",ROUND(Processed!BN101*100,0))</f>
        <v>91</v>
      </c>
      <c r="L101" s="143" t="str">
        <f>VLOOKUP(Raw!F101,T$2:U$4,2,FALSE)</f>
        <v>F</v>
      </c>
      <c r="M101" s="143" t="str">
        <f>CONCATENATE(IF(Processed!F101,"2S",""),IF(Processed!W101,",3",""),IF(Processed!AG101,",4",""),IF(Processed!AQ101,",2D",""))</f>
        <v>2S,3</v>
      </c>
      <c r="N101" s="143">
        <f>IF(NOT(ISBLANK(Raw!AE101)), Raw!AE101, SUM(Raw!AL101:AT101))</f>
        <v>25</v>
      </c>
      <c r="O101" s="146" t="b">
        <f>COUNTIF(Raw!AV101:BK101, "&gt;=0") = 16</f>
        <v>0</v>
      </c>
      <c r="P101" s="146"/>
      <c r="Q101" s="146"/>
      <c r="R101" s="156"/>
      <c r="S101" s="146"/>
      <c r="T101" s="146"/>
      <c r="U101" s="146"/>
      <c r="V101" s="146" t="str">
        <f ca="1">IFERROR(__xludf.DUMMYFUNCTION("""COMPUTED_VALUE"""),"Wartner et al. (1994) ")</f>
        <v xml:space="preserve">Wartner et al. (1994) </v>
      </c>
      <c r="W101" s="146" t="str">
        <f ca="1">IFERROR(__xludf.DUMMYFUNCTION("""COMPUTED_VALUE"""),"15/72")</f>
        <v>15/72</v>
      </c>
      <c r="X101" s="146" t="str">
        <f ca="1">IFERROR(__xludf.DUMMYFUNCTION("""COMPUTED_VALUE"""),"I-P")</f>
        <v>I-P</v>
      </c>
      <c r="Y101" s="146" t="str">
        <f ca="1">IFERROR(__xludf.DUMMYFUNCTION("""COMPUTED_VALUE"""),"A-MC")</f>
        <v>A-MC</v>
      </c>
      <c r="Z101" s="146" t="str">
        <f ca="1">IFERROR(__xludf.DUMMYFUNCTION("""COMPUTED_VALUE"""),"No")</f>
        <v>No</v>
      </c>
      <c r="AA101" s="146" t="str">
        <f ca="1">IFERROR(__xludf.DUMMYFUNCTION("""COMPUTED_VALUE"""),"No")</f>
        <v>No</v>
      </c>
      <c r="AB101" s="146" t="str">
        <f ca="1">IFERROR(__xludf.DUMMYFUNCTION("""COMPUTED_VALUE"""),"Yes")</f>
        <v>Yes</v>
      </c>
      <c r="AC101" s="146" t="str">
        <f ca="1">IFERROR(__xludf.DUMMYFUNCTION("""COMPUTED_VALUE"""),"D/O")</f>
        <v>D/O</v>
      </c>
      <c r="AD101" s="146" t="str">
        <f ca="1">IFERROR(__xludf.DUMMYFUNCTION("""COMPUTED_VALUE"""),"Germany")</f>
        <v>Germany</v>
      </c>
      <c r="AE101" s="158">
        <f ca="1">IFERROR(__xludf.DUMMYFUNCTION("""COMPUTED_VALUE"""),97)</f>
        <v>97</v>
      </c>
      <c r="AF101" s="146" t="str">
        <f ca="1">IFERROR(__xludf.DUMMYFUNCTION("""COMPUTED_VALUE"""),"F")</f>
        <v>F</v>
      </c>
      <c r="AG101" s="146" t="str">
        <f ca="1">IFERROR(__xludf.DUMMYFUNCTION("""COMPUTED_VALUE"""),"2S,3,4,2D")</f>
        <v>2S,3,4,2D</v>
      </c>
      <c r="AH101" s="159">
        <f ca="1">IFERROR(__xludf.DUMMYFUNCTION("""COMPUTED_VALUE"""),39)</f>
        <v>39</v>
      </c>
      <c r="AI101" s="146"/>
      <c r="AJ101" s="146"/>
      <c r="AK101" s="146"/>
      <c r="AL101" s="146"/>
      <c r="AM101" s="146"/>
      <c r="AN101" s="146"/>
      <c r="AO101" s="146"/>
      <c r="AP101" s="146"/>
      <c r="AQ101" s="146"/>
      <c r="AR101" s="146"/>
    </row>
    <row r="102" spans="1:44" ht="12.3">
      <c r="A102" s="157"/>
      <c r="B102" s="142" t="str">
        <f>Raw!A102</f>
        <v>Egeland &amp; Sroufe (1981)</v>
      </c>
      <c r="C102" s="143" t="str">
        <f>CONCATENATE(ROUND(Raw!I102,0),"/",ROUND(Raw!J102,0))</f>
        <v>12/18</v>
      </c>
      <c r="D102" s="143" t="str">
        <f>VLOOKUP(Processed!E102,P$2:Q$10,2,FALSE)</f>
        <v>I-I</v>
      </c>
      <c r="E102" s="143" t="str">
        <f>VLOOKUP(Raw!M102,R$2:S$13,2,FALSE)</f>
        <v>A-A</v>
      </c>
      <c r="F102" s="143" t="str">
        <f>IF(Raw!P102,"Yes","No")</f>
        <v>No</v>
      </c>
      <c r="G102" s="143" t="str">
        <f>IF(Raw!Q102,"Yes","No")</f>
        <v>No</v>
      </c>
      <c r="H102" s="143" t="str">
        <f>IF(Raw!T102,"Yes","No")</f>
        <v>Yes</v>
      </c>
      <c r="I102" s="143" t="str">
        <f>IF(AND(Raw!N102,Raw!O102), "S/IS, D/O", IF(Raw!N102,"S/IS", IF(Raw!O102,"D/O","-")))</f>
        <v>S/IS</v>
      </c>
      <c r="J102" s="143" t="str">
        <f>Raw!L102</f>
        <v>USA</v>
      </c>
      <c r="K102" s="144">
        <f>IF(Processed!BN102="NA","-",ROUND(Processed!BN102*100,0))</f>
        <v>91</v>
      </c>
      <c r="L102" s="143" t="str">
        <f>VLOOKUP(Raw!F102,T$2:U$4,2,FALSE)</f>
        <v>F</v>
      </c>
      <c r="M102" s="143" t="str">
        <f>CONCATENATE(IF(Processed!F102,"2S",""),IF(Processed!W102,",3",""),IF(Processed!AG102,",4",""),IF(Processed!AQ102,",2D",""))</f>
        <v>2S,3</v>
      </c>
      <c r="N102" s="143">
        <f>IF(NOT(ISBLANK(Raw!AE102)), Raw!AE102, SUM(Raw!AL102:AT102))</f>
        <v>32</v>
      </c>
      <c r="O102" s="146" t="b">
        <f>COUNTIF(Raw!AV102:BK102, "&gt;=0") = 16</f>
        <v>0</v>
      </c>
      <c r="P102" s="146"/>
      <c r="Q102" s="146"/>
      <c r="R102" s="156"/>
      <c r="S102" s="146"/>
      <c r="T102" s="146"/>
      <c r="U102" s="146"/>
      <c r="V102" s="146" t="str">
        <f ca="1">IFERROR(__xludf.DUMMYFUNCTION("""COMPUTED_VALUE"""),"Waters &amp; Valenzuela (1999)")</f>
        <v>Waters &amp; Valenzuela (1999)</v>
      </c>
      <c r="W102" s="146" t="str">
        <f ca="1">IFERROR(__xludf.DUMMYFUNCTION("""COMPUTED_VALUE"""),"18/28")</f>
        <v>18/28</v>
      </c>
      <c r="X102" s="146" t="str">
        <f ca="1">IFERROR(__xludf.DUMMYFUNCTION("""COMPUTED_VALUE"""),"I-T")</f>
        <v>I-T</v>
      </c>
      <c r="Y102" s="146" t="str">
        <f ca="1">IFERROR(__xludf.DUMMYFUNCTION("""COMPUTED_VALUE"""),"A-A")</f>
        <v>A-A</v>
      </c>
      <c r="Z102" s="146" t="str">
        <f ca="1">IFERROR(__xludf.DUMMYFUNCTION("""COMPUTED_VALUE"""),"Yes")</f>
        <v>Yes</v>
      </c>
      <c r="AA102" s="146" t="str">
        <f ca="1">IFERROR(__xludf.DUMMYFUNCTION("""COMPUTED_VALUE"""),"No")</f>
        <v>No</v>
      </c>
      <c r="AB102" s="146" t="str">
        <f ca="1">IFERROR(__xludf.DUMMYFUNCTION("""COMPUTED_VALUE"""),"Yes")</f>
        <v>Yes</v>
      </c>
      <c r="AC102" s="146" t="str">
        <f ca="1">IFERROR(__xludf.DUMMYFUNCTION("""COMPUTED_VALUE"""),"-")</f>
        <v>-</v>
      </c>
      <c r="AD102" s="146" t="str">
        <f ca="1">IFERROR(__xludf.DUMMYFUNCTION("""COMPUTED_VALUE"""),"Chile")</f>
        <v>Chile</v>
      </c>
      <c r="AE102" s="158">
        <f ca="1">IFERROR(__xludf.DUMMYFUNCTION("""COMPUTED_VALUE"""),86)</f>
        <v>86</v>
      </c>
      <c r="AF102" s="146" t="str">
        <f ca="1">IFERROR(__xludf.DUMMYFUNCTION("""COMPUTED_VALUE"""),"F")</f>
        <v>F</v>
      </c>
      <c r="AG102" s="146" t="str">
        <f ca="1">IFERROR(__xludf.DUMMYFUNCTION("""COMPUTED_VALUE"""),"2S,4,2D")</f>
        <v>2S,4,2D</v>
      </c>
      <c r="AH102" s="159">
        <f ca="1">IFERROR(__xludf.DUMMYFUNCTION("""COMPUTED_VALUE"""),34)</f>
        <v>34</v>
      </c>
      <c r="AI102" s="146"/>
      <c r="AJ102" s="146"/>
      <c r="AK102" s="146"/>
      <c r="AL102" s="146"/>
      <c r="AM102" s="146"/>
      <c r="AN102" s="146"/>
      <c r="AO102" s="146"/>
      <c r="AP102" s="146"/>
      <c r="AQ102" s="146"/>
      <c r="AR102" s="146"/>
    </row>
    <row r="103" spans="1:44" ht="12.3">
      <c r="A103" s="157"/>
      <c r="B103" s="142" t="str">
        <f>Raw!A103</f>
        <v xml:space="preserve">Vaughn, Gove, &amp; Egeland (1980) </v>
      </c>
      <c r="C103" s="143" t="str">
        <f>CONCATENATE(ROUND(Raw!I103,0),"/",ROUND(Raw!J103,0))</f>
        <v>12/18</v>
      </c>
      <c r="D103" s="143" t="str">
        <f>VLOOKUP(Processed!E103,P$2:Q$10,2,FALSE)</f>
        <v>I-I</v>
      </c>
      <c r="E103" s="143" t="str">
        <f>VLOOKUP(Raw!M103,R$2:S$13,2,FALSE)</f>
        <v>A-A</v>
      </c>
      <c r="F103" s="143" t="str">
        <f>IF(Raw!P103,"Yes","No")</f>
        <v>Yes</v>
      </c>
      <c r="G103" s="143" t="str">
        <f>IF(Raw!Q103,"Yes","No")</f>
        <v>No</v>
      </c>
      <c r="H103" s="143" t="str">
        <f>IF(Raw!T103,"Yes","No")</f>
        <v>Yes</v>
      </c>
      <c r="I103" s="143" t="str">
        <f>IF(AND(Raw!N103,Raw!O103), "S/IS, D/O", IF(Raw!N103,"S/IS", IF(Raw!O103,"D/O","-")))</f>
        <v>-</v>
      </c>
      <c r="J103" s="143" t="str">
        <f>Raw!L103</f>
        <v>USA</v>
      </c>
      <c r="K103" s="144">
        <f>IF(Processed!BN103="NA","-",ROUND(Processed!BN103*100,0))</f>
        <v>92</v>
      </c>
      <c r="L103" s="143" t="str">
        <f>VLOOKUP(Raw!F103,T$2:U$4,2,FALSE)</f>
        <v>F</v>
      </c>
      <c r="M103" s="143" t="str">
        <f>CONCATENATE(IF(Processed!F103,"2S",""),IF(Processed!W103,",3",""),IF(Processed!AG103,",4",""),IF(Processed!AQ103,",2D",""))</f>
        <v>2S,3</v>
      </c>
      <c r="N103" s="143">
        <f>IF(NOT(ISBLANK(Raw!AE103)), Raw!AE103, SUM(Raw!AL103:AT103))</f>
        <v>34</v>
      </c>
      <c r="O103" s="146" t="b">
        <f>COUNTIF(Raw!AV103:BK103, "&gt;=0") = 16</f>
        <v>0</v>
      </c>
      <c r="P103" s="146"/>
      <c r="Q103" s="146"/>
      <c r="R103" s="156"/>
      <c r="S103" s="146"/>
      <c r="T103" s="146"/>
      <c r="U103" s="146"/>
      <c r="V103" s="146" t="str">
        <f ca="1">IFERROR(__xludf.DUMMYFUNCTION("""COMPUTED_VALUE"""),"Waters &amp; Valenzuela (1999)")</f>
        <v>Waters &amp; Valenzuela (1999)</v>
      </c>
      <c r="W103" s="146" t="str">
        <f ca="1">IFERROR(__xludf.DUMMYFUNCTION("""COMPUTED_VALUE"""),"18/28")</f>
        <v>18/28</v>
      </c>
      <c r="X103" s="146" t="str">
        <f ca="1">IFERROR(__xludf.DUMMYFUNCTION("""COMPUTED_VALUE"""),"I-T")</f>
        <v>I-T</v>
      </c>
      <c r="Y103" s="146" t="str">
        <f ca="1">IFERROR(__xludf.DUMMYFUNCTION("""COMPUTED_VALUE"""),"A-A")</f>
        <v>A-A</v>
      </c>
      <c r="Z103" s="146" t="str">
        <f ca="1">IFERROR(__xludf.DUMMYFUNCTION("""COMPUTED_VALUE"""),"Yes")</f>
        <v>Yes</v>
      </c>
      <c r="AA103" s="146" t="str">
        <f ca="1">IFERROR(__xludf.DUMMYFUNCTION("""COMPUTED_VALUE"""),"Yes")</f>
        <v>Yes</v>
      </c>
      <c r="AB103" s="146" t="str">
        <f ca="1">IFERROR(__xludf.DUMMYFUNCTION("""COMPUTED_VALUE"""),"Yes")</f>
        <v>Yes</v>
      </c>
      <c r="AC103" s="146" t="str">
        <f ca="1">IFERROR(__xludf.DUMMYFUNCTION("""COMPUTED_VALUE"""),"-")</f>
        <v>-</v>
      </c>
      <c r="AD103" s="146" t="str">
        <f ca="1">IFERROR(__xludf.DUMMYFUNCTION("""COMPUTED_VALUE"""),"Chile")</f>
        <v>Chile</v>
      </c>
      <c r="AE103" s="158">
        <f ca="1">IFERROR(__xludf.DUMMYFUNCTION("""COMPUTED_VALUE"""),86)</f>
        <v>86</v>
      </c>
      <c r="AF103" s="146" t="str">
        <f ca="1">IFERROR(__xludf.DUMMYFUNCTION("""COMPUTED_VALUE"""),"F")</f>
        <v>F</v>
      </c>
      <c r="AG103" s="146" t="str">
        <f ca="1">IFERROR(__xludf.DUMMYFUNCTION("""COMPUTED_VALUE"""),"2S,4,2D")</f>
        <v>2S,4,2D</v>
      </c>
      <c r="AH103" s="159">
        <f ca="1">IFERROR(__xludf.DUMMYFUNCTION("""COMPUTED_VALUE"""),37)</f>
        <v>37</v>
      </c>
      <c r="AI103" s="146"/>
      <c r="AJ103" s="146"/>
      <c r="AK103" s="146"/>
      <c r="AL103" s="146"/>
      <c r="AM103" s="146"/>
      <c r="AN103" s="146"/>
      <c r="AO103" s="146"/>
      <c r="AP103" s="146"/>
      <c r="AQ103" s="146"/>
      <c r="AR103" s="146"/>
    </row>
    <row r="104" spans="1:44" ht="12.3">
      <c r="A104" s="157"/>
      <c r="B104" s="142" t="str">
        <f>Raw!A104</f>
        <v xml:space="preserve">Vaughn, Gove, &amp; Egeland (1980) </v>
      </c>
      <c r="C104" s="143" t="str">
        <f>CONCATENATE(ROUND(Raw!I104,0),"/",ROUND(Raw!J104,0))</f>
        <v>12/18</v>
      </c>
      <c r="D104" s="143" t="str">
        <f>VLOOKUP(Processed!E104,P$2:Q$10,2,FALSE)</f>
        <v>I-I</v>
      </c>
      <c r="E104" s="143" t="str">
        <f>VLOOKUP(Raw!M104,R$2:S$13,2,FALSE)</f>
        <v>A-A</v>
      </c>
      <c r="F104" s="143" t="str">
        <f>IF(Raw!P104,"Yes","No")</f>
        <v>Yes</v>
      </c>
      <c r="G104" s="143" t="str">
        <f>IF(Raw!Q104,"Yes","No")</f>
        <v>No</v>
      </c>
      <c r="H104" s="143" t="str">
        <f>IF(Raw!T104,"Yes","No")</f>
        <v>Yes</v>
      </c>
      <c r="I104" s="143" t="str">
        <f>IF(AND(Raw!N104,Raw!O104), "S/IS, D/O", IF(Raw!N104,"S/IS", IF(Raw!O104,"D/O","-")))</f>
        <v>-</v>
      </c>
      <c r="J104" s="143" t="str">
        <f>Raw!L104</f>
        <v>USA</v>
      </c>
      <c r="K104" s="144">
        <f>IF(Processed!BN104="NA","-",ROUND(Processed!BN104*100,0))</f>
        <v>92</v>
      </c>
      <c r="L104" s="143" t="str">
        <f>VLOOKUP(Raw!F104,T$2:U$4,2,FALSE)</f>
        <v>F</v>
      </c>
      <c r="M104" s="143" t="str">
        <f>CONCATENATE(IF(Processed!F104,"2S",""),IF(Processed!W104,",3",""),IF(Processed!AG104,",4",""),IF(Processed!AQ104,",2D",""))</f>
        <v>2S,3</v>
      </c>
      <c r="N104" s="143">
        <f>IF(NOT(ISBLANK(Raw!AE104)), Raw!AE104, SUM(Raw!AL104:AT104))</f>
        <v>18</v>
      </c>
      <c r="O104" s="146" t="b">
        <f>COUNTIF(Raw!AV104:BK104, "&gt;=0") = 16</f>
        <v>0</v>
      </c>
      <c r="P104" s="146"/>
      <c r="Q104" s="146"/>
      <c r="R104" s="156"/>
      <c r="S104" s="146"/>
      <c r="T104" s="146"/>
      <c r="U104" s="146"/>
      <c r="V104" s="146" t="str">
        <f ca="1">IFERROR(__xludf.DUMMYFUNCTION("""COMPUTED_VALUE"""),"Waters (1978)")</f>
        <v>Waters (1978)</v>
      </c>
      <c r="W104" s="146" t="str">
        <f ca="1">IFERROR(__xludf.DUMMYFUNCTION("""COMPUTED_VALUE"""),"12/18")</f>
        <v>12/18</v>
      </c>
      <c r="X104" s="146" t="str">
        <f ca="1">IFERROR(__xludf.DUMMYFUNCTION("""COMPUTED_VALUE"""),"I-I")</f>
        <v>I-I</v>
      </c>
      <c r="Y104" s="146" t="str">
        <f ca="1">IFERROR(__xludf.DUMMYFUNCTION("""COMPUTED_VALUE"""),"A-A")</f>
        <v>A-A</v>
      </c>
      <c r="Z104" s="146" t="str">
        <f ca="1">IFERROR(__xludf.DUMMYFUNCTION("""COMPUTED_VALUE"""),"No")</f>
        <v>No</v>
      </c>
      <c r="AA104" s="146" t="str">
        <f ca="1">IFERROR(__xludf.DUMMYFUNCTION("""COMPUTED_VALUE"""),"No")</f>
        <v>No</v>
      </c>
      <c r="AB104" s="146" t="str">
        <f ca="1">IFERROR(__xludf.DUMMYFUNCTION("""COMPUTED_VALUE"""),"Yes")</f>
        <v>Yes</v>
      </c>
      <c r="AC104" s="146" t="str">
        <f ca="1">IFERROR(__xludf.DUMMYFUNCTION("""COMPUTED_VALUE"""),"S/IS")</f>
        <v>S/IS</v>
      </c>
      <c r="AD104" s="146" t="str">
        <f ca="1">IFERROR(__xludf.DUMMYFUNCTION("""COMPUTED_VALUE"""),"USA")</f>
        <v>USA</v>
      </c>
      <c r="AE104" s="158">
        <f ca="1">IFERROR(__xludf.DUMMYFUNCTION("""COMPUTED_VALUE"""),92)</f>
        <v>92</v>
      </c>
      <c r="AF104" s="146" t="str">
        <f ca="1">IFERROR(__xludf.DUMMYFUNCTION("""COMPUTED_VALUE"""),"F")</f>
        <v>F</v>
      </c>
      <c r="AG104" s="146" t="str">
        <f ca="1">IFERROR(__xludf.DUMMYFUNCTION("""COMPUTED_VALUE"""),"2S,3")</f>
        <v>2S,3</v>
      </c>
      <c r="AH104" s="159">
        <f ca="1">IFERROR(__xludf.DUMMYFUNCTION("""COMPUTED_VALUE"""),50)</f>
        <v>50</v>
      </c>
      <c r="AI104" s="146"/>
      <c r="AJ104" s="146"/>
      <c r="AK104" s="146"/>
      <c r="AL104" s="146"/>
      <c r="AM104" s="146"/>
      <c r="AN104" s="146"/>
      <c r="AO104" s="146"/>
      <c r="AP104" s="146"/>
      <c r="AQ104" s="146"/>
      <c r="AR104" s="146"/>
    </row>
    <row r="105" spans="1:44" ht="12.3">
      <c r="A105" s="157"/>
      <c r="B105" s="142" t="str">
        <f>Raw!A105</f>
        <v xml:space="preserve">Vaughn, Gove, &amp; Egeland (1980) </v>
      </c>
      <c r="C105" s="143" t="str">
        <f>CONCATENATE(ROUND(Raw!I105,0),"/",ROUND(Raw!J105,0))</f>
        <v>12/18</v>
      </c>
      <c r="D105" s="143" t="str">
        <f>VLOOKUP(Processed!E105,P$2:Q$10,2,FALSE)</f>
        <v>I-I</v>
      </c>
      <c r="E105" s="143" t="str">
        <f>VLOOKUP(Raw!M105,R$2:S$13,2,FALSE)</f>
        <v>A-A</v>
      </c>
      <c r="F105" s="143" t="str">
        <f>IF(Raw!P105,"Yes","No")</f>
        <v>Yes</v>
      </c>
      <c r="G105" s="143" t="str">
        <f>IF(Raw!Q105,"Yes","No")</f>
        <v>No</v>
      </c>
      <c r="H105" s="143" t="str">
        <f>IF(Raw!T105,"Yes","No")</f>
        <v>Yes</v>
      </c>
      <c r="I105" s="143" t="str">
        <f>IF(AND(Raw!N105,Raw!O105), "S/IS, D/O", IF(Raw!N105,"S/IS", IF(Raw!O105,"D/O","-")))</f>
        <v>-</v>
      </c>
      <c r="J105" s="143" t="str">
        <f>Raw!L105</f>
        <v>USA</v>
      </c>
      <c r="K105" s="144">
        <f>IF(Processed!BN105="NA","-",ROUND(Processed!BN105*100,0))</f>
        <v>92</v>
      </c>
      <c r="L105" s="143" t="str">
        <f>VLOOKUP(Raw!F105,T$2:U$4,2,FALSE)</f>
        <v>F</v>
      </c>
      <c r="M105" s="143" t="str">
        <f>CONCATENATE(IF(Processed!F105,"2S",""),IF(Processed!W105,",3",""),IF(Processed!AG105,",4",""),IF(Processed!AQ105,",2D",""))</f>
        <v>2S,3</v>
      </c>
      <c r="N105" s="143">
        <f>IF(NOT(ISBLANK(Raw!AE105)), Raw!AE105, SUM(Raw!AL105:AT105))</f>
        <v>52</v>
      </c>
      <c r="O105" s="146" t="b">
        <f>COUNTIF(Raw!AV105:BK105, "&gt;=0") = 16</f>
        <v>0</v>
      </c>
      <c r="P105" s="146"/>
      <c r="Q105" s="146"/>
      <c r="R105" s="156"/>
      <c r="S105" s="146"/>
      <c r="T105" s="146"/>
      <c r="U105" s="146"/>
      <c r="V105" s="146" t="str">
        <f ca="1">IFERROR(__xludf.DUMMYFUNCTION("""COMPUTED_VALUE"""),"Wijnroks (1994) ")</f>
        <v xml:space="preserve">Wijnroks (1994) </v>
      </c>
      <c r="W105" s="146" t="str">
        <f ca="1">IFERROR(__xludf.DUMMYFUNCTION("""COMPUTED_VALUE"""),"12/18")</f>
        <v>12/18</v>
      </c>
      <c r="X105" s="146" t="str">
        <f ca="1">IFERROR(__xludf.DUMMYFUNCTION("""COMPUTED_VALUE"""),"I-I")</f>
        <v>I-I</v>
      </c>
      <c r="Y105" s="146" t="str">
        <f ca="1">IFERROR(__xludf.DUMMYFUNCTION("""COMPUTED_VALUE"""),"A-A")</f>
        <v>A-A</v>
      </c>
      <c r="Z105" s="146" t="str">
        <f ca="1">IFERROR(__xludf.DUMMYFUNCTION("""COMPUTED_VALUE"""),"No")</f>
        <v>No</v>
      </c>
      <c r="AA105" s="146" t="str">
        <f ca="1">IFERROR(__xludf.DUMMYFUNCTION("""COMPUTED_VALUE"""),"Yes")</f>
        <v>Yes</v>
      </c>
      <c r="AB105" s="146" t="str">
        <f ca="1">IFERROR(__xludf.DUMMYFUNCTION("""COMPUTED_VALUE"""),"No")</f>
        <v>No</v>
      </c>
      <c r="AC105" s="146" t="str">
        <f ca="1">IFERROR(__xludf.DUMMYFUNCTION("""COMPUTED_VALUE"""),"S/IS")</f>
        <v>S/IS</v>
      </c>
      <c r="AD105" s="146" t="str">
        <f ca="1">IFERROR(__xludf.DUMMYFUNCTION("""COMPUTED_VALUE"""),"Germany")</f>
        <v>Germany</v>
      </c>
      <c r="AE105" s="158">
        <f ca="1">IFERROR(__xludf.DUMMYFUNCTION("""COMPUTED_VALUE"""),90)</f>
        <v>90</v>
      </c>
      <c r="AF105" s="146" t="str">
        <f ca="1">IFERROR(__xludf.DUMMYFUNCTION("""COMPUTED_VALUE"""),"F")</f>
        <v>F</v>
      </c>
      <c r="AG105" s="146" t="str">
        <f ca="1">IFERROR(__xludf.DUMMYFUNCTION("""COMPUTED_VALUE"""),"2S,3")</f>
        <v>2S,3</v>
      </c>
      <c r="AH105" s="159">
        <f ca="1">IFERROR(__xludf.DUMMYFUNCTION("""COMPUTED_VALUE"""),35)</f>
        <v>35</v>
      </c>
      <c r="AI105" s="146"/>
      <c r="AJ105" s="146"/>
      <c r="AK105" s="146"/>
      <c r="AL105" s="146"/>
      <c r="AM105" s="146"/>
      <c r="AN105" s="146"/>
      <c r="AO105" s="146"/>
      <c r="AP105" s="146"/>
      <c r="AQ105" s="146"/>
      <c r="AR105" s="146"/>
    </row>
    <row r="106" spans="1:44" ht="12.3">
      <c r="A106" s="157"/>
      <c r="B106" s="142" t="str">
        <f>Raw!A106</f>
        <v xml:space="preserve">Wijnroks (1994) </v>
      </c>
      <c r="C106" s="143" t="str">
        <f>CONCATENATE(ROUND(Raw!I106,0),"/",ROUND(Raw!J106,0))</f>
        <v>12/18</v>
      </c>
      <c r="D106" s="143" t="str">
        <f>VLOOKUP(Processed!E106,P$2:Q$10,2,FALSE)</f>
        <v>I-I</v>
      </c>
      <c r="E106" s="143" t="str">
        <f>VLOOKUP(Raw!M106,R$2:S$13,2,FALSE)</f>
        <v>A-A</v>
      </c>
      <c r="F106" s="143" t="str">
        <f>IF(Raw!P106,"Yes","No")</f>
        <v>No</v>
      </c>
      <c r="G106" s="143" t="str">
        <f>IF(Raw!Q106,"Yes","No")</f>
        <v>Yes</v>
      </c>
      <c r="H106" s="143" t="str">
        <f>IF(Raw!T106,"Yes","No")</f>
        <v>No</v>
      </c>
      <c r="I106" s="143" t="str">
        <f>IF(AND(Raw!N106,Raw!O106), "S/IS, D/O", IF(Raw!N106,"S/IS", IF(Raw!O106,"D/O","-")))</f>
        <v>S/IS</v>
      </c>
      <c r="J106" s="143" t="str">
        <f>Raw!L106</f>
        <v>Germany</v>
      </c>
      <c r="K106" s="144">
        <f>IF(Processed!BN106="NA","-",ROUND(Processed!BN106*100,0))</f>
        <v>90</v>
      </c>
      <c r="L106" s="143" t="str">
        <f>VLOOKUP(Raw!F106,T$2:U$4,2,FALSE)</f>
        <v>F</v>
      </c>
      <c r="M106" s="143" t="str">
        <f>CONCATENATE(IF(Processed!F106,"2S",""),IF(Processed!W106,",3",""),IF(Processed!AG106,",4",""),IF(Processed!AQ106,",2D",""))</f>
        <v>2S,3</v>
      </c>
      <c r="N106" s="143">
        <f>IF(NOT(ISBLANK(Raw!AE106)), Raw!AE106, SUM(Raw!AL106:AT106))</f>
        <v>35</v>
      </c>
      <c r="O106" s="146" t="b">
        <f>COUNTIF(Raw!AV106:BK106, "&gt;=0") = 16</f>
        <v>0</v>
      </c>
      <c r="P106" s="146"/>
      <c r="Q106" s="146"/>
      <c r="R106" s="156"/>
      <c r="S106" s="146"/>
      <c r="T106" s="146"/>
      <c r="U106" s="146"/>
      <c r="V106" s="146" t="str">
        <f ca="1">IFERROR(__xludf.DUMMYFUNCTION("""COMPUTED_VALUE"""),"Xue (2010)")</f>
        <v>Xue (2010)</v>
      </c>
      <c r="W106" s="146" t="str">
        <f ca="1">IFERROR(__xludf.DUMMYFUNCTION("""COMPUTED_VALUE"""),"13/42")</f>
        <v>13/42</v>
      </c>
      <c r="X106" s="146" t="str">
        <f ca="1">IFERROR(__xludf.DUMMYFUNCTION("""COMPUTED_VALUE"""),"I-P")</f>
        <v>I-P</v>
      </c>
      <c r="Y106" s="146" t="str">
        <f ca="1">IFERROR(__xludf.DUMMYFUNCTION("""COMPUTED_VALUE"""),"A-CM")</f>
        <v>A-CM</v>
      </c>
      <c r="Z106" s="146" t="str">
        <f ca="1">IFERROR(__xludf.DUMMYFUNCTION("""COMPUTED_VALUE"""),"No")</f>
        <v>No</v>
      </c>
      <c r="AA106" s="146" t="str">
        <f ca="1">IFERROR(__xludf.DUMMYFUNCTION("""COMPUTED_VALUE"""),"No")</f>
        <v>No</v>
      </c>
      <c r="AB106" s="146" t="str">
        <f ca="1">IFERROR(__xludf.DUMMYFUNCTION("""COMPUTED_VALUE"""),"No")</f>
        <v>No</v>
      </c>
      <c r="AC106" s="146" t="str">
        <f ca="1">IFERROR(__xludf.DUMMYFUNCTION("""COMPUTED_VALUE"""),"-")</f>
        <v>-</v>
      </c>
      <c r="AD106" s="146" t="str">
        <f ca="1">IFERROR(__xludf.DUMMYFUNCTION("""COMPUTED_VALUE"""),"Canada")</f>
        <v>Canada</v>
      </c>
      <c r="AE106" s="158">
        <f ca="1">IFERROR(__xludf.DUMMYFUNCTION("""COMPUTED_VALUE"""),89)</f>
        <v>89</v>
      </c>
      <c r="AF106" s="146" t="str">
        <f ca="1">IFERROR(__xludf.DUMMYFUNCTION("""COMPUTED_VALUE"""),"F")</f>
        <v>F</v>
      </c>
      <c r="AG106" s="146" t="str">
        <f ca="1">IFERROR(__xludf.DUMMYFUNCTION("""COMPUTED_VALUE"""),"2S,4,2D")</f>
        <v>2S,4,2D</v>
      </c>
      <c r="AH106" s="159">
        <f ca="1">IFERROR(__xludf.DUMMYFUNCTION("""COMPUTED_VALUE"""),61)</f>
        <v>61</v>
      </c>
      <c r="AI106" s="146"/>
      <c r="AJ106" s="146"/>
      <c r="AK106" s="146"/>
      <c r="AL106" s="146"/>
      <c r="AM106" s="146"/>
      <c r="AN106" s="146"/>
      <c r="AO106" s="146"/>
      <c r="AP106" s="146"/>
      <c r="AQ106" s="146"/>
      <c r="AR106" s="146"/>
    </row>
    <row r="107" spans="1:44" ht="21">
      <c r="A107" s="157"/>
      <c r="B107" s="142" t="str">
        <f>Raw!A107</f>
        <v>Bakermans-Kranenberg &amp; van IJzendoorn (1997)</v>
      </c>
      <c r="C107" s="143" t="str">
        <f>CONCATENATE(ROUND(Raw!I107,0),"/",ROUND(Raw!J107,0))</f>
        <v>12/14</v>
      </c>
      <c r="D107" s="143" t="str">
        <f>VLOOKUP(Processed!E107,P$2:Q$10,2,FALSE)</f>
        <v>I-I</v>
      </c>
      <c r="E107" s="143" t="str">
        <f>VLOOKUP(Raw!M107,R$2:S$13,2,FALSE)</f>
        <v>A-A</v>
      </c>
      <c r="F107" s="143" t="str">
        <f>IF(Raw!P107,"Yes","No")</f>
        <v>No</v>
      </c>
      <c r="G107" s="143" t="str">
        <f>IF(Raw!Q107,"Yes","No")</f>
        <v>No</v>
      </c>
      <c r="H107" s="143" t="str">
        <f>IF(Raw!T107,"Yes","No")</f>
        <v>No</v>
      </c>
      <c r="I107" s="143" t="str">
        <f>IF(AND(Raw!N107,Raw!O107), "S/IS, D/O", IF(Raw!N107,"S/IS", IF(Raw!O107,"D/O","-")))</f>
        <v>D/O</v>
      </c>
      <c r="J107" s="143" t="str">
        <f>Raw!L107</f>
        <v>Netherlands</v>
      </c>
      <c r="K107" s="144" t="str">
        <f>IF(Processed!BN107="NA","-",ROUND(Processed!BN107*100,0))</f>
        <v>-</v>
      </c>
      <c r="L107" s="143" t="str">
        <f>VLOOKUP(Raw!F107,T$2:U$4,2,FALSE)</f>
        <v>F</v>
      </c>
      <c r="M107" s="143" t="str">
        <f>CONCATENATE(IF(Processed!F107,"2S",""),IF(Processed!W107,",3",""),IF(Processed!AG107,",4",""),IF(Processed!AQ107,",2D",""))</f>
        <v/>
      </c>
      <c r="N107" s="143">
        <f>IF(NOT(ISBLANK(Raw!AE107)), Raw!AE107, SUM(Raw!AL107:AT107))</f>
        <v>81</v>
      </c>
      <c r="O107" s="146" t="b">
        <f>COUNTIF(Raw!AV107:BK107, "&gt;=0") = 16</f>
        <v>0</v>
      </c>
      <c r="P107" s="146"/>
      <c r="Q107" s="146"/>
      <c r="R107" s="156"/>
      <c r="S107" s="146"/>
      <c r="T107" s="146"/>
      <c r="U107" s="146"/>
      <c r="V107" s="146" t="str">
        <f ca="1">IFERROR(__xludf.DUMMYFUNCTION("""COMPUTED_VALUE"""),"Ziegenhain &amp; Wolff (2000)")</f>
        <v>Ziegenhain &amp; Wolff (2000)</v>
      </c>
      <c r="W107" s="146" t="str">
        <f ca="1">IFERROR(__xludf.DUMMYFUNCTION("""COMPUTED_VALUE"""),"12/18")</f>
        <v>12/18</v>
      </c>
      <c r="X107" s="146" t="str">
        <f ca="1">IFERROR(__xludf.DUMMYFUNCTION("""COMPUTED_VALUE"""),"I-I")</f>
        <v>I-I</v>
      </c>
      <c r="Y107" s="146" t="str">
        <f ca="1">IFERROR(__xludf.DUMMYFUNCTION("""COMPUTED_VALUE"""),"A-A")</f>
        <v>A-A</v>
      </c>
      <c r="Z107" s="146" t="str">
        <f ca="1">IFERROR(__xludf.DUMMYFUNCTION("""COMPUTED_VALUE"""),"No")</f>
        <v>No</v>
      </c>
      <c r="AA107" s="146" t="str">
        <f ca="1">IFERROR(__xludf.DUMMYFUNCTION("""COMPUTED_VALUE"""),"No")</f>
        <v>No</v>
      </c>
      <c r="AB107" s="146" t="str">
        <f ca="1">IFERROR(__xludf.DUMMYFUNCTION("""COMPUTED_VALUE"""),"Yes")</f>
        <v>Yes</v>
      </c>
      <c r="AC107" s="146" t="str">
        <f ca="1">IFERROR(__xludf.DUMMYFUNCTION("""COMPUTED_VALUE"""),"S/IS")</f>
        <v>S/IS</v>
      </c>
      <c r="AD107" s="146" t="str">
        <f ca="1">IFERROR(__xludf.DUMMYFUNCTION("""COMPUTED_VALUE"""),"Germany")</f>
        <v>Germany</v>
      </c>
      <c r="AE107" s="158" t="str">
        <f ca="1">IFERROR(__xludf.DUMMYFUNCTION("""COMPUTED_VALUE"""),"")</f>
        <v/>
      </c>
      <c r="AF107" s="146" t="str">
        <f ca="1">IFERROR(__xludf.DUMMYFUNCTION("""COMPUTED_VALUE"""),"F")</f>
        <v>F</v>
      </c>
      <c r="AG107" s="146" t="str">
        <f ca="1">IFERROR(__xludf.DUMMYFUNCTION("""COMPUTED_VALUE"""),"2S,4,2D")</f>
        <v>2S,4,2D</v>
      </c>
      <c r="AH107" s="159">
        <f ca="1">IFERROR(__xludf.DUMMYFUNCTION("""COMPUTED_VALUE"""),35)</f>
        <v>35</v>
      </c>
      <c r="AI107" s="146"/>
      <c r="AJ107" s="146"/>
      <c r="AK107" s="146"/>
      <c r="AL107" s="146"/>
      <c r="AM107" s="146"/>
      <c r="AN107" s="146"/>
      <c r="AO107" s="146"/>
      <c r="AP107" s="146"/>
      <c r="AQ107" s="146"/>
      <c r="AR107" s="146"/>
    </row>
    <row r="108" spans="1:44" ht="12.3">
      <c r="A108" s="157"/>
      <c r="B108" s="157"/>
      <c r="C108" s="149"/>
      <c r="D108" s="149"/>
      <c r="E108" s="149"/>
      <c r="F108" s="149"/>
      <c r="G108" s="149"/>
      <c r="H108" s="149"/>
      <c r="I108" s="149"/>
      <c r="J108" s="149"/>
      <c r="K108" s="150"/>
      <c r="L108" s="149"/>
      <c r="M108" s="149"/>
      <c r="N108" s="149"/>
      <c r="O108" s="146"/>
      <c r="P108" s="146"/>
      <c r="Q108" s="146"/>
      <c r="R108" s="15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row>
    <row r="109" spans="1:44" ht="12.3">
      <c r="A109" s="157"/>
      <c r="B109" s="157"/>
      <c r="C109" s="149"/>
      <c r="D109" s="149"/>
      <c r="E109" s="149"/>
      <c r="F109" s="149"/>
      <c r="G109" s="149"/>
      <c r="H109" s="149"/>
      <c r="I109" s="149"/>
      <c r="J109" s="149"/>
      <c r="K109" s="150"/>
      <c r="L109" s="149"/>
      <c r="M109" s="149"/>
      <c r="N109" s="149"/>
      <c r="O109" s="146"/>
      <c r="P109" s="146"/>
      <c r="Q109" s="146"/>
      <c r="R109" s="15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row>
    <row r="110" spans="1:44" ht="21">
      <c r="A110" s="160"/>
      <c r="B110" s="160" t="s">
        <v>462</v>
      </c>
      <c r="C110" s="149"/>
      <c r="D110" s="149"/>
      <c r="E110" s="149"/>
      <c r="F110" s="149"/>
      <c r="G110" s="149"/>
      <c r="H110" s="149"/>
      <c r="I110" s="149"/>
      <c r="J110" s="149"/>
      <c r="K110" s="150"/>
      <c r="L110" s="149"/>
      <c r="M110" s="149"/>
      <c r="N110" s="149"/>
      <c r="O110" s="146"/>
      <c r="P110" s="146"/>
      <c r="Q110" s="146"/>
      <c r="R110" s="15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row>
    <row r="111" spans="1:44" ht="22.8">
      <c r="A111" s="161"/>
      <c r="B111" s="162" t="s">
        <v>430</v>
      </c>
      <c r="C111" s="163" t="s">
        <v>431</v>
      </c>
      <c r="D111" s="164" t="s">
        <v>4</v>
      </c>
      <c r="E111" s="164" t="s">
        <v>51</v>
      </c>
      <c r="F111" s="164" t="s">
        <v>55</v>
      </c>
      <c r="G111" s="164" t="s">
        <v>56</v>
      </c>
      <c r="H111" s="164" t="s">
        <v>59</v>
      </c>
      <c r="I111" s="163" t="s">
        <v>432</v>
      </c>
      <c r="J111" s="164" t="s">
        <v>50</v>
      </c>
      <c r="K111" s="165" t="s">
        <v>433</v>
      </c>
      <c r="L111" s="163" t="s">
        <v>434</v>
      </c>
      <c r="M111" s="162" t="s">
        <v>435</v>
      </c>
      <c r="N111" s="166" t="s">
        <v>436</v>
      </c>
      <c r="O111" s="146"/>
      <c r="P111" s="146"/>
      <c r="Q111" s="146"/>
      <c r="R111" s="15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row>
    <row r="112" spans="1:44" ht="12.6">
      <c r="A112" s="167"/>
      <c r="B112" s="168" t="s">
        <v>352</v>
      </c>
      <c r="C112" s="169" t="s">
        <v>463</v>
      </c>
      <c r="D112" s="169" t="s">
        <v>454</v>
      </c>
      <c r="E112" s="169" t="s">
        <v>142</v>
      </c>
      <c r="F112" s="169" t="s">
        <v>464</v>
      </c>
      <c r="G112" s="169" t="s">
        <v>464</v>
      </c>
      <c r="H112" s="169" t="s">
        <v>465</v>
      </c>
      <c r="I112" s="169" t="s">
        <v>466</v>
      </c>
      <c r="J112" s="169" t="s">
        <v>247</v>
      </c>
      <c r="K112" s="170">
        <v>89</v>
      </c>
      <c r="L112" s="169" t="s">
        <v>446</v>
      </c>
      <c r="M112" s="169" t="s">
        <v>467</v>
      </c>
      <c r="N112" s="169">
        <v>56</v>
      </c>
      <c r="O112" s="146"/>
      <c r="P112" s="146"/>
      <c r="Q112" s="146"/>
      <c r="R112" s="15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row>
    <row r="113" spans="1:44" ht="22.8">
      <c r="A113" s="167"/>
      <c r="B113" s="171" t="s">
        <v>184</v>
      </c>
      <c r="C113" s="172" t="s">
        <v>468</v>
      </c>
      <c r="D113" s="172" t="s">
        <v>438</v>
      </c>
      <c r="E113" s="172" t="s">
        <v>441</v>
      </c>
      <c r="F113" s="172" t="s">
        <v>464</v>
      </c>
      <c r="G113" s="172" t="s">
        <v>464</v>
      </c>
      <c r="H113" s="172" t="s">
        <v>465</v>
      </c>
      <c r="I113" s="172" t="s">
        <v>466</v>
      </c>
      <c r="J113" s="172" t="s">
        <v>188</v>
      </c>
      <c r="K113" s="173" t="s">
        <v>469</v>
      </c>
      <c r="L113" s="172" t="s">
        <v>439</v>
      </c>
      <c r="M113" s="172" t="s">
        <v>467</v>
      </c>
      <c r="N113" s="174">
        <v>83</v>
      </c>
      <c r="O113" s="146"/>
      <c r="P113" s="146"/>
      <c r="Q113" s="146"/>
      <c r="R113" s="156"/>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row>
    <row r="114" spans="1:44" ht="12.6">
      <c r="A114" s="167"/>
      <c r="B114" s="168" t="s">
        <v>470</v>
      </c>
      <c r="C114" s="169" t="s">
        <v>471</v>
      </c>
      <c r="D114" s="169" t="s">
        <v>454</v>
      </c>
      <c r="E114" s="169" t="s">
        <v>142</v>
      </c>
      <c r="F114" s="169" t="s">
        <v>464</v>
      </c>
      <c r="G114" s="169" t="s">
        <v>464</v>
      </c>
      <c r="H114" s="169" t="s">
        <v>465</v>
      </c>
      <c r="I114" s="169" t="s">
        <v>466</v>
      </c>
      <c r="J114" s="169" t="s">
        <v>188</v>
      </c>
      <c r="K114" s="170" t="s">
        <v>469</v>
      </c>
      <c r="L114" s="169" t="s">
        <v>446</v>
      </c>
      <c r="M114" s="169" t="s">
        <v>472</v>
      </c>
      <c r="N114" s="169">
        <v>23</v>
      </c>
      <c r="O114" s="146"/>
      <c r="P114" s="146"/>
      <c r="Q114" s="146"/>
      <c r="R114" s="156"/>
      <c r="S114" s="146"/>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row>
    <row r="115" spans="1:44" ht="22.8">
      <c r="A115" s="167"/>
      <c r="B115" s="171" t="s">
        <v>191</v>
      </c>
      <c r="C115" s="172" t="s">
        <v>473</v>
      </c>
      <c r="D115" s="172" t="s">
        <v>438</v>
      </c>
      <c r="E115" s="172" t="s">
        <v>441</v>
      </c>
      <c r="F115" s="172" t="s">
        <v>464</v>
      </c>
      <c r="G115" s="172" t="s">
        <v>464</v>
      </c>
      <c r="H115" s="172" t="s">
        <v>465</v>
      </c>
      <c r="I115" s="172" t="s">
        <v>466</v>
      </c>
      <c r="J115" s="172" t="s">
        <v>195</v>
      </c>
      <c r="K115" s="173" t="s">
        <v>469</v>
      </c>
      <c r="L115" s="172" t="s">
        <v>446</v>
      </c>
      <c r="M115" s="172" t="s">
        <v>472</v>
      </c>
      <c r="N115" s="174">
        <v>35</v>
      </c>
      <c r="O115" s="146"/>
      <c r="P115" s="146"/>
      <c r="Q115" s="146"/>
      <c r="R115" s="156"/>
      <c r="S115" s="146"/>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row>
    <row r="116" spans="1:44" ht="12.6">
      <c r="A116" s="167"/>
      <c r="B116" s="171" t="s">
        <v>197</v>
      </c>
      <c r="C116" s="172" t="s">
        <v>474</v>
      </c>
      <c r="D116" s="172" t="s">
        <v>447</v>
      </c>
      <c r="E116" s="172" t="s">
        <v>142</v>
      </c>
      <c r="F116" s="172" t="s">
        <v>464</v>
      </c>
      <c r="G116" s="172" t="s">
        <v>465</v>
      </c>
      <c r="H116" s="172" t="s">
        <v>465</v>
      </c>
      <c r="I116" s="172" t="s">
        <v>466</v>
      </c>
      <c r="J116" s="172" t="s">
        <v>200</v>
      </c>
      <c r="K116" s="173">
        <v>73</v>
      </c>
      <c r="L116" s="172" t="s">
        <v>446</v>
      </c>
      <c r="M116" s="172" t="s">
        <v>467</v>
      </c>
      <c r="N116" s="174">
        <v>53</v>
      </c>
      <c r="O116" s="146"/>
      <c r="P116" s="146"/>
      <c r="Q116" s="146"/>
      <c r="R116" s="156"/>
      <c r="S116" s="146"/>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row>
    <row r="117" spans="1:44" ht="22.8">
      <c r="A117" s="167"/>
      <c r="B117" s="175" t="s">
        <v>398</v>
      </c>
      <c r="C117" s="169" t="s">
        <v>475</v>
      </c>
      <c r="D117" s="169" t="s">
        <v>454</v>
      </c>
      <c r="E117" s="169" t="s">
        <v>142</v>
      </c>
      <c r="F117" s="169" t="s">
        <v>464</v>
      </c>
      <c r="G117" s="169" t="s">
        <v>464</v>
      </c>
      <c r="H117" s="169" t="s">
        <v>464</v>
      </c>
      <c r="I117" s="169" t="s">
        <v>476</v>
      </c>
      <c r="J117" s="169" t="s">
        <v>364</v>
      </c>
      <c r="K117" s="170" t="s">
        <v>469</v>
      </c>
      <c r="L117" s="169" t="s">
        <v>446</v>
      </c>
      <c r="M117" s="169" t="s">
        <v>477</v>
      </c>
      <c r="N117" s="169">
        <v>81</v>
      </c>
      <c r="O117" s="146"/>
      <c r="P117" s="146"/>
      <c r="Q117" s="146"/>
      <c r="R117" s="15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row>
    <row r="118" spans="1:44" ht="12.6">
      <c r="A118" s="167"/>
      <c r="B118" s="184" t="s">
        <v>203</v>
      </c>
      <c r="C118" s="172" t="s">
        <v>478</v>
      </c>
      <c r="D118" s="172" t="s">
        <v>440</v>
      </c>
      <c r="E118" s="172" t="s">
        <v>142</v>
      </c>
      <c r="F118" s="172" t="s">
        <v>464</v>
      </c>
      <c r="G118" s="172" t="s">
        <v>464</v>
      </c>
      <c r="H118" s="172" t="s">
        <v>465</v>
      </c>
      <c r="I118" s="172" t="s">
        <v>466</v>
      </c>
      <c r="J118" s="172" t="s">
        <v>188</v>
      </c>
      <c r="K118" s="173">
        <v>82</v>
      </c>
      <c r="L118" s="172" t="s">
        <v>446</v>
      </c>
      <c r="M118" s="172" t="s">
        <v>472</v>
      </c>
      <c r="N118" s="174">
        <v>42</v>
      </c>
      <c r="O118" s="146"/>
      <c r="P118" s="146"/>
      <c r="Q118" s="146"/>
      <c r="R118" s="15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row>
    <row r="119" spans="1:44" ht="12.6">
      <c r="A119" s="167"/>
      <c r="B119" s="185"/>
      <c r="C119" s="172" t="s">
        <v>479</v>
      </c>
      <c r="D119" s="172" t="s">
        <v>447</v>
      </c>
      <c r="E119" s="172" t="s">
        <v>441</v>
      </c>
      <c r="F119" s="172" t="s">
        <v>464</v>
      </c>
      <c r="G119" s="172" t="s">
        <v>464</v>
      </c>
      <c r="H119" s="172" t="s">
        <v>465</v>
      </c>
      <c r="I119" s="172" t="s">
        <v>466</v>
      </c>
      <c r="J119" s="172" t="s">
        <v>188</v>
      </c>
      <c r="K119" s="173">
        <v>82</v>
      </c>
      <c r="L119" s="172" t="s">
        <v>446</v>
      </c>
      <c r="M119" s="172" t="s">
        <v>472</v>
      </c>
      <c r="N119" s="174">
        <v>45</v>
      </c>
      <c r="O119" s="146"/>
      <c r="P119" s="146"/>
      <c r="Q119" s="146"/>
      <c r="R119" s="156"/>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row>
    <row r="120" spans="1:44" ht="12.6">
      <c r="A120" s="167"/>
      <c r="B120" s="185"/>
      <c r="C120" s="172" t="s">
        <v>480</v>
      </c>
      <c r="D120" s="172" t="s">
        <v>438</v>
      </c>
      <c r="E120" s="172" t="s">
        <v>441</v>
      </c>
      <c r="F120" s="172" t="s">
        <v>464</v>
      </c>
      <c r="G120" s="172" t="s">
        <v>464</v>
      </c>
      <c r="H120" s="172" t="s">
        <v>465</v>
      </c>
      <c r="I120" s="172" t="s">
        <v>466</v>
      </c>
      <c r="J120" s="172" t="s">
        <v>188</v>
      </c>
      <c r="K120" s="173">
        <v>82</v>
      </c>
      <c r="L120" s="172" t="s">
        <v>446</v>
      </c>
      <c r="M120" s="172" t="s">
        <v>472</v>
      </c>
      <c r="N120" s="174">
        <v>43</v>
      </c>
      <c r="O120" s="146"/>
      <c r="P120" s="146"/>
      <c r="Q120" s="146"/>
      <c r="R120" s="156"/>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row>
    <row r="121" spans="1:44" ht="12.6">
      <c r="A121" s="167"/>
      <c r="B121" s="171" t="s">
        <v>209</v>
      </c>
      <c r="C121" s="172" t="s">
        <v>481</v>
      </c>
      <c r="D121" s="172" t="s">
        <v>447</v>
      </c>
      <c r="E121" s="172" t="s">
        <v>461</v>
      </c>
      <c r="F121" s="172" t="s">
        <v>464</v>
      </c>
      <c r="G121" s="172" t="s">
        <v>465</v>
      </c>
      <c r="H121" s="172" t="s">
        <v>465</v>
      </c>
      <c r="I121" s="172" t="s">
        <v>466</v>
      </c>
      <c r="J121" s="172" t="s">
        <v>188</v>
      </c>
      <c r="K121" s="173">
        <v>94</v>
      </c>
      <c r="L121" s="172" t="s">
        <v>446</v>
      </c>
      <c r="M121" s="172" t="s">
        <v>467</v>
      </c>
      <c r="N121" s="174">
        <v>50</v>
      </c>
      <c r="O121" s="146"/>
      <c r="P121" s="146"/>
      <c r="Q121" s="146"/>
      <c r="R121" s="156"/>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row>
    <row r="122" spans="1:44" ht="12.6">
      <c r="A122" s="167"/>
      <c r="B122" s="184" t="s">
        <v>212</v>
      </c>
      <c r="C122" s="172" t="s">
        <v>482</v>
      </c>
      <c r="D122" s="172" t="s">
        <v>440</v>
      </c>
      <c r="E122" s="172" t="s">
        <v>142</v>
      </c>
      <c r="F122" s="172" t="s">
        <v>464</v>
      </c>
      <c r="G122" s="172" t="s">
        <v>464</v>
      </c>
      <c r="H122" s="172" t="s">
        <v>465</v>
      </c>
      <c r="I122" s="172" t="s">
        <v>466</v>
      </c>
      <c r="J122" s="172" t="s">
        <v>188</v>
      </c>
      <c r="K122" s="173">
        <v>90</v>
      </c>
      <c r="L122" s="172" t="s">
        <v>446</v>
      </c>
      <c r="M122" s="172" t="s">
        <v>483</v>
      </c>
      <c r="N122" s="174">
        <v>20</v>
      </c>
      <c r="O122" s="146"/>
      <c r="P122" s="146"/>
      <c r="Q122" s="146"/>
      <c r="R122" s="156"/>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row>
    <row r="123" spans="1:44" ht="12.6">
      <c r="A123" s="167"/>
      <c r="B123" s="185"/>
      <c r="C123" s="172" t="s">
        <v>484</v>
      </c>
      <c r="D123" s="172" t="s">
        <v>454</v>
      </c>
      <c r="E123" s="172" t="s">
        <v>142</v>
      </c>
      <c r="F123" s="172" t="s">
        <v>464</v>
      </c>
      <c r="G123" s="172" t="s">
        <v>464</v>
      </c>
      <c r="H123" s="172" t="s">
        <v>465</v>
      </c>
      <c r="I123" s="172" t="s">
        <v>466</v>
      </c>
      <c r="J123" s="172" t="s">
        <v>188</v>
      </c>
      <c r="K123" s="173">
        <v>87</v>
      </c>
      <c r="L123" s="172" t="s">
        <v>446</v>
      </c>
      <c r="M123" s="172" t="s">
        <v>483</v>
      </c>
      <c r="N123" s="174">
        <v>21</v>
      </c>
      <c r="O123" s="146"/>
      <c r="P123" s="146"/>
      <c r="Q123" s="146"/>
      <c r="R123" s="156"/>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row>
    <row r="124" spans="1:44" ht="12.6">
      <c r="A124" s="167"/>
      <c r="B124" s="185"/>
      <c r="C124" s="172" t="s">
        <v>485</v>
      </c>
      <c r="D124" s="172" t="s">
        <v>440</v>
      </c>
      <c r="E124" s="172" t="s">
        <v>142</v>
      </c>
      <c r="F124" s="172" t="s">
        <v>464</v>
      </c>
      <c r="G124" s="172" t="s">
        <v>464</v>
      </c>
      <c r="H124" s="172" t="s">
        <v>465</v>
      </c>
      <c r="I124" s="172" t="s">
        <v>466</v>
      </c>
      <c r="J124" s="172" t="s">
        <v>188</v>
      </c>
      <c r="K124" s="173">
        <v>88</v>
      </c>
      <c r="L124" s="172" t="s">
        <v>446</v>
      </c>
      <c r="M124" s="172" t="s">
        <v>483</v>
      </c>
      <c r="N124" s="174">
        <v>20</v>
      </c>
      <c r="O124" s="146"/>
      <c r="P124" s="146"/>
      <c r="Q124" s="146"/>
      <c r="R124" s="156"/>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row>
    <row r="125" spans="1:44" ht="12.6">
      <c r="A125" s="167"/>
      <c r="B125" s="185"/>
      <c r="C125" s="172" t="s">
        <v>482</v>
      </c>
      <c r="D125" s="172" t="s">
        <v>440</v>
      </c>
      <c r="E125" s="172" t="s">
        <v>142</v>
      </c>
      <c r="F125" s="172" t="s">
        <v>465</v>
      </c>
      <c r="G125" s="172" t="s">
        <v>464</v>
      </c>
      <c r="H125" s="172" t="s">
        <v>465</v>
      </c>
      <c r="I125" s="172" t="s">
        <v>466</v>
      </c>
      <c r="J125" s="172" t="s">
        <v>188</v>
      </c>
      <c r="K125" s="173">
        <v>90</v>
      </c>
      <c r="L125" s="172" t="s">
        <v>446</v>
      </c>
      <c r="M125" s="172" t="s">
        <v>483</v>
      </c>
      <c r="N125" s="174">
        <v>16</v>
      </c>
      <c r="O125" s="146"/>
      <c r="P125" s="146"/>
      <c r="Q125" s="146"/>
      <c r="R125" s="156"/>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row>
    <row r="126" spans="1:44" ht="12.6">
      <c r="A126" s="167"/>
      <c r="B126" s="185"/>
      <c r="C126" s="172" t="s">
        <v>484</v>
      </c>
      <c r="D126" s="172" t="s">
        <v>454</v>
      </c>
      <c r="E126" s="172" t="s">
        <v>142</v>
      </c>
      <c r="F126" s="172" t="s">
        <v>465</v>
      </c>
      <c r="G126" s="172" t="s">
        <v>464</v>
      </c>
      <c r="H126" s="172" t="s">
        <v>465</v>
      </c>
      <c r="I126" s="172" t="s">
        <v>466</v>
      </c>
      <c r="J126" s="172" t="s">
        <v>188</v>
      </c>
      <c r="K126" s="173">
        <v>87</v>
      </c>
      <c r="L126" s="172" t="s">
        <v>446</v>
      </c>
      <c r="M126" s="172" t="s">
        <v>483</v>
      </c>
      <c r="N126" s="174">
        <v>18</v>
      </c>
      <c r="O126" s="146"/>
      <c r="P126" s="146"/>
      <c r="Q126" s="146"/>
      <c r="R126" s="156"/>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row>
    <row r="127" spans="1:44" ht="12.6">
      <c r="A127" s="167"/>
      <c r="B127" s="185"/>
      <c r="C127" s="172" t="s">
        <v>485</v>
      </c>
      <c r="D127" s="172" t="s">
        <v>440</v>
      </c>
      <c r="E127" s="172" t="s">
        <v>142</v>
      </c>
      <c r="F127" s="172" t="s">
        <v>465</v>
      </c>
      <c r="G127" s="172" t="s">
        <v>464</v>
      </c>
      <c r="H127" s="172" t="s">
        <v>465</v>
      </c>
      <c r="I127" s="172" t="s">
        <v>466</v>
      </c>
      <c r="J127" s="172" t="s">
        <v>188</v>
      </c>
      <c r="K127" s="173">
        <v>88</v>
      </c>
      <c r="L127" s="172" t="s">
        <v>446</v>
      </c>
      <c r="M127" s="172" t="s">
        <v>483</v>
      </c>
      <c r="N127" s="174">
        <v>16</v>
      </c>
      <c r="O127" s="146"/>
      <c r="P127" s="146"/>
      <c r="Q127" s="146"/>
      <c r="R127" s="156"/>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row>
    <row r="128" spans="1:44" ht="12.6">
      <c r="A128" s="167"/>
      <c r="B128" s="186" t="s">
        <v>334</v>
      </c>
      <c r="C128" s="169" t="s">
        <v>486</v>
      </c>
      <c r="D128" s="169" t="s">
        <v>440</v>
      </c>
      <c r="E128" s="169" t="s">
        <v>142</v>
      </c>
      <c r="F128" s="169" t="s">
        <v>464</v>
      </c>
      <c r="G128" s="169" t="s">
        <v>464</v>
      </c>
      <c r="H128" s="169" t="s">
        <v>465</v>
      </c>
      <c r="I128" s="169" t="s">
        <v>466</v>
      </c>
      <c r="J128" s="169" t="s">
        <v>188</v>
      </c>
      <c r="K128" s="170">
        <v>93</v>
      </c>
      <c r="L128" s="169" t="s">
        <v>442</v>
      </c>
      <c r="M128" s="169" t="s">
        <v>472</v>
      </c>
      <c r="N128" s="169">
        <v>120</v>
      </c>
      <c r="O128" s="146"/>
      <c r="P128" s="146"/>
      <c r="Q128" s="146"/>
      <c r="R128" s="156"/>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row>
    <row r="129" spans="1:44" ht="12.6">
      <c r="A129" s="167"/>
      <c r="B129" s="185"/>
      <c r="C129" s="169" t="s">
        <v>484</v>
      </c>
      <c r="D129" s="169" t="s">
        <v>454</v>
      </c>
      <c r="E129" s="169" t="s">
        <v>142</v>
      </c>
      <c r="F129" s="169" t="s">
        <v>464</v>
      </c>
      <c r="G129" s="169" t="s">
        <v>464</v>
      </c>
      <c r="H129" s="169" t="s">
        <v>465</v>
      </c>
      <c r="I129" s="169" t="s">
        <v>466</v>
      </c>
      <c r="J129" s="169" t="s">
        <v>188</v>
      </c>
      <c r="K129" s="170">
        <v>93</v>
      </c>
      <c r="L129" s="169" t="s">
        <v>446</v>
      </c>
      <c r="M129" s="169" t="s">
        <v>472</v>
      </c>
      <c r="N129" s="169">
        <v>125</v>
      </c>
      <c r="O129" s="146"/>
      <c r="P129" s="146"/>
      <c r="Q129" s="146"/>
      <c r="R129" s="156"/>
      <c r="S129" s="146"/>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row>
    <row r="130" spans="1:44" ht="12.6">
      <c r="A130" s="167"/>
      <c r="B130" s="185"/>
      <c r="C130" s="169" t="s">
        <v>484</v>
      </c>
      <c r="D130" s="169" t="s">
        <v>454</v>
      </c>
      <c r="E130" s="169" t="s">
        <v>142</v>
      </c>
      <c r="F130" s="169" t="s">
        <v>464</v>
      </c>
      <c r="G130" s="169" t="s">
        <v>464</v>
      </c>
      <c r="H130" s="169" t="s">
        <v>465</v>
      </c>
      <c r="I130" s="169" t="s">
        <v>466</v>
      </c>
      <c r="J130" s="169" t="s">
        <v>188</v>
      </c>
      <c r="K130" s="170">
        <v>96</v>
      </c>
      <c r="L130" s="169" t="s">
        <v>446</v>
      </c>
      <c r="M130" s="169" t="s">
        <v>472</v>
      </c>
      <c r="N130" s="169">
        <v>90</v>
      </c>
      <c r="O130" s="146"/>
      <c r="P130" s="146"/>
      <c r="Q130" s="146"/>
      <c r="R130" s="156"/>
      <c r="S130" s="146"/>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row>
    <row r="131" spans="1:44" ht="12.6">
      <c r="A131" s="167"/>
      <c r="B131" s="175" t="s">
        <v>360</v>
      </c>
      <c r="C131" s="169" t="s">
        <v>487</v>
      </c>
      <c r="D131" s="169" t="s">
        <v>456</v>
      </c>
      <c r="E131" s="169" t="s">
        <v>458</v>
      </c>
      <c r="F131" s="169" t="s">
        <v>464</v>
      </c>
      <c r="G131" s="169" t="s">
        <v>464</v>
      </c>
      <c r="H131" s="169" t="s">
        <v>465</v>
      </c>
      <c r="I131" s="169" t="s">
        <v>466</v>
      </c>
      <c r="J131" s="169" t="s">
        <v>188</v>
      </c>
      <c r="K131" s="170">
        <v>84</v>
      </c>
      <c r="L131" s="169" t="s">
        <v>446</v>
      </c>
      <c r="M131" s="169" t="s">
        <v>467</v>
      </c>
      <c r="N131" s="169">
        <v>52</v>
      </c>
      <c r="O131" s="146"/>
      <c r="P131" s="146"/>
      <c r="Q131" s="146"/>
      <c r="R131" s="156"/>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row>
    <row r="132" spans="1:44" ht="12.6">
      <c r="A132" s="167"/>
      <c r="B132" s="184" t="s">
        <v>216</v>
      </c>
      <c r="C132" s="172" t="s">
        <v>488</v>
      </c>
      <c r="D132" s="172" t="s">
        <v>447</v>
      </c>
      <c r="E132" s="172" t="s">
        <v>445</v>
      </c>
      <c r="F132" s="172" t="s">
        <v>465</v>
      </c>
      <c r="G132" s="172" t="s">
        <v>464</v>
      </c>
      <c r="H132" s="172" t="s">
        <v>465</v>
      </c>
      <c r="I132" s="172" t="s">
        <v>466</v>
      </c>
      <c r="J132" s="172" t="s">
        <v>188</v>
      </c>
      <c r="K132" s="173">
        <v>75</v>
      </c>
      <c r="L132" s="172" t="s">
        <v>439</v>
      </c>
      <c r="M132" s="172" t="s">
        <v>483</v>
      </c>
      <c r="N132" s="174">
        <v>18</v>
      </c>
      <c r="O132" s="146"/>
      <c r="P132" s="146"/>
      <c r="Q132" s="146"/>
      <c r="R132" s="156"/>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row>
    <row r="133" spans="1:44" ht="12.6">
      <c r="A133" s="167"/>
      <c r="B133" s="185"/>
      <c r="C133" s="172" t="s">
        <v>489</v>
      </c>
      <c r="D133" s="172" t="s">
        <v>447</v>
      </c>
      <c r="E133" s="172" t="s">
        <v>445</v>
      </c>
      <c r="F133" s="172" t="s">
        <v>465</v>
      </c>
      <c r="G133" s="172" t="s">
        <v>464</v>
      </c>
      <c r="H133" s="172" t="s">
        <v>465</v>
      </c>
      <c r="I133" s="172" t="s">
        <v>466</v>
      </c>
      <c r="J133" s="172" t="s">
        <v>188</v>
      </c>
      <c r="K133" s="173">
        <v>75</v>
      </c>
      <c r="L133" s="172" t="s">
        <v>439</v>
      </c>
      <c r="M133" s="172" t="s">
        <v>483</v>
      </c>
      <c r="N133" s="174">
        <v>25</v>
      </c>
      <c r="O133" s="146"/>
      <c r="P133" s="146"/>
      <c r="Q133" s="146"/>
      <c r="R133" s="156"/>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row>
    <row r="134" spans="1:44" ht="12.6">
      <c r="A134" s="167"/>
      <c r="B134" s="185"/>
      <c r="C134" s="172" t="s">
        <v>488</v>
      </c>
      <c r="D134" s="172" t="s">
        <v>447</v>
      </c>
      <c r="E134" s="172" t="s">
        <v>445</v>
      </c>
      <c r="F134" s="172" t="s">
        <v>465</v>
      </c>
      <c r="G134" s="172" t="s">
        <v>464</v>
      </c>
      <c r="H134" s="172" t="s">
        <v>465</v>
      </c>
      <c r="I134" s="172" t="s">
        <v>466</v>
      </c>
      <c r="J134" s="172" t="s">
        <v>188</v>
      </c>
      <c r="K134" s="173">
        <v>75</v>
      </c>
      <c r="L134" s="172" t="s">
        <v>439</v>
      </c>
      <c r="M134" s="172" t="s">
        <v>483</v>
      </c>
      <c r="N134" s="174">
        <v>20</v>
      </c>
      <c r="O134" s="146"/>
      <c r="P134" s="146"/>
      <c r="Q134" s="146"/>
      <c r="R134" s="156"/>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row>
    <row r="135" spans="1:44" ht="12.6">
      <c r="A135" s="167"/>
      <c r="B135" s="185"/>
      <c r="C135" s="172" t="s">
        <v>489</v>
      </c>
      <c r="D135" s="172" t="s">
        <v>447</v>
      </c>
      <c r="E135" s="172" t="s">
        <v>445</v>
      </c>
      <c r="F135" s="172" t="s">
        <v>465</v>
      </c>
      <c r="G135" s="172" t="s">
        <v>464</v>
      </c>
      <c r="H135" s="172" t="s">
        <v>465</v>
      </c>
      <c r="I135" s="172" t="s">
        <v>466</v>
      </c>
      <c r="J135" s="172" t="s">
        <v>188</v>
      </c>
      <c r="K135" s="173">
        <v>75</v>
      </c>
      <c r="L135" s="172" t="s">
        <v>439</v>
      </c>
      <c r="M135" s="172" t="s">
        <v>483</v>
      </c>
      <c r="N135" s="174">
        <v>15</v>
      </c>
      <c r="O135" s="146"/>
      <c r="P135" s="146"/>
      <c r="Q135" s="146"/>
      <c r="R135" s="156"/>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row>
    <row r="136" spans="1:44" ht="12.6">
      <c r="A136" s="167"/>
      <c r="B136" s="184" t="s">
        <v>224</v>
      </c>
      <c r="C136" s="172" t="s">
        <v>490</v>
      </c>
      <c r="D136" s="172" t="s">
        <v>440</v>
      </c>
      <c r="E136" s="172" t="s">
        <v>448</v>
      </c>
      <c r="F136" s="172" t="s">
        <v>465</v>
      </c>
      <c r="G136" s="172" t="s">
        <v>464</v>
      </c>
      <c r="H136" s="172" t="s">
        <v>465</v>
      </c>
      <c r="I136" s="172" t="s">
        <v>466</v>
      </c>
      <c r="J136" s="172" t="s">
        <v>188</v>
      </c>
      <c r="K136" s="173">
        <v>88</v>
      </c>
      <c r="L136" s="172" t="s">
        <v>446</v>
      </c>
      <c r="M136" s="172" t="s">
        <v>483</v>
      </c>
      <c r="N136" s="174">
        <v>54</v>
      </c>
      <c r="O136" s="146"/>
      <c r="P136" s="146"/>
      <c r="Q136" s="146"/>
      <c r="R136" s="156"/>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row>
    <row r="137" spans="1:44" ht="12.6">
      <c r="A137" s="167"/>
      <c r="B137" s="185"/>
      <c r="C137" s="172" t="s">
        <v>490</v>
      </c>
      <c r="D137" s="172" t="s">
        <v>440</v>
      </c>
      <c r="E137" s="172" t="s">
        <v>448</v>
      </c>
      <c r="F137" s="172" t="s">
        <v>464</v>
      </c>
      <c r="G137" s="172" t="s">
        <v>464</v>
      </c>
      <c r="H137" s="172" t="s">
        <v>465</v>
      </c>
      <c r="I137" s="172" t="s">
        <v>466</v>
      </c>
      <c r="J137" s="172" t="s">
        <v>188</v>
      </c>
      <c r="K137" s="173">
        <v>88</v>
      </c>
      <c r="L137" s="172" t="s">
        <v>446</v>
      </c>
      <c r="M137" s="172" t="s">
        <v>483</v>
      </c>
      <c r="N137" s="174">
        <v>44</v>
      </c>
      <c r="O137" s="146"/>
      <c r="P137" s="146"/>
      <c r="Q137" s="146"/>
      <c r="R137" s="156"/>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row>
    <row r="138" spans="1:44" ht="12.6">
      <c r="A138" s="167"/>
      <c r="B138" s="175" t="s">
        <v>354</v>
      </c>
      <c r="C138" s="169" t="s">
        <v>484</v>
      </c>
      <c r="D138" s="169" t="s">
        <v>454</v>
      </c>
      <c r="E138" s="169" t="s">
        <v>142</v>
      </c>
      <c r="F138" s="169" t="s">
        <v>464</v>
      </c>
      <c r="G138" s="169" t="s">
        <v>464</v>
      </c>
      <c r="H138" s="169" t="s">
        <v>464</v>
      </c>
      <c r="I138" s="169" t="s">
        <v>466</v>
      </c>
      <c r="J138" s="169" t="s">
        <v>188</v>
      </c>
      <c r="K138" s="170">
        <v>94</v>
      </c>
      <c r="L138" s="169" t="s">
        <v>446</v>
      </c>
      <c r="M138" s="169" t="s">
        <v>472</v>
      </c>
      <c r="N138" s="169">
        <v>47</v>
      </c>
      <c r="O138" s="146"/>
      <c r="P138" s="146"/>
      <c r="Q138" s="146"/>
      <c r="R138" s="156"/>
      <c r="S138" s="146"/>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row>
    <row r="139" spans="1:44" ht="12.6">
      <c r="A139" s="167"/>
      <c r="B139" s="184" t="s">
        <v>227</v>
      </c>
      <c r="C139" s="172" t="s">
        <v>486</v>
      </c>
      <c r="D139" s="172" t="s">
        <v>440</v>
      </c>
      <c r="E139" s="172" t="s">
        <v>142</v>
      </c>
      <c r="F139" s="172" t="s">
        <v>464</v>
      </c>
      <c r="G139" s="172" t="s">
        <v>464</v>
      </c>
      <c r="H139" s="172" t="s">
        <v>465</v>
      </c>
      <c r="I139" s="172" t="s">
        <v>466</v>
      </c>
      <c r="J139" s="172" t="s">
        <v>188</v>
      </c>
      <c r="K139" s="173" t="s">
        <v>469</v>
      </c>
      <c r="L139" s="172" t="s">
        <v>442</v>
      </c>
      <c r="M139" s="172" t="s">
        <v>467</v>
      </c>
      <c r="N139" s="174">
        <v>59</v>
      </c>
      <c r="O139" s="146"/>
      <c r="P139" s="146"/>
      <c r="Q139" s="146"/>
      <c r="R139" s="156"/>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row>
    <row r="140" spans="1:44" ht="12.6">
      <c r="A140" s="167"/>
      <c r="B140" s="185"/>
      <c r="C140" s="172" t="s">
        <v>486</v>
      </c>
      <c r="D140" s="172" t="s">
        <v>440</v>
      </c>
      <c r="E140" s="172" t="s">
        <v>142</v>
      </c>
      <c r="F140" s="172" t="s">
        <v>464</v>
      </c>
      <c r="G140" s="172" t="s">
        <v>464</v>
      </c>
      <c r="H140" s="172" t="s">
        <v>465</v>
      </c>
      <c r="I140" s="172" t="s">
        <v>466</v>
      </c>
      <c r="J140" s="172" t="s">
        <v>188</v>
      </c>
      <c r="K140" s="173" t="s">
        <v>469</v>
      </c>
      <c r="L140" s="172" t="s">
        <v>446</v>
      </c>
      <c r="M140" s="172" t="s">
        <v>467</v>
      </c>
      <c r="N140" s="174">
        <v>57</v>
      </c>
      <c r="O140" s="146"/>
      <c r="P140" s="146"/>
      <c r="Q140" s="146"/>
      <c r="R140" s="156"/>
      <c r="S140" s="146"/>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row>
    <row r="141" spans="1:44" ht="12.6">
      <c r="A141" s="167"/>
      <c r="B141" s="186" t="s">
        <v>350</v>
      </c>
      <c r="C141" s="169" t="s">
        <v>484</v>
      </c>
      <c r="D141" s="169" t="s">
        <v>454</v>
      </c>
      <c r="E141" s="169" t="s">
        <v>142</v>
      </c>
      <c r="F141" s="169" t="s">
        <v>465</v>
      </c>
      <c r="G141" s="169" t="s">
        <v>464</v>
      </c>
      <c r="H141" s="169" t="s">
        <v>465</v>
      </c>
      <c r="I141" s="169" t="s">
        <v>466</v>
      </c>
      <c r="J141" s="169" t="s">
        <v>188</v>
      </c>
      <c r="K141" s="170">
        <v>89</v>
      </c>
      <c r="L141" s="169" t="s">
        <v>446</v>
      </c>
      <c r="M141" s="169" t="s">
        <v>483</v>
      </c>
      <c r="N141" s="169">
        <v>217</v>
      </c>
      <c r="O141" s="146"/>
      <c r="P141" s="146"/>
      <c r="Q141" s="146"/>
      <c r="R141" s="156"/>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row>
    <row r="142" spans="1:44" ht="12.6">
      <c r="A142" s="167"/>
      <c r="B142" s="185"/>
      <c r="C142" s="169" t="s">
        <v>484</v>
      </c>
      <c r="D142" s="169" t="s">
        <v>454</v>
      </c>
      <c r="E142" s="169" t="s">
        <v>142</v>
      </c>
      <c r="F142" s="169" t="s">
        <v>465</v>
      </c>
      <c r="G142" s="169" t="s">
        <v>464</v>
      </c>
      <c r="H142" s="169" t="s">
        <v>465</v>
      </c>
      <c r="I142" s="169" t="s">
        <v>466</v>
      </c>
      <c r="J142" s="169" t="s">
        <v>188</v>
      </c>
      <c r="K142" s="170">
        <v>89</v>
      </c>
      <c r="L142" s="169" t="s">
        <v>442</v>
      </c>
      <c r="M142" s="169" t="s">
        <v>483</v>
      </c>
      <c r="N142" s="169">
        <v>208</v>
      </c>
      <c r="O142" s="146"/>
      <c r="P142" s="146"/>
      <c r="Q142" s="146"/>
      <c r="R142" s="156"/>
      <c r="S142" s="146"/>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row>
    <row r="143" spans="1:44" ht="12.6">
      <c r="A143" s="167"/>
      <c r="B143" s="175" t="s">
        <v>387</v>
      </c>
      <c r="C143" s="169" t="s">
        <v>484</v>
      </c>
      <c r="D143" s="169" t="s">
        <v>454</v>
      </c>
      <c r="E143" s="169" t="s">
        <v>142</v>
      </c>
      <c r="F143" s="169" t="s">
        <v>465</v>
      </c>
      <c r="G143" s="169" t="s">
        <v>464</v>
      </c>
      <c r="H143" s="169" t="s">
        <v>465</v>
      </c>
      <c r="I143" s="169" t="s">
        <v>466</v>
      </c>
      <c r="J143" s="169" t="s">
        <v>188</v>
      </c>
      <c r="K143" s="170">
        <v>91</v>
      </c>
      <c r="L143" s="169" t="s">
        <v>446</v>
      </c>
      <c r="M143" s="169" t="s">
        <v>472</v>
      </c>
      <c r="N143" s="169">
        <v>189</v>
      </c>
      <c r="O143" s="146"/>
      <c r="P143" s="146"/>
      <c r="Q143" s="146"/>
      <c r="R143" s="156"/>
      <c r="S143" s="146"/>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row>
    <row r="144" spans="1:44" ht="12.6">
      <c r="A144" s="167"/>
      <c r="B144" s="186" t="s">
        <v>389</v>
      </c>
      <c r="C144" s="169" t="s">
        <v>484</v>
      </c>
      <c r="D144" s="169" t="s">
        <v>454</v>
      </c>
      <c r="E144" s="169" t="s">
        <v>142</v>
      </c>
      <c r="F144" s="169" t="s">
        <v>465</v>
      </c>
      <c r="G144" s="169" t="s">
        <v>464</v>
      </c>
      <c r="H144" s="169" t="s">
        <v>465</v>
      </c>
      <c r="I144" s="169" t="s">
        <v>466</v>
      </c>
      <c r="J144" s="169" t="s">
        <v>188</v>
      </c>
      <c r="K144" s="170">
        <v>91</v>
      </c>
      <c r="L144" s="169" t="s">
        <v>446</v>
      </c>
      <c r="M144" s="169" t="s">
        <v>472</v>
      </c>
      <c r="N144" s="169">
        <v>25</v>
      </c>
      <c r="O144" s="146"/>
      <c r="P144" s="146"/>
      <c r="Q144" s="146"/>
      <c r="R144" s="156"/>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row>
    <row r="145" spans="1:44" ht="12.6">
      <c r="A145" s="167"/>
      <c r="B145" s="185"/>
      <c r="C145" s="169" t="s">
        <v>484</v>
      </c>
      <c r="D145" s="169" t="s">
        <v>454</v>
      </c>
      <c r="E145" s="169" t="s">
        <v>142</v>
      </c>
      <c r="F145" s="169" t="s">
        <v>464</v>
      </c>
      <c r="G145" s="169" t="s">
        <v>464</v>
      </c>
      <c r="H145" s="169" t="s">
        <v>465</v>
      </c>
      <c r="I145" s="169" t="s">
        <v>466</v>
      </c>
      <c r="J145" s="169" t="s">
        <v>188</v>
      </c>
      <c r="K145" s="170">
        <v>91</v>
      </c>
      <c r="L145" s="169" t="s">
        <v>446</v>
      </c>
      <c r="M145" s="169" t="s">
        <v>472</v>
      </c>
      <c r="N145" s="169">
        <v>32</v>
      </c>
      <c r="O145" s="146"/>
      <c r="P145" s="146"/>
      <c r="Q145" s="146"/>
      <c r="R145" s="156"/>
      <c r="S145" s="146"/>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row>
    <row r="146" spans="1:44" ht="12.6">
      <c r="A146" s="167"/>
      <c r="B146" s="171" t="s">
        <v>314</v>
      </c>
      <c r="C146" s="172" t="s">
        <v>491</v>
      </c>
      <c r="D146" s="172" t="s">
        <v>440</v>
      </c>
      <c r="E146" s="172" t="s">
        <v>441</v>
      </c>
      <c r="F146" s="172" t="s">
        <v>464</v>
      </c>
      <c r="G146" s="172" t="s">
        <v>464</v>
      </c>
      <c r="H146" s="172" t="s">
        <v>465</v>
      </c>
      <c r="I146" s="172" t="s">
        <v>466</v>
      </c>
      <c r="J146" s="172" t="s">
        <v>188</v>
      </c>
      <c r="K146" s="173">
        <v>83</v>
      </c>
      <c r="L146" s="172" t="s">
        <v>446</v>
      </c>
      <c r="M146" s="172" t="s">
        <v>472</v>
      </c>
      <c r="N146" s="174">
        <v>96</v>
      </c>
      <c r="O146" s="146"/>
      <c r="P146" s="146"/>
      <c r="Q146" s="146"/>
      <c r="R146" s="156"/>
      <c r="S146" s="146"/>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row>
    <row r="147" spans="1:44" ht="12.6">
      <c r="A147" s="167"/>
      <c r="B147" s="171" t="s">
        <v>232</v>
      </c>
      <c r="C147" s="172" t="s">
        <v>492</v>
      </c>
      <c r="D147" s="172" t="s">
        <v>438</v>
      </c>
      <c r="E147" s="172" t="s">
        <v>441</v>
      </c>
      <c r="F147" s="172" t="s">
        <v>465</v>
      </c>
      <c r="G147" s="172" t="s">
        <v>464</v>
      </c>
      <c r="H147" s="172" t="s">
        <v>465</v>
      </c>
      <c r="I147" s="172" t="s">
        <v>466</v>
      </c>
      <c r="J147" s="172" t="s">
        <v>188</v>
      </c>
      <c r="K147" s="173">
        <v>77</v>
      </c>
      <c r="L147" s="172" t="s">
        <v>446</v>
      </c>
      <c r="M147" s="172" t="s">
        <v>483</v>
      </c>
      <c r="N147" s="174">
        <v>82</v>
      </c>
      <c r="O147" s="146"/>
      <c r="P147" s="146"/>
      <c r="Q147" s="146"/>
      <c r="R147" s="156"/>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row>
    <row r="148" spans="1:44" ht="22.8">
      <c r="A148" s="167"/>
      <c r="B148" s="171" t="s">
        <v>328</v>
      </c>
      <c r="C148" s="172" t="s">
        <v>493</v>
      </c>
      <c r="D148" s="172" t="s">
        <v>440</v>
      </c>
      <c r="E148" s="172" t="s">
        <v>142</v>
      </c>
      <c r="F148" s="172" t="s">
        <v>464</v>
      </c>
      <c r="G148" s="172" t="s">
        <v>464</v>
      </c>
      <c r="H148" s="172" t="s">
        <v>465</v>
      </c>
      <c r="I148" s="172" t="s">
        <v>466</v>
      </c>
      <c r="J148" s="172" t="s">
        <v>188</v>
      </c>
      <c r="K148" s="173">
        <v>79</v>
      </c>
      <c r="L148" s="172" t="s">
        <v>446</v>
      </c>
      <c r="M148" s="172" t="s">
        <v>472</v>
      </c>
      <c r="N148" s="174">
        <v>38</v>
      </c>
      <c r="O148" s="146"/>
      <c r="P148" s="146"/>
      <c r="Q148" s="146"/>
      <c r="R148" s="156"/>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row>
    <row r="149" spans="1:44" ht="22.8">
      <c r="A149" s="167"/>
      <c r="B149" s="171" t="s">
        <v>234</v>
      </c>
      <c r="C149" s="172" t="s">
        <v>494</v>
      </c>
      <c r="D149" s="172" t="s">
        <v>440</v>
      </c>
      <c r="E149" s="172" t="s">
        <v>142</v>
      </c>
      <c r="F149" s="172" t="s">
        <v>464</v>
      </c>
      <c r="G149" s="172" t="s">
        <v>465</v>
      </c>
      <c r="H149" s="172" t="s">
        <v>465</v>
      </c>
      <c r="I149" s="172" t="s">
        <v>466</v>
      </c>
      <c r="J149" s="172" t="s">
        <v>188</v>
      </c>
      <c r="K149" s="173">
        <v>100</v>
      </c>
      <c r="L149" s="172" t="s">
        <v>446</v>
      </c>
      <c r="M149" s="172" t="s">
        <v>483</v>
      </c>
      <c r="N149" s="174">
        <v>30</v>
      </c>
      <c r="O149" s="146"/>
      <c r="P149" s="146"/>
      <c r="Q149" s="146"/>
      <c r="R149" s="156"/>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row>
    <row r="150" spans="1:44" ht="12.6">
      <c r="A150" s="167"/>
      <c r="B150" s="168" t="s">
        <v>362</v>
      </c>
      <c r="C150" s="169" t="s">
        <v>495</v>
      </c>
      <c r="D150" s="169" t="s">
        <v>454</v>
      </c>
      <c r="E150" s="169" t="s">
        <v>142</v>
      </c>
      <c r="F150" s="169" t="s">
        <v>464</v>
      </c>
      <c r="G150" s="169" t="s">
        <v>464</v>
      </c>
      <c r="H150" s="169" t="s">
        <v>465</v>
      </c>
      <c r="I150" s="169" t="s">
        <v>466</v>
      </c>
      <c r="J150" s="169" t="s">
        <v>364</v>
      </c>
      <c r="K150" s="170">
        <v>94</v>
      </c>
      <c r="L150" s="169" t="s">
        <v>446</v>
      </c>
      <c r="M150" s="169" t="s">
        <v>472</v>
      </c>
      <c r="N150" s="169">
        <v>9</v>
      </c>
      <c r="O150" s="146"/>
      <c r="P150" s="146"/>
      <c r="Q150" s="146"/>
      <c r="R150" s="156"/>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row>
    <row r="151" spans="1:44" ht="12.6">
      <c r="A151" s="167"/>
      <c r="B151" s="171" t="s">
        <v>236</v>
      </c>
      <c r="C151" s="172" t="s">
        <v>496</v>
      </c>
      <c r="D151" s="172" t="s">
        <v>440</v>
      </c>
      <c r="E151" s="172" t="s">
        <v>441</v>
      </c>
      <c r="F151" s="172" t="s">
        <v>464</v>
      </c>
      <c r="G151" s="172" t="s">
        <v>464</v>
      </c>
      <c r="H151" s="172" t="s">
        <v>465</v>
      </c>
      <c r="I151" s="172" t="s">
        <v>466</v>
      </c>
      <c r="J151" s="172" t="s">
        <v>238</v>
      </c>
      <c r="K151" s="173">
        <v>98</v>
      </c>
      <c r="L151" s="172" t="s">
        <v>439</v>
      </c>
      <c r="M151" s="172" t="s">
        <v>472</v>
      </c>
      <c r="N151" s="174">
        <v>33</v>
      </c>
      <c r="O151" s="146"/>
      <c r="P151" s="146"/>
      <c r="Q151" s="146"/>
      <c r="R151" s="156"/>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row>
    <row r="152" spans="1:44" ht="12.6">
      <c r="A152" s="167"/>
      <c r="B152" s="171" t="s">
        <v>241</v>
      </c>
      <c r="C152" s="172" t="s">
        <v>468</v>
      </c>
      <c r="D152" s="172" t="s">
        <v>438</v>
      </c>
      <c r="E152" s="172" t="s">
        <v>441</v>
      </c>
      <c r="F152" s="172" t="s">
        <v>464</v>
      </c>
      <c r="G152" s="172" t="s">
        <v>464</v>
      </c>
      <c r="H152" s="172" t="s">
        <v>465</v>
      </c>
      <c r="I152" s="172" t="s">
        <v>466</v>
      </c>
      <c r="J152" s="172" t="s">
        <v>188</v>
      </c>
      <c r="K152" s="173" t="s">
        <v>469</v>
      </c>
      <c r="L152" s="172" t="s">
        <v>446</v>
      </c>
      <c r="M152" s="172" t="s">
        <v>472</v>
      </c>
      <c r="N152" s="174">
        <v>89</v>
      </c>
      <c r="O152" s="146"/>
      <c r="P152" s="146"/>
      <c r="Q152" s="146"/>
      <c r="R152" s="15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row>
    <row r="153" spans="1:44" ht="12.6">
      <c r="A153" s="167"/>
      <c r="B153" s="184" t="s">
        <v>244</v>
      </c>
      <c r="C153" s="172" t="s">
        <v>497</v>
      </c>
      <c r="D153" s="172" t="s">
        <v>438</v>
      </c>
      <c r="E153" s="172" t="s">
        <v>453</v>
      </c>
      <c r="F153" s="172" t="s">
        <v>464</v>
      </c>
      <c r="G153" s="172" t="s">
        <v>464</v>
      </c>
      <c r="H153" s="172" t="s">
        <v>465</v>
      </c>
      <c r="I153" s="172" t="s">
        <v>498</v>
      </c>
      <c r="J153" s="172" t="s">
        <v>247</v>
      </c>
      <c r="K153" s="173" t="s">
        <v>469</v>
      </c>
      <c r="L153" s="172" t="s">
        <v>446</v>
      </c>
      <c r="M153" s="172" t="s">
        <v>467</v>
      </c>
      <c r="N153" s="174">
        <v>32</v>
      </c>
      <c r="O153" s="146"/>
      <c r="P153" s="146"/>
      <c r="Q153" s="146"/>
      <c r="R153" s="156"/>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row>
    <row r="154" spans="1:44" ht="12.6">
      <c r="A154" s="167"/>
      <c r="B154" s="185"/>
      <c r="C154" s="172" t="s">
        <v>499</v>
      </c>
      <c r="D154" s="172" t="s">
        <v>438</v>
      </c>
      <c r="E154" s="172" t="s">
        <v>453</v>
      </c>
      <c r="F154" s="172" t="s">
        <v>464</v>
      </c>
      <c r="G154" s="172" t="s">
        <v>464</v>
      </c>
      <c r="H154" s="172" t="s">
        <v>465</v>
      </c>
      <c r="I154" s="172" t="s">
        <v>466</v>
      </c>
      <c r="J154" s="172" t="s">
        <v>247</v>
      </c>
      <c r="K154" s="173" t="s">
        <v>469</v>
      </c>
      <c r="L154" s="172" t="s">
        <v>446</v>
      </c>
      <c r="M154" s="172" t="s">
        <v>467</v>
      </c>
      <c r="N154" s="174">
        <v>32</v>
      </c>
      <c r="O154" s="146"/>
      <c r="P154" s="146"/>
      <c r="Q154" s="146"/>
      <c r="R154" s="156"/>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row>
    <row r="155" spans="1:44" ht="12.6">
      <c r="A155" s="167"/>
      <c r="B155" s="184" t="s">
        <v>250</v>
      </c>
      <c r="C155" s="172" t="s">
        <v>500</v>
      </c>
      <c r="D155" s="172" t="s">
        <v>447</v>
      </c>
      <c r="E155" s="172" t="s">
        <v>441</v>
      </c>
      <c r="F155" s="172" t="s">
        <v>465</v>
      </c>
      <c r="G155" s="172" t="s">
        <v>464</v>
      </c>
      <c r="H155" s="172" t="s">
        <v>465</v>
      </c>
      <c r="I155" s="172" t="s">
        <v>469</v>
      </c>
      <c r="J155" s="172" t="s">
        <v>253</v>
      </c>
      <c r="K155" s="173">
        <v>82</v>
      </c>
      <c r="L155" s="172" t="s">
        <v>446</v>
      </c>
      <c r="M155" s="172" t="s">
        <v>467</v>
      </c>
      <c r="N155" s="174">
        <v>55</v>
      </c>
      <c r="O155" s="146"/>
      <c r="P155" s="146"/>
      <c r="Q155" s="146"/>
      <c r="R155" s="156"/>
      <c r="S155" s="146"/>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row>
    <row r="156" spans="1:44" ht="12.6">
      <c r="A156" s="167"/>
      <c r="B156" s="185"/>
      <c r="C156" s="172" t="s">
        <v>500</v>
      </c>
      <c r="D156" s="172" t="s">
        <v>447</v>
      </c>
      <c r="E156" s="172" t="s">
        <v>445</v>
      </c>
      <c r="F156" s="172" t="s">
        <v>464</v>
      </c>
      <c r="G156" s="172" t="s">
        <v>464</v>
      </c>
      <c r="H156" s="172" t="s">
        <v>465</v>
      </c>
      <c r="I156" s="172" t="s">
        <v>469</v>
      </c>
      <c r="J156" s="172" t="s">
        <v>253</v>
      </c>
      <c r="K156" s="173">
        <v>82</v>
      </c>
      <c r="L156" s="172" t="s">
        <v>446</v>
      </c>
      <c r="M156" s="172" t="s">
        <v>467</v>
      </c>
      <c r="N156" s="174">
        <v>40</v>
      </c>
      <c r="O156" s="146"/>
      <c r="P156" s="146"/>
      <c r="Q156" s="146"/>
      <c r="R156" s="156"/>
      <c r="S156" s="146"/>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row>
    <row r="157" spans="1:44" ht="22.8">
      <c r="A157" s="167"/>
      <c r="B157" s="171" t="s">
        <v>254</v>
      </c>
      <c r="C157" s="172" t="s">
        <v>482</v>
      </c>
      <c r="D157" s="172" t="s">
        <v>440</v>
      </c>
      <c r="E157" s="172" t="s">
        <v>455</v>
      </c>
      <c r="F157" s="172" t="s">
        <v>464</v>
      </c>
      <c r="G157" s="172" t="s">
        <v>464</v>
      </c>
      <c r="H157" s="172" t="s">
        <v>465</v>
      </c>
      <c r="I157" s="172" t="s">
        <v>466</v>
      </c>
      <c r="J157" s="172" t="s">
        <v>247</v>
      </c>
      <c r="K157" s="173" t="s">
        <v>469</v>
      </c>
      <c r="L157" s="172" t="s">
        <v>446</v>
      </c>
      <c r="M157" s="172" t="s">
        <v>467</v>
      </c>
      <c r="N157" s="174">
        <v>81</v>
      </c>
      <c r="O157" s="146"/>
      <c r="P157" s="146"/>
      <c r="Q157" s="146"/>
      <c r="R157" s="156"/>
      <c r="S157" s="146"/>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row>
    <row r="158" spans="1:44" ht="12.6">
      <c r="A158" s="167"/>
      <c r="B158" s="184" t="s">
        <v>320</v>
      </c>
      <c r="C158" s="172" t="s">
        <v>501</v>
      </c>
      <c r="D158" s="172" t="s">
        <v>456</v>
      </c>
      <c r="E158" s="172" t="s">
        <v>445</v>
      </c>
      <c r="F158" s="172" t="s">
        <v>464</v>
      </c>
      <c r="G158" s="172" t="s">
        <v>464</v>
      </c>
      <c r="H158" s="172" t="s">
        <v>465</v>
      </c>
      <c r="I158" s="172" t="s">
        <v>469</v>
      </c>
      <c r="J158" s="172" t="s">
        <v>291</v>
      </c>
      <c r="K158" s="173">
        <v>82</v>
      </c>
      <c r="L158" s="172" t="s">
        <v>446</v>
      </c>
      <c r="M158" s="172" t="s">
        <v>483</v>
      </c>
      <c r="N158" s="174">
        <v>106</v>
      </c>
      <c r="O158" s="146"/>
      <c r="P158" s="146"/>
      <c r="Q158" s="146"/>
      <c r="R158" s="156"/>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row>
    <row r="159" spans="1:44" ht="12.6">
      <c r="A159" s="167"/>
      <c r="B159" s="185"/>
      <c r="C159" s="172" t="s">
        <v>501</v>
      </c>
      <c r="D159" s="172" t="s">
        <v>456</v>
      </c>
      <c r="E159" s="172" t="s">
        <v>445</v>
      </c>
      <c r="F159" s="172" t="s">
        <v>465</v>
      </c>
      <c r="G159" s="172" t="s">
        <v>464</v>
      </c>
      <c r="H159" s="172" t="s">
        <v>465</v>
      </c>
      <c r="I159" s="172" t="s">
        <v>469</v>
      </c>
      <c r="J159" s="172" t="s">
        <v>324</v>
      </c>
      <c r="K159" s="173">
        <v>81</v>
      </c>
      <c r="L159" s="172" t="s">
        <v>446</v>
      </c>
      <c r="M159" s="172" t="s">
        <v>483</v>
      </c>
      <c r="N159" s="174">
        <v>31</v>
      </c>
      <c r="O159" s="146"/>
      <c r="P159" s="146"/>
      <c r="Q159" s="146"/>
      <c r="R159" s="156"/>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row>
    <row r="160" spans="1:44" ht="12.6">
      <c r="A160" s="167"/>
      <c r="B160" s="171" t="s">
        <v>257</v>
      </c>
      <c r="C160" s="172" t="s">
        <v>468</v>
      </c>
      <c r="D160" s="172" t="s">
        <v>438</v>
      </c>
      <c r="E160" s="172" t="s">
        <v>441</v>
      </c>
      <c r="F160" s="172" t="s">
        <v>465</v>
      </c>
      <c r="G160" s="172" t="s">
        <v>464</v>
      </c>
      <c r="H160" s="172" t="s">
        <v>465</v>
      </c>
      <c r="I160" s="172" t="s">
        <v>466</v>
      </c>
      <c r="J160" s="172" t="s">
        <v>188</v>
      </c>
      <c r="K160" s="173">
        <v>83</v>
      </c>
      <c r="L160" s="172" t="s">
        <v>446</v>
      </c>
      <c r="M160" s="172" t="s">
        <v>483</v>
      </c>
      <c r="N160" s="174">
        <v>150</v>
      </c>
      <c r="O160" s="146"/>
      <c r="P160" s="146"/>
      <c r="Q160" s="146"/>
      <c r="R160" s="156"/>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row>
    <row r="161" spans="1:44" ht="12.6">
      <c r="A161" s="167"/>
      <c r="B161" s="171" t="s">
        <v>260</v>
      </c>
      <c r="C161" s="172" t="s">
        <v>502</v>
      </c>
      <c r="D161" s="172" t="s">
        <v>438</v>
      </c>
      <c r="E161" s="172" t="s">
        <v>441</v>
      </c>
      <c r="F161" s="172" t="s">
        <v>465</v>
      </c>
      <c r="G161" s="172" t="s">
        <v>464</v>
      </c>
      <c r="H161" s="172" t="s">
        <v>465</v>
      </c>
      <c r="I161" s="172" t="s">
        <v>466</v>
      </c>
      <c r="J161" s="172" t="s">
        <v>188</v>
      </c>
      <c r="K161" s="173" t="s">
        <v>469</v>
      </c>
      <c r="L161" s="172" t="s">
        <v>446</v>
      </c>
      <c r="M161" s="172" t="s">
        <v>467</v>
      </c>
      <c r="N161" s="174">
        <v>78</v>
      </c>
      <c r="O161" s="146"/>
      <c r="P161" s="146"/>
      <c r="Q161" s="146"/>
      <c r="R161" s="156"/>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row>
    <row r="162" spans="1:44" ht="12.6">
      <c r="A162" s="167"/>
      <c r="B162" s="168" t="s">
        <v>345</v>
      </c>
      <c r="C162" s="169" t="s">
        <v>484</v>
      </c>
      <c r="D162" s="169" t="s">
        <v>454</v>
      </c>
      <c r="E162" s="169" t="s">
        <v>142</v>
      </c>
      <c r="F162" s="169" t="s">
        <v>465</v>
      </c>
      <c r="G162" s="169" t="s">
        <v>464</v>
      </c>
      <c r="H162" s="169" t="s">
        <v>465</v>
      </c>
      <c r="I162" s="169" t="s">
        <v>498</v>
      </c>
      <c r="J162" s="169" t="s">
        <v>188</v>
      </c>
      <c r="K162" s="170">
        <v>86</v>
      </c>
      <c r="L162" s="169" t="s">
        <v>446</v>
      </c>
      <c r="M162" s="169" t="s">
        <v>467</v>
      </c>
      <c r="N162" s="169">
        <v>46</v>
      </c>
      <c r="O162" s="146"/>
      <c r="P162" s="146"/>
      <c r="Q162" s="146"/>
      <c r="R162" s="156"/>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row>
    <row r="163" spans="1:44" ht="12.6">
      <c r="A163" s="167"/>
      <c r="B163" s="184" t="s">
        <v>262</v>
      </c>
      <c r="C163" s="172" t="s">
        <v>503</v>
      </c>
      <c r="D163" s="172" t="s">
        <v>438</v>
      </c>
      <c r="E163" s="172" t="s">
        <v>453</v>
      </c>
      <c r="F163" s="172" t="s">
        <v>464</v>
      </c>
      <c r="G163" s="172" t="s">
        <v>464</v>
      </c>
      <c r="H163" s="172" t="s">
        <v>465</v>
      </c>
      <c r="I163" s="172" t="s">
        <v>498</v>
      </c>
      <c r="J163" s="172" t="s">
        <v>188</v>
      </c>
      <c r="K163" s="173">
        <v>83</v>
      </c>
      <c r="L163" s="172" t="s">
        <v>446</v>
      </c>
      <c r="M163" s="172" t="s">
        <v>483</v>
      </c>
      <c r="N163" s="174">
        <v>40</v>
      </c>
      <c r="O163" s="146"/>
      <c r="P163" s="146"/>
      <c r="Q163" s="146"/>
      <c r="R163" s="156"/>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row>
    <row r="164" spans="1:44" ht="12.6">
      <c r="A164" s="167"/>
      <c r="B164" s="185"/>
      <c r="C164" s="172" t="s">
        <v>503</v>
      </c>
      <c r="D164" s="172" t="s">
        <v>438</v>
      </c>
      <c r="E164" s="172" t="s">
        <v>453</v>
      </c>
      <c r="F164" s="172" t="s">
        <v>464</v>
      </c>
      <c r="G164" s="172" t="s">
        <v>464</v>
      </c>
      <c r="H164" s="172" t="s">
        <v>465</v>
      </c>
      <c r="I164" s="172" t="s">
        <v>498</v>
      </c>
      <c r="J164" s="172" t="s">
        <v>188</v>
      </c>
      <c r="K164" s="173">
        <v>77</v>
      </c>
      <c r="L164" s="172" t="s">
        <v>442</v>
      </c>
      <c r="M164" s="172" t="s">
        <v>483</v>
      </c>
      <c r="N164" s="174">
        <v>40</v>
      </c>
      <c r="O164" s="146"/>
      <c r="P164" s="146"/>
      <c r="Q164" s="146"/>
      <c r="R164" s="156"/>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row>
    <row r="165" spans="1:44" ht="12.6">
      <c r="A165" s="167"/>
      <c r="B165" s="186" t="s">
        <v>339</v>
      </c>
      <c r="C165" s="169" t="s">
        <v>493</v>
      </c>
      <c r="D165" s="169" t="s">
        <v>440</v>
      </c>
      <c r="E165" s="169" t="s">
        <v>142</v>
      </c>
      <c r="F165" s="169" t="s">
        <v>464</v>
      </c>
      <c r="G165" s="169" t="s">
        <v>464</v>
      </c>
      <c r="H165" s="169" t="s">
        <v>465</v>
      </c>
      <c r="I165" s="169" t="s">
        <v>466</v>
      </c>
      <c r="J165" s="169" t="s">
        <v>188</v>
      </c>
      <c r="K165" s="170">
        <v>94</v>
      </c>
      <c r="L165" s="169" t="s">
        <v>446</v>
      </c>
      <c r="M165" s="169" t="s">
        <v>467</v>
      </c>
      <c r="N165" s="169">
        <v>15</v>
      </c>
      <c r="O165" s="146"/>
      <c r="P165" s="146"/>
      <c r="Q165" s="146"/>
      <c r="R165" s="156"/>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row>
    <row r="166" spans="1:44" ht="12.6">
      <c r="A166" s="167"/>
      <c r="B166" s="185"/>
      <c r="C166" s="169" t="s">
        <v>493</v>
      </c>
      <c r="D166" s="169" t="s">
        <v>440</v>
      </c>
      <c r="E166" s="169" t="s">
        <v>142</v>
      </c>
      <c r="F166" s="169" t="s">
        <v>464</v>
      </c>
      <c r="G166" s="169" t="s">
        <v>464</v>
      </c>
      <c r="H166" s="169" t="s">
        <v>465</v>
      </c>
      <c r="I166" s="169" t="s">
        <v>466</v>
      </c>
      <c r="J166" s="169" t="s">
        <v>188</v>
      </c>
      <c r="K166" s="170">
        <v>94</v>
      </c>
      <c r="L166" s="169" t="s">
        <v>442</v>
      </c>
      <c r="M166" s="169" t="s">
        <v>467</v>
      </c>
      <c r="N166" s="169">
        <v>15</v>
      </c>
      <c r="O166" s="146"/>
      <c r="P166" s="146"/>
      <c r="Q166" s="146"/>
      <c r="R166" s="156"/>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row>
    <row r="167" spans="1:44" ht="12.6">
      <c r="A167" s="167"/>
      <c r="B167" s="186" t="s">
        <v>375</v>
      </c>
      <c r="C167" s="169" t="s">
        <v>504</v>
      </c>
      <c r="D167" s="169" t="s">
        <v>454</v>
      </c>
      <c r="E167" s="169" t="s">
        <v>142</v>
      </c>
      <c r="F167" s="169" t="s">
        <v>464</v>
      </c>
      <c r="G167" s="169" t="s">
        <v>464</v>
      </c>
      <c r="H167" s="169" t="s">
        <v>465</v>
      </c>
      <c r="I167" s="169" t="s">
        <v>466</v>
      </c>
      <c r="J167" s="169" t="s">
        <v>188</v>
      </c>
      <c r="K167" s="170">
        <v>90</v>
      </c>
      <c r="L167" s="169" t="s">
        <v>446</v>
      </c>
      <c r="M167" s="169" t="s">
        <v>467</v>
      </c>
      <c r="N167" s="169">
        <v>39</v>
      </c>
      <c r="O167" s="146"/>
      <c r="P167" s="146"/>
      <c r="Q167" s="146"/>
      <c r="R167" s="156"/>
      <c r="S167" s="146"/>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row>
    <row r="168" spans="1:44" ht="12.6">
      <c r="A168" s="167"/>
      <c r="B168" s="185"/>
      <c r="C168" s="169" t="s">
        <v>504</v>
      </c>
      <c r="D168" s="169" t="s">
        <v>454</v>
      </c>
      <c r="E168" s="169" t="s">
        <v>142</v>
      </c>
      <c r="F168" s="169" t="s">
        <v>464</v>
      </c>
      <c r="G168" s="169" t="s">
        <v>465</v>
      </c>
      <c r="H168" s="169" t="s">
        <v>465</v>
      </c>
      <c r="I168" s="169" t="s">
        <v>466</v>
      </c>
      <c r="J168" s="169" t="s">
        <v>188</v>
      </c>
      <c r="K168" s="170">
        <v>90</v>
      </c>
      <c r="L168" s="169" t="s">
        <v>446</v>
      </c>
      <c r="M168" s="169" t="s">
        <v>467</v>
      </c>
      <c r="N168" s="169">
        <v>31</v>
      </c>
      <c r="O168" s="146"/>
      <c r="P168" s="146"/>
      <c r="Q168" s="146"/>
      <c r="R168" s="156"/>
      <c r="S168" s="146"/>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row>
    <row r="169" spans="1:44" ht="12.6">
      <c r="A169" s="167"/>
      <c r="B169" s="184" t="s">
        <v>264</v>
      </c>
      <c r="C169" s="172" t="s">
        <v>482</v>
      </c>
      <c r="D169" s="172" t="s">
        <v>440</v>
      </c>
      <c r="E169" s="172" t="s">
        <v>441</v>
      </c>
      <c r="F169" s="172" t="s">
        <v>464</v>
      </c>
      <c r="G169" s="172" t="s">
        <v>465</v>
      </c>
      <c r="H169" s="172" t="s">
        <v>465</v>
      </c>
      <c r="I169" s="172" t="s">
        <v>466</v>
      </c>
      <c r="J169" s="172" t="s">
        <v>188</v>
      </c>
      <c r="K169" s="173">
        <v>83</v>
      </c>
      <c r="L169" s="172" t="s">
        <v>446</v>
      </c>
      <c r="M169" s="172" t="s">
        <v>467</v>
      </c>
      <c r="N169" s="174">
        <v>24</v>
      </c>
      <c r="O169" s="146"/>
      <c r="P169" s="146"/>
      <c r="Q169" s="146"/>
      <c r="R169" s="156"/>
      <c r="S169" s="146"/>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row>
    <row r="170" spans="1:44" ht="12.6">
      <c r="A170" s="167"/>
      <c r="B170" s="185"/>
      <c r="C170" s="172" t="s">
        <v>482</v>
      </c>
      <c r="D170" s="172" t="s">
        <v>440</v>
      </c>
      <c r="E170" s="172" t="s">
        <v>441</v>
      </c>
      <c r="F170" s="172" t="s">
        <v>464</v>
      </c>
      <c r="G170" s="172" t="s">
        <v>464</v>
      </c>
      <c r="H170" s="172" t="s">
        <v>465</v>
      </c>
      <c r="I170" s="172" t="s">
        <v>466</v>
      </c>
      <c r="J170" s="172" t="s">
        <v>188</v>
      </c>
      <c r="K170" s="173">
        <v>83</v>
      </c>
      <c r="L170" s="172" t="s">
        <v>446</v>
      </c>
      <c r="M170" s="172" t="s">
        <v>467</v>
      </c>
      <c r="N170" s="174">
        <v>61</v>
      </c>
      <c r="O170" s="146"/>
      <c r="P170" s="146"/>
      <c r="Q170" s="146"/>
      <c r="R170" s="156"/>
      <c r="S170" s="146"/>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row>
    <row r="171" spans="1:44" ht="12.6">
      <c r="A171" s="167"/>
      <c r="B171" s="185"/>
      <c r="C171" s="172" t="s">
        <v>482</v>
      </c>
      <c r="D171" s="172" t="s">
        <v>440</v>
      </c>
      <c r="E171" s="172" t="s">
        <v>441</v>
      </c>
      <c r="F171" s="172" t="s">
        <v>464</v>
      </c>
      <c r="G171" s="172" t="s">
        <v>465</v>
      </c>
      <c r="H171" s="172" t="s">
        <v>465</v>
      </c>
      <c r="I171" s="172" t="s">
        <v>466</v>
      </c>
      <c r="J171" s="172" t="s">
        <v>188</v>
      </c>
      <c r="K171" s="173">
        <v>83</v>
      </c>
      <c r="L171" s="172" t="s">
        <v>446</v>
      </c>
      <c r="M171" s="172" t="s">
        <v>467</v>
      </c>
      <c r="N171" s="174">
        <v>22</v>
      </c>
      <c r="O171" s="146"/>
      <c r="P171" s="146"/>
      <c r="Q171" s="146"/>
      <c r="R171" s="156"/>
      <c r="S171" s="146"/>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row>
    <row r="172" spans="1:44" ht="12.6">
      <c r="A172" s="167"/>
      <c r="B172" s="186" t="s">
        <v>341</v>
      </c>
      <c r="C172" s="169" t="s">
        <v>505</v>
      </c>
      <c r="D172" s="169" t="s">
        <v>438</v>
      </c>
      <c r="E172" s="169" t="s">
        <v>441</v>
      </c>
      <c r="F172" s="169" t="s">
        <v>464</v>
      </c>
      <c r="G172" s="169" t="s">
        <v>464</v>
      </c>
      <c r="H172" s="169" t="s">
        <v>465</v>
      </c>
      <c r="I172" s="169" t="s">
        <v>469</v>
      </c>
      <c r="J172" s="169" t="s">
        <v>291</v>
      </c>
      <c r="K172" s="170">
        <v>88</v>
      </c>
      <c r="L172" s="169" t="s">
        <v>446</v>
      </c>
      <c r="M172" s="169" t="s">
        <v>483</v>
      </c>
      <c r="N172" s="169">
        <v>164</v>
      </c>
      <c r="O172" s="146"/>
      <c r="P172" s="146"/>
      <c r="Q172" s="146"/>
      <c r="R172" s="156"/>
      <c r="S172" s="146"/>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row>
    <row r="173" spans="1:44" ht="12.6">
      <c r="A173" s="167"/>
      <c r="B173" s="185"/>
      <c r="C173" s="169" t="s">
        <v>506</v>
      </c>
      <c r="D173" s="169" t="s">
        <v>438</v>
      </c>
      <c r="E173" s="169" t="s">
        <v>441</v>
      </c>
      <c r="F173" s="169" t="s">
        <v>464</v>
      </c>
      <c r="G173" s="169" t="s">
        <v>464</v>
      </c>
      <c r="H173" s="169" t="s">
        <v>465</v>
      </c>
      <c r="I173" s="169" t="s">
        <v>469</v>
      </c>
      <c r="J173" s="169" t="s">
        <v>291</v>
      </c>
      <c r="K173" s="170">
        <v>87</v>
      </c>
      <c r="L173" s="169" t="s">
        <v>446</v>
      </c>
      <c r="M173" s="169" t="s">
        <v>483</v>
      </c>
      <c r="N173" s="169">
        <v>128</v>
      </c>
      <c r="O173" s="146"/>
      <c r="P173" s="146"/>
      <c r="Q173" s="146"/>
      <c r="R173" s="156"/>
      <c r="S173" s="146"/>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row>
    <row r="174" spans="1:44" ht="22.8">
      <c r="A174" s="167"/>
      <c r="B174" s="171" t="s">
        <v>268</v>
      </c>
      <c r="C174" s="172" t="s">
        <v>507</v>
      </c>
      <c r="D174" s="172" t="s">
        <v>438</v>
      </c>
      <c r="E174" s="172" t="s">
        <v>441</v>
      </c>
      <c r="F174" s="172" t="s">
        <v>465</v>
      </c>
      <c r="G174" s="172" t="s">
        <v>464</v>
      </c>
      <c r="H174" s="172" t="s">
        <v>464</v>
      </c>
      <c r="I174" s="172" t="s">
        <v>476</v>
      </c>
      <c r="J174" s="172" t="s">
        <v>188</v>
      </c>
      <c r="K174" s="173">
        <v>80</v>
      </c>
      <c r="L174" s="172" t="s">
        <v>446</v>
      </c>
      <c r="M174" s="172" t="s">
        <v>483</v>
      </c>
      <c r="N174" s="174">
        <v>86</v>
      </c>
      <c r="O174" s="146"/>
      <c r="P174" s="146"/>
      <c r="Q174" s="146"/>
      <c r="R174" s="156"/>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row>
    <row r="175" spans="1:44" ht="12.6">
      <c r="A175" s="167"/>
      <c r="B175" s="171" t="s">
        <v>271</v>
      </c>
      <c r="C175" s="172" t="s">
        <v>508</v>
      </c>
      <c r="D175" s="172" t="s">
        <v>456</v>
      </c>
      <c r="E175" s="172" t="s">
        <v>445</v>
      </c>
      <c r="F175" s="172" t="s">
        <v>464</v>
      </c>
      <c r="G175" s="172" t="s">
        <v>464</v>
      </c>
      <c r="H175" s="172" t="s">
        <v>465</v>
      </c>
      <c r="I175" s="172" t="s">
        <v>466</v>
      </c>
      <c r="J175" s="172" t="s">
        <v>200</v>
      </c>
      <c r="K175" s="173">
        <v>90</v>
      </c>
      <c r="L175" s="172" t="s">
        <v>446</v>
      </c>
      <c r="M175" s="172" t="s">
        <v>483</v>
      </c>
      <c r="N175" s="174">
        <v>120</v>
      </c>
      <c r="O175" s="146"/>
      <c r="P175" s="146"/>
      <c r="Q175" s="146"/>
      <c r="R175" s="156"/>
      <c r="S175" s="146"/>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row>
    <row r="176" spans="1:44" ht="12.6">
      <c r="A176" s="167"/>
      <c r="B176" s="171" t="s">
        <v>325</v>
      </c>
      <c r="C176" s="172" t="s">
        <v>509</v>
      </c>
      <c r="D176" s="172" t="s">
        <v>440</v>
      </c>
      <c r="E176" s="172" t="s">
        <v>142</v>
      </c>
      <c r="F176" s="172" t="s">
        <v>464</v>
      </c>
      <c r="G176" s="172" t="s">
        <v>464</v>
      </c>
      <c r="H176" s="172" t="s">
        <v>464</v>
      </c>
      <c r="I176" s="172" t="s">
        <v>469</v>
      </c>
      <c r="J176" s="172" t="s">
        <v>297</v>
      </c>
      <c r="K176" s="173" t="s">
        <v>469</v>
      </c>
      <c r="L176" s="172" t="s">
        <v>446</v>
      </c>
      <c r="M176" s="176">
        <v>3</v>
      </c>
      <c r="N176" s="174">
        <v>7</v>
      </c>
      <c r="O176" s="146"/>
      <c r="P176" s="146"/>
      <c r="Q176" s="146"/>
      <c r="R176" s="156"/>
      <c r="S176" s="146"/>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row>
    <row r="177" spans="1:44" ht="12.6">
      <c r="A177" s="167"/>
      <c r="B177" s="171" t="s">
        <v>274</v>
      </c>
      <c r="C177" s="172" t="s">
        <v>510</v>
      </c>
      <c r="D177" s="172" t="s">
        <v>440</v>
      </c>
      <c r="E177" s="172" t="s">
        <v>441</v>
      </c>
      <c r="F177" s="172" t="s">
        <v>464</v>
      </c>
      <c r="G177" s="172" t="s">
        <v>464</v>
      </c>
      <c r="H177" s="172" t="s">
        <v>465</v>
      </c>
      <c r="I177" s="172" t="s">
        <v>466</v>
      </c>
      <c r="J177" s="172" t="s">
        <v>188</v>
      </c>
      <c r="K177" s="173">
        <v>79</v>
      </c>
      <c r="L177" s="172" t="s">
        <v>446</v>
      </c>
      <c r="M177" s="172" t="s">
        <v>483</v>
      </c>
      <c r="N177" s="174">
        <v>1060</v>
      </c>
      <c r="O177" s="146"/>
      <c r="P177" s="146"/>
      <c r="Q177" s="146"/>
      <c r="R177" s="156"/>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row>
    <row r="178" spans="1:44" ht="12.3">
      <c r="A178" s="157"/>
      <c r="B178" s="184" t="s">
        <v>332</v>
      </c>
      <c r="C178" s="172" t="s">
        <v>493</v>
      </c>
      <c r="D178" s="172" t="s">
        <v>440</v>
      </c>
      <c r="E178" s="172" t="s">
        <v>142</v>
      </c>
      <c r="F178" s="172" t="s">
        <v>464</v>
      </c>
      <c r="G178" s="172" t="s">
        <v>464</v>
      </c>
      <c r="H178" s="172" t="s">
        <v>465</v>
      </c>
      <c r="I178" s="172" t="s">
        <v>466</v>
      </c>
      <c r="J178" s="172" t="s">
        <v>188</v>
      </c>
      <c r="K178" s="173">
        <v>95</v>
      </c>
      <c r="L178" s="172" t="s">
        <v>446</v>
      </c>
      <c r="M178" s="172" t="s">
        <v>472</v>
      </c>
      <c r="N178" s="174">
        <v>59</v>
      </c>
      <c r="O178" s="146"/>
      <c r="P178" s="146"/>
      <c r="Q178" s="146"/>
      <c r="R178" s="156"/>
      <c r="S178" s="146"/>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row>
    <row r="179" spans="1:44" ht="12.3">
      <c r="A179" s="157"/>
      <c r="B179" s="185"/>
      <c r="C179" s="172" t="s">
        <v>493</v>
      </c>
      <c r="D179" s="172" t="s">
        <v>440</v>
      </c>
      <c r="E179" s="172" t="s">
        <v>142</v>
      </c>
      <c r="F179" s="172" t="s">
        <v>464</v>
      </c>
      <c r="G179" s="172" t="s">
        <v>464</v>
      </c>
      <c r="H179" s="172" t="s">
        <v>465</v>
      </c>
      <c r="I179" s="172" t="s">
        <v>466</v>
      </c>
      <c r="J179" s="172" t="s">
        <v>188</v>
      </c>
      <c r="K179" s="173">
        <v>95</v>
      </c>
      <c r="L179" s="172" t="s">
        <v>442</v>
      </c>
      <c r="M179" s="172" t="s">
        <v>472</v>
      </c>
      <c r="N179" s="174">
        <v>53</v>
      </c>
      <c r="O179" s="146"/>
      <c r="P179" s="146"/>
      <c r="Q179" s="146"/>
      <c r="R179" s="156"/>
      <c r="S179" s="146"/>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row>
    <row r="180" spans="1:44" ht="12.3">
      <c r="A180" s="157"/>
      <c r="B180" s="184" t="s">
        <v>276</v>
      </c>
      <c r="C180" s="172" t="s">
        <v>511</v>
      </c>
      <c r="D180" s="172" t="s">
        <v>440</v>
      </c>
      <c r="E180" s="172" t="s">
        <v>142</v>
      </c>
      <c r="F180" s="172" t="s">
        <v>464</v>
      </c>
      <c r="G180" s="172" t="s">
        <v>464</v>
      </c>
      <c r="H180" s="172" t="s">
        <v>465</v>
      </c>
      <c r="I180" s="172" t="s">
        <v>498</v>
      </c>
      <c r="J180" s="172" t="s">
        <v>247</v>
      </c>
      <c r="K180" s="173">
        <v>94</v>
      </c>
      <c r="L180" s="172" t="s">
        <v>446</v>
      </c>
      <c r="M180" s="172" t="s">
        <v>483</v>
      </c>
      <c r="N180" s="174">
        <v>75</v>
      </c>
      <c r="O180" s="146"/>
      <c r="P180" s="146"/>
      <c r="Q180" s="146"/>
      <c r="R180" s="156"/>
      <c r="S180" s="146"/>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row>
    <row r="181" spans="1:44" ht="12.3">
      <c r="A181" s="157"/>
      <c r="B181" s="185"/>
      <c r="C181" s="172" t="s">
        <v>511</v>
      </c>
      <c r="D181" s="172" t="s">
        <v>440</v>
      </c>
      <c r="E181" s="172" t="s">
        <v>458</v>
      </c>
      <c r="F181" s="172" t="s">
        <v>464</v>
      </c>
      <c r="G181" s="172" t="s">
        <v>464</v>
      </c>
      <c r="H181" s="172" t="s">
        <v>465</v>
      </c>
      <c r="I181" s="172" t="s">
        <v>466</v>
      </c>
      <c r="J181" s="172" t="s">
        <v>247</v>
      </c>
      <c r="K181" s="173">
        <v>94</v>
      </c>
      <c r="L181" s="172" t="s">
        <v>446</v>
      </c>
      <c r="M181" s="172" t="s">
        <v>483</v>
      </c>
      <c r="N181" s="174">
        <v>75</v>
      </c>
      <c r="O181" s="146"/>
      <c r="P181" s="146"/>
      <c r="Q181" s="146"/>
      <c r="R181" s="156"/>
      <c r="S181" s="146"/>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row>
    <row r="182" spans="1:44" ht="12.3">
      <c r="A182" s="157"/>
      <c r="B182" s="185"/>
      <c r="C182" s="172" t="s">
        <v>511</v>
      </c>
      <c r="D182" s="172" t="s">
        <v>440</v>
      </c>
      <c r="E182" s="172" t="s">
        <v>459</v>
      </c>
      <c r="F182" s="172" t="s">
        <v>464</v>
      </c>
      <c r="G182" s="172" t="s">
        <v>464</v>
      </c>
      <c r="H182" s="172" t="s">
        <v>465</v>
      </c>
      <c r="I182" s="172" t="s">
        <v>466</v>
      </c>
      <c r="J182" s="172" t="s">
        <v>247</v>
      </c>
      <c r="K182" s="173">
        <v>94</v>
      </c>
      <c r="L182" s="172" t="s">
        <v>446</v>
      </c>
      <c r="M182" s="172" t="s">
        <v>483</v>
      </c>
      <c r="N182" s="174">
        <v>75</v>
      </c>
      <c r="O182" s="146"/>
      <c r="P182" s="146"/>
      <c r="Q182" s="146"/>
      <c r="R182" s="156"/>
      <c r="S182" s="146"/>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row>
    <row r="183" spans="1:44" ht="12.3">
      <c r="A183" s="157"/>
      <c r="B183" s="185"/>
      <c r="C183" s="172" t="s">
        <v>511</v>
      </c>
      <c r="D183" s="172" t="s">
        <v>440</v>
      </c>
      <c r="E183" s="172" t="s">
        <v>453</v>
      </c>
      <c r="F183" s="172" t="s">
        <v>464</v>
      </c>
      <c r="G183" s="172" t="s">
        <v>464</v>
      </c>
      <c r="H183" s="172" t="s">
        <v>465</v>
      </c>
      <c r="I183" s="172" t="s">
        <v>466</v>
      </c>
      <c r="J183" s="172" t="s">
        <v>247</v>
      </c>
      <c r="K183" s="173">
        <v>94</v>
      </c>
      <c r="L183" s="172" t="s">
        <v>446</v>
      </c>
      <c r="M183" s="172" t="s">
        <v>483</v>
      </c>
      <c r="N183" s="174">
        <v>75</v>
      </c>
      <c r="O183" s="146"/>
      <c r="P183" s="146"/>
      <c r="Q183" s="146"/>
      <c r="R183" s="156"/>
      <c r="S183" s="146"/>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row>
    <row r="184" spans="1:44" ht="12.3">
      <c r="A184" s="157"/>
      <c r="B184" s="185"/>
      <c r="C184" s="172" t="s">
        <v>511</v>
      </c>
      <c r="D184" s="172" t="s">
        <v>440</v>
      </c>
      <c r="E184" s="172" t="s">
        <v>460</v>
      </c>
      <c r="F184" s="172" t="s">
        <v>464</v>
      </c>
      <c r="G184" s="172" t="s">
        <v>464</v>
      </c>
      <c r="H184" s="172" t="s">
        <v>465</v>
      </c>
      <c r="I184" s="172" t="s">
        <v>466</v>
      </c>
      <c r="J184" s="172" t="s">
        <v>247</v>
      </c>
      <c r="K184" s="173">
        <v>94</v>
      </c>
      <c r="L184" s="172" t="s">
        <v>446</v>
      </c>
      <c r="M184" s="172" t="s">
        <v>483</v>
      </c>
      <c r="N184" s="174">
        <v>75</v>
      </c>
      <c r="O184" s="146"/>
      <c r="P184" s="146"/>
      <c r="Q184" s="146"/>
      <c r="R184" s="156"/>
      <c r="S184" s="146"/>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row>
    <row r="185" spans="1:44" ht="12.3">
      <c r="A185" s="157"/>
      <c r="B185" s="185"/>
      <c r="C185" s="172" t="s">
        <v>511</v>
      </c>
      <c r="D185" s="172" t="s">
        <v>440</v>
      </c>
      <c r="E185" s="172" t="s">
        <v>441</v>
      </c>
      <c r="F185" s="172" t="s">
        <v>464</v>
      </c>
      <c r="G185" s="172" t="s">
        <v>464</v>
      </c>
      <c r="H185" s="172" t="s">
        <v>465</v>
      </c>
      <c r="I185" s="172" t="s">
        <v>466</v>
      </c>
      <c r="J185" s="172" t="s">
        <v>247</v>
      </c>
      <c r="K185" s="173">
        <v>94</v>
      </c>
      <c r="L185" s="172" t="s">
        <v>446</v>
      </c>
      <c r="M185" s="172" t="s">
        <v>483</v>
      </c>
      <c r="N185" s="174">
        <v>75</v>
      </c>
      <c r="O185" s="146"/>
      <c r="P185" s="146"/>
      <c r="Q185" s="146"/>
      <c r="R185" s="156"/>
      <c r="S185" s="146"/>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row>
    <row r="186" spans="1:44" ht="12.3">
      <c r="A186" s="157"/>
      <c r="B186" s="186" t="s">
        <v>369</v>
      </c>
      <c r="C186" s="169" t="s">
        <v>484</v>
      </c>
      <c r="D186" s="169" t="s">
        <v>454</v>
      </c>
      <c r="E186" s="169" t="s">
        <v>142</v>
      </c>
      <c r="F186" s="169" t="s">
        <v>464</v>
      </c>
      <c r="G186" s="169" t="s">
        <v>464</v>
      </c>
      <c r="H186" s="169" t="s">
        <v>465</v>
      </c>
      <c r="I186" s="169" t="s">
        <v>466</v>
      </c>
      <c r="J186" s="169" t="s">
        <v>188</v>
      </c>
      <c r="K186" s="170">
        <v>90</v>
      </c>
      <c r="L186" s="169" t="s">
        <v>439</v>
      </c>
      <c r="M186" s="169" t="s">
        <v>472</v>
      </c>
      <c r="N186" s="169">
        <v>17</v>
      </c>
      <c r="O186" s="146"/>
      <c r="P186" s="146"/>
      <c r="Q186" s="146"/>
      <c r="R186" s="156"/>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row>
    <row r="187" spans="1:44" ht="12.3">
      <c r="A187" s="157"/>
      <c r="B187" s="185"/>
      <c r="C187" s="169" t="s">
        <v>484</v>
      </c>
      <c r="D187" s="169" t="s">
        <v>454</v>
      </c>
      <c r="E187" s="169" t="s">
        <v>142</v>
      </c>
      <c r="F187" s="169" t="s">
        <v>464</v>
      </c>
      <c r="G187" s="169" t="s">
        <v>464</v>
      </c>
      <c r="H187" s="169" t="s">
        <v>465</v>
      </c>
      <c r="I187" s="169" t="s">
        <v>466</v>
      </c>
      <c r="J187" s="169" t="s">
        <v>188</v>
      </c>
      <c r="K187" s="170">
        <v>91</v>
      </c>
      <c r="L187" s="169" t="s">
        <v>439</v>
      </c>
      <c r="M187" s="169" t="s">
        <v>472</v>
      </c>
      <c r="N187" s="169">
        <v>23</v>
      </c>
      <c r="O187" s="146"/>
      <c r="P187" s="146"/>
      <c r="Q187" s="146"/>
      <c r="R187" s="156"/>
      <c r="S187" s="146"/>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row>
    <row r="188" spans="1:44" ht="12.3">
      <c r="A188" s="157"/>
      <c r="B188" s="185"/>
      <c r="C188" s="169" t="s">
        <v>484</v>
      </c>
      <c r="D188" s="169" t="s">
        <v>454</v>
      </c>
      <c r="E188" s="169" t="s">
        <v>142</v>
      </c>
      <c r="F188" s="169" t="s">
        <v>465</v>
      </c>
      <c r="G188" s="169" t="s">
        <v>464</v>
      </c>
      <c r="H188" s="169" t="s">
        <v>465</v>
      </c>
      <c r="I188" s="169" t="s">
        <v>466</v>
      </c>
      <c r="J188" s="169" t="s">
        <v>188</v>
      </c>
      <c r="K188" s="170">
        <v>90</v>
      </c>
      <c r="L188" s="169" t="s">
        <v>439</v>
      </c>
      <c r="M188" s="169" t="s">
        <v>472</v>
      </c>
      <c r="N188" s="169">
        <v>12</v>
      </c>
      <c r="O188" s="146"/>
      <c r="P188" s="146"/>
      <c r="Q188" s="146"/>
      <c r="R188" s="156"/>
      <c r="S188" s="146"/>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row>
    <row r="189" spans="1:44" ht="12.3">
      <c r="A189" s="157"/>
      <c r="B189" s="185"/>
      <c r="C189" s="169" t="s">
        <v>484</v>
      </c>
      <c r="D189" s="169" t="s">
        <v>454</v>
      </c>
      <c r="E189" s="169" t="s">
        <v>142</v>
      </c>
      <c r="F189" s="169" t="s">
        <v>465</v>
      </c>
      <c r="G189" s="169" t="s">
        <v>464</v>
      </c>
      <c r="H189" s="169" t="s">
        <v>465</v>
      </c>
      <c r="I189" s="169" t="s">
        <v>466</v>
      </c>
      <c r="J189" s="169" t="s">
        <v>188</v>
      </c>
      <c r="K189" s="170">
        <v>91</v>
      </c>
      <c r="L189" s="169" t="s">
        <v>439</v>
      </c>
      <c r="M189" s="169" t="s">
        <v>472</v>
      </c>
      <c r="N189" s="169">
        <v>19</v>
      </c>
      <c r="O189" s="146"/>
      <c r="P189" s="146"/>
      <c r="Q189" s="146"/>
      <c r="R189" s="156"/>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row>
    <row r="190" spans="1:44" ht="12.3">
      <c r="A190" s="157"/>
      <c r="B190" s="171" t="s">
        <v>287</v>
      </c>
      <c r="C190" s="172" t="s">
        <v>512</v>
      </c>
      <c r="D190" s="172" t="s">
        <v>440</v>
      </c>
      <c r="E190" s="172" t="s">
        <v>441</v>
      </c>
      <c r="F190" s="172" t="s">
        <v>465</v>
      </c>
      <c r="G190" s="172" t="s">
        <v>464</v>
      </c>
      <c r="H190" s="172" t="s">
        <v>465</v>
      </c>
      <c r="I190" s="172" t="s">
        <v>466</v>
      </c>
      <c r="J190" s="172" t="s">
        <v>188</v>
      </c>
      <c r="K190" s="173">
        <v>90</v>
      </c>
      <c r="L190" s="172" t="s">
        <v>446</v>
      </c>
      <c r="M190" s="172" t="s">
        <v>483</v>
      </c>
      <c r="N190" s="174">
        <v>601</v>
      </c>
      <c r="O190" s="146"/>
      <c r="P190" s="146"/>
      <c r="Q190" s="146"/>
      <c r="R190" s="156"/>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row>
    <row r="191" spans="1:44" ht="12.3">
      <c r="A191" s="157"/>
      <c r="B191" s="184" t="s">
        <v>289</v>
      </c>
      <c r="C191" s="172" t="s">
        <v>502</v>
      </c>
      <c r="D191" s="172" t="s">
        <v>438</v>
      </c>
      <c r="E191" s="172" t="s">
        <v>441</v>
      </c>
      <c r="F191" s="172" t="s">
        <v>464</v>
      </c>
      <c r="G191" s="172" t="s">
        <v>464</v>
      </c>
      <c r="H191" s="172" t="s">
        <v>464</v>
      </c>
      <c r="I191" s="172" t="s">
        <v>476</v>
      </c>
      <c r="J191" s="172" t="s">
        <v>291</v>
      </c>
      <c r="K191" s="173">
        <v>91</v>
      </c>
      <c r="L191" s="172" t="s">
        <v>446</v>
      </c>
      <c r="M191" s="172" t="s">
        <v>483</v>
      </c>
      <c r="N191" s="174">
        <v>88</v>
      </c>
      <c r="O191" s="146"/>
      <c r="P191" s="146"/>
      <c r="Q191" s="146"/>
      <c r="R191" s="156"/>
      <c r="S191" s="146"/>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row>
    <row r="192" spans="1:44" ht="12.3">
      <c r="A192" s="157"/>
      <c r="B192" s="185"/>
      <c r="C192" s="172" t="s">
        <v>497</v>
      </c>
      <c r="D192" s="172" t="s">
        <v>438</v>
      </c>
      <c r="E192" s="172" t="s">
        <v>441</v>
      </c>
      <c r="F192" s="172" t="s">
        <v>464</v>
      </c>
      <c r="G192" s="172" t="s">
        <v>464</v>
      </c>
      <c r="H192" s="172" t="s">
        <v>464</v>
      </c>
      <c r="I192" s="172" t="s">
        <v>476</v>
      </c>
      <c r="J192" s="172" t="s">
        <v>291</v>
      </c>
      <c r="K192" s="173">
        <v>91</v>
      </c>
      <c r="L192" s="172" t="s">
        <v>442</v>
      </c>
      <c r="M192" s="172" t="s">
        <v>483</v>
      </c>
      <c r="N192" s="174">
        <v>68</v>
      </c>
      <c r="O192" s="146"/>
      <c r="P192" s="146"/>
      <c r="Q192" s="146"/>
      <c r="R192" s="156"/>
      <c r="S192" s="146"/>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row>
    <row r="193" spans="1:44" ht="22.8">
      <c r="A193" s="157"/>
      <c r="B193" s="171" t="s">
        <v>293</v>
      </c>
      <c r="C193" s="172" t="s">
        <v>513</v>
      </c>
      <c r="D193" s="172" t="s">
        <v>447</v>
      </c>
      <c r="E193" s="172" t="s">
        <v>441</v>
      </c>
      <c r="F193" s="172" t="s">
        <v>464</v>
      </c>
      <c r="G193" s="172" t="s">
        <v>464</v>
      </c>
      <c r="H193" s="172" t="s">
        <v>465</v>
      </c>
      <c r="I193" s="172" t="s">
        <v>466</v>
      </c>
      <c r="J193" s="172" t="s">
        <v>291</v>
      </c>
      <c r="K193" s="173">
        <v>88</v>
      </c>
      <c r="L193" s="172" t="s">
        <v>446</v>
      </c>
      <c r="M193" s="172" t="s">
        <v>483</v>
      </c>
      <c r="N193" s="174">
        <v>72</v>
      </c>
      <c r="O193" s="146"/>
      <c r="P193" s="146"/>
      <c r="Q193" s="146"/>
      <c r="R193" s="156"/>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row>
    <row r="194" spans="1:44" ht="12.3">
      <c r="A194" s="157"/>
      <c r="B194" s="186" t="s">
        <v>379</v>
      </c>
      <c r="C194" s="169" t="s">
        <v>482</v>
      </c>
      <c r="D194" s="169" t="s">
        <v>440</v>
      </c>
      <c r="E194" s="169" t="s">
        <v>142</v>
      </c>
      <c r="F194" s="169" t="s">
        <v>464</v>
      </c>
      <c r="G194" s="169" t="s">
        <v>464</v>
      </c>
      <c r="H194" s="169" t="s">
        <v>464</v>
      </c>
      <c r="I194" s="169" t="s">
        <v>469</v>
      </c>
      <c r="J194" s="169" t="s">
        <v>188</v>
      </c>
      <c r="K194" s="170">
        <v>82</v>
      </c>
      <c r="L194" s="169" t="s">
        <v>446</v>
      </c>
      <c r="M194" s="169" t="s">
        <v>467</v>
      </c>
      <c r="N194" s="169">
        <v>44</v>
      </c>
      <c r="O194" s="146"/>
      <c r="P194" s="146"/>
      <c r="Q194" s="146"/>
      <c r="R194" s="156"/>
      <c r="S194" s="146"/>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row>
    <row r="195" spans="1:44" ht="12.3">
      <c r="A195" s="157"/>
      <c r="B195" s="185"/>
      <c r="C195" s="169" t="s">
        <v>514</v>
      </c>
      <c r="D195" s="169" t="s">
        <v>438</v>
      </c>
      <c r="E195" s="169" t="s">
        <v>441</v>
      </c>
      <c r="F195" s="169" t="s">
        <v>464</v>
      </c>
      <c r="G195" s="169" t="s">
        <v>464</v>
      </c>
      <c r="H195" s="169" t="s">
        <v>464</v>
      </c>
      <c r="I195" s="169" t="s">
        <v>469</v>
      </c>
      <c r="J195" s="169" t="s">
        <v>188</v>
      </c>
      <c r="K195" s="170">
        <v>82</v>
      </c>
      <c r="L195" s="169" t="s">
        <v>446</v>
      </c>
      <c r="M195" s="169" t="s">
        <v>467</v>
      </c>
      <c r="N195" s="169">
        <v>44</v>
      </c>
      <c r="O195" s="146"/>
      <c r="P195" s="146"/>
      <c r="Q195" s="146"/>
      <c r="R195" s="156"/>
      <c r="S195" s="146"/>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row>
    <row r="196" spans="1:44" ht="12.3">
      <c r="A196" s="157"/>
      <c r="B196" s="185"/>
      <c r="C196" s="169" t="s">
        <v>479</v>
      </c>
      <c r="D196" s="169" t="s">
        <v>447</v>
      </c>
      <c r="E196" s="169" t="s">
        <v>441</v>
      </c>
      <c r="F196" s="169" t="s">
        <v>464</v>
      </c>
      <c r="G196" s="169" t="s">
        <v>464</v>
      </c>
      <c r="H196" s="169" t="s">
        <v>464</v>
      </c>
      <c r="I196" s="169" t="s">
        <v>469</v>
      </c>
      <c r="J196" s="169" t="s">
        <v>188</v>
      </c>
      <c r="K196" s="170">
        <v>82</v>
      </c>
      <c r="L196" s="169" t="s">
        <v>446</v>
      </c>
      <c r="M196" s="169" t="s">
        <v>467</v>
      </c>
      <c r="N196" s="169">
        <v>46</v>
      </c>
      <c r="O196" s="146"/>
      <c r="P196" s="146"/>
      <c r="Q196" s="146"/>
      <c r="R196" s="156"/>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row>
    <row r="197" spans="1:44" ht="12.3">
      <c r="A197" s="157"/>
      <c r="B197" s="171" t="s">
        <v>295</v>
      </c>
      <c r="C197" s="172" t="s">
        <v>509</v>
      </c>
      <c r="D197" s="172" t="s">
        <v>440</v>
      </c>
      <c r="E197" s="172" t="s">
        <v>142</v>
      </c>
      <c r="F197" s="172" t="s">
        <v>464</v>
      </c>
      <c r="G197" s="172" t="s">
        <v>464</v>
      </c>
      <c r="H197" s="172" t="s">
        <v>465</v>
      </c>
      <c r="I197" s="172" t="s">
        <v>466</v>
      </c>
      <c r="J197" s="172" t="s">
        <v>297</v>
      </c>
      <c r="K197" s="173" t="s">
        <v>469</v>
      </c>
      <c r="L197" s="172" t="s">
        <v>446</v>
      </c>
      <c r="M197" s="172" t="s">
        <v>467</v>
      </c>
      <c r="N197" s="174">
        <v>60</v>
      </c>
      <c r="O197" s="146"/>
      <c r="P197" s="146"/>
      <c r="Q197" s="146"/>
      <c r="R197" s="156"/>
      <c r="S197" s="146"/>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row>
    <row r="198" spans="1:44" ht="22.8">
      <c r="A198" s="157"/>
      <c r="B198" s="171" t="s">
        <v>330</v>
      </c>
      <c r="C198" s="172" t="s">
        <v>486</v>
      </c>
      <c r="D198" s="172" t="s">
        <v>440</v>
      </c>
      <c r="E198" s="172" t="s">
        <v>142</v>
      </c>
      <c r="F198" s="172" t="s">
        <v>464</v>
      </c>
      <c r="G198" s="172" t="s">
        <v>464</v>
      </c>
      <c r="H198" s="172" t="s">
        <v>465</v>
      </c>
      <c r="I198" s="172" t="s">
        <v>466</v>
      </c>
      <c r="J198" s="172" t="s">
        <v>188</v>
      </c>
      <c r="K198" s="173">
        <v>94</v>
      </c>
      <c r="L198" s="172" t="s">
        <v>446</v>
      </c>
      <c r="M198" s="172" t="s">
        <v>472</v>
      </c>
      <c r="N198" s="174">
        <v>43</v>
      </c>
      <c r="O198" s="146"/>
      <c r="P198" s="146"/>
      <c r="Q198" s="146"/>
      <c r="R198" s="156"/>
      <c r="S198" s="146"/>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row>
    <row r="199" spans="1:44" ht="12.3">
      <c r="A199" s="157"/>
      <c r="B199" s="184" t="s">
        <v>316</v>
      </c>
      <c r="C199" s="172" t="s">
        <v>515</v>
      </c>
      <c r="D199" s="172" t="s">
        <v>447</v>
      </c>
      <c r="E199" s="172" t="s">
        <v>441</v>
      </c>
      <c r="F199" s="172" t="s">
        <v>464</v>
      </c>
      <c r="G199" s="172" t="s">
        <v>464</v>
      </c>
      <c r="H199" s="172" t="s">
        <v>465</v>
      </c>
      <c r="I199" s="172" t="s">
        <v>469</v>
      </c>
      <c r="J199" s="172" t="s">
        <v>188</v>
      </c>
      <c r="K199" s="173">
        <v>92</v>
      </c>
      <c r="L199" s="172" t="s">
        <v>446</v>
      </c>
      <c r="M199" s="172" t="s">
        <v>483</v>
      </c>
      <c r="N199" s="174">
        <v>63</v>
      </c>
      <c r="O199" s="146"/>
      <c r="P199" s="146"/>
      <c r="Q199" s="146"/>
      <c r="R199" s="156"/>
      <c r="S199" s="146"/>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row>
    <row r="200" spans="1:44" ht="12.3">
      <c r="A200" s="157"/>
      <c r="B200" s="185"/>
      <c r="C200" s="172" t="s">
        <v>515</v>
      </c>
      <c r="D200" s="172" t="s">
        <v>447</v>
      </c>
      <c r="E200" s="172" t="s">
        <v>441</v>
      </c>
      <c r="F200" s="172" t="s">
        <v>465</v>
      </c>
      <c r="G200" s="172" t="s">
        <v>464</v>
      </c>
      <c r="H200" s="172" t="s">
        <v>465</v>
      </c>
      <c r="I200" s="172" t="s">
        <v>469</v>
      </c>
      <c r="J200" s="172" t="s">
        <v>188</v>
      </c>
      <c r="K200" s="173">
        <v>92</v>
      </c>
      <c r="L200" s="172" t="s">
        <v>446</v>
      </c>
      <c r="M200" s="172" t="s">
        <v>483</v>
      </c>
      <c r="N200" s="174">
        <v>54</v>
      </c>
      <c r="O200" s="146"/>
      <c r="P200" s="146"/>
      <c r="Q200" s="146"/>
      <c r="R200" s="156"/>
      <c r="S200" s="146"/>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row>
    <row r="201" spans="1:44" ht="12.3">
      <c r="A201" s="157"/>
      <c r="B201" s="186" t="s">
        <v>384</v>
      </c>
      <c r="C201" s="169" t="s">
        <v>516</v>
      </c>
      <c r="D201" s="169" t="s">
        <v>457</v>
      </c>
      <c r="E201" s="169" t="s">
        <v>142</v>
      </c>
      <c r="F201" s="169" t="s">
        <v>465</v>
      </c>
      <c r="G201" s="169" t="s">
        <v>464</v>
      </c>
      <c r="H201" s="169" t="s">
        <v>465</v>
      </c>
      <c r="I201" s="169" t="s">
        <v>466</v>
      </c>
      <c r="J201" s="169" t="s">
        <v>188</v>
      </c>
      <c r="K201" s="170">
        <v>82</v>
      </c>
      <c r="L201" s="169" t="s">
        <v>446</v>
      </c>
      <c r="M201" s="169" t="s">
        <v>467</v>
      </c>
      <c r="N201" s="169">
        <v>20</v>
      </c>
      <c r="O201" s="146"/>
      <c r="P201" s="146"/>
      <c r="Q201" s="146"/>
      <c r="R201" s="156"/>
      <c r="S201" s="146"/>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row>
    <row r="202" spans="1:44" ht="12.3">
      <c r="A202" s="157"/>
      <c r="B202" s="185"/>
      <c r="C202" s="169" t="s">
        <v>517</v>
      </c>
      <c r="D202" s="169" t="s">
        <v>457</v>
      </c>
      <c r="E202" s="169" t="s">
        <v>142</v>
      </c>
      <c r="F202" s="169" t="s">
        <v>464</v>
      </c>
      <c r="G202" s="169" t="s">
        <v>464</v>
      </c>
      <c r="H202" s="169" t="s">
        <v>465</v>
      </c>
      <c r="I202" s="169" t="s">
        <v>466</v>
      </c>
      <c r="J202" s="169" t="s">
        <v>188</v>
      </c>
      <c r="K202" s="170">
        <v>82</v>
      </c>
      <c r="L202" s="169" t="s">
        <v>446</v>
      </c>
      <c r="M202" s="169" t="s">
        <v>467</v>
      </c>
      <c r="N202" s="169">
        <v>20</v>
      </c>
      <c r="O202" s="146"/>
      <c r="P202" s="146"/>
      <c r="Q202" s="146"/>
      <c r="R202" s="156"/>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row>
    <row r="203" spans="1:44" ht="12.3">
      <c r="A203" s="157"/>
      <c r="B203" s="168" t="s">
        <v>367</v>
      </c>
      <c r="C203" s="169" t="s">
        <v>484</v>
      </c>
      <c r="D203" s="169" t="s">
        <v>454</v>
      </c>
      <c r="E203" s="169" t="s">
        <v>142</v>
      </c>
      <c r="F203" s="169" t="s">
        <v>465</v>
      </c>
      <c r="G203" s="169" t="s">
        <v>464</v>
      </c>
      <c r="H203" s="169" t="s">
        <v>465</v>
      </c>
      <c r="I203" s="169" t="s">
        <v>466</v>
      </c>
      <c r="J203" s="169" t="s">
        <v>188</v>
      </c>
      <c r="K203" s="170">
        <v>91</v>
      </c>
      <c r="L203" s="169" t="s">
        <v>446</v>
      </c>
      <c r="M203" s="169" t="s">
        <v>472</v>
      </c>
      <c r="N203" s="169">
        <v>100</v>
      </c>
      <c r="O203" s="146"/>
      <c r="P203" s="146"/>
      <c r="Q203" s="146"/>
      <c r="R203" s="156"/>
      <c r="S203" s="146"/>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row>
    <row r="204" spans="1:44" ht="12.3">
      <c r="A204" s="157"/>
      <c r="B204" s="186" t="s">
        <v>391</v>
      </c>
      <c r="C204" s="169" t="s">
        <v>484</v>
      </c>
      <c r="D204" s="169" t="s">
        <v>454</v>
      </c>
      <c r="E204" s="169" t="s">
        <v>142</v>
      </c>
      <c r="F204" s="169" t="s">
        <v>465</v>
      </c>
      <c r="G204" s="169" t="s">
        <v>464</v>
      </c>
      <c r="H204" s="169" t="s">
        <v>465</v>
      </c>
      <c r="I204" s="169" t="s">
        <v>469</v>
      </c>
      <c r="J204" s="169" t="s">
        <v>188</v>
      </c>
      <c r="K204" s="170">
        <v>92</v>
      </c>
      <c r="L204" s="169" t="s">
        <v>446</v>
      </c>
      <c r="M204" s="169" t="s">
        <v>472</v>
      </c>
      <c r="N204" s="169">
        <v>34</v>
      </c>
      <c r="O204" s="146"/>
      <c r="P204" s="146"/>
      <c r="Q204" s="146"/>
      <c r="R204" s="156"/>
      <c r="S204" s="146"/>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row>
    <row r="205" spans="1:44" ht="12.3">
      <c r="A205" s="157"/>
      <c r="B205" s="185"/>
      <c r="C205" s="169" t="s">
        <v>484</v>
      </c>
      <c r="D205" s="169" t="s">
        <v>454</v>
      </c>
      <c r="E205" s="169" t="s">
        <v>142</v>
      </c>
      <c r="F205" s="169" t="s">
        <v>465</v>
      </c>
      <c r="G205" s="169" t="s">
        <v>464</v>
      </c>
      <c r="H205" s="169" t="s">
        <v>465</v>
      </c>
      <c r="I205" s="169" t="s">
        <v>469</v>
      </c>
      <c r="J205" s="169" t="s">
        <v>188</v>
      </c>
      <c r="K205" s="170">
        <v>92</v>
      </c>
      <c r="L205" s="169" t="s">
        <v>446</v>
      </c>
      <c r="M205" s="169" t="s">
        <v>472</v>
      </c>
      <c r="N205" s="169">
        <v>18</v>
      </c>
      <c r="O205" s="146"/>
      <c r="P205" s="146"/>
      <c r="Q205" s="146"/>
      <c r="R205" s="156"/>
      <c r="S205" s="146"/>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row>
    <row r="206" spans="1:44" ht="12.3">
      <c r="A206" s="157"/>
      <c r="B206" s="185"/>
      <c r="C206" s="169" t="s">
        <v>484</v>
      </c>
      <c r="D206" s="169" t="s">
        <v>454</v>
      </c>
      <c r="E206" s="169" t="s">
        <v>142</v>
      </c>
      <c r="F206" s="169" t="s">
        <v>465</v>
      </c>
      <c r="G206" s="169" t="s">
        <v>464</v>
      </c>
      <c r="H206" s="169" t="s">
        <v>465</v>
      </c>
      <c r="I206" s="169" t="s">
        <v>469</v>
      </c>
      <c r="J206" s="169" t="s">
        <v>188</v>
      </c>
      <c r="K206" s="170">
        <v>92</v>
      </c>
      <c r="L206" s="169" t="s">
        <v>446</v>
      </c>
      <c r="M206" s="169" t="s">
        <v>472</v>
      </c>
      <c r="N206" s="169">
        <v>52</v>
      </c>
      <c r="O206" s="146"/>
      <c r="P206" s="146"/>
      <c r="Q206" s="146"/>
      <c r="R206" s="156"/>
      <c r="S206" s="146"/>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row>
    <row r="207" spans="1:44" ht="12.3">
      <c r="A207" s="157"/>
      <c r="B207" s="184" t="s">
        <v>306</v>
      </c>
      <c r="C207" s="172" t="s">
        <v>482</v>
      </c>
      <c r="D207" s="172" t="s">
        <v>440</v>
      </c>
      <c r="E207" s="172" t="s">
        <v>441</v>
      </c>
      <c r="F207" s="172" t="s">
        <v>465</v>
      </c>
      <c r="G207" s="172" t="s">
        <v>464</v>
      </c>
      <c r="H207" s="172" t="s">
        <v>465</v>
      </c>
      <c r="I207" s="172" t="s">
        <v>469</v>
      </c>
      <c r="J207" s="172" t="s">
        <v>188</v>
      </c>
      <c r="K207" s="173">
        <v>70</v>
      </c>
      <c r="L207" s="172" t="s">
        <v>446</v>
      </c>
      <c r="M207" s="172" t="s">
        <v>483</v>
      </c>
      <c r="N207" s="174">
        <v>198</v>
      </c>
      <c r="O207" s="146"/>
      <c r="P207" s="146"/>
      <c r="Q207" s="146"/>
      <c r="R207" s="156"/>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row>
    <row r="208" spans="1:44" ht="12.3">
      <c r="A208" s="157"/>
      <c r="B208" s="185"/>
      <c r="C208" s="172" t="s">
        <v>484</v>
      </c>
      <c r="D208" s="172" t="s">
        <v>454</v>
      </c>
      <c r="E208" s="172" t="s">
        <v>142</v>
      </c>
      <c r="F208" s="172" t="s">
        <v>465</v>
      </c>
      <c r="G208" s="172" t="s">
        <v>464</v>
      </c>
      <c r="H208" s="172" t="s">
        <v>465</v>
      </c>
      <c r="I208" s="172" t="s">
        <v>466</v>
      </c>
      <c r="J208" s="172" t="s">
        <v>188</v>
      </c>
      <c r="K208" s="173">
        <v>77</v>
      </c>
      <c r="L208" s="172" t="s">
        <v>446</v>
      </c>
      <c r="M208" s="172" t="s">
        <v>483</v>
      </c>
      <c r="N208" s="174">
        <v>195</v>
      </c>
      <c r="O208" s="146"/>
      <c r="P208" s="146"/>
      <c r="Q208" s="146"/>
      <c r="R208" s="156"/>
      <c r="S208" s="146"/>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row>
    <row r="209" spans="1:44" ht="22.8">
      <c r="A209" s="157"/>
      <c r="B209" s="175" t="s">
        <v>365</v>
      </c>
      <c r="C209" s="169" t="s">
        <v>484</v>
      </c>
      <c r="D209" s="169" t="s">
        <v>454</v>
      </c>
      <c r="E209" s="169" t="s">
        <v>142</v>
      </c>
      <c r="F209" s="169" t="s">
        <v>465</v>
      </c>
      <c r="G209" s="169" t="s">
        <v>464</v>
      </c>
      <c r="H209" s="169" t="s">
        <v>465</v>
      </c>
      <c r="I209" s="169" t="s">
        <v>469</v>
      </c>
      <c r="J209" s="169" t="s">
        <v>188</v>
      </c>
      <c r="K209" s="170">
        <v>80</v>
      </c>
      <c r="L209" s="169" t="s">
        <v>446</v>
      </c>
      <c r="M209" s="169" t="s">
        <v>483</v>
      </c>
      <c r="N209" s="169">
        <v>90</v>
      </c>
      <c r="O209" s="146"/>
      <c r="P209" s="146"/>
      <c r="Q209" s="146"/>
      <c r="R209" s="156"/>
      <c r="S209" s="146"/>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row>
    <row r="210" spans="1:44" ht="12.3">
      <c r="A210" s="157"/>
      <c r="B210" s="171" t="s">
        <v>298</v>
      </c>
      <c r="C210" s="172" t="s">
        <v>518</v>
      </c>
      <c r="D210" s="172" t="s">
        <v>438</v>
      </c>
      <c r="E210" s="172" t="s">
        <v>453</v>
      </c>
      <c r="F210" s="172" t="s">
        <v>464</v>
      </c>
      <c r="G210" s="172" t="s">
        <v>464</v>
      </c>
      <c r="H210" s="172" t="s">
        <v>465</v>
      </c>
      <c r="I210" s="172" t="s">
        <v>476</v>
      </c>
      <c r="J210" s="172" t="s">
        <v>247</v>
      </c>
      <c r="K210" s="173">
        <v>97</v>
      </c>
      <c r="L210" s="172" t="s">
        <v>446</v>
      </c>
      <c r="M210" s="172" t="s">
        <v>519</v>
      </c>
      <c r="N210" s="174">
        <v>39</v>
      </c>
      <c r="O210" s="146"/>
      <c r="P210" s="146"/>
      <c r="Q210" s="146"/>
      <c r="R210" s="156"/>
      <c r="S210" s="146"/>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row>
    <row r="211" spans="1:44" ht="12.3">
      <c r="A211" s="157"/>
      <c r="B211" s="175" t="s">
        <v>343</v>
      </c>
      <c r="C211" s="169" t="s">
        <v>484</v>
      </c>
      <c r="D211" s="169" t="s">
        <v>454</v>
      </c>
      <c r="E211" s="169" t="s">
        <v>142</v>
      </c>
      <c r="F211" s="169" t="s">
        <v>464</v>
      </c>
      <c r="G211" s="169" t="s">
        <v>464</v>
      </c>
      <c r="H211" s="169" t="s">
        <v>465</v>
      </c>
      <c r="I211" s="169" t="s">
        <v>466</v>
      </c>
      <c r="J211" s="169" t="s">
        <v>188</v>
      </c>
      <c r="K211" s="170">
        <v>92</v>
      </c>
      <c r="L211" s="169" t="s">
        <v>446</v>
      </c>
      <c r="M211" s="169" t="s">
        <v>472</v>
      </c>
      <c r="N211" s="169">
        <v>50</v>
      </c>
      <c r="O211" s="146"/>
      <c r="P211" s="146"/>
      <c r="Q211" s="146"/>
      <c r="R211" s="156"/>
      <c r="S211" s="146"/>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row>
    <row r="212" spans="1:44" ht="12.3">
      <c r="A212" s="157"/>
      <c r="B212" s="184" t="s">
        <v>300</v>
      </c>
      <c r="C212" s="172" t="s">
        <v>520</v>
      </c>
      <c r="D212" s="172" t="s">
        <v>440</v>
      </c>
      <c r="E212" s="172" t="s">
        <v>142</v>
      </c>
      <c r="F212" s="172" t="s">
        <v>465</v>
      </c>
      <c r="G212" s="172" t="s">
        <v>464</v>
      </c>
      <c r="H212" s="172" t="s">
        <v>465</v>
      </c>
      <c r="I212" s="172" t="s">
        <v>469</v>
      </c>
      <c r="J212" s="172" t="s">
        <v>303</v>
      </c>
      <c r="K212" s="173">
        <v>86</v>
      </c>
      <c r="L212" s="172" t="s">
        <v>446</v>
      </c>
      <c r="M212" s="172" t="s">
        <v>483</v>
      </c>
      <c r="N212" s="174">
        <v>34</v>
      </c>
      <c r="O212" s="146"/>
      <c r="P212" s="146"/>
      <c r="Q212" s="146"/>
      <c r="R212" s="156"/>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row>
    <row r="213" spans="1:44" ht="12.3">
      <c r="A213" s="157"/>
      <c r="B213" s="185"/>
      <c r="C213" s="172" t="s">
        <v>520</v>
      </c>
      <c r="D213" s="172" t="s">
        <v>440</v>
      </c>
      <c r="E213" s="172" t="s">
        <v>142</v>
      </c>
      <c r="F213" s="172" t="s">
        <v>465</v>
      </c>
      <c r="G213" s="172" t="s">
        <v>465</v>
      </c>
      <c r="H213" s="172" t="s">
        <v>465</v>
      </c>
      <c r="I213" s="172" t="s">
        <v>469</v>
      </c>
      <c r="J213" s="172" t="s">
        <v>303</v>
      </c>
      <c r="K213" s="173">
        <v>86</v>
      </c>
      <c r="L213" s="172" t="s">
        <v>446</v>
      </c>
      <c r="M213" s="172" t="s">
        <v>483</v>
      </c>
      <c r="N213" s="174">
        <v>37</v>
      </c>
      <c r="O213" s="146"/>
      <c r="P213" s="146"/>
      <c r="Q213" s="146"/>
      <c r="R213" s="156"/>
      <c r="S213" s="146"/>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row>
    <row r="214" spans="1:44" ht="12.3">
      <c r="A214" s="157"/>
      <c r="B214" s="175" t="s">
        <v>396</v>
      </c>
      <c r="C214" s="169" t="s">
        <v>484</v>
      </c>
      <c r="D214" s="169" t="s">
        <v>454</v>
      </c>
      <c r="E214" s="169" t="s">
        <v>142</v>
      </c>
      <c r="F214" s="169" t="s">
        <v>464</v>
      </c>
      <c r="G214" s="169" t="s">
        <v>465</v>
      </c>
      <c r="H214" s="169" t="s">
        <v>464</v>
      </c>
      <c r="I214" s="169" t="s">
        <v>466</v>
      </c>
      <c r="J214" s="169" t="s">
        <v>247</v>
      </c>
      <c r="K214" s="177">
        <v>90</v>
      </c>
      <c r="L214" s="169" t="s">
        <v>446</v>
      </c>
      <c r="M214" s="169" t="s">
        <v>467</v>
      </c>
      <c r="N214" s="178">
        <v>35</v>
      </c>
      <c r="O214" s="146"/>
      <c r="P214" s="146"/>
      <c r="Q214" s="146"/>
      <c r="R214" s="156"/>
      <c r="S214" s="146"/>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row>
    <row r="215" spans="1:44" ht="12.3">
      <c r="A215" s="157"/>
      <c r="B215" s="171" t="s">
        <v>310</v>
      </c>
      <c r="C215" s="172" t="s">
        <v>521</v>
      </c>
      <c r="D215" s="172" t="s">
        <v>438</v>
      </c>
      <c r="E215" s="172" t="s">
        <v>441</v>
      </c>
      <c r="F215" s="172" t="s">
        <v>464</v>
      </c>
      <c r="G215" s="172" t="s">
        <v>464</v>
      </c>
      <c r="H215" s="172" t="s">
        <v>464</v>
      </c>
      <c r="I215" s="172" t="s">
        <v>469</v>
      </c>
      <c r="J215" s="172" t="s">
        <v>200</v>
      </c>
      <c r="K215" s="173">
        <v>89</v>
      </c>
      <c r="L215" s="172" t="s">
        <v>446</v>
      </c>
      <c r="M215" s="172" t="s">
        <v>483</v>
      </c>
      <c r="N215" s="174">
        <v>61</v>
      </c>
      <c r="O215" s="146"/>
      <c r="P215" s="146"/>
      <c r="Q215" s="146"/>
      <c r="R215" s="156"/>
      <c r="S215" s="146"/>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row>
    <row r="216" spans="1:44" ht="12.3">
      <c r="A216" s="157"/>
      <c r="B216" s="179" t="s">
        <v>348</v>
      </c>
      <c r="C216" s="180" t="s">
        <v>484</v>
      </c>
      <c r="D216" s="180" t="s">
        <v>454</v>
      </c>
      <c r="E216" s="180" t="s">
        <v>142</v>
      </c>
      <c r="F216" s="180" t="s">
        <v>464</v>
      </c>
      <c r="G216" s="180" t="s">
        <v>464</v>
      </c>
      <c r="H216" s="180" t="s">
        <v>465</v>
      </c>
      <c r="I216" s="180" t="s">
        <v>466</v>
      </c>
      <c r="J216" s="180" t="s">
        <v>247</v>
      </c>
      <c r="K216" s="181" t="s">
        <v>469</v>
      </c>
      <c r="L216" s="180" t="s">
        <v>446</v>
      </c>
      <c r="M216" s="180" t="s">
        <v>483</v>
      </c>
      <c r="N216" s="180">
        <v>35</v>
      </c>
      <c r="O216" s="146"/>
      <c r="P216" s="146"/>
      <c r="Q216" s="146"/>
      <c r="R216" s="156"/>
      <c r="S216" s="146"/>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row>
    <row r="217" spans="1:44" ht="12.3">
      <c r="A217" s="157"/>
      <c r="B217" s="157"/>
      <c r="C217" s="149"/>
      <c r="D217" s="149"/>
      <c r="E217" s="149"/>
      <c r="F217" s="149"/>
      <c r="G217" s="149"/>
      <c r="H217" s="149"/>
      <c r="I217" s="149"/>
      <c r="J217" s="149"/>
      <c r="K217" s="182"/>
      <c r="L217" s="149"/>
      <c r="M217" s="149"/>
      <c r="N217" s="149"/>
      <c r="O217" s="146"/>
      <c r="P217" s="146"/>
      <c r="Q217" s="146"/>
      <c r="R217" s="156"/>
      <c r="S217" s="146"/>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row>
    <row r="218" spans="1:44" ht="12.3">
      <c r="A218" s="157"/>
      <c r="B218" s="157"/>
      <c r="C218" s="149"/>
      <c r="D218" s="149"/>
      <c r="E218" s="149"/>
      <c r="F218" s="149"/>
      <c r="G218" s="149"/>
      <c r="H218" s="149"/>
      <c r="I218" s="149"/>
      <c r="J218" s="149"/>
      <c r="K218" s="182"/>
      <c r="L218" s="149"/>
      <c r="M218" s="149"/>
      <c r="N218" s="149"/>
      <c r="O218" s="146"/>
      <c r="P218" s="146"/>
      <c r="Q218" s="146"/>
      <c r="R218" s="156"/>
      <c r="S218" s="146"/>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row>
    <row r="219" spans="1:44" ht="12.3">
      <c r="A219" s="157"/>
      <c r="B219" s="157"/>
      <c r="C219" s="149"/>
      <c r="D219" s="149"/>
      <c r="E219" s="149"/>
      <c r="F219" s="149"/>
      <c r="G219" s="149"/>
      <c r="H219" s="149"/>
      <c r="I219" s="149"/>
      <c r="J219" s="149"/>
      <c r="K219" s="182"/>
      <c r="L219" s="149"/>
      <c r="M219" s="149"/>
      <c r="N219" s="149"/>
      <c r="O219" s="146"/>
      <c r="P219" s="146"/>
      <c r="Q219" s="146"/>
      <c r="R219" s="156"/>
      <c r="S219" s="146"/>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row>
    <row r="220" spans="1:44" ht="12.3">
      <c r="A220" s="157"/>
      <c r="B220" s="157"/>
      <c r="C220" s="149"/>
      <c r="D220" s="149"/>
      <c r="E220" s="149"/>
      <c r="F220" s="149"/>
      <c r="G220" s="149"/>
      <c r="H220" s="149"/>
      <c r="I220" s="149"/>
      <c r="J220" s="149"/>
      <c r="K220" s="182"/>
      <c r="L220" s="149"/>
      <c r="M220" s="149"/>
      <c r="N220" s="149"/>
      <c r="O220" s="146"/>
      <c r="P220" s="146"/>
      <c r="Q220" s="146"/>
      <c r="R220" s="156"/>
      <c r="S220" s="146"/>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row>
    <row r="221" spans="1:44" ht="12.3">
      <c r="A221" s="157"/>
      <c r="B221" s="157"/>
      <c r="C221" s="149"/>
      <c r="D221" s="149"/>
      <c r="E221" s="149"/>
      <c r="F221" s="149"/>
      <c r="G221" s="149"/>
      <c r="H221" s="149"/>
      <c r="I221" s="149"/>
      <c r="J221" s="149"/>
      <c r="K221" s="182"/>
      <c r="L221" s="149"/>
      <c r="M221" s="149"/>
      <c r="N221" s="149"/>
      <c r="O221" s="146"/>
      <c r="P221" s="146"/>
      <c r="Q221" s="146"/>
      <c r="R221" s="156"/>
      <c r="S221" s="146"/>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row>
    <row r="222" spans="1:44" ht="12.3">
      <c r="A222" s="157"/>
      <c r="B222" s="157"/>
      <c r="C222" s="149"/>
      <c r="D222" s="149"/>
      <c r="E222" s="149"/>
      <c r="F222" s="149"/>
      <c r="G222" s="149"/>
      <c r="H222" s="149"/>
      <c r="I222" s="149"/>
      <c r="J222" s="149"/>
      <c r="K222" s="182"/>
      <c r="L222" s="149"/>
      <c r="M222" s="149"/>
      <c r="N222" s="149"/>
      <c r="O222" s="146"/>
      <c r="P222" s="146"/>
      <c r="Q222" s="146"/>
      <c r="R222" s="156"/>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row>
    <row r="223" spans="1:44" ht="12.3">
      <c r="A223" s="157"/>
      <c r="B223" s="157"/>
      <c r="C223" s="149"/>
      <c r="D223" s="149"/>
      <c r="E223" s="149"/>
      <c r="F223" s="149"/>
      <c r="G223" s="149"/>
      <c r="H223" s="149"/>
      <c r="I223" s="149"/>
      <c r="J223" s="149"/>
      <c r="K223" s="182"/>
      <c r="L223" s="149"/>
      <c r="M223" s="149"/>
      <c r="N223" s="149"/>
      <c r="O223" s="146"/>
      <c r="P223" s="146"/>
      <c r="Q223" s="146"/>
      <c r="R223" s="156"/>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row>
    <row r="224" spans="1:44" ht="12.3">
      <c r="A224" s="157"/>
      <c r="B224" s="157"/>
      <c r="C224" s="149"/>
      <c r="D224" s="149"/>
      <c r="E224" s="149"/>
      <c r="F224" s="149"/>
      <c r="G224" s="149"/>
      <c r="H224" s="149"/>
      <c r="I224" s="149"/>
      <c r="J224" s="149"/>
      <c r="K224" s="182"/>
      <c r="L224" s="149"/>
      <c r="M224" s="149"/>
      <c r="N224" s="149"/>
      <c r="O224" s="146"/>
      <c r="P224" s="146"/>
      <c r="Q224" s="146"/>
      <c r="R224" s="156"/>
      <c r="S224" s="146"/>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row>
    <row r="225" spans="1:44" ht="12.3">
      <c r="A225" s="157"/>
      <c r="B225" s="157"/>
      <c r="C225" s="149"/>
      <c r="D225" s="149"/>
      <c r="E225" s="149"/>
      <c r="F225" s="149"/>
      <c r="G225" s="149"/>
      <c r="H225" s="149"/>
      <c r="I225" s="149"/>
      <c r="J225" s="149"/>
      <c r="K225" s="182"/>
      <c r="L225" s="149"/>
      <c r="M225" s="149"/>
      <c r="N225" s="149"/>
      <c r="O225" s="146"/>
      <c r="P225" s="146"/>
      <c r="Q225" s="146"/>
      <c r="R225" s="156"/>
      <c r="S225" s="146"/>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row>
    <row r="226" spans="1:44" ht="12.3">
      <c r="A226" s="157"/>
      <c r="B226" s="157"/>
      <c r="C226" s="149"/>
      <c r="D226" s="149"/>
      <c r="E226" s="149"/>
      <c r="F226" s="149"/>
      <c r="G226" s="149"/>
      <c r="H226" s="149"/>
      <c r="I226" s="149"/>
      <c r="J226" s="149"/>
      <c r="K226" s="182"/>
      <c r="L226" s="149"/>
      <c r="M226" s="149"/>
      <c r="N226" s="149"/>
      <c r="O226" s="146"/>
      <c r="P226" s="146"/>
      <c r="Q226" s="146"/>
      <c r="R226" s="156"/>
      <c r="S226" s="146"/>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row>
    <row r="227" spans="1:44" ht="12.3">
      <c r="A227" s="157"/>
      <c r="B227" s="157"/>
      <c r="C227" s="149"/>
      <c r="D227" s="149"/>
      <c r="E227" s="149"/>
      <c r="F227" s="149"/>
      <c r="G227" s="149"/>
      <c r="H227" s="149"/>
      <c r="I227" s="149"/>
      <c r="J227" s="149"/>
      <c r="K227" s="182"/>
      <c r="L227" s="149"/>
      <c r="M227" s="149"/>
      <c r="N227" s="149"/>
      <c r="O227" s="146"/>
      <c r="P227" s="146"/>
      <c r="Q227" s="146"/>
      <c r="R227" s="156"/>
      <c r="S227" s="146"/>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row>
    <row r="228" spans="1:44" ht="12.3">
      <c r="A228" s="157"/>
      <c r="B228" s="157"/>
      <c r="C228" s="149"/>
      <c r="D228" s="149"/>
      <c r="E228" s="149"/>
      <c r="F228" s="149"/>
      <c r="G228" s="149"/>
      <c r="H228" s="149"/>
      <c r="I228" s="149"/>
      <c r="J228" s="149"/>
      <c r="K228" s="182"/>
      <c r="L228" s="149"/>
      <c r="M228" s="149"/>
      <c r="N228" s="149"/>
      <c r="O228" s="146"/>
      <c r="P228" s="146"/>
      <c r="Q228" s="146"/>
      <c r="R228" s="156"/>
      <c r="S228" s="146"/>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row>
    <row r="229" spans="1:44" ht="12.3">
      <c r="A229" s="157"/>
      <c r="B229" s="157"/>
      <c r="C229" s="149"/>
      <c r="D229" s="149"/>
      <c r="E229" s="149"/>
      <c r="F229" s="149"/>
      <c r="G229" s="149"/>
      <c r="H229" s="149"/>
      <c r="I229" s="149"/>
      <c r="J229" s="149"/>
      <c r="K229" s="182"/>
      <c r="L229" s="149"/>
      <c r="M229" s="149"/>
      <c r="N229" s="149"/>
      <c r="O229" s="146"/>
      <c r="P229" s="146"/>
      <c r="Q229" s="146"/>
      <c r="R229" s="156"/>
      <c r="S229" s="146"/>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row>
    <row r="230" spans="1:44" ht="12.3">
      <c r="A230" s="157"/>
      <c r="B230" s="157"/>
      <c r="C230" s="149"/>
      <c r="D230" s="149"/>
      <c r="E230" s="149"/>
      <c r="F230" s="149"/>
      <c r="G230" s="149"/>
      <c r="H230" s="149"/>
      <c r="I230" s="149"/>
      <c r="J230" s="149"/>
      <c r="K230" s="182"/>
      <c r="L230" s="149"/>
      <c r="M230" s="149"/>
      <c r="N230" s="149"/>
      <c r="O230" s="146"/>
      <c r="P230" s="146"/>
      <c r="Q230" s="146"/>
      <c r="R230" s="156"/>
      <c r="S230" s="146"/>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row>
    <row r="231" spans="1:44" ht="12.3">
      <c r="A231" s="157"/>
      <c r="B231" s="157"/>
      <c r="C231" s="149"/>
      <c r="D231" s="149"/>
      <c r="E231" s="149"/>
      <c r="F231" s="149"/>
      <c r="G231" s="149"/>
      <c r="H231" s="149"/>
      <c r="I231" s="149"/>
      <c r="J231" s="149"/>
      <c r="K231" s="182"/>
      <c r="L231" s="149"/>
      <c r="M231" s="149"/>
      <c r="N231" s="149"/>
      <c r="O231" s="146"/>
      <c r="P231" s="146"/>
      <c r="Q231" s="146"/>
      <c r="R231" s="156"/>
      <c r="S231" s="146"/>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row>
    <row r="232" spans="1:44" ht="12.3">
      <c r="A232" s="157"/>
      <c r="B232" s="157"/>
      <c r="C232" s="149"/>
      <c r="D232" s="149"/>
      <c r="E232" s="149"/>
      <c r="F232" s="149"/>
      <c r="G232" s="149"/>
      <c r="H232" s="149"/>
      <c r="I232" s="149"/>
      <c r="J232" s="149"/>
      <c r="K232" s="182"/>
      <c r="L232" s="149"/>
      <c r="M232" s="149"/>
      <c r="N232" s="149"/>
      <c r="O232" s="146"/>
      <c r="P232" s="146"/>
      <c r="Q232" s="146"/>
      <c r="R232" s="156"/>
      <c r="S232" s="146"/>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row>
    <row r="233" spans="1:44" ht="12.3">
      <c r="A233" s="157"/>
      <c r="B233" s="157"/>
      <c r="C233" s="149"/>
      <c r="D233" s="149"/>
      <c r="E233" s="149"/>
      <c r="F233" s="149"/>
      <c r="G233" s="149"/>
      <c r="H233" s="149"/>
      <c r="I233" s="149"/>
      <c r="J233" s="149"/>
      <c r="K233" s="182"/>
      <c r="L233" s="149"/>
      <c r="M233" s="149"/>
      <c r="N233" s="149"/>
      <c r="O233" s="146"/>
      <c r="P233" s="146"/>
      <c r="Q233" s="146"/>
      <c r="R233" s="156"/>
      <c r="S233" s="146"/>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row>
    <row r="234" spans="1:44" ht="12.3">
      <c r="A234" s="157"/>
      <c r="B234" s="157"/>
      <c r="C234" s="149"/>
      <c r="D234" s="149"/>
      <c r="E234" s="149"/>
      <c r="F234" s="149"/>
      <c r="G234" s="149"/>
      <c r="H234" s="149"/>
      <c r="I234" s="149"/>
      <c r="J234" s="149"/>
      <c r="K234" s="182"/>
      <c r="L234" s="149"/>
      <c r="M234" s="149"/>
      <c r="N234" s="149"/>
      <c r="O234" s="146"/>
      <c r="P234" s="146"/>
      <c r="Q234" s="146"/>
      <c r="R234" s="156"/>
      <c r="S234" s="146"/>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row>
    <row r="235" spans="1:44" ht="12.3">
      <c r="A235" s="157"/>
      <c r="B235" s="157"/>
      <c r="C235" s="149"/>
      <c r="D235" s="149"/>
      <c r="E235" s="149"/>
      <c r="F235" s="149"/>
      <c r="G235" s="149"/>
      <c r="H235" s="149"/>
      <c r="I235" s="149"/>
      <c r="J235" s="149"/>
      <c r="K235" s="182"/>
      <c r="L235" s="149"/>
      <c r="M235" s="149"/>
      <c r="N235" s="149"/>
      <c r="O235" s="146"/>
      <c r="P235" s="146"/>
      <c r="Q235" s="146"/>
      <c r="R235" s="156"/>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row>
    <row r="236" spans="1:44" ht="12.3">
      <c r="A236" s="157"/>
      <c r="B236" s="157"/>
      <c r="C236" s="149"/>
      <c r="D236" s="149"/>
      <c r="E236" s="149"/>
      <c r="F236" s="149"/>
      <c r="G236" s="149"/>
      <c r="H236" s="149"/>
      <c r="I236" s="149"/>
      <c r="J236" s="149"/>
      <c r="K236" s="182"/>
      <c r="L236" s="149"/>
      <c r="M236" s="149"/>
      <c r="N236" s="149"/>
      <c r="O236" s="146"/>
      <c r="P236" s="146"/>
      <c r="Q236" s="146"/>
      <c r="R236" s="156"/>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row>
    <row r="237" spans="1:44" ht="12.3">
      <c r="A237" s="157"/>
      <c r="B237" s="157"/>
      <c r="C237" s="149"/>
      <c r="D237" s="149"/>
      <c r="E237" s="149"/>
      <c r="F237" s="149"/>
      <c r="G237" s="149"/>
      <c r="H237" s="149"/>
      <c r="I237" s="149"/>
      <c r="J237" s="149"/>
      <c r="K237" s="182"/>
      <c r="L237" s="149"/>
      <c r="M237" s="149"/>
      <c r="N237" s="149"/>
      <c r="O237" s="146"/>
      <c r="P237" s="146"/>
      <c r="Q237" s="146"/>
      <c r="R237" s="156"/>
      <c r="S237" s="146"/>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row>
    <row r="238" spans="1:44" ht="12.3">
      <c r="A238" s="157"/>
      <c r="B238" s="157"/>
      <c r="C238" s="149"/>
      <c r="D238" s="149"/>
      <c r="E238" s="149"/>
      <c r="F238" s="149"/>
      <c r="G238" s="149"/>
      <c r="H238" s="149"/>
      <c r="I238" s="149"/>
      <c r="J238" s="149"/>
      <c r="K238" s="182"/>
      <c r="L238" s="149"/>
      <c r="M238" s="149"/>
      <c r="N238" s="149"/>
      <c r="O238" s="146"/>
      <c r="P238" s="146"/>
      <c r="Q238" s="146"/>
      <c r="R238" s="156"/>
      <c r="S238" s="146"/>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row>
    <row r="239" spans="1:44" ht="12.3">
      <c r="A239" s="157"/>
      <c r="B239" s="157"/>
      <c r="C239" s="149"/>
      <c r="D239" s="149"/>
      <c r="E239" s="149"/>
      <c r="F239" s="149"/>
      <c r="G239" s="149"/>
      <c r="H239" s="149"/>
      <c r="I239" s="149"/>
      <c r="J239" s="149"/>
      <c r="K239" s="182"/>
      <c r="L239" s="149"/>
      <c r="M239" s="149"/>
      <c r="N239" s="149"/>
      <c r="O239" s="146"/>
      <c r="P239" s="146"/>
      <c r="Q239" s="146"/>
      <c r="R239" s="156"/>
      <c r="S239" s="146"/>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row>
    <row r="240" spans="1:44" ht="12.3">
      <c r="A240" s="157"/>
      <c r="B240" s="157"/>
      <c r="C240" s="149"/>
      <c r="D240" s="149"/>
      <c r="E240" s="149"/>
      <c r="F240" s="149"/>
      <c r="G240" s="149"/>
      <c r="H240" s="149"/>
      <c r="I240" s="149"/>
      <c r="J240" s="149"/>
      <c r="K240" s="182"/>
      <c r="L240" s="149"/>
      <c r="M240" s="149"/>
      <c r="N240" s="149"/>
      <c r="O240" s="146"/>
      <c r="P240" s="146"/>
      <c r="Q240" s="146"/>
      <c r="R240" s="156"/>
      <c r="S240" s="146"/>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row>
    <row r="241" spans="1:44" ht="12.3">
      <c r="A241" s="157"/>
      <c r="B241" s="157"/>
      <c r="C241" s="149"/>
      <c r="D241" s="149"/>
      <c r="E241" s="149"/>
      <c r="F241" s="149"/>
      <c r="G241" s="149"/>
      <c r="H241" s="149"/>
      <c r="I241" s="149"/>
      <c r="J241" s="149"/>
      <c r="K241" s="182"/>
      <c r="L241" s="149"/>
      <c r="M241" s="149"/>
      <c r="N241" s="149"/>
      <c r="O241" s="146"/>
      <c r="P241" s="146"/>
      <c r="Q241" s="146"/>
      <c r="R241" s="156"/>
      <c r="S241" s="146"/>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row>
    <row r="242" spans="1:44" ht="12.3">
      <c r="A242" s="157"/>
      <c r="B242" s="157"/>
      <c r="C242" s="149"/>
      <c r="D242" s="149"/>
      <c r="E242" s="149"/>
      <c r="F242" s="149"/>
      <c r="G242" s="149"/>
      <c r="H242" s="149"/>
      <c r="I242" s="149"/>
      <c r="J242" s="149"/>
      <c r="K242" s="182"/>
      <c r="L242" s="149"/>
      <c r="M242" s="149"/>
      <c r="N242" s="149"/>
      <c r="O242" s="146"/>
      <c r="P242" s="146"/>
      <c r="Q242" s="146"/>
      <c r="R242" s="156"/>
      <c r="S242" s="146"/>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row>
    <row r="243" spans="1:44" ht="12.3">
      <c r="A243" s="157"/>
      <c r="B243" s="157"/>
      <c r="C243" s="149"/>
      <c r="D243" s="149"/>
      <c r="E243" s="149"/>
      <c r="F243" s="149"/>
      <c r="G243" s="149"/>
      <c r="H243" s="149"/>
      <c r="I243" s="149"/>
      <c r="J243" s="149"/>
      <c r="K243" s="182"/>
      <c r="L243" s="149"/>
      <c r="M243" s="149"/>
      <c r="N243" s="149"/>
      <c r="O243" s="146"/>
      <c r="P243" s="146"/>
      <c r="Q243" s="146"/>
      <c r="R243" s="156"/>
      <c r="S243" s="146"/>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row>
    <row r="244" spans="1:44" ht="12.3">
      <c r="A244" s="157"/>
      <c r="B244" s="157"/>
      <c r="C244" s="149"/>
      <c r="D244" s="149"/>
      <c r="E244" s="149"/>
      <c r="F244" s="149"/>
      <c r="G244" s="149"/>
      <c r="H244" s="149"/>
      <c r="I244" s="149"/>
      <c r="J244" s="149"/>
      <c r="K244" s="182"/>
      <c r="L244" s="149"/>
      <c r="M244" s="149"/>
      <c r="N244" s="149"/>
      <c r="O244" s="146"/>
      <c r="P244" s="146"/>
      <c r="Q244" s="146"/>
      <c r="R244" s="156"/>
      <c r="S244" s="146"/>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row>
    <row r="245" spans="1:44" ht="12.3">
      <c r="A245" s="157"/>
      <c r="B245" s="157"/>
      <c r="C245" s="149"/>
      <c r="D245" s="149"/>
      <c r="E245" s="149"/>
      <c r="F245" s="149"/>
      <c r="G245" s="149"/>
      <c r="H245" s="149"/>
      <c r="I245" s="149"/>
      <c r="J245" s="149"/>
      <c r="K245" s="182"/>
      <c r="L245" s="149"/>
      <c r="M245" s="149"/>
      <c r="N245" s="149"/>
      <c r="O245" s="146"/>
      <c r="P245" s="146"/>
      <c r="Q245" s="146"/>
      <c r="R245" s="156"/>
      <c r="S245" s="146"/>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row>
    <row r="246" spans="1:44" ht="12.3">
      <c r="A246" s="157"/>
      <c r="B246" s="157"/>
      <c r="C246" s="149"/>
      <c r="D246" s="149"/>
      <c r="E246" s="149"/>
      <c r="F246" s="149"/>
      <c r="G246" s="149"/>
      <c r="H246" s="149"/>
      <c r="I246" s="149"/>
      <c r="J246" s="149"/>
      <c r="K246" s="182"/>
      <c r="L246" s="149"/>
      <c r="M246" s="149"/>
      <c r="N246" s="149"/>
      <c r="O246" s="146"/>
      <c r="P246" s="146"/>
      <c r="Q246" s="146"/>
      <c r="R246" s="156"/>
      <c r="S246" s="146"/>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row>
    <row r="247" spans="1:44" ht="12.3">
      <c r="A247" s="157"/>
      <c r="B247" s="157"/>
      <c r="C247" s="149"/>
      <c r="D247" s="149"/>
      <c r="E247" s="149"/>
      <c r="F247" s="149"/>
      <c r="G247" s="149"/>
      <c r="H247" s="149"/>
      <c r="I247" s="149"/>
      <c r="J247" s="149"/>
      <c r="K247" s="182"/>
      <c r="L247" s="149"/>
      <c r="M247" s="149"/>
      <c r="N247" s="149"/>
      <c r="O247" s="146"/>
      <c r="P247" s="146"/>
      <c r="Q247" s="146"/>
      <c r="R247" s="156"/>
      <c r="S247" s="146"/>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row>
    <row r="248" spans="1:44" ht="12.3">
      <c r="A248" s="157"/>
      <c r="B248" s="157"/>
      <c r="C248" s="149"/>
      <c r="D248" s="149"/>
      <c r="E248" s="149"/>
      <c r="F248" s="149"/>
      <c r="G248" s="149"/>
      <c r="H248" s="149"/>
      <c r="I248" s="149"/>
      <c r="J248" s="149"/>
      <c r="K248" s="182"/>
      <c r="L248" s="149"/>
      <c r="M248" s="149"/>
      <c r="N248" s="149"/>
      <c r="O248" s="146"/>
      <c r="P248" s="146"/>
      <c r="Q248" s="146"/>
      <c r="R248" s="156"/>
      <c r="S248" s="146"/>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row>
    <row r="249" spans="1:44" ht="12.3">
      <c r="A249" s="157"/>
      <c r="B249" s="157"/>
      <c r="C249" s="149"/>
      <c r="D249" s="149"/>
      <c r="E249" s="149"/>
      <c r="F249" s="149"/>
      <c r="G249" s="149"/>
      <c r="H249" s="149"/>
      <c r="I249" s="149"/>
      <c r="J249" s="149"/>
      <c r="K249" s="182"/>
      <c r="L249" s="149"/>
      <c r="M249" s="149"/>
      <c r="N249" s="149"/>
      <c r="O249" s="146"/>
      <c r="P249" s="146"/>
      <c r="Q249" s="146"/>
      <c r="R249" s="156"/>
      <c r="S249" s="146"/>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row>
    <row r="250" spans="1:44" ht="12.3">
      <c r="A250" s="157"/>
      <c r="B250" s="157"/>
      <c r="C250" s="149"/>
      <c r="D250" s="149"/>
      <c r="E250" s="149"/>
      <c r="F250" s="149"/>
      <c r="G250" s="149"/>
      <c r="H250" s="149"/>
      <c r="I250" s="149"/>
      <c r="J250" s="149"/>
      <c r="K250" s="182"/>
      <c r="L250" s="149"/>
      <c r="M250" s="149"/>
      <c r="N250" s="149"/>
      <c r="O250" s="146"/>
      <c r="P250" s="146"/>
      <c r="Q250" s="146"/>
      <c r="R250" s="156"/>
      <c r="S250" s="146"/>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row>
    <row r="251" spans="1:44" ht="12.3">
      <c r="A251" s="157"/>
      <c r="B251" s="157"/>
      <c r="C251" s="149"/>
      <c r="D251" s="149"/>
      <c r="E251" s="149"/>
      <c r="F251" s="149"/>
      <c r="G251" s="149"/>
      <c r="H251" s="149"/>
      <c r="I251" s="149"/>
      <c r="J251" s="149"/>
      <c r="K251" s="182"/>
      <c r="L251" s="149"/>
      <c r="M251" s="149"/>
      <c r="N251" s="149"/>
      <c r="O251" s="146"/>
      <c r="P251" s="146"/>
      <c r="Q251" s="146"/>
      <c r="R251" s="156"/>
      <c r="S251" s="146"/>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row>
    <row r="252" spans="1:44" ht="12.3">
      <c r="A252" s="157"/>
      <c r="B252" s="157"/>
      <c r="C252" s="149"/>
      <c r="D252" s="149"/>
      <c r="E252" s="149"/>
      <c r="F252" s="149"/>
      <c r="G252" s="149"/>
      <c r="H252" s="149"/>
      <c r="I252" s="149"/>
      <c r="J252" s="149"/>
      <c r="K252" s="182"/>
      <c r="L252" s="149"/>
      <c r="M252" s="149"/>
      <c r="N252" s="149"/>
      <c r="O252" s="146"/>
      <c r="P252" s="146"/>
      <c r="Q252" s="146"/>
      <c r="R252" s="156"/>
      <c r="S252" s="146"/>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row>
    <row r="253" spans="1:44" ht="12.3">
      <c r="A253" s="157"/>
      <c r="B253" s="157"/>
      <c r="C253" s="149"/>
      <c r="D253" s="149"/>
      <c r="E253" s="149"/>
      <c r="F253" s="149"/>
      <c r="G253" s="149"/>
      <c r="H253" s="149"/>
      <c r="I253" s="149"/>
      <c r="J253" s="149"/>
      <c r="K253" s="182"/>
      <c r="L253" s="149"/>
      <c r="M253" s="149"/>
      <c r="N253" s="149"/>
      <c r="O253" s="146"/>
      <c r="P253" s="146"/>
      <c r="Q253" s="146"/>
      <c r="R253" s="156"/>
      <c r="S253" s="146"/>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row>
    <row r="254" spans="1:44" ht="12.3">
      <c r="A254" s="157"/>
      <c r="B254" s="157"/>
      <c r="C254" s="149"/>
      <c r="D254" s="149"/>
      <c r="E254" s="149"/>
      <c r="F254" s="149"/>
      <c r="G254" s="149"/>
      <c r="H254" s="149"/>
      <c r="I254" s="149"/>
      <c r="J254" s="149"/>
      <c r="K254" s="182"/>
      <c r="L254" s="149"/>
      <c r="M254" s="149"/>
      <c r="N254" s="149"/>
      <c r="O254" s="146"/>
      <c r="P254" s="146"/>
      <c r="Q254" s="146"/>
      <c r="R254" s="156"/>
      <c r="S254" s="146"/>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row>
    <row r="255" spans="1:44" ht="12.3">
      <c r="A255" s="157"/>
      <c r="B255" s="157"/>
      <c r="C255" s="149"/>
      <c r="D255" s="149"/>
      <c r="E255" s="149"/>
      <c r="F255" s="149"/>
      <c r="G255" s="149"/>
      <c r="H255" s="149"/>
      <c r="I255" s="149"/>
      <c r="J255" s="149"/>
      <c r="K255" s="182"/>
      <c r="L255" s="149"/>
      <c r="M255" s="149"/>
      <c r="N255" s="149"/>
      <c r="O255" s="146"/>
      <c r="P255" s="146"/>
      <c r="Q255" s="146"/>
      <c r="R255" s="156"/>
      <c r="S255" s="146"/>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row>
    <row r="256" spans="1:44" ht="12.3">
      <c r="A256" s="157"/>
      <c r="B256" s="157"/>
      <c r="C256" s="149"/>
      <c r="D256" s="149"/>
      <c r="E256" s="149"/>
      <c r="F256" s="149"/>
      <c r="G256" s="149"/>
      <c r="H256" s="149"/>
      <c r="I256" s="149"/>
      <c r="J256" s="149"/>
      <c r="K256" s="182"/>
      <c r="L256" s="149"/>
      <c r="M256" s="149"/>
      <c r="N256" s="149"/>
      <c r="O256" s="146"/>
      <c r="P256" s="146"/>
      <c r="Q256" s="146"/>
      <c r="R256" s="156"/>
      <c r="S256" s="146"/>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row>
    <row r="257" spans="1:44" ht="12.3">
      <c r="A257" s="157"/>
      <c r="B257" s="157"/>
      <c r="C257" s="149"/>
      <c r="D257" s="149"/>
      <c r="E257" s="149"/>
      <c r="F257" s="149"/>
      <c r="G257" s="149"/>
      <c r="H257" s="149"/>
      <c r="I257" s="149"/>
      <c r="J257" s="149"/>
      <c r="K257" s="182"/>
      <c r="L257" s="149"/>
      <c r="M257" s="149"/>
      <c r="N257" s="149"/>
      <c r="O257" s="146"/>
      <c r="P257" s="146"/>
      <c r="Q257" s="146"/>
      <c r="R257" s="156"/>
      <c r="S257" s="146"/>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row>
    <row r="258" spans="1:44" ht="12.3">
      <c r="A258" s="157"/>
      <c r="B258" s="157"/>
      <c r="C258" s="149"/>
      <c r="D258" s="149"/>
      <c r="E258" s="149"/>
      <c r="F258" s="149"/>
      <c r="G258" s="149"/>
      <c r="H258" s="149"/>
      <c r="I258" s="149"/>
      <c r="J258" s="149"/>
      <c r="K258" s="182"/>
      <c r="L258" s="149"/>
      <c r="M258" s="149"/>
      <c r="N258" s="149"/>
      <c r="O258" s="146"/>
      <c r="P258" s="146"/>
      <c r="Q258" s="146"/>
      <c r="R258" s="156"/>
      <c r="S258" s="146"/>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row>
    <row r="259" spans="1:44" ht="12.3">
      <c r="A259" s="157"/>
      <c r="B259" s="157"/>
      <c r="C259" s="149"/>
      <c r="D259" s="149"/>
      <c r="E259" s="149"/>
      <c r="F259" s="149"/>
      <c r="G259" s="149"/>
      <c r="H259" s="149"/>
      <c r="I259" s="149"/>
      <c r="J259" s="149"/>
      <c r="K259" s="182"/>
      <c r="L259" s="149"/>
      <c r="M259" s="149"/>
      <c r="N259" s="149"/>
      <c r="O259" s="146"/>
      <c r="P259" s="146"/>
      <c r="Q259" s="146"/>
      <c r="R259" s="156"/>
      <c r="S259" s="146"/>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row>
    <row r="260" spans="1:44" ht="12.3">
      <c r="A260" s="157"/>
      <c r="B260" s="157"/>
      <c r="C260" s="149"/>
      <c r="D260" s="149"/>
      <c r="E260" s="149"/>
      <c r="F260" s="149"/>
      <c r="G260" s="149"/>
      <c r="H260" s="149"/>
      <c r="I260" s="149"/>
      <c r="J260" s="149"/>
      <c r="K260" s="182"/>
      <c r="L260" s="149"/>
      <c r="M260" s="149"/>
      <c r="N260" s="149"/>
      <c r="O260" s="146"/>
      <c r="P260" s="146"/>
      <c r="Q260" s="146"/>
      <c r="R260" s="156"/>
      <c r="S260" s="146"/>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row>
    <row r="261" spans="1:44" ht="12.3">
      <c r="A261" s="157"/>
      <c r="B261" s="157"/>
      <c r="C261" s="149"/>
      <c r="D261" s="149"/>
      <c r="E261" s="149"/>
      <c r="F261" s="149"/>
      <c r="G261" s="149"/>
      <c r="H261" s="149"/>
      <c r="I261" s="149"/>
      <c r="J261" s="149"/>
      <c r="K261" s="182"/>
      <c r="L261" s="149"/>
      <c r="M261" s="149"/>
      <c r="N261" s="149"/>
      <c r="O261" s="146"/>
      <c r="P261" s="146"/>
      <c r="Q261" s="146"/>
      <c r="R261" s="156"/>
      <c r="S261" s="146"/>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row>
    <row r="262" spans="1:44" ht="12.3">
      <c r="A262" s="157"/>
      <c r="B262" s="157"/>
      <c r="C262" s="149"/>
      <c r="D262" s="149"/>
      <c r="E262" s="149"/>
      <c r="F262" s="149"/>
      <c r="G262" s="149"/>
      <c r="H262" s="149"/>
      <c r="I262" s="149"/>
      <c r="J262" s="149"/>
      <c r="K262" s="182"/>
      <c r="L262" s="149"/>
      <c r="M262" s="149"/>
      <c r="N262" s="149"/>
      <c r="O262" s="146"/>
      <c r="P262" s="146"/>
      <c r="Q262" s="146"/>
      <c r="R262" s="156"/>
      <c r="S262" s="146"/>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row>
    <row r="263" spans="1:44" ht="12.3">
      <c r="A263" s="157"/>
      <c r="B263" s="157"/>
      <c r="C263" s="149"/>
      <c r="D263" s="149"/>
      <c r="E263" s="149"/>
      <c r="F263" s="149"/>
      <c r="G263" s="149"/>
      <c r="H263" s="149"/>
      <c r="I263" s="149"/>
      <c r="J263" s="149"/>
      <c r="K263" s="182"/>
      <c r="L263" s="149"/>
      <c r="M263" s="149"/>
      <c r="N263" s="149"/>
      <c r="O263" s="146"/>
      <c r="P263" s="146"/>
      <c r="Q263" s="146"/>
      <c r="R263" s="156"/>
      <c r="S263" s="146"/>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row>
    <row r="264" spans="1:44" ht="12.3">
      <c r="A264" s="157"/>
      <c r="B264" s="157"/>
      <c r="C264" s="149"/>
      <c r="D264" s="149"/>
      <c r="E264" s="149"/>
      <c r="F264" s="149"/>
      <c r="G264" s="149"/>
      <c r="H264" s="149"/>
      <c r="I264" s="149"/>
      <c r="J264" s="149"/>
      <c r="K264" s="182"/>
      <c r="L264" s="149"/>
      <c r="M264" s="149"/>
      <c r="N264" s="149"/>
      <c r="O264" s="146"/>
      <c r="P264" s="146"/>
      <c r="Q264" s="146"/>
      <c r="R264" s="156"/>
      <c r="S264" s="146"/>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row>
    <row r="265" spans="1:44" ht="12.3">
      <c r="A265" s="157"/>
      <c r="B265" s="157"/>
      <c r="C265" s="149"/>
      <c r="D265" s="149"/>
      <c r="E265" s="149"/>
      <c r="F265" s="149"/>
      <c r="G265" s="149"/>
      <c r="H265" s="149"/>
      <c r="I265" s="149"/>
      <c r="J265" s="149"/>
      <c r="K265" s="182"/>
      <c r="L265" s="149"/>
      <c r="M265" s="149"/>
      <c r="N265" s="149"/>
      <c r="O265" s="146"/>
      <c r="P265" s="146"/>
      <c r="Q265" s="146"/>
      <c r="R265" s="156"/>
      <c r="S265" s="146"/>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row>
    <row r="266" spans="1:44" ht="12.3">
      <c r="A266" s="157"/>
      <c r="B266" s="157"/>
      <c r="C266" s="149"/>
      <c r="D266" s="149"/>
      <c r="E266" s="149"/>
      <c r="F266" s="149"/>
      <c r="G266" s="149"/>
      <c r="H266" s="149"/>
      <c r="I266" s="149"/>
      <c r="J266" s="149"/>
      <c r="K266" s="182"/>
      <c r="L266" s="149"/>
      <c r="M266" s="149"/>
      <c r="N266" s="149"/>
      <c r="O266" s="146"/>
      <c r="P266" s="146"/>
      <c r="Q266" s="146"/>
      <c r="R266" s="156"/>
      <c r="S266" s="146"/>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row>
    <row r="267" spans="1:44" ht="12.3">
      <c r="A267" s="157"/>
      <c r="B267" s="157"/>
      <c r="C267" s="149"/>
      <c r="D267" s="149"/>
      <c r="E267" s="149"/>
      <c r="F267" s="149"/>
      <c r="G267" s="149"/>
      <c r="H267" s="149"/>
      <c r="I267" s="149"/>
      <c r="J267" s="149"/>
      <c r="K267" s="182"/>
      <c r="L267" s="149"/>
      <c r="M267" s="149"/>
      <c r="N267" s="149"/>
      <c r="O267" s="146"/>
      <c r="P267" s="146"/>
      <c r="Q267" s="146"/>
      <c r="R267" s="156"/>
      <c r="S267" s="146"/>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row>
    <row r="268" spans="1:44" ht="12.3">
      <c r="A268" s="157"/>
      <c r="B268" s="157"/>
      <c r="C268" s="149"/>
      <c r="D268" s="149"/>
      <c r="E268" s="149"/>
      <c r="F268" s="149"/>
      <c r="G268" s="149"/>
      <c r="H268" s="149"/>
      <c r="I268" s="149"/>
      <c r="J268" s="149"/>
      <c r="K268" s="182"/>
      <c r="L268" s="149"/>
      <c r="M268" s="149"/>
      <c r="N268" s="149"/>
      <c r="O268" s="146"/>
      <c r="P268" s="146"/>
      <c r="Q268" s="146"/>
      <c r="R268" s="156"/>
      <c r="S268" s="146"/>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row>
    <row r="269" spans="1:44" ht="12.3">
      <c r="A269" s="157"/>
      <c r="B269" s="157"/>
      <c r="C269" s="149"/>
      <c r="D269" s="149"/>
      <c r="E269" s="149"/>
      <c r="F269" s="149"/>
      <c r="G269" s="149"/>
      <c r="H269" s="149"/>
      <c r="I269" s="149"/>
      <c r="J269" s="149"/>
      <c r="K269" s="182"/>
      <c r="L269" s="149"/>
      <c r="M269" s="149"/>
      <c r="N269" s="149"/>
      <c r="O269" s="146"/>
      <c r="P269" s="146"/>
      <c r="Q269" s="146"/>
      <c r="R269" s="156"/>
      <c r="S269" s="146"/>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row>
    <row r="270" spans="1:44" ht="12.3">
      <c r="A270" s="157"/>
      <c r="B270" s="157"/>
      <c r="C270" s="149"/>
      <c r="D270" s="149"/>
      <c r="E270" s="149"/>
      <c r="F270" s="149"/>
      <c r="G270" s="149"/>
      <c r="H270" s="149"/>
      <c r="I270" s="149"/>
      <c r="J270" s="149"/>
      <c r="K270" s="182"/>
      <c r="L270" s="149"/>
      <c r="M270" s="149"/>
      <c r="N270" s="149"/>
      <c r="O270" s="146"/>
      <c r="P270" s="146"/>
      <c r="Q270" s="146"/>
      <c r="R270" s="156"/>
      <c r="S270" s="146"/>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row>
    <row r="271" spans="1:44" ht="12.3">
      <c r="A271" s="157"/>
      <c r="B271" s="157"/>
      <c r="C271" s="149"/>
      <c r="D271" s="149"/>
      <c r="E271" s="149"/>
      <c r="F271" s="149"/>
      <c r="G271" s="149"/>
      <c r="H271" s="149"/>
      <c r="I271" s="149"/>
      <c r="J271" s="149"/>
      <c r="K271" s="182"/>
      <c r="L271" s="149"/>
      <c r="M271" s="149"/>
      <c r="N271" s="149"/>
      <c r="O271" s="146"/>
      <c r="P271" s="146"/>
      <c r="Q271" s="146"/>
      <c r="R271" s="156"/>
      <c r="S271" s="146"/>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row>
    <row r="272" spans="1:44" ht="12.3">
      <c r="A272" s="157"/>
      <c r="B272" s="157"/>
      <c r="C272" s="149"/>
      <c r="D272" s="149"/>
      <c r="E272" s="149"/>
      <c r="F272" s="149"/>
      <c r="G272" s="149"/>
      <c r="H272" s="149"/>
      <c r="I272" s="149"/>
      <c r="J272" s="149"/>
      <c r="K272" s="182"/>
      <c r="L272" s="149"/>
      <c r="M272" s="149"/>
      <c r="N272" s="149"/>
      <c r="O272" s="146"/>
      <c r="P272" s="146"/>
      <c r="Q272" s="146"/>
      <c r="R272" s="156"/>
      <c r="S272" s="146"/>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row>
    <row r="273" spans="1:44" ht="12.3">
      <c r="A273" s="157"/>
      <c r="B273" s="157"/>
      <c r="C273" s="149"/>
      <c r="D273" s="149"/>
      <c r="E273" s="149"/>
      <c r="F273" s="149"/>
      <c r="G273" s="149"/>
      <c r="H273" s="149"/>
      <c r="I273" s="149"/>
      <c r="J273" s="149"/>
      <c r="K273" s="182"/>
      <c r="L273" s="149"/>
      <c r="M273" s="149"/>
      <c r="N273" s="149"/>
      <c r="O273" s="146"/>
      <c r="P273" s="146"/>
      <c r="Q273" s="146"/>
      <c r="R273" s="156"/>
      <c r="S273" s="146"/>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row>
    <row r="274" spans="1:44" ht="12.3">
      <c r="A274" s="157"/>
      <c r="B274" s="157"/>
      <c r="C274" s="149"/>
      <c r="D274" s="149"/>
      <c r="E274" s="149"/>
      <c r="F274" s="149"/>
      <c r="G274" s="149"/>
      <c r="H274" s="149"/>
      <c r="I274" s="149"/>
      <c r="J274" s="149"/>
      <c r="K274" s="182"/>
      <c r="L274" s="149"/>
      <c r="M274" s="149"/>
      <c r="N274" s="149"/>
      <c r="O274" s="146"/>
      <c r="P274" s="146"/>
      <c r="Q274" s="146"/>
      <c r="R274" s="156"/>
      <c r="S274" s="146"/>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row>
    <row r="275" spans="1:44" ht="12.3">
      <c r="A275" s="157"/>
      <c r="B275" s="157"/>
      <c r="C275" s="149"/>
      <c r="D275" s="149"/>
      <c r="E275" s="149"/>
      <c r="F275" s="149"/>
      <c r="G275" s="149"/>
      <c r="H275" s="149"/>
      <c r="I275" s="149"/>
      <c r="J275" s="149"/>
      <c r="K275" s="182"/>
      <c r="L275" s="149"/>
      <c r="M275" s="149"/>
      <c r="N275" s="149"/>
      <c r="O275" s="146"/>
      <c r="P275" s="146"/>
      <c r="Q275" s="146"/>
      <c r="R275" s="156"/>
      <c r="S275" s="146"/>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row>
    <row r="276" spans="1:44" ht="12.3">
      <c r="A276" s="157"/>
      <c r="B276" s="157"/>
      <c r="C276" s="149"/>
      <c r="D276" s="149"/>
      <c r="E276" s="149"/>
      <c r="F276" s="149"/>
      <c r="G276" s="149"/>
      <c r="H276" s="149"/>
      <c r="I276" s="149"/>
      <c r="J276" s="149"/>
      <c r="K276" s="182"/>
      <c r="L276" s="149"/>
      <c r="M276" s="149"/>
      <c r="N276" s="149"/>
      <c r="O276" s="146"/>
      <c r="P276" s="146"/>
      <c r="Q276" s="146"/>
      <c r="R276" s="156"/>
      <c r="S276" s="146"/>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row>
    <row r="277" spans="1:44" ht="12.3">
      <c r="A277" s="157"/>
      <c r="B277" s="157"/>
      <c r="C277" s="149"/>
      <c r="D277" s="149"/>
      <c r="E277" s="149"/>
      <c r="F277" s="149"/>
      <c r="G277" s="149"/>
      <c r="H277" s="149"/>
      <c r="I277" s="149"/>
      <c r="J277" s="149"/>
      <c r="K277" s="182"/>
      <c r="L277" s="149"/>
      <c r="M277" s="149"/>
      <c r="N277" s="149"/>
      <c r="O277" s="146"/>
      <c r="P277" s="146"/>
      <c r="Q277" s="146"/>
      <c r="R277" s="156"/>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row>
    <row r="278" spans="1:44" ht="12.3">
      <c r="A278" s="157"/>
      <c r="B278" s="157"/>
      <c r="C278" s="149"/>
      <c r="D278" s="149"/>
      <c r="E278" s="149"/>
      <c r="F278" s="149"/>
      <c r="G278" s="149"/>
      <c r="H278" s="149"/>
      <c r="I278" s="149"/>
      <c r="J278" s="149"/>
      <c r="K278" s="182"/>
      <c r="L278" s="149"/>
      <c r="M278" s="149"/>
      <c r="N278" s="149"/>
      <c r="O278" s="146"/>
      <c r="P278" s="146"/>
      <c r="Q278" s="146"/>
      <c r="R278" s="156"/>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row>
    <row r="279" spans="1:44" ht="12.3">
      <c r="A279" s="157"/>
      <c r="B279" s="157"/>
      <c r="C279" s="149"/>
      <c r="D279" s="149"/>
      <c r="E279" s="149"/>
      <c r="F279" s="149"/>
      <c r="G279" s="149"/>
      <c r="H279" s="149"/>
      <c r="I279" s="149"/>
      <c r="J279" s="149"/>
      <c r="K279" s="182"/>
      <c r="L279" s="149"/>
      <c r="M279" s="149"/>
      <c r="N279" s="149"/>
      <c r="O279" s="146"/>
      <c r="P279" s="146"/>
      <c r="Q279" s="146"/>
      <c r="R279" s="156"/>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row>
    <row r="280" spans="1:44" ht="12.3">
      <c r="A280" s="157"/>
      <c r="B280" s="157"/>
      <c r="C280" s="149"/>
      <c r="D280" s="149"/>
      <c r="E280" s="149"/>
      <c r="F280" s="149"/>
      <c r="G280" s="149"/>
      <c r="H280" s="149"/>
      <c r="I280" s="149"/>
      <c r="J280" s="149"/>
      <c r="K280" s="182"/>
      <c r="L280" s="149"/>
      <c r="M280" s="149"/>
      <c r="N280" s="149"/>
      <c r="O280" s="146"/>
      <c r="P280" s="146"/>
      <c r="Q280" s="146"/>
      <c r="R280" s="156"/>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row>
    <row r="281" spans="1:44" ht="12.3">
      <c r="A281" s="157"/>
      <c r="B281" s="157"/>
      <c r="C281" s="149"/>
      <c r="D281" s="149"/>
      <c r="E281" s="149"/>
      <c r="F281" s="149"/>
      <c r="G281" s="149"/>
      <c r="H281" s="149"/>
      <c r="I281" s="149"/>
      <c r="J281" s="149"/>
      <c r="K281" s="182"/>
      <c r="L281" s="149"/>
      <c r="M281" s="149"/>
      <c r="N281" s="149"/>
      <c r="O281" s="146"/>
      <c r="P281" s="146"/>
      <c r="Q281" s="146"/>
      <c r="R281" s="156"/>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row>
    <row r="282" spans="1:44" ht="12.3">
      <c r="A282" s="157"/>
      <c r="B282" s="157"/>
      <c r="C282" s="149"/>
      <c r="D282" s="149"/>
      <c r="E282" s="149"/>
      <c r="F282" s="149"/>
      <c r="G282" s="149"/>
      <c r="H282" s="149"/>
      <c r="I282" s="149"/>
      <c r="J282" s="149"/>
      <c r="K282" s="182"/>
      <c r="L282" s="149"/>
      <c r="M282" s="149"/>
      <c r="N282" s="149"/>
      <c r="O282" s="146"/>
      <c r="P282" s="146"/>
      <c r="Q282" s="146"/>
      <c r="R282" s="156"/>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row>
    <row r="283" spans="1:44" ht="12.3">
      <c r="A283" s="157"/>
      <c r="B283" s="157"/>
      <c r="C283" s="149"/>
      <c r="D283" s="149"/>
      <c r="E283" s="149"/>
      <c r="F283" s="149"/>
      <c r="G283" s="149"/>
      <c r="H283" s="149"/>
      <c r="I283" s="149"/>
      <c r="J283" s="149"/>
      <c r="K283" s="182"/>
      <c r="L283" s="149"/>
      <c r="M283" s="149"/>
      <c r="N283" s="149"/>
      <c r="O283" s="146"/>
      <c r="P283" s="146"/>
      <c r="Q283" s="146"/>
      <c r="R283" s="156"/>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row>
    <row r="284" spans="1:44" ht="12.3">
      <c r="A284" s="157"/>
      <c r="B284" s="157"/>
      <c r="C284" s="149"/>
      <c r="D284" s="149"/>
      <c r="E284" s="149"/>
      <c r="F284" s="149"/>
      <c r="G284" s="149"/>
      <c r="H284" s="149"/>
      <c r="I284" s="149"/>
      <c r="J284" s="149"/>
      <c r="K284" s="182"/>
      <c r="L284" s="149"/>
      <c r="M284" s="149"/>
      <c r="N284" s="149"/>
      <c r="O284" s="146"/>
      <c r="P284" s="146"/>
      <c r="Q284" s="146"/>
      <c r="R284" s="156"/>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row>
    <row r="285" spans="1:44" ht="12.3">
      <c r="A285" s="157"/>
      <c r="B285" s="157"/>
      <c r="C285" s="149"/>
      <c r="D285" s="149"/>
      <c r="E285" s="149"/>
      <c r="F285" s="149"/>
      <c r="G285" s="149"/>
      <c r="H285" s="149"/>
      <c r="I285" s="149"/>
      <c r="J285" s="149"/>
      <c r="K285" s="182"/>
      <c r="L285" s="149"/>
      <c r="M285" s="149"/>
      <c r="N285" s="149"/>
      <c r="O285" s="146"/>
      <c r="P285" s="146"/>
      <c r="Q285" s="146"/>
      <c r="R285" s="156"/>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row>
    <row r="286" spans="1:44" ht="12.3">
      <c r="A286" s="157"/>
      <c r="B286" s="157"/>
      <c r="C286" s="149"/>
      <c r="D286" s="149"/>
      <c r="E286" s="149"/>
      <c r="F286" s="149"/>
      <c r="G286" s="149"/>
      <c r="H286" s="149"/>
      <c r="I286" s="149"/>
      <c r="J286" s="149"/>
      <c r="K286" s="182"/>
      <c r="L286" s="149"/>
      <c r="M286" s="149"/>
      <c r="N286" s="149"/>
      <c r="O286" s="146"/>
      <c r="P286" s="146"/>
      <c r="Q286" s="146"/>
      <c r="R286" s="156"/>
      <c r="S286" s="146"/>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row>
    <row r="287" spans="1:44" ht="12.3">
      <c r="A287" s="157"/>
      <c r="B287" s="157"/>
      <c r="C287" s="149"/>
      <c r="D287" s="149"/>
      <c r="E287" s="149"/>
      <c r="F287" s="149"/>
      <c r="G287" s="149"/>
      <c r="H287" s="149"/>
      <c r="I287" s="149"/>
      <c r="J287" s="149"/>
      <c r="K287" s="182"/>
      <c r="L287" s="149"/>
      <c r="M287" s="149"/>
      <c r="N287" s="149"/>
      <c r="O287" s="146"/>
      <c r="P287" s="146"/>
      <c r="Q287" s="146"/>
      <c r="R287" s="156"/>
      <c r="S287" s="146"/>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row>
    <row r="288" spans="1:44" ht="12.3">
      <c r="A288" s="157"/>
      <c r="B288" s="157"/>
      <c r="C288" s="149"/>
      <c r="D288" s="149"/>
      <c r="E288" s="149"/>
      <c r="F288" s="149"/>
      <c r="G288" s="149"/>
      <c r="H288" s="149"/>
      <c r="I288" s="149"/>
      <c r="J288" s="149"/>
      <c r="K288" s="182"/>
      <c r="L288" s="149"/>
      <c r="M288" s="149"/>
      <c r="N288" s="149"/>
      <c r="O288" s="146"/>
      <c r="P288" s="146"/>
      <c r="Q288" s="146"/>
      <c r="R288" s="156"/>
      <c r="S288" s="146"/>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row>
    <row r="289" spans="1:44" ht="12.3">
      <c r="A289" s="157"/>
      <c r="B289" s="157"/>
      <c r="C289" s="149"/>
      <c r="D289" s="149"/>
      <c r="E289" s="149"/>
      <c r="F289" s="149"/>
      <c r="G289" s="149"/>
      <c r="H289" s="149"/>
      <c r="I289" s="149"/>
      <c r="J289" s="149"/>
      <c r="K289" s="182"/>
      <c r="L289" s="149"/>
      <c r="M289" s="149"/>
      <c r="N289" s="149"/>
      <c r="O289" s="146"/>
      <c r="P289" s="146"/>
      <c r="Q289" s="146"/>
      <c r="R289" s="156"/>
      <c r="S289" s="146"/>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row>
    <row r="290" spans="1:44" ht="12.3">
      <c r="A290" s="157"/>
      <c r="B290" s="157"/>
      <c r="C290" s="149"/>
      <c r="D290" s="149"/>
      <c r="E290" s="149"/>
      <c r="F290" s="149"/>
      <c r="G290" s="149"/>
      <c r="H290" s="149"/>
      <c r="I290" s="149"/>
      <c r="J290" s="149"/>
      <c r="K290" s="182"/>
      <c r="L290" s="149"/>
      <c r="M290" s="149"/>
      <c r="N290" s="149"/>
      <c r="O290" s="146"/>
      <c r="P290" s="146"/>
      <c r="Q290" s="146"/>
      <c r="R290" s="156"/>
      <c r="S290" s="146"/>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row>
    <row r="291" spans="1:44" ht="12.3">
      <c r="A291" s="157"/>
      <c r="B291" s="157"/>
      <c r="C291" s="149"/>
      <c r="D291" s="149"/>
      <c r="E291" s="149"/>
      <c r="F291" s="149"/>
      <c r="G291" s="149"/>
      <c r="H291" s="149"/>
      <c r="I291" s="149"/>
      <c r="J291" s="149"/>
      <c r="K291" s="182"/>
      <c r="L291" s="149"/>
      <c r="M291" s="149"/>
      <c r="N291" s="149"/>
      <c r="O291" s="146"/>
      <c r="P291" s="146"/>
      <c r="Q291" s="146"/>
      <c r="R291" s="156"/>
      <c r="S291" s="146"/>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row>
    <row r="292" spans="1:44" ht="12.3">
      <c r="A292" s="157"/>
      <c r="B292" s="157"/>
      <c r="C292" s="149"/>
      <c r="D292" s="149"/>
      <c r="E292" s="149"/>
      <c r="F292" s="149"/>
      <c r="G292" s="149"/>
      <c r="H292" s="149"/>
      <c r="I292" s="149"/>
      <c r="J292" s="149"/>
      <c r="K292" s="182"/>
      <c r="L292" s="149"/>
      <c r="M292" s="149"/>
      <c r="N292" s="149"/>
      <c r="O292" s="146"/>
      <c r="P292" s="146"/>
      <c r="Q292" s="146"/>
      <c r="R292" s="156"/>
      <c r="S292" s="146"/>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row>
    <row r="293" spans="1:44" ht="12.3">
      <c r="A293" s="157"/>
      <c r="B293" s="157"/>
      <c r="C293" s="149"/>
      <c r="D293" s="149"/>
      <c r="E293" s="149"/>
      <c r="F293" s="149"/>
      <c r="G293" s="149"/>
      <c r="H293" s="149"/>
      <c r="I293" s="149"/>
      <c r="J293" s="149"/>
      <c r="K293" s="182"/>
      <c r="L293" s="149"/>
      <c r="M293" s="149"/>
      <c r="N293" s="149"/>
      <c r="O293" s="146"/>
      <c r="P293" s="146"/>
      <c r="Q293" s="146"/>
      <c r="R293" s="156"/>
      <c r="S293" s="146"/>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row>
    <row r="294" spans="1:44" ht="12.3">
      <c r="A294" s="157"/>
      <c r="B294" s="157"/>
      <c r="C294" s="149"/>
      <c r="D294" s="149"/>
      <c r="E294" s="149"/>
      <c r="F294" s="149"/>
      <c r="G294" s="149"/>
      <c r="H294" s="149"/>
      <c r="I294" s="149"/>
      <c r="J294" s="149"/>
      <c r="K294" s="182"/>
      <c r="L294" s="149"/>
      <c r="M294" s="149"/>
      <c r="N294" s="149"/>
      <c r="O294" s="146"/>
      <c r="P294" s="146"/>
      <c r="Q294" s="146"/>
      <c r="R294" s="156"/>
      <c r="S294" s="146"/>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row>
    <row r="295" spans="1:44" ht="12.3">
      <c r="A295" s="157"/>
      <c r="B295" s="157"/>
      <c r="C295" s="149"/>
      <c r="D295" s="149"/>
      <c r="E295" s="149"/>
      <c r="F295" s="149"/>
      <c r="G295" s="149"/>
      <c r="H295" s="149"/>
      <c r="I295" s="149"/>
      <c r="J295" s="149"/>
      <c r="K295" s="182"/>
      <c r="L295" s="149"/>
      <c r="M295" s="149"/>
      <c r="N295" s="149"/>
      <c r="O295" s="146"/>
      <c r="P295" s="146"/>
      <c r="Q295" s="146"/>
      <c r="R295" s="156"/>
      <c r="S295" s="146"/>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row>
    <row r="296" spans="1:44" ht="12.3">
      <c r="A296" s="157"/>
      <c r="B296" s="157"/>
      <c r="C296" s="149"/>
      <c r="D296" s="149"/>
      <c r="E296" s="149"/>
      <c r="F296" s="149"/>
      <c r="G296" s="149"/>
      <c r="H296" s="149"/>
      <c r="I296" s="149"/>
      <c r="J296" s="149"/>
      <c r="K296" s="182"/>
      <c r="L296" s="149"/>
      <c r="M296" s="149"/>
      <c r="N296" s="149"/>
      <c r="O296" s="146"/>
      <c r="P296" s="146"/>
      <c r="Q296" s="146"/>
      <c r="R296" s="156"/>
      <c r="S296" s="146"/>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row>
    <row r="297" spans="1:44" ht="12.3">
      <c r="A297" s="157"/>
      <c r="B297" s="157"/>
      <c r="C297" s="149"/>
      <c r="D297" s="149"/>
      <c r="E297" s="149"/>
      <c r="F297" s="149"/>
      <c r="G297" s="149"/>
      <c r="H297" s="149"/>
      <c r="I297" s="149"/>
      <c r="J297" s="149"/>
      <c r="K297" s="182"/>
      <c r="L297" s="149"/>
      <c r="M297" s="149"/>
      <c r="N297" s="149"/>
      <c r="O297" s="146"/>
      <c r="P297" s="146"/>
      <c r="Q297" s="146"/>
      <c r="R297" s="156"/>
      <c r="S297" s="146"/>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row>
    <row r="298" spans="1:44" ht="12.3">
      <c r="A298" s="157"/>
      <c r="B298" s="157"/>
      <c r="C298" s="149"/>
      <c r="D298" s="149"/>
      <c r="E298" s="149"/>
      <c r="F298" s="149"/>
      <c r="G298" s="149"/>
      <c r="H298" s="149"/>
      <c r="I298" s="149"/>
      <c r="J298" s="149"/>
      <c r="K298" s="182"/>
      <c r="L298" s="149"/>
      <c r="M298" s="149"/>
      <c r="N298" s="149"/>
      <c r="O298" s="146"/>
      <c r="P298" s="146"/>
      <c r="Q298" s="146"/>
      <c r="R298" s="156"/>
      <c r="S298" s="146"/>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row>
    <row r="299" spans="1:44" ht="12.3">
      <c r="A299" s="157"/>
      <c r="B299" s="157"/>
      <c r="C299" s="149"/>
      <c r="D299" s="149"/>
      <c r="E299" s="149"/>
      <c r="F299" s="149"/>
      <c r="G299" s="149"/>
      <c r="H299" s="149"/>
      <c r="I299" s="149"/>
      <c r="J299" s="149"/>
      <c r="K299" s="182"/>
      <c r="L299" s="149"/>
      <c r="M299" s="149"/>
      <c r="N299" s="149"/>
      <c r="O299" s="146"/>
      <c r="P299" s="146"/>
      <c r="Q299" s="146"/>
      <c r="R299" s="156"/>
      <c r="S299" s="146"/>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row>
    <row r="300" spans="1:44" ht="12.3">
      <c r="A300" s="157"/>
      <c r="B300" s="157"/>
      <c r="C300" s="149"/>
      <c r="D300" s="149"/>
      <c r="E300" s="149"/>
      <c r="F300" s="149"/>
      <c r="G300" s="149"/>
      <c r="H300" s="149"/>
      <c r="I300" s="149"/>
      <c r="J300" s="149"/>
      <c r="K300" s="182"/>
      <c r="L300" s="149"/>
      <c r="M300" s="149"/>
      <c r="N300" s="149"/>
      <c r="O300" s="146"/>
      <c r="P300" s="146"/>
      <c r="Q300" s="146"/>
      <c r="R300" s="156"/>
      <c r="S300" s="146"/>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row>
    <row r="301" spans="1:44" ht="12.3">
      <c r="A301" s="157"/>
      <c r="B301" s="157"/>
      <c r="C301" s="149"/>
      <c r="D301" s="149"/>
      <c r="E301" s="149"/>
      <c r="F301" s="149"/>
      <c r="G301" s="149"/>
      <c r="H301" s="149"/>
      <c r="I301" s="149"/>
      <c r="J301" s="149"/>
      <c r="K301" s="182"/>
      <c r="L301" s="149"/>
      <c r="M301" s="149"/>
      <c r="N301" s="149"/>
      <c r="O301" s="146"/>
      <c r="P301" s="146"/>
      <c r="Q301" s="146"/>
      <c r="R301" s="156"/>
      <c r="S301" s="146"/>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row>
    <row r="302" spans="1:44" ht="12.3">
      <c r="A302" s="157"/>
      <c r="B302" s="157"/>
      <c r="C302" s="149"/>
      <c r="D302" s="149"/>
      <c r="E302" s="149"/>
      <c r="F302" s="149"/>
      <c r="G302" s="149"/>
      <c r="H302" s="149"/>
      <c r="I302" s="149"/>
      <c r="J302" s="149"/>
      <c r="K302" s="182"/>
      <c r="L302" s="149"/>
      <c r="M302" s="149"/>
      <c r="N302" s="149"/>
      <c r="O302" s="146"/>
      <c r="P302" s="146"/>
      <c r="Q302" s="146"/>
      <c r="R302" s="156"/>
      <c r="S302" s="146"/>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row>
    <row r="303" spans="1:44" ht="12.3">
      <c r="A303" s="157"/>
      <c r="B303" s="157"/>
      <c r="C303" s="149"/>
      <c r="D303" s="149"/>
      <c r="E303" s="149"/>
      <c r="F303" s="149"/>
      <c r="G303" s="149"/>
      <c r="H303" s="149"/>
      <c r="I303" s="149"/>
      <c r="J303" s="149"/>
      <c r="K303" s="182"/>
      <c r="L303" s="149"/>
      <c r="M303" s="149"/>
      <c r="N303" s="149"/>
      <c r="O303" s="146"/>
      <c r="P303" s="146"/>
      <c r="Q303" s="146"/>
      <c r="R303" s="156"/>
      <c r="S303" s="146"/>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row>
    <row r="304" spans="1:44" ht="12.3">
      <c r="A304" s="157"/>
      <c r="B304" s="157"/>
      <c r="C304" s="149"/>
      <c r="D304" s="149"/>
      <c r="E304" s="149"/>
      <c r="F304" s="149"/>
      <c r="G304" s="149"/>
      <c r="H304" s="149"/>
      <c r="I304" s="149"/>
      <c r="J304" s="149"/>
      <c r="K304" s="182"/>
      <c r="L304" s="149"/>
      <c r="M304" s="149"/>
      <c r="N304" s="149"/>
      <c r="O304" s="146"/>
      <c r="P304" s="146"/>
      <c r="Q304" s="146"/>
      <c r="R304" s="156"/>
      <c r="S304" s="146"/>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row>
    <row r="305" spans="1:44" ht="12.3">
      <c r="A305" s="157"/>
      <c r="B305" s="157"/>
      <c r="C305" s="149"/>
      <c r="D305" s="149"/>
      <c r="E305" s="149"/>
      <c r="F305" s="149"/>
      <c r="G305" s="149"/>
      <c r="H305" s="149"/>
      <c r="I305" s="149"/>
      <c r="J305" s="149"/>
      <c r="K305" s="182"/>
      <c r="L305" s="149"/>
      <c r="M305" s="149"/>
      <c r="N305" s="149"/>
      <c r="O305" s="146"/>
      <c r="P305" s="146"/>
      <c r="Q305" s="146"/>
      <c r="R305" s="156"/>
      <c r="S305" s="146"/>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row>
    <row r="306" spans="1:44" ht="12.3">
      <c r="A306" s="157"/>
      <c r="B306" s="157"/>
      <c r="C306" s="149"/>
      <c r="D306" s="149"/>
      <c r="E306" s="149"/>
      <c r="F306" s="149"/>
      <c r="G306" s="149"/>
      <c r="H306" s="149"/>
      <c r="I306" s="149"/>
      <c r="J306" s="149"/>
      <c r="K306" s="182"/>
      <c r="L306" s="149"/>
      <c r="M306" s="149"/>
      <c r="N306" s="149"/>
      <c r="O306" s="146"/>
      <c r="P306" s="146"/>
      <c r="Q306" s="146"/>
      <c r="R306" s="156"/>
      <c r="S306" s="146"/>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row>
    <row r="307" spans="1:44" ht="12.3">
      <c r="A307" s="157"/>
      <c r="B307" s="157"/>
      <c r="C307" s="149"/>
      <c r="D307" s="149"/>
      <c r="E307" s="149"/>
      <c r="F307" s="149"/>
      <c r="G307" s="149"/>
      <c r="H307" s="149"/>
      <c r="I307" s="149"/>
      <c r="J307" s="149"/>
      <c r="K307" s="182"/>
      <c r="L307" s="149"/>
      <c r="M307" s="149"/>
      <c r="N307" s="149"/>
      <c r="O307" s="146"/>
      <c r="P307" s="146"/>
      <c r="Q307" s="146"/>
      <c r="R307" s="156"/>
      <c r="S307" s="146"/>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row>
    <row r="308" spans="1:44" ht="12.3">
      <c r="A308" s="157"/>
      <c r="B308" s="157"/>
      <c r="C308" s="149"/>
      <c r="D308" s="149"/>
      <c r="E308" s="149"/>
      <c r="F308" s="149"/>
      <c r="G308" s="149"/>
      <c r="H308" s="149"/>
      <c r="I308" s="149"/>
      <c r="J308" s="149"/>
      <c r="K308" s="182"/>
      <c r="L308" s="149"/>
      <c r="M308" s="149"/>
      <c r="N308" s="149"/>
      <c r="O308" s="146"/>
      <c r="P308" s="146"/>
      <c r="Q308" s="146"/>
      <c r="R308" s="156"/>
      <c r="S308" s="146"/>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row>
    <row r="309" spans="1:44" ht="12.3">
      <c r="A309" s="157"/>
      <c r="B309" s="157"/>
      <c r="C309" s="149"/>
      <c r="D309" s="149"/>
      <c r="E309" s="149"/>
      <c r="F309" s="149"/>
      <c r="G309" s="149"/>
      <c r="H309" s="149"/>
      <c r="I309" s="149"/>
      <c r="J309" s="149"/>
      <c r="K309" s="182"/>
      <c r="L309" s="149"/>
      <c r="M309" s="149"/>
      <c r="N309" s="149"/>
      <c r="O309" s="146"/>
      <c r="P309" s="146"/>
      <c r="Q309" s="146"/>
      <c r="R309" s="156"/>
      <c r="S309" s="146"/>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row>
    <row r="310" spans="1:44" ht="12.3">
      <c r="A310" s="157"/>
      <c r="B310" s="157"/>
      <c r="C310" s="149"/>
      <c r="D310" s="149"/>
      <c r="E310" s="149"/>
      <c r="F310" s="149"/>
      <c r="G310" s="149"/>
      <c r="H310" s="149"/>
      <c r="I310" s="149"/>
      <c r="J310" s="149"/>
      <c r="K310" s="182"/>
      <c r="L310" s="149"/>
      <c r="M310" s="149"/>
      <c r="N310" s="149"/>
      <c r="O310" s="146"/>
      <c r="P310" s="146"/>
      <c r="Q310" s="146"/>
      <c r="R310" s="156"/>
      <c r="S310" s="146"/>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row>
    <row r="311" spans="1:44" ht="12.3">
      <c r="A311" s="157"/>
      <c r="B311" s="157"/>
      <c r="C311" s="149"/>
      <c r="D311" s="149"/>
      <c r="E311" s="149"/>
      <c r="F311" s="149"/>
      <c r="G311" s="149"/>
      <c r="H311" s="149"/>
      <c r="I311" s="149"/>
      <c r="J311" s="149"/>
      <c r="K311" s="182"/>
      <c r="L311" s="149"/>
      <c r="M311" s="149"/>
      <c r="N311" s="149"/>
      <c r="O311" s="146"/>
      <c r="P311" s="146"/>
      <c r="Q311" s="146"/>
      <c r="R311" s="156"/>
      <c r="S311" s="146"/>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row>
    <row r="312" spans="1:44" ht="12.3">
      <c r="A312" s="157"/>
      <c r="B312" s="157"/>
      <c r="C312" s="149"/>
      <c r="D312" s="149"/>
      <c r="E312" s="149"/>
      <c r="F312" s="149"/>
      <c r="G312" s="149"/>
      <c r="H312" s="149"/>
      <c r="I312" s="149"/>
      <c r="J312" s="149"/>
      <c r="K312" s="182"/>
      <c r="L312" s="149"/>
      <c r="M312" s="149"/>
      <c r="N312" s="149"/>
      <c r="O312" s="146"/>
      <c r="P312" s="146"/>
      <c r="Q312" s="146"/>
      <c r="R312" s="156"/>
      <c r="S312" s="146"/>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row>
    <row r="313" spans="1:44" ht="12.3">
      <c r="A313" s="157"/>
      <c r="B313" s="157"/>
      <c r="C313" s="149"/>
      <c r="D313" s="149"/>
      <c r="E313" s="149"/>
      <c r="F313" s="149"/>
      <c r="G313" s="149"/>
      <c r="H313" s="149"/>
      <c r="I313" s="149"/>
      <c r="J313" s="149"/>
      <c r="K313" s="182"/>
      <c r="L313" s="149"/>
      <c r="M313" s="149"/>
      <c r="N313" s="149"/>
      <c r="O313" s="146"/>
      <c r="P313" s="146"/>
      <c r="Q313" s="146"/>
      <c r="R313" s="156"/>
      <c r="S313" s="146"/>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row>
    <row r="314" spans="1:44" ht="12.3">
      <c r="A314" s="157"/>
      <c r="B314" s="157"/>
      <c r="C314" s="149"/>
      <c r="D314" s="149"/>
      <c r="E314" s="149"/>
      <c r="F314" s="149"/>
      <c r="G314" s="149"/>
      <c r="H314" s="149"/>
      <c r="I314" s="149"/>
      <c r="J314" s="149"/>
      <c r="K314" s="182"/>
      <c r="L314" s="149"/>
      <c r="M314" s="149"/>
      <c r="N314" s="149"/>
      <c r="O314" s="146"/>
      <c r="P314" s="146"/>
      <c r="Q314" s="146"/>
      <c r="R314" s="156"/>
      <c r="S314" s="146"/>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row>
    <row r="315" spans="1:44" ht="12.3">
      <c r="A315" s="157"/>
      <c r="B315" s="157"/>
      <c r="C315" s="149"/>
      <c r="D315" s="149"/>
      <c r="E315" s="149"/>
      <c r="F315" s="149"/>
      <c r="G315" s="149"/>
      <c r="H315" s="149"/>
      <c r="I315" s="149"/>
      <c r="J315" s="149"/>
      <c r="K315" s="182"/>
      <c r="L315" s="149"/>
      <c r="M315" s="149"/>
      <c r="N315" s="149"/>
      <c r="O315" s="146"/>
      <c r="P315" s="146"/>
      <c r="Q315" s="146"/>
      <c r="R315" s="156"/>
      <c r="S315" s="146"/>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row>
    <row r="316" spans="1:44" ht="12.3">
      <c r="A316" s="157"/>
      <c r="B316" s="157"/>
      <c r="C316" s="149"/>
      <c r="D316" s="149"/>
      <c r="E316" s="149"/>
      <c r="F316" s="149"/>
      <c r="G316" s="149"/>
      <c r="H316" s="149"/>
      <c r="I316" s="149"/>
      <c r="J316" s="149"/>
      <c r="K316" s="182"/>
      <c r="L316" s="149"/>
      <c r="M316" s="149"/>
      <c r="N316" s="149"/>
      <c r="O316" s="146"/>
      <c r="P316" s="146"/>
      <c r="Q316" s="146"/>
      <c r="R316" s="156"/>
      <c r="S316" s="146"/>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row>
    <row r="317" spans="1:44" ht="12.3">
      <c r="A317" s="157"/>
      <c r="B317" s="157"/>
      <c r="C317" s="149"/>
      <c r="D317" s="149"/>
      <c r="E317" s="149"/>
      <c r="F317" s="149"/>
      <c r="G317" s="149"/>
      <c r="H317" s="149"/>
      <c r="I317" s="149"/>
      <c r="J317" s="149"/>
      <c r="K317" s="182"/>
      <c r="L317" s="149"/>
      <c r="M317" s="149"/>
      <c r="N317" s="149"/>
      <c r="O317" s="146"/>
      <c r="P317" s="146"/>
      <c r="Q317" s="146"/>
      <c r="R317" s="156"/>
      <c r="S317" s="146"/>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row>
    <row r="318" spans="1:44" ht="12.3">
      <c r="A318" s="157"/>
      <c r="B318" s="157"/>
      <c r="C318" s="149"/>
      <c r="D318" s="149"/>
      <c r="E318" s="149"/>
      <c r="F318" s="149"/>
      <c r="G318" s="149"/>
      <c r="H318" s="149"/>
      <c r="I318" s="149"/>
      <c r="J318" s="149"/>
      <c r="K318" s="182"/>
      <c r="L318" s="149"/>
      <c r="M318" s="149"/>
      <c r="N318" s="149"/>
      <c r="O318" s="146"/>
      <c r="P318" s="146"/>
      <c r="Q318" s="146"/>
      <c r="R318" s="156"/>
      <c r="S318" s="146"/>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row>
    <row r="319" spans="1:44" ht="12.3">
      <c r="A319" s="157"/>
      <c r="B319" s="157"/>
      <c r="C319" s="149"/>
      <c r="D319" s="149"/>
      <c r="E319" s="149"/>
      <c r="F319" s="149"/>
      <c r="G319" s="149"/>
      <c r="H319" s="149"/>
      <c r="I319" s="149"/>
      <c r="J319" s="149"/>
      <c r="K319" s="182"/>
      <c r="L319" s="149"/>
      <c r="M319" s="149"/>
      <c r="N319" s="149"/>
      <c r="O319" s="146"/>
      <c r="P319" s="146"/>
      <c r="Q319" s="146"/>
      <c r="R319" s="156"/>
      <c r="S319" s="146"/>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row>
    <row r="320" spans="1:44" ht="12.3">
      <c r="A320" s="157"/>
      <c r="B320" s="157"/>
      <c r="C320" s="149"/>
      <c r="D320" s="149"/>
      <c r="E320" s="149"/>
      <c r="F320" s="149"/>
      <c r="G320" s="149"/>
      <c r="H320" s="149"/>
      <c r="I320" s="149"/>
      <c r="J320" s="149"/>
      <c r="K320" s="182"/>
      <c r="L320" s="149"/>
      <c r="M320" s="149"/>
      <c r="N320" s="149"/>
      <c r="O320" s="146"/>
      <c r="P320" s="146"/>
      <c r="Q320" s="146"/>
      <c r="R320" s="156"/>
      <c r="S320" s="146"/>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row>
    <row r="321" spans="1:44" ht="12.3">
      <c r="A321" s="157"/>
      <c r="B321" s="157"/>
      <c r="C321" s="149"/>
      <c r="D321" s="149"/>
      <c r="E321" s="149"/>
      <c r="F321" s="149"/>
      <c r="G321" s="149"/>
      <c r="H321" s="149"/>
      <c r="I321" s="149"/>
      <c r="J321" s="149"/>
      <c r="K321" s="182"/>
      <c r="L321" s="149"/>
      <c r="M321" s="149"/>
      <c r="N321" s="149"/>
      <c r="O321" s="146"/>
      <c r="P321" s="146"/>
      <c r="Q321" s="146"/>
      <c r="R321" s="156"/>
      <c r="S321" s="146"/>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row>
    <row r="322" spans="1:44" ht="12.3">
      <c r="A322" s="157"/>
      <c r="B322" s="157"/>
      <c r="C322" s="149"/>
      <c r="D322" s="149"/>
      <c r="E322" s="149"/>
      <c r="F322" s="149"/>
      <c r="G322" s="149"/>
      <c r="H322" s="149"/>
      <c r="I322" s="149"/>
      <c r="J322" s="149"/>
      <c r="K322" s="182"/>
      <c r="L322" s="149"/>
      <c r="M322" s="149"/>
      <c r="N322" s="149"/>
      <c r="O322" s="146"/>
      <c r="P322" s="146"/>
      <c r="Q322" s="146"/>
      <c r="R322" s="156"/>
      <c r="S322" s="146"/>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row>
    <row r="323" spans="1:44" ht="12.3">
      <c r="A323" s="157"/>
      <c r="B323" s="157"/>
      <c r="C323" s="149"/>
      <c r="D323" s="149"/>
      <c r="E323" s="149"/>
      <c r="F323" s="149"/>
      <c r="G323" s="149"/>
      <c r="H323" s="149"/>
      <c r="I323" s="149"/>
      <c r="J323" s="149"/>
      <c r="K323" s="182"/>
      <c r="L323" s="149"/>
      <c r="M323" s="149"/>
      <c r="N323" s="149"/>
      <c r="O323" s="146"/>
      <c r="P323" s="146"/>
      <c r="Q323" s="146"/>
      <c r="R323" s="156"/>
      <c r="S323" s="146"/>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row>
    <row r="324" spans="1:44" ht="12.3">
      <c r="A324" s="157"/>
      <c r="B324" s="157"/>
      <c r="C324" s="149"/>
      <c r="D324" s="149"/>
      <c r="E324" s="149"/>
      <c r="F324" s="149"/>
      <c r="G324" s="149"/>
      <c r="H324" s="149"/>
      <c r="I324" s="149"/>
      <c r="J324" s="149"/>
      <c r="K324" s="182"/>
      <c r="L324" s="149"/>
      <c r="M324" s="149"/>
      <c r="N324" s="149"/>
      <c r="O324" s="146"/>
      <c r="P324" s="146"/>
      <c r="Q324" s="146"/>
      <c r="R324" s="156"/>
      <c r="S324" s="146"/>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row>
    <row r="325" spans="1:44" ht="12.3">
      <c r="A325" s="157"/>
      <c r="B325" s="157"/>
      <c r="C325" s="149"/>
      <c r="D325" s="149"/>
      <c r="E325" s="149"/>
      <c r="F325" s="149"/>
      <c r="G325" s="149"/>
      <c r="H325" s="149"/>
      <c r="I325" s="149"/>
      <c r="J325" s="149"/>
      <c r="K325" s="182"/>
      <c r="L325" s="149"/>
      <c r="M325" s="149"/>
      <c r="N325" s="149"/>
      <c r="O325" s="146"/>
      <c r="P325" s="146"/>
      <c r="Q325" s="146"/>
      <c r="R325" s="156"/>
      <c r="S325" s="146"/>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row>
    <row r="326" spans="1:44" ht="12.3">
      <c r="A326" s="157"/>
      <c r="B326" s="157"/>
      <c r="C326" s="149"/>
      <c r="D326" s="149"/>
      <c r="E326" s="149"/>
      <c r="F326" s="149"/>
      <c r="G326" s="149"/>
      <c r="H326" s="149"/>
      <c r="I326" s="149"/>
      <c r="J326" s="149"/>
      <c r="K326" s="182"/>
      <c r="L326" s="149"/>
      <c r="M326" s="149"/>
      <c r="N326" s="149"/>
      <c r="O326" s="146"/>
      <c r="P326" s="146"/>
      <c r="Q326" s="146"/>
      <c r="R326" s="156"/>
      <c r="S326" s="146"/>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row>
    <row r="327" spans="1:44" ht="12.3">
      <c r="A327" s="157"/>
      <c r="B327" s="157"/>
      <c r="C327" s="149"/>
      <c r="D327" s="149"/>
      <c r="E327" s="149"/>
      <c r="F327" s="149"/>
      <c r="G327" s="149"/>
      <c r="H327" s="149"/>
      <c r="I327" s="149"/>
      <c r="J327" s="149"/>
      <c r="K327" s="182"/>
      <c r="L327" s="149"/>
      <c r="M327" s="149"/>
      <c r="N327" s="149"/>
      <c r="O327" s="146"/>
      <c r="P327" s="146"/>
      <c r="Q327" s="146"/>
      <c r="R327" s="156"/>
      <c r="S327" s="146"/>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row>
    <row r="328" spans="1:44" ht="12.3">
      <c r="A328" s="157"/>
      <c r="B328" s="157"/>
      <c r="C328" s="149"/>
      <c r="D328" s="149"/>
      <c r="E328" s="149"/>
      <c r="F328" s="149"/>
      <c r="G328" s="149"/>
      <c r="H328" s="149"/>
      <c r="I328" s="149"/>
      <c r="J328" s="149"/>
      <c r="K328" s="182"/>
      <c r="L328" s="149"/>
      <c r="M328" s="149"/>
      <c r="N328" s="149"/>
      <c r="O328" s="146"/>
      <c r="P328" s="146"/>
      <c r="Q328" s="146"/>
      <c r="R328" s="156"/>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row>
    <row r="329" spans="1:44" ht="12.3">
      <c r="A329" s="157"/>
      <c r="B329" s="157"/>
      <c r="C329" s="149"/>
      <c r="D329" s="149"/>
      <c r="E329" s="149"/>
      <c r="F329" s="149"/>
      <c r="G329" s="149"/>
      <c r="H329" s="149"/>
      <c r="I329" s="149"/>
      <c r="J329" s="149"/>
      <c r="K329" s="182"/>
      <c r="L329" s="149"/>
      <c r="M329" s="149"/>
      <c r="N329" s="149"/>
      <c r="O329" s="146"/>
      <c r="P329" s="146"/>
      <c r="Q329" s="146"/>
      <c r="R329" s="156"/>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row>
    <row r="330" spans="1:44" ht="12.3">
      <c r="A330" s="157"/>
      <c r="B330" s="157"/>
      <c r="C330" s="149"/>
      <c r="D330" s="149"/>
      <c r="E330" s="149"/>
      <c r="F330" s="149"/>
      <c r="G330" s="149"/>
      <c r="H330" s="149"/>
      <c r="I330" s="149"/>
      <c r="J330" s="149"/>
      <c r="K330" s="182"/>
      <c r="L330" s="149"/>
      <c r="M330" s="149"/>
      <c r="N330" s="149"/>
      <c r="O330" s="146"/>
      <c r="P330" s="146"/>
      <c r="Q330" s="146"/>
      <c r="R330" s="156"/>
      <c r="S330" s="146"/>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row>
    <row r="331" spans="1:44" ht="12.3">
      <c r="A331" s="157"/>
      <c r="B331" s="157"/>
      <c r="C331" s="149"/>
      <c r="D331" s="149"/>
      <c r="E331" s="149"/>
      <c r="F331" s="149"/>
      <c r="G331" s="149"/>
      <c r="H331" s="149"/>
      <c r="I331" s="149"/>
      <c r="J331" s="149"/>
      <c r="K331" s="182"/>
      <c r="L331" s="149"/>
      <c r="M331" s="149"/>
      <c r="N331" s="149"/>
      <c r="O331" s="146"/>
      <c r="P331" s="146"/>
      <c r="Q331" s="146"/>
      <c r="R331" s="156"/>
      <c r="S331" s="146"/>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row>
    <row r="332" spans="1:44" ht="12.3">
      <c r="A332" s="157"/>
      <c r="B332" s="157"/>
      <c r="C332" s="149"/>
      <c r="D332" s="149"/>
      <c r="E332" s="149"/>
      <c r="F332" s="149"/>
      <c r="G332" s="149"/>
      <c r="H332" s="149"/>
      <c r="I332" s="149"/>
      <c r="J332" s="149"/>
      <c r="K332" s="182"/>
      <c r="L332" s="149"/>
      <c r="M332" s="149"/>
      <c r="N332" s="149"/>
      <c r="O332" s="146"/>
      <c r="P332" s="146"/>
      <c r="Q332" s="146"/>
      <c r="R332" s="156"/>
      <c r="S332" s="146"/>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row>
    <row r="333" spans="1:44" ht="12.3">
      <c r="A333" s="157"/>
      <c r="B333" s="157"/>
      <c r="C333" s="149"/>
      <c r="D333" s="149"/>
      <c r="E333" s="149"/>
      <c r="F333" s="149"/>
      <c r="G333" s="149"/>
      <c r="H333" s="149"/>
      <c r="I333" s="149"/>
      <c r="J333" s="149"/>
      <c r="K333" s="182"/>
      <c r="L333" s="149"/>
      <c r="M333" s="149"/>
      <c r="N333" s="149"/>
      <c r="O333" s="146"/>
      <c r="P333" s="146"/>
      <c r="Q333" s="146"/>
      <c r="R333" s="156"/>
      <c r="S333" s="146"/>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row>
    <row r="334" spans="1:44" ht="12.3">
      <c r="A334" s="157"/>
      <c r="B334" s="157"/>
      <c r="C334" s="149"/>
      <c r="D334" s="149"/>
      <c r="E334" s="149"/>
      <c r="F334" s="149"/>
      <c r="G334" s="149"/>
      <c r="H334" s="149"/>
      <c r="I334" s="149"/>
      <c r="J334" s="149"/>
      <c r="K334" s="182"/>
      <c r="L334" s="149"/>
      <c r="M334" s="149"/>
      <c r="N334" s="149"/>
      <c r="O334" s="146"/>
      <c r="P334" s="146"/>
      <c r="Q334" s="146"/>
      <c r="R334" s="156"/>
      <c r="S334" s="146"/>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row>
    <row r="335" spans="1:44" ht="12.3">
      <c r="A335" s="157"/>
      <c r="B335" s="157"/>
      <c r="C335" s="149"/>
      <c r="D335" s="149"/>
      <c r="E335" s="149"/>
      <c r="F335" s="149"/>
      <c r="G335" s="149"/>
      <c r="H335" s="149"/>
      <c r="I335" s="149"/>
      <c r="J335" s="149"/>
      <c r="K335" s="182"/>
      <c r="L335" s="149"/>
      <c r="M335" s="149"/>
      <c r="N335" s="149"/>
      <c r="O335" s="146"/>
      <c r="P335" s="146"/>
      <c r="Q335" s="146"/>
      <c r="R335" s="156"/>
      <c r="S335" s="146"/>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row>
    <row r="336" spans="1:44" ht="12.3">
      <c r="A336" s="157"/>
      <c r="B336" s="157"/>
      <c r="C336" s="149"/>
      <c r="D336" s="149"/>
      <c r="E336" s="149"/>
      <c r="F336" s="149"/>
      <c r="G336" s="149"/>
      <c r="H336" s="149"/>
      <c r="I336" s="149"/>
      <c r="J336" s="149"/>
      <c r="K336" s="182"/>
      <c r="L336" s="149"/>
      <c r="M336" s="149"/>
      <c r="N336" s="149"/>
      <c r="O336" s="146"/>
      <c r="P336" s="146"/>
      <c r="Q336" s="146"/>
      <c r="R336" s="156"/>
      <c r="S336" s="146"/>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row>
    <row r="337" spans="1:44" ht="12.3">
      <c r="A337" s="157"/>
      <c r="B337" s="157"/>
      <c r="C337" s="149"/>
      <c r="D337" s="149"/>
      <c r="E337" s="149"/>
      <c r="F337" s="149"/>
      <c r="G337" s="149"/>
      <c r="H337" s="149"/>
      <c r="I337" s="149"/>
      <c r="J337" s="149"/>
      <c r="K337" s="182"/>
      <c r="L337" s="149"/>
      <c r="M337" s="149"/>
      <c r="N337" s="149"/>
      <c r="O337" s="146"/>
      <c r="P337" s="146"/>
      <c r="Q337" s="146"/>
      <c r="R337" s="156"/>
      <c r="S337" s="146"/>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row>
    <row r="338" spans="1:44" ht="12.3">
      <c r="A338" s="157"/>
      <c r="B338" s="157"/>
      <c r="C338" s="149"/>
      <c r="D338" s="149"/>
      <c r="E338" s="149"/>
      <c r="F338" s="149"/>
      <c r="G338" s="149"/>
      <c r="H338" s="149"/>
      <c r="I338" s="149"/>
      <c r="J338" s="149"/>
      <c r="K338" s="182"/>
      <c r="L338" s="149"/>
      <c r="M338" s="149"/>
      <c r="N338" s="149"/>
      <c r="O338" s="146"/>
      <c r="P338" s="146"/>
      <c r="Q338" s="146"/>
      <c r="R338" s="156"/>
      <c r="S338" s="146"/>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row>
    <row r="339" spans="1:44" ht="12.3">
      <c r="A339" s="157"/>
      <c r="B339" s="157"/>
      <c r="C339" s="149"/>
      <c r="D339" s="149"/>
      <c r="E339" s="149"/>
      <c r="F339" s="149"/>
      <c r="G339" s="149"/>
      <c r="H339" s="149"/>
      <c r="I339" s="149"/>
      <c r="J339" s="149"/>
      <c r="K339" s="182"/>
      <c r="L339" s="149"/>
      <c r="M339" s="149"/>
      <c r="N339" s="149"/>
      <c r="O339" s="146"/>
      <c r="P339" s="146"/>
      <c r="Q339" s="146"/>
      <c r="R339" s="156"/>
      <c r="S339" s="146"/>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row>
    <row r="340" spans="1:44" ht="12.3">
      <c r="A340" s="157"/>
      <c r="B340" s="157"/>
      <c r="C340" s="149"/>
      <c r="D340" s="149"/>
      <c r="E340" s="149"/>
      <c r="F340" s="149"/>
      <c r="G340" s="149"/>
      <c r="H340" s="149"/>
      <c r="I340" s="149"/>
      <c r="J340" s="149"/>
      <c r="K340" s="182"/>
      <c r="L340" s="149"/>
      <c r="M340" s="149"/>
      <c r="N340" s="149"/>
      <c r="O340" s="146"/>
      <c r="P340" s="146"/>
      <c r="Q340" s="146"/>
      <c r="R340" s="156"/>
      <c r="S340" s="146"/>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row>
    <row r="341" spans="1:44" ht="12.3">
      <c r="A341" s="157"/>
      <c r="B341" s="157"/>
      <c r="C341" s="149"/>
      <c r="D341" s="149"/>
      <c r="E341" s="149"/>
      <c r="F341" s="149"/>
      <c r="G341" s="149"/>
      <c r="H341" s="149"/>
      <c r="I341" s="149"/>
      <c r="J341" s="149"/>
      <c r="K341" s="182"/>
      <c r="L341" s="149"/>
      <c r="M341" s="149"/>
      <c r="N341" s="149"/>
      <c r="O341" s="146"/>
      <c r="P341" s="146"/>
      <c r="Q341" s="146"/>
      <c r="R341" s="156"/>
      <c r="S341" s="146"/>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row>
    <row r="342" spans="1:44" ht="12.3">
      <c r="A342" s="157"/>
      <c r="B342" s="157"/>
      <c r="C342" s="149"/>
      <c r="D342" s="149"/>
      <c r="E342" s="149"/>
      <c r="F342" s="149"/>
      <c r="G342" s="149"/>
      <c r="H342" s="149"/>
      <c r="I342" s="149"/>
      <c r="J342" s="149"/>
      <c r="K342" s="182"/>
      <c r="L342" s="149"/>
      <c r="M342" s="149"/>
      <c r="N342" s="149"/>
      <c r="O342" s="146"/>
      <c r="P342" s="146"/>
      <c r="Q342" s="146"/>
      <c r="R342" s="156"/>
      <c r="S342" s="146"/>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row>
    <row r="343" spans="1:44" ht="12.3">
      <c r="A343" s="157"/>
      <c r="B343" s="157"/>
      <c r="C343" s="149"/>
      <c r="D343" s="149"/>
      <c r="E343" s="149"/>
      <c r="F343" s="149"/>
      <c r="G343" s="149"/>
      <c r="H343" s="149"/>
      <c r="I343" s="149"/>
      <c r="J343" s="149"/>
      <c r="K343" s="182"/>
      <c r="L343" s="149"/>
      <c r="M343" s="149"/>
      <c r="N343" s="149"/>
      <c r="O343" s="146"/>
      <c r="P343" s="146"/>
      <c r="Q343" s="146"/>
      <c r="R343" s="156"/>
      <c r="S343" s="146"/>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row>
    <row r="344" spans="1:44" ht="12.3">
      <c r="A344" s="157"/>
      <c r="B344" s="157"/>
      <c r="C344" s="149"/>
      <c r="D344" s="149"/>
      <c r="E344" s="149"/>
      <c r="F344" s="149"/>
      <c r="G344" s="149"/>
      <c r="H344" s="149"/>
      <c r="I344" s="149"/>
      <c r="J344" s="149"/>
      <c r="K344" s="182"/>
      <c r="L344" s="149"/>
      <c r="M344" s="149"/>
      <c r="N344" s="149"/>
      <c r="O344" s="146"/>
      <c r="P344" s="146"/>
      <c r="Q344" s="146"/>
      <c r="R344" s="156"/>
      <c r="S344" s="146"/>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row>
    <row r="345" spans="1:44" ht="12.3">
      <c r="A345" s="157"/>
      <c r="B345" s="157"/>
      <c r="C345" s="149"/>
      <c r="D345" s="149"/>
      <c r="E345" s="149"/>
      <c r="F345" s="149"/>
      <c r="G345" s="149"/>
      <c r="H345" s="149"/>
      <c r="I345" s="149"/>
      <c r="J345" s="149"/>
      <c r="K345" s="182"/>
      <c r="L345" s="149"/>
      <c r="M345" s="149"/>
      <c r="N345" s="149"/>
      <c r="O345" s="146"/>
      <c r="P345" s="146"/>
      <c r="Q345" s="146"/>
      <c r="R345" s="156"/>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row>
    <row r="346" spans="1:44" ht="12.3">
      <c r="A346" s="157"/>
      <c r="B346" s="157"/>
      <c r="C346" s="149"/>
      <c r="D346" s="149"/>
      <c r="E346" s="149"/>
      <c r="F346" s="149"/>
      <c r="G346" s="149"/>
      <c r="H346" s="149"/>
      <c r="I346" s="149"/>
      <c r="J346" s="149"/>
      <c r="K346" s="182"/>
      <c r="L346" s="149"/>
      <c r="M346" s="149"/>
      <c r="N346" s="149"/>
      <c r="O346" s="146"/>
      <c r="P346" s="146"/>
      <c r="Q346" s="146"/>
      <c r="R346" s="156"/>
      <c r="S346" s="146"/>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row>
    <row r="347" spans="1:44" ht="12.3">
      <c r="A347" s="157"/>
      <c r="B347" s="157"/>
      <c r="C347" s="149"/>
      <c r="D347" s="149"/>
      <c r="E347" s="149"/>
      <c r="F347" s="149"/>
      <c r="G347" s="149"/>
      <c r="H347" s="149"/>
      <c r="I347" s="149"/>
      <c r="J347" s="149"/>
      <c r="K347" s="182"/>
      <c r="L347" s="149"/>
      <c r="M347" s="149"/>
      <c r="N347" s="149"/>
      <c r="O347" s="146"/>
      <c r="P347" s="146"/>
      <c r="Q347" s="146"/>
      <c r="R347" s="156"/>
      <c r="S347" s="146"/>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row>
    <row r="348" spans="1:44" ht="12.3">
      <c r="A348" s="157"/>
      <c r="B348" s="157"/>
      <c r="C348" s="149"/>
      <c r="D348" s="149"/>
      <c r="E348" s="149"/>
      <c r="F348" s="149"/>
      <c r="G348" s="149"/>
      <c r="H348" s="149"/>
      <c r="I348" s="149"/>
      <c r="J348" s="149"/>
      <c r="K348" s="182"/>
      <c r="L348" s="149"/>
      <c r="M348" s="149"/>
      <c r="N348" s="149"/>
      <c r="O348" s="146"/>
      <c r="P348" s="146"/>
      <c r="Q348" s="146"/>
      <c r="R348" s="156"/>
      <c r="S348" s="146"/>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row>
    <row r="349" spans="1:44" ht="12.3">
      <c r="A349" s="157"/>
      <c r="B349" s="157"/>
      <c r="C349" s="149"/>
      <c r="D349" s="149"/>
      <c r="E349" s="149"/>
      <c r="F349" s="149"/>
      <c r="G349" s="149"/>
      <c r="H349" s="149"/>
      <c r="I349" s="149"/>
      <c r="J349" s="149"/>
      <c r="K349" s="182"/>
      <c r="L349" s="149"/>
      <c r="M349" s="149"/>
      <c r="N349" s="149"/>
      <c r="O349" s="146"/>
      <c r="P349" s="146"/>
      <c r="Q349" s="146"/>
      <c r="R349" s="156"/>
      <c r="S349" s="146"/>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row>
    <row r="350" spans="1:44" ht="12.3">
      <c r="A350" s="157"/>
      <c r="B350" s="157"/>
      <c r="C350" s="149"/>
      <c r="D350" s="149"/>
      <c r="E350" s="149"/>
      <c r="F350" s="149"/>
      <c r="G350" s="149"/>
      <c r="H350" s="149"/>
      <c r="I350" s="149"/>
      <c r="J350" s="149"/>
      <c r="K350" s="182"/>
      <c r="L350" s="149"/>
      <c r="M350" s="149"/>
      <c r="N350" s="149"/>
      <c r="O350" s="146"/>
      <c r="P350" s="146"/>
      <c r="Q350" s="146"/>
      <c r="R350" s="156"/>
      <c r="S350" s="146"/>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row>
    <row r="351" spans="1:44" ht="12.3">
      <c r="A351" s="157"/>
      <c r="B351" s="157"/>
      <c r="C351" s="149"/>
      <c r="D351" s="149"/>
      <c r="E351" s="149"/>
      <c r="F351" s="149"/>
      <c r="G351" s="149"/>
      <c r="H351" s="149"/>
      <c r="I351" s="149"/>
      <c r="J351" s="149"/>
      <c r="K351" s="182"/>
      <c r="L351" s="149"/>
      <c r="M351" s="149"/>
      <c r="N351" s="149"/>
      <c r="O351" s="146"/>
      <c r="P351" s="146"/>
      <c r="Q351" s="146"/>
      <c r="R351" s="156"/>
      <c r="S351" s="146"/>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row>
    <row r="352" spans="1:44" ht="12.3">
      <c r="A352" s="157"/>
      <c r="B352" s="157"/>
      <c r="C352" s="149"/>
      <c r="D352" s="149"/>
      <c r="E352" s="149"/>
      <c r="F352" s="149"/>
      <c r="G352" s="149"/>
      <c r="H352" s="149"/>
      <c r="I352" s="149"/>
      <c r="J352" s="149"/>
      <c r="K352" s="182"/>
      <c r="L352" s="149"/>
      <c r="M352" s="149"/>
      <c r="N352" s="149"/>
      <c r="O352" s="146"/>
      <c r="P352" s="146"/>
      <c r="Q352" s="146"/>
      <c r="R352" s="156"/>
      <c r="S352" s="146"/>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row>
    <row r="353" spans="1:44" ht="12.3">
      <c r="A353" s="157"/>
      <c r="B353" s="157"/>
      <c r="C353" s="149"/>
      <c r="D353" s="149"/>
      <c r="E353" s="149"/>
      <c r="F353" s="149"/>
      <c r="G353" s="149"/>
      <c r="H353" s="149"/>
      <c r="I353" s="149"/>
      <c r="J353" s="149"/>
      <c r="K353" s="182"/>
      <c r="L353" s="149"/>
      <c r="M353" s="149"/>
      <c r="N353" s="149"/>
      <c r="O353" s="146"/>
      <c r="P353" s="146"/>
      <c r="Q353" s="146"/>
      <c r="R353" s="156"/>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row>
    <row r="354" spans="1:44" ht="12.3">
      <c r="A354" s="157"/>
      <c r="B354" s="157"/>
      <c r="C354" s="149"/>
      <c r="D354" s="149"/>
      <c r="E354" s="149"/>
      <c r="F354" s="149"/>
      <c r="G354" s="149"/>
      <c r="H354" s="149"/>
      <c r="I354" s="149"/>
      <c r="J354" s="149"/>
      <c r="K354" s="182"/>
      <c r="L354" s="149"/>
      <c r="M354" s="149"/>
      <c r="N354" s="149"/>
      <c r="O354" s="146"/>
      <c r="P354" s="146"/>
      <c r="Q354" s="146"/>
      <c r="R354" s="156"/>
      <c r="S354" s="146"/>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row>
    <row r="355" spans="1:44" ht="12.3">
      <c r="A355" s="157"/>
      <c r="B355" s="157"/>
      <c r="C355" s="149"/>
      <c r="D355" s="149"/>
      <c r="E355" s="149"/>
      <c r="F355" s="149"/>
      <c r="G355" s="149"/>
      <c r="H355" s="149"/>
      <c r="I355" s="149"/>
      <c r="J355" s="149"/>
      <c r="K355" s="182"/>
      <c r="L355" s="149"/>
      <c r="M355" s="149"/>
      <c r="N355" s="149"/>
      <c r="O355" s="146"/>
      <c r="P355" s="146"/>
      <c r="Q355" s="146"/>
      <c r="R355" s="156"/>
      <c r="S355" s="146"/>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row>
    <row r="356" spans="1:44" ht="12.3">
      <c r="A356" s="157"/>
      <c r="B356" s="157"/>
      <c r="C356" s="149"/>
      <c r="D356" s="149"/>
      <c r="E356" s="149"/>
      <c r="F356" s="149"/>
      <c r="G356" s="149"/>
      <c r="H356" s="149"/>
      <c r="I356" s="149"/>
      <c r="J356" s="149"/>
      <c r="K356" s="182"/>
      <c r="L356" s="149"/>
      <c r="M356" s="149"/>
      <c r="N356" s="149"/>
      <c r="O356" s="146"/>
      <c r="P356" s="146"/>
      <c r="Q356" s="146"/>
      <c r="R356" s="156"/>
      <c r="S356" s="146"/>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row>
    <row r="357" spans="1:44" ht="12.3">
      <c r="A357" s="157"/>
      <c r="B357" s="157"/>
      <c r="C357" s="149"/>
      <c r="D357" s="149"/>
      <c r="E357" s="149"/>
      <c r="F357" s="149"/>
      <c r="G357" s="149"/>
      <c r="H357" s="149"/>
      <c r="I357" s="149"/>
      <c r="J357" s="149"/>
      <c r="K357" s="182"/>
      <c r="L357" s="149"/>
      <c r="M357" s="149"/>
      <c r="N357" s="149"/>
      <c r="O357" s="146"/>
      <c r="P357" s="146"/>
      <c r="Q357" s="146"/>
      <c r="R357" s="156"/>
      <c r="S357" s="146"/>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row>
    <row r="358" spans="1:44" ht="12.3">
      <c r="A358" s="157"/>
      <c r="B358" s="157"/>
      <c r="C358" s="149"/>
      <c r="D358" s="149"/>
      <c r="E358" s="149"/>
      <c r="F358" s="149"/>
      <c r="G358" s="149"/>
      <c r="H358" s="149"/>
      <c r="I358" s="149"/>
      <c r="J358" s="149"/>
      <c r="K358" s="182"/>
      <c r="L358" s="149"/>
      <c r="M358" s="149"/>
      <c r="N358" s="149"/>
      <c r="O358" s="146"/>
      <c r="P358" s="146"/>
      <c r="Q358" s="146"/>
      <c r="R358" s="156"/>
      <c r="S358" s="146"/>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row>
    <row r="359" spans="1:44" ht="12.3">
      <c r="A359" s="157"/>
      <c r="B359" s="157"/>
      <c r="C359" s="149"/>
      <c r="D359" s="149"/>
      <c r="E359" s="149"/>
      <c r="F359" s="149"/>
      <c r="G359" s="149"/>
      <c r="H359" s="149"/>
      <c r="I359" s="149"/>
      <c r="J359" s="149"/>
      <c r="K359" s="182"/>
      <c r="L359" s="149"/>
      <c r="M359" s="149"/>
      <c r="N359" s="149"/>
      <c r="O359" s="146"/>
      <c r="P359" s="146"/>
      <c r="Q359" s="146"/>
      <c r="R359" s="156"/>
      <c r="S359" s="146"/>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row>
    <row r="360" spans="1:44" ht="12.3">
      <c r="A360" s="157"/>
      <c r="B360" s="157"/>
      <c r="C360" s="149"/>
      <c r="D360" s="149"/>
      <c r="E360" s="149"/>
      <c r="F360" s="149"/>
      <c r="G360" s="149"/>
      <c r="H360" s="149"/>
      <c r="I360" s="149"/>
      <c r="J360" s="149"/>
      <c r="K360" s="182"/>
      <c r="L360" s="149"/>
      <c r="M360" s="149"/>
      <c r="N360" s="149"/>
      <c r="O360" s="146"/>
      <c r="P360" s="146"/>
      <c r="Q360" s="146"/>
      <c r="R360" s="156"/>
      <c r="S360" s="146"/>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row>
    <row r="361" spans="1:44" ht="12.3">
      <c r="A361" s="157"/>
      <c r="B361" s="157"/>
      <c r="C361" s="149"/>
      <c r="D361" s="149"/>
      <c r="E361" s="149"/>
      <c r="F361" s="149"/>
      <c r="G361" s="149"/>
      <c r="H361" s="149"/>
      <c r="I361" s="149"/>
      <c r="J361" s="149"/>
      <c r="K361" s="182"/>
      <c r="L361" s="149"/>
      <c r="M361" s="149"/>
      <c r="N361" s="149"/>
      <c r="O361" s="146"/>
      <c r="P361" s="146"/>
      <c r="Q361" s="146"/>
      <c r="R361" s="156"/>
      <c r="S361" s="146"/>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row>
    <row r="362" spans="1:44" ht="12.3">
      <c r="A362" s="157"/>
      <c r="B362" s="157"/>
      <c r="C362" s="149"/>
      <c r="D362" s="149"/>
      <c r="E362" s="149"/>
      <c r="F362" s="149"/>
      <c r="G362" s="149"/>
      <c r="H362" s="149"/>
      <c r="I362" s="149"/>
      <c r="J362" s="149"/>
      <c r="K362" s="182"/>
      <c r="L362" s="149"/>
      <c r="M362" s="149"/>
      <c r="N362" s="149"/>
      <c r="O362" s="146"/>
      <c r="P362" s="146"/>
      <c r="Q362" s="146"/>
      <c r="R362" s="156"/>
      <c r="S362" s="146"/>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row>
    <row r="363" spans="1:44" ht="12.3">
      <c r="A363" s="157"/>
      <c r="B363" s="157"/>
      <c r="C363" s="149"/>
      <c r="D363" s="149"/>
      <c r="E363" s="149"/>
      <c r="F363" s="149"/>
      <c r="G363" s="149"/>
      <c r="H363" s="149"/>
      <c r="I363" s="149"/>
      <c r="J363" s="149"/>
      <c r="K363" s="182"/>
      <c r="L363" s="149"/>
      <c r="M363" s="149"/>
      <c r="N363" s="149"/>
      <c r="O363" s="146"/>
      <c r="P363" s="146"/>
      <c r="Q363" s="146"/>
      <c r="R363" s="156"/>
      <c r="S363" s="146"/>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row>
    <row r="364" spans="1:44" ht="12.3">
      <c r="A364" s="157"/>
      <c r="B364" s="157"/>
      <c r="C364" s="149"/>
      <c r="D364" s="149"/>
      <c r="E364" s="149"/>
      <c r="F364" s="149"/>
      <c r="G364" s="149"/>
      <c r="H364" s="149"/>
      <c r="I364" s="149"/>
      <c r="J364" s="149"/>
      <c r="K364" s="182"/>
      <c r="L364" s="149"/>
      <c r="M364" s="149"/>
      <c r="N364" s="149"/>
      <c r="O364" s="146"/>
      <c r="P364" s="146"/>
      <c r="Q364" s="146"/>
      <c r="R364" s="156"/>
      <c r="S364" s="146"/>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row>
    <row r="365" spans="1:44" ht="12.3">
      <c r="A365" s="157"/>
      <c r="B365" s="157"/>
      <c r="C365" s="149"/>
      <c r="D365" s="149"/>
      <c r="E365" s="149"/>
      <c r="F365" s="149"/>
      <c r="G365" s="149"/>
      <c r="H365" s="149"/>
      <c r="I365" s="149"/>
      <c r="J365" s="149"/>
      <c r="K365" s="182"/>
      <c r="L365" s="149"/>
      <c r="M365" s="149"/>
      <c r="N365" s="149"/>
      <c r="O365" s="146"/>
      <c r="P365" s="146"/>
      <c r="Q365" s="146"/>
      <c r="R365" s="156"/>
      <c r="S365" s="146"/>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row>
    <row r="366" spans="1:44" ht="12.3">
      <c r="A366" s="157"/>
      <c r="B366" s="157"/>
      <c r="C366" s="149"/>
      <c r="D366" s="149"/>
      <c r="E366" s="149"/>
      <c r="F366" s="149"/>
      <c r="G366" s="149"/>
      <c r="H366" s="149"/>
      <c r="I366" s="149"/>
      <c r="J366" s="149"/>
      <c r="K366" s="182"/>
      <c r="L366" s="149"/>
      <c r="M366" s="149"/>
      <c r="N366" s="149"/>
      <c r="O366" s="146"/>
      <c r="P366" s="146"/>
      <c r="Q366" s="146"/>
      <c r="R366" s="156"/>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row>
    <row r="367" spans="1:44" ht="12.3">
      <c r="A367" s="157"/>
      <c r="B367" s="157"/>
      <c r="C367" s="149"/>
      <c r="D367" s="149"/>
      <c r="E367" s="149"/>
      <c r="F367" s="149"/>
      <c r="G367" s="149"/>
      <c r="H367" s="149"/>
      <c r="I367" s="149"/>
      <c r="J367" s="149"/>
      <c r="K367" s="182"/>
      <c r="L367" s="149"/>
      <c r="M367" s="149"/>
      <c r="N367" s="149"/>
      <c r="O367" s="146"/>
      <c r="P367" s="146"/>
      <c r="Q367" s="146"/>
      <c r="R367" s="156"/>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row>
    <row r="368" spans="1:44" ht="12.3">
      <c r="A368" s="157"/>
      <c r="B368" s="157"/>
      <c r="C368" s="149"/>
      <c r="D368" s="149"/>
      <c r="E368" s="149"/>
      <c r="F368" s="149"/>
      <c r="G368" s="149"/>
      <c r="H368" s="149"/>
      <c r="I368" s="149"/>
      <c r="J368" s="149"/>
      <c r="K368" s="182"/>
      <c r="L368" s="149"/>
      <c r="M368" s="149"/>
      <c r="N368" s="149"/>
      <c r="O368" s="146"/>
      <c r="P368" s="146"/>
      <c r="Q368" s="146"/>
      <c r="R368" s="156"/>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row>
    <row r="369" spans="1:44" ht="12.3">
      <c r="A369" s="157"/>
      <c r="B369" s="157"/>
      <c r="C369" s="149"/>
      <c r="D369" s="149"/>
      <c r="E369" s="149"/>
      <c r="F369" s="149"/>
      <c r="G369" s="149"/>
      <c r="H369" s="149"/>
      <c r="I369" s="149"/>
      <c r="J369" s="149"/>
      <c r="K369" s="182"/>
      <c r="L369" s="149"/>
      <c r="M369" s="149"/>
      <c r="N369" s="149"/>
      <c r="O369" s="146"/>
      <c r="P369" s="146"/>
      <c r="Q369" s="146"/>
      <c r="R369" s="156"/>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row>
    <row r="370" spans="1:44" ht="12.3">
      <c r="A370" s="157"/>
      <c r="B370" s="157"/>
      <c r="C370" s="149"/>
      <c r="D370" s="149"/>
      <c r="E370" s="149"/>
      <c r="F370" s="149"/>
      <c r="G370" s="149"/>
      <c r="H370" s="149"/>
      <c r="I370" s="149"/>
      <c r="J370" s="149"/>
      <c r="K370" s="182"/>
      <c r="L370" s="149"/>
      <c r="M370" s="149"/>
      <c r="N370" s="149"/>
      <c r="O370" s="146"/>
      <c r="P370" s="146"/>
      <c r="Q370" s="146"/>
      <c r="R370" s="156"/>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row>
    <row r="371" spans="1:44" ht="12.3">
      <c r="A371" s="157"/>
      <c r="B371" s="157"/>
      <c r="C371" s="149"/>
      <c r="D371" s="149"/>
      <c r="E371" s="149"/>
      <c r="F371" s="149"/>
      <c r="G371" s="149"/>
      <c r="H371" s="149"/>
      <c r="I371" s="149"/>
      <c r="J371" s="149"/>
      <c r="K371" s="182"/>
      <c r="L371" s="149"/>
      <c r="M371" s="149"/>
      <c r="N371" s="149"/>
      <c r="O371" s="146"/>
      <c r="P371" s="146"/>
      <c r="Q371" s="146"/>
      <c r="R371" s="156"/>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row>
    <row r="372" spans="1:44" ht="12.3">
      <c r="A372" s="157"/>
      <c r="B372" s="157"/>
      <c r="C372" s="149"/>
      <c r="D372" s="149"/>
      <c r="E372" s="149"/>
      <c r="F372" s="149"/>
      <c r="G372" s="149"/>
      <c r="H372" s="149"/>
      <c r="I372" s="149"/>
      <c r="J372" s="149"/>
      <c r="K372" s="182"/>
      <c r="L372" s="149"/>
      <c r="M372" s="149"/>
      <c r="N372" s="149"/>
      <c r="O372" s="146"/>
      <c r="P372" s="146"/>
      <c r="Q372" s="146"/>
      <c r="R372" s="156"/>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row>
    <row r="373" spans="1:44" ht="12.3">
      <c r="A373" s="157"/>
      <c r="B373" s="157"/>
      <c r="C373" s="149"/>
      <c r="D373" s="149"/>
      <c r="E373" s="149"/>
      <c r="F373" s="149"/>
      <c r="G373" s="149"/>
      <c r="H373" s="149"/>
      <c r="I373" s="149"/>
      <c r="J373" s="149"/>
      <c r="K373" s="182"/>
      <c r="L373" s="149"/>
      <c r="M373" s="149"/>
      <c r="N373" s="149"/>
      <c r="O373" s="146"/>
      <c r="P373" s="146"/>
      <c r="Q373" s="146"/>
      <c r="R373" s="156"/>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row>
    <row r="374" spans="1:44" ht="12.3">
      <c r="A374" s="157"/>
      <c r="B374" s="157"/>
      <c r="C374" s="149"/>
      <c r="D374" s="149"/>
      <c r="E374" s="149"/>
      <c r="F374" s="149"/>
      <c r="G374" s="149"/>
      <c r="H374" s="149"/>
      <c r="I374" s="149"/>
      <c r="J374" s="149"/>
      <c r="K374" s="182"/>
      <c r="L374" s="149"/>
      <c r="M374" s="149"/>
      <c r="N374" s="149"/>
      <c r="O374" s="146"/>
      <c r="P374" s="146"/>
      <c r="Q374" s="146"/>
      <c r="R374" s="156"/>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row>
    <row r="375" spans="1:44" ht="12.3">
      <c r="A375" s="157"/>
      <c r="B375" s="157"/>
      <c r="C375" s="149"/>
      <c r="D375" s="149"/>
      <c r="E375" s="149"/>
      <c r="F375" s="149"/>
      <c r="G375" s="149"/>
      <c r="H375" s="149"/>
      <c r="I375" s="149"/>
      <c r="J375" s="149"/>
      <c r="K375" s="182"/>
      <c r="L375" s="149"/>
      <c r="M375" s="149"/>
      <c r="N375" s="149"/>
      <c r="O375" s="146"/>
      <c r="P375" s="146"/>
      <c r="Q375" s="146"/>
      <c r="R375" s="156"/>
      <c r="S375" s="146"/>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c r="AR375" s="146"/>
    </row>
    <row r="376" spans="1:44" ht="12.3">
      <c r="A376" s="157"/>
      <c r="B376" s="157"/>
      <c r="C376" s="149"/>
      <c r="D376" s="149"/>
      <c r="E376" s="149"/>
      <c r="F376" s="149"/>
      <c r="G376" s="149"/>
      <c r="H376" s="149"/>
      <c r="I376" s="149"/>
      <c r="J376" s="149"/>
      <c r="K376" s="182"/>
      <c r="L376" s="149"/>
      <c r="M376" s="149"/>
      <c r="N376" s="149"/>
      <c r="O376" s="146"/>
      <c r="P376" s="146"/>
      <c r="Q376" s="146"/>
      <c r="R376" s="156"/>
      <c r="S376" s="146"/>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row>
    <row r="377" spans="1:44" ht="12.3">
      <c r="A377" s="157"/>
      <c r="B377" s="157"/>
      <c r="C377" s="149"/>
      <c r="D377" s="149"/>
      <c r="E377" s="149"/>
      <c r="F377" s="149"/>
      <c r="G377" s="149"/>
      <c r="H377" s="149"/>
      <c r="I377" s="149"/>
      <c r="J377" s="149"/>
      <c r="K377" s="182"/>
      <c r="L377" s="149"/>
      <c r="M377" s="149"/>
      <c r="N377" s="149"/>
      <c r="O377" s="146"/>
      <c r="P377" s="146"/>
      <c r="Q377" s="146"/>
      <c r="R377" s="156"/>
      <c r="S377" s="146"/>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c r="AR377" s="146"/>
    </row>
    <row r="378" spans="1:44" ht="12.3">
      <c r="A378" s="157"/>
      <c r="B378" s="157"/>
      <c r="C378" s="149"/>
      <c r="D378" s="149"/>
      <c r="E378" s="149"/>
      <c r="F378" s="149"/>
      <c r="G378" s="149"/>
      <c r="H378" s="149"/>
      <c r="I378" s="149"/>
      <c r="J378" s="149"/>
      <c r="K378" s="182"/>
      <c r="L378" s="149"/>
      <c r="M378" s="149"/>
      <c r="N378" s="149"/>
      <c r="O378" s="146"/>
      <c r="P378" s="146"/>
      <c r="Q378" s="146"/>
      <c r="R378" s="156"/>
      <c r="S378" s="146"/>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c r="AR378" s="146"/>
    </row>
    <row r="379" spans="1:44" ht="12.3">
      <c r="A379" s="157"/>
      <c r="B379" s="157"/>
      <c r="C379" s="149"/>
      <c r="D379" s="149"/>
      <c r="E379" s="149"/>
      <c r="F379" s="149"/>
      <c r="G379" s="149"/>
      <c r="H379" s="149"/>
      <c r="I379" s="149"/>
      <c r="J379" s="149"/>
      <c r="K379" s="182"/>
      <c r="L379" s="149"/>
      <c r="M379" s="149"/>
      <c r="N379" s="149"/>
      <c r="O379" s="146"/>
      <c r="P379" s="146"/>
      <c r="Q379" s="146"/>
      <c r="R379" s="156"/>
      <c r="S379" s="146"/>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c r="AR379" s="146"/>
    </row>
    <row r="380" spans="1:44" ht="12.3">
      <c r="A380" s="157"/>
      <c r="B380" s="157"/>
      <c r="C380" s="149"/>
      <c r="D380" s="149"/>
      <c r="E380" s="149"/>
      <c r="F380" s="149"/>
      <c r="G380" s="149"/>
      <c r="H380" s="149"/>
      <c r="I380" s="149"/>
      <c r="J380" s="149"/>
      <c r="K380" s="182"/>
      <c r="L380" s="149"/>
      <c r="M380" s="149"/>
      <c r="N380" s="149"/>
      <c r="O380" s="146"/>
      <c r="P380" s="146"/>
      <c r="Q380" s="146"/>
      <c r="R380" s="156"/>
      <c r="S380" s="146"/>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c r="AR380" s="146"/>
    </row>
    <row r="381" spans="1:44" ht="12.3">
      <c r="A381" s="157"/>
      <c r="B381" s="157"/>
      <c r="C381" s="149"/>
      <c r="D381" s="149"/>
      <c r="E381" s="149"/>
      <c r="F381" s="149"/>
      <c r="G381" s="149"/>
      <c r="H381" s="149"/>
      <c r="I381" s="149"/>
      <c r="J381" s="149"/>
      <c r="K381" s="182"/>
      <c r="L381" s="149"/>
      <c r="M381" s="149"/>
      <c r="N381" s="149"/>
      <c r="O381" s="146"/>
      <c r="P381" s="146"/>
      <c r="Q381" s="146"/>
      <c r="R381" s="156"/>
      <c r="S381" s="146"/>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c r="AR381" s="146"/>
    </row>
    <row r="382" spans="1:44" ht="12.3">
      <c r="A382" s="157"/>
      <c r="B382" s="157"/>
      <c r="C382" s="149"/>
      <c r="D382" s="149"/>
      <c r="E382" s="149"/>
      <c r="F382" s="149"/>
      <c r="G382" s="149"/>
      <c r="H382" s="149"/>
      <c r="I382" s="149"/>
      <c r="J382" s="149"/>
      <c r="K382" s="182"/>
      <c r="L382" s="149"/>
      <c r="M382" s="149"/>
      <c r="N382" s="149"/>
      <c r="O382" s="146"/>
      <c r="P382" s="146"/>
      <c r="Q382" s="146"/>
      <c r="R382" s="156"/>
      <c r="S382" s="146"/>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c r="AR382" s="146"/>
    </row>
    <row r="383" spans="1:44" ht="12.3">
      <c r="A383" s="157"/>
      <c r="B383" s="157"/>
      <c r="C383" s="149"/>
      <c r="D383" s="149"/>
      <c r="E383" s="149"/>
      <c r="F383" s="149"/>
      <c r="G383" s="149"/>
      <c r="H383" s="149"/>
      <c r="I383" s="149"/>
      <c r="J383" s="149"/>
      <c r="K383" s="182"/>
      <c r="L383" s="149"/>
      <c r="M383" s="149"/>
      <c r="N383" s="149"/>
      <c r="O383" s="146"/>
      <c r="P383" s="146"/>
      <c r="Q383" s="146"/>
      <c r="R383" s="156"/>
      <c r="S383" s="146"/>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c r="AR383" s="146"/>
    </row>
    <row r="384" spans="1:44" ht="12.3">
      <c r="A384" s="157"/>
      <c r="B384" s="157"/>
      <c r="C384" s="149"/>
      <c r="D384" s="149"/>
      <c r="E384" s="149"/>
      <c r="F384" s="149"/>
      <c r="G384" s="149"/>
      <c r="H384" s="149"/>
      <c r="I384" s="149"/>
      <c r="J384" s="149"/>
      <c r="K384" s="182"/>
      <c r="L384" s="149"/>
      <c r="M384" s="149"/>
      <c r="N384" s="149"/>
      <c r="O384" s="146"/>
      <c r="P384" s="146"/>
      <c r="Q384" s="146"/>
      <c r="R384" s="156"/>
      <c r="S384" s="146"/>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c r="AR384" s="146"/>
    </row>
    <row r="385" spans="1:44" ht="12.3">
      <c r="A385" s="157"/>
      <c r="B385" s="157"/>
      <c r="C385" s="149"/>
      <c r="D385" s="149"/>
      <c r="E385" s="149"/>
      <c r="F385" s="149"/>
      <c r="G385" s="149"/>
      <c r="H385" s="149"/>
      <c r="I385" s="149"/>
      <c r="J385" s="149"/>
      <c r="K385" s="182"/>
      <c r="L385" s="149"/>
      <c r="M385" s="149"/>
      <c r="N385" s="149"/>
      <c r="O385" s="146"/>
      <c r="P385" s="146"/>
      <c r="Q385" s="146"/>
      <c r="R385" s="156"/>
      <c r="S385" s="146"/>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c r="AR385" s="146"/>
    </row>
    <row r="386" spans="1:44" ht="12.3">
      <c r="A386" s="157"/>
      <c r="B386" s="157"/>
      <c r="C386" s="149"/>
      <c r="D386" s="149"/>
      <c r="E386" s="149"/>
      <c r="F386" s="149"/>
      <c r="G386" s="149"/>
      <c r="H386" s="149"/>
      <c r="I386" s="149"/>
      <c r="J386" s="149"/>
      <c r="K386" s="182"/>
      <c r="L386" s="149"/>
      <c r="M386" s="149"/>
      <c r="N386" s="149"/>
      <c r="O386" s="146"/>
      <c r="P386" s="146"/>
      <c r="Q386" s="146"/>
      <c r="R386" s="156"/>
      <c r="S386" s="146"/>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c r="AR386" s="146"/>
    </row>
    <row r="387" spans="1:44" ht="12.3">
      <c r="A387" s="157"/>
      <c r="B387" s="157"/>
      <c r="C387" s="149"/>
      <c r="D387" s="149"/>
      <c r="E387" s="149"/>
      <c r="F387" s="149"/>
      <c r="G387" s="149"/>
      <c r="H387" s="149"/>
      <c r="I387" s="149"/>
      <c r="J387" s="149"/>
      <c r="K387" s="182"/>
      <c r="L387" s="149"/>
      <c r="M387" s="149"/>
      <c r="N387" s="149"/>
      <c r="O387" s="146"/>
      <c r="P387" s="146"/>
      <c r="Q387" s="146"/>
      <c r="R387" s="156"/>
      <c r="S387" s="146"/>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c r="AR387" s="146"/>
    </row>
    <row r="388" spans="1:44" ht="12.3">
      <c r="A388" s="157"/>
      <c r="B388" s="157"/>
      <c r="C388" s="149"/>
      <c r="D388" s="149"/>
      <c r="E388" s="149"/>
      <c r="F388" s="149"/>
      <c r="G388" s="149"/>
      <c r="H388" s="149"/>
      <c r="I388" s="149"/>
      <c r="J388" s="149"/>
      <c r="K388" s="182"/>
      <c r="L388" s="149"/>
      <c r="M388" s="149"/>
      <c r="N388" s="149"/>
      <c r="O388" s="146"/>
      <c r="P388" s="146"/>
      <c r="Q388" s="146"/>
      <c r="R388" s="156"/>
      <c r="S388" s="146"/>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c r="AR388" s="146"/>
    </row>
    <row r="389" spans="1:44" ht="12.3">
      <c r="A389" s="157"/>
      <c r="B389" s="157"/>
      <c r="C389" s="149"/>
      <c r="D389" s="149"/>
      <c r="E389" s="149"/>
      <c r="F389" s="149"/>
      <c r="G389" s="149"/>
      <c r="H389" s="149"/>
      <c r="I389" s="149"/>
      <c r="J389" s="149"/>
      <c r="K389" s="182"/>
      <c r="L389" s="149"/>
      <c r="M389" s="149"/>
      <c r="N389" s="149"/>
      <c r="O389" s="146"/>
      <c r="P389" s="146"/>
      <c r="Q389" s="146"/>
      <c r="R389" s="156"/>
      <c r="S389" s="146"/>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c r="AR389" s="146"/>
    </row>
    <row r="390" spans="1:44" ht="12.3">
      <c r="A390" s="157"/>
      <c r="B390" s="157"/>
      <c r="C390" s="149"/>
      <c r="D390" s="149"/>
      <c r="E390" s="149"/>
      <c r="F390" s="149"/>
      <c r="G390" s="149"/>
      <c r="H390" s="149"/>
      <c r="I390" s="149"/>
      <c r="J390" s="149"/>
      <c r="K390" s="182"/>
      <c r="L390" s="149"/>
      <c r="M390" s="149"/>
      <c r="N390" s="149"/>
      <c r="O390" s="146"/>
      <c r="P390" s="146"/>
      <c r="Q390" s="146"/>
      <c r="R390" s="156"/>
      <c r="S390" s="146"/>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c r="AR390" s="146"/>
    </row>
    <row r="391" spans="1:44" ht="12.3">
      <c r="A391" s="157"/>
      <c r="B391" s="157"/>
      <c r="C391" s="149"/>
      <c r="D391" s="149"/>
      <c r="E391" s="149"/>
      <c r="F391" s="149"/>
      <c r="G391" s="149"/>
      <c r="H391" s="149"/>
      <c r="I391" s="149"/>
      <c r="J391" s="149"/>
      <c r="K391" s="182"/>
      <c r="L391" s="149"/>
      <c r="M391" s="149"/>
      <c r="N391" s="149"/>
      <c r="O391" s="146"/>
      <c r="P391" s="146"/>
      <c r="Q391" s="146"/>
      <c r="R391" s="156"/>
      <c r="S391" s="146"/>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c r="AR391" s="146"/>
    </row>
    <row r="392" spans="1:44" ht="12.3">
      <c r="A392" s="157"/>
      <c r="B392" s="157"/>
      <c r="C392" s="149"/>
      <c r="D392" s="149"/>
      <c r="E392" s="149"/>
      <c r="F392" s="149"/>
      <c r="G392" s="149"/>
      <c r="H392" s="149"/>
      <c r="I392" s="149"/>
      <c r="J392" s="149"/>
      <c r="K392" s="182"/>
      <c r="L392" s="149"/>
      <c r="M392" s="149"/>
      <c r="N392" s="149"/>
      <c r="O392" s="146"/>
      <c r="P392" s="146"/>
      <c r="Q392" s="146"/>
      <c r="R392" s="156"/>
      <c r="S392" s="146"/>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row>
    <row r="393" spans="1:44" ht="12.3">
      <c r="A393" s="157"/>
      <c r="B393" s="157"/>
      <c r="C393" s="149"/>
      <c r="D393" s="149"/>
      <c r="E393" s="149"/>
      <c r="F393" s="149"/>
      <c r="G393" s="149"/>
      <c r="H393" s="149"/>
      <c r="I393" s="149"/>
      <c r="J393" s="149"/>
      <c r="K393" s="182"/>
      <c r="L393" s="149"/>
      <c r="M393" s="149"/>
      <c r="N393" s="149"/>
      <c r="O393" s="146"/>
      <c r="P393" s="146"/>
      <c r="Q393" s="146"/>
      <c r="R393" s="156"/>
      <c r="S393" s="146"/>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c r="AR393" s="146"/>
    </row>
    <row r="394" spans="1:44" ht="12.3">
      <c r="A394" s="157"/>
      <c r="B394" s="157"/>
      <c r="C394" s="149"/>
      <c r="D394" s="149"/>
      <c r="E394" s="149"/>
      <c r="F394" s="149"/>
      <c r="G394" s="149"/>
      <c r="H394" s="149"/>
      <c r="I394" s="149"/>
      <c r="J394" s="149"/>
      <c r="K394" s="182"/>
      <c r="L394" s="149"/>
      <c r="M394" s="149"/>
      <c r="N394" s="149"/>
      <c r="O394" s="146"/>
      <c r="P394" s="146"/>
      <c r="Q394" s="146"/>
      <c r="R394" s="156"/>
      <c r="S394" s="146"/>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c r="AR394" s="146"/>
    </row>
    <row r="395" spans="1:44" ht="12.3">
      <c r="A395" s="157"/>
      <c r="B395" s="157"/>
      <c r="C395" s="149"/>
      <c r="D395" s="149"/>
      <c r="E395" s="149"/>
      <c r="F395" s="149"/>
      <c r="G395" s="149"/>
      <c r="H395" s="149"/>
      <c r="I395" s="149"/>
      <c r="J395" s="149"/>
      <c r="K395" s="182"/>
      <c r="L395" s="149"/>
      <c r="M395" s="149"/>
      <c r="N395" s="149"/>
      <c r="O395" s="146"/>
      <c r="P395" s="146"/>
      <c r="Q395" s="146"/>
      <c r="R395" s="156"/>
      <c r="S395" s="146"/>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c r="AR395" s="146"/>
    </row>
    <row r="396" spans="1:44" ht="12.3">
      <c r="A396" s="157"/>
      <c r="B396" s="157"/>
      <c r="C396" s="149"/>
      <c r="D396" s="149"/>
      <c r="E396" s="149"/>
      <c r="F396" s="149"/>
      <c r="G396" s="149"/>
      <c r="H396" s="149"/>
      <c r="I396" s="149"/>
      <c r="J396" s="149"/>
      <c r="K396" s="182"/>
      <c r="L396" s="149"/>
      <c r="M396" s="149"/>
      <c r="N396" s="149"/>
      <c r="O396" s="146"/>
      <c r="P396" s="146"/>
      <c r="Q396" s="146"/>
      <c r="R396" s="156"/>
      <c r="S396" s="146"/>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c r="AR396" s="146"/>
    </row>
    <row r="397" spans="1:44" ht="12.3">
      <c r="A397" s="157"/>
      <c r="B397" s="157"/>
      <c r="C397" s="149"/>
      <c r="D397" s="149"/>
      <c r="E397" s="149"/>
      <c r="F397" s="149"/>
      <c r="G397" s="149"/>
      <c r="H397" s="149"/>
      <c r="I397" s="149"/>
      <c r="J397" s="149"/>
      <c r="K397" s="182"/>
      <c r="L397" s="149"/>
      <c r="M397" s="149"/>
      <c r="N397" s="149"/>
      <c r="O397" s="146"/>
      <c r="P397" s="146"/>
      <c r="Q397" s="146"/>
      <c r="R397" s="156"/>
      <c r="S397" s="146"/>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c r="AR397" s="146"/>
    </row>
    <row r="398" spans="1:44" ht="12.3">
      <c r="A398" s="157"/>
      <c r="B398" s="157"/>
      <c r="C398" s="149"/>
      <c r="D398" s="149"/>
      <c r="E398" s="149"/>
      <c r="F398" s="149"/>
      <c r="G398" s="149"/>
      <c r="H398" s="149"/>
      <c r="I398" s="149"/>
      <c r="J398" s="149"/>
      <c r="K398" s="182"/>
      <c r="L398" s="149"/>
      <c r="M398" s="149"/>
      <c r="N398" s="149"/>
      <c r="O398" s="146"/>
      <c r="P398" s="146"/>
      <c r="Q398" s="146"/>
      <c r="R398" s="156"/>
      <c r="S398" s="146"/>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c r="AR398" s="146"/>
    </row>
    <row r="399" spans="1:44" ht="12.3">
      <c r="A399" s="157"/>
      <c r="B399" s="157"/>
      <c r="C399" s="149"/>
      <c r="D399" s="149"/>
      <c r="E399" s="149"/>
      <c r="F399" s="149"/>
      <c r="G399" s="149"/>
      <c r="H399" s="149"/>
      <c r="I399" s="149"/>
      <c r="J399" s="149"/>
      <c r="K399" s="182"/>
      <c r="L399" s="149"/>
      <c r="M399" s="149"/>
      <c r="N399" s="149"/>
      <c r="O399" s="146"/>
      <c r="P399" s="146"/>
      <c r="Q399" s="146"/>
      <c r="R399" s="156"/>
      <c r="S399" s="146"/>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c r="AR399" s="146"/>
    </row>
    <row r="400" spans="1:44" ht="12.3">
      <c r="A400" s="157"/>
      <c r="B400" s="157"/>
      <c r="C400" s="149"/>
      <c r="D400" s="149"/>
      <c r="E400" s="149"/>
      <c r="F400" s="149"/>
      <c r="G400" s="149"/>
      <c r="H400" s="149"/>
      <c r="I400" s="149"/>
      <c r="J400" s="149"/>
      <c r="K400" s="182"/>
      <c r="L400" s="149"/>
      <c r="M400" s="149"/>
      <c r="N400" s="149"/>
      <c r="O400" s="146"/>
      <c r="P400" s="146"/>
      <c r="Q400" s="146"/>
      <c r="R400" s="156"/>
      <c r="S400" s="146"/>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c r="AR400" s="146"/>
    </row>
    <row r="401" spans="1:44" ht="12.3">
      <c r="A401" s="157"/>
      <c r="B401" s="157"/>
      <c r="C401" s="149"/>
      <c r="D401" s="149"/>
      <c r="E401" s="149"/>
      <c r="F401" s="149"/>
      <c r="G401" s="149"/>
      <c r="H401" s="149"/>
      <c r="I401" s="149"/>
      <c r="J401" s="149"/>
      <c r="K401" s="182"/>
      <c r="L401" s="149"/>
      <c r="M401" s="149"/>
      <c r="N401" s="149"/>
      <c r="O401" s="146"/>
      <c r="P401" s="146"/>
      <c r="Q401" s="146"/>
      <c r="R401" s="156"/>
      <c r="S401" s="146"/>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c r="AR401" s="146"/>
    </row>
    <row r="402" spans="1:44" ht="12.3">
      <c r="A402" s="157"/>
      <c r="B402" s="157"/>
      <c r="C402" s="149"/>
      <c r="D402" s="149"/>
      <c r="E402" s="149"/>
      <c r="F402" s="149"/>
      <c r="G402" s="149"/>
      <c r="H402" s="149"/>
      <c r="I402" s="149"/>
      <c r="J402" s="149"/>
      <c r="K402" s="182"/>
      <c r="L402" s="149"/>
      <c r="M402" s="149"/>
      <c r="N402" s="149"/>
      <c r="O402" s="146"/>
      <c r="P402" s="146"/>
      <c r="Q402" s="146"/>
      <c r="R402" s="156"/>
      <c r="S402" s="146"/>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c r="AR402" s="146"/>
    </row>
    <row r="403" spans="1:44" ht="12.3">
      <c r="A403" s="157"/>
      <c r="B403" s="157"/>
      <c r="C403" s="149"/>
      <c r="D403" s="149"/>
      <c r="E403" s="149"/>
      <c r="F403" s="149"/>
      <c r="G403" s="149"/>
      <c r="H403" s="149"/>
      <c r="I403" s="149"/>
      <c r="J403" s="149"/>
      <c r="K403" s="182"/>
      <c r="L403" s="149"/>
      <c r="M403" s="149"/>
      <c r="N403" s="149"/>
      <c r="O403" s="146"/>
      <c r="P403" s="146"/>
      <c r="Q403" s="146"/>
      <c r="R403" s="156"/>
      <c r="S403" s="146"/>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c r="AR403" s="146"/>
    </row>
    <row r="404" spans="1:44" ht="12.3">
      <c r="A404" s="157"/>
      <c r="B404" s="157"/>
      <c r="C404" s="149"/>
      <c r="D404" s="149"/>
      <c r="E404" s="149"/>
      <c r="F404" s="149"/>
      <c r="G404" s="149"/>
      <c r="H404" s="149"/>
      <c r="I404" s="149"/>
      <c r="J404" s="149"/>
      <c r="K404" s="182"/>
      <c r="L404" s="149"/>
      <c r="M404" s="149"/>
      <c r="N404" s="149"/>
      <c r="O404" s="146"/>
      <c r="P404" s="146"/>
      <c r="Q404" s="146"/>
      <c r="R404" s="156"/>
      <c r="S404" s="146"/>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c r="AR404" s="146"/>
    </row>
    <row r="405" spans="1:44" ht="12.3">
      <c r="A405" s="157"/>
      <c r="B405" s="157"/>
      <c r="C405" s="149"/>
      <c r="D405" s="149"/>
      <c r="E405" s="149"/>
      <c r="F405" s="149"/>
      <c r="G405" s="149"/>
      <c r="H405" s="149"/>
      <c r="I405" s="149"/>
      <c r="J405" s="149"/>
      <c r="K405" s="182"/>
      <c r="L405" s="149"/>
      <c r="M405" s="149"/>
      <c r="N405" s="149"/>
      <c r="O405" s="146"/>
      <c r="P405" s="146"/>
      <c r="Q405" s="146"/>
      <c r="R405" s="156"/>
      <c r="S405" s="146"/>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c r="AR405" s="146"/>
    </row>
    <row r="406" spans="1:44" ht="12.3">
      <c r="A406" s="157"/>
      <c r="B406" s="157"/>
      <c r="C406" s="149"/>
      <c r="D406" s="149"/>
      <c r="E406" s="149"/>
      <c r="F406" s="149"/>
      <c r="G406" s="149"/>
      <c r="H406" s="149"/>
      <c r="I406" s="149"/>
      <c r="J406" s="149"/>
      <c r="K406" s="182"/>
      <c r="L406" s="149"/>
      <c r="M406" s="149"/>
      <c r="N406" s="149"/>
      <c r="O406" s="146"/>
      <c r="P406" s="146"/>
      <c r="Q406" s="146"/>
      <c r="R406" s="156"/>
      <c r="S406" s="146"/>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c r="AR406" s="146"/>
    </row>
    <row r="407" spans="1:44" ht="12.3">
      <c r="A407" s="157"/>
      <c r="B407" s="157"/>
      <c r="C407" s="149"/>
      <c r="D407" s="149"/>
      <c r="E407" s="149"/>
      <c r="F407" s="149"/>
      <c r="G407" s="149"/>
      <c r="H407" s="149"/>
      <c r="I407" s="149"/>
      <c r="J407" s="149"/>
      <c r="K407" s="182"/>
      <c r="L407" s="149"/>
      <c r="M407" s="149"/>
      <c r="N407" s="149"/>
      <c r="O407" s="146"/>
      <c r="P407" s="146"/>
      <c r="Q407" s="146"/>
      <c r="R407" s="156"/>
      <c r="S407" s="146"/>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c r="AR407" s="146"/>
    </row>
    <row r="408" spans="1:44" ht="12.3">
      <c r="A408" s="157"/>
      <c r="B408" s="157"/>
      <c r="C408" s="149"/>
      <c r="D408" s="149"/>
      <c r="E408" s="149"/>
      <c r="F408" s="149"/>
      <c r="G408" s="149"/>
      <c r="H408" s="149"/>
      <c r="I408" s="149"/>
      <c r="J408" s="149"/>
      <c r="K408" s="182"/>
      <c r="L408" s="149"/>
      <c r="M408" s="149"/>
      <c r="N408" s="149"/>
      <c r="O408" s="146"/>
      <c r="P408" s="146"/>
      <c r="Q408" s="146"/>
      <c r="R408" s="156"/>
      <c r="S408" s="146"/>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c r="AR408" s="146"/>
    </row>
    <row r="409" spans="1:44" ht="12.3">
      <c r="A409" s="157"/>
      <c r="B409" s="157"/>
      <c r="C409" s="149"/>
      <c r="D409" s="149"/>
      <c r="E409" s="149"/>
      <c r="F409" s="149"/>
      <c r="G409" s="149"/>
      <c r="H409" s="149"/>
      <c r="I409" s="149"/>
      <c r="J409" s="149"/>
      <c r="K409" s="182"/>
      <c r="L409" s="149"/>
      <c r="M409" s="149"/>
      <c r="N409" s="149"/>
      <c r="O409" s="146"/>
      <c r="P409" s="146"/>
      <c r="Q409" s="146"/>
      <c r="R409" s="156"/>
      <c r="S409" s="146"/>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c r="AR409" s="146"/>
    </row>
    <row r="410" spans="1:44" ht="12.3">
      <c r="A410" s="157"/>
      <c r="B410" s="157"/>
      <c r="C410" s="149"/>
      <c r="D410" s="149"/>
      <c r="E410" s="149"/>
      <c r="F410" s="149"/>
      <c r="G410" s="149"/>
      <c r="H410" s="149"/>
      <c r="I410" s="149"/>
      <c r="J410" s="149"/>
      <c r="K410" s="182"/>
      <c r="L410" s="149"/>
      <c r="M410" s="149"/>
      <c r="N410" s="149"/>
      <c r="O410" s="146"/>
      <c r="P410" s="146"/>
      <c r="Q410" s="146"/>
      <c r="R410" s="156"/>
      <c r="S410" s="146"/>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c r="AR410" s="146"/>
    </row>
    <row r="411" spans="1:44" ht="12.3">
      <c r="A411" s="157"/>
      <c r="B411" s="157"/>
      <c r="C411" s="149"/>
      <c r="D411" s="149"/>
      <c r="E411" s="149"/>
      <c r="F411" s="149"/>
      <c r="G411" s="149"/>
      <c r="H411" s="149"/>
      <c r="I411" s="149"/>
      <c r="J411" s="149"/>
      <c r="K411" s="182"/>
      <c r="L411" s="149"/>
      <c r="M411" s="149"/>
      <c r="N411" s="149"/>
      <c r="O411" s="146"/>
      <c r="P411" s="146"/>
      <c r="Q411" s="146"/>
      <c r="R411" s="156"/>
      <c r="S411" s="146"/>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c r="AR411" s="146"/>
    </row>
    <row r="412" spans="1:44" ht="12.3">
      <c r="A412" s="157"/>
      <c r="B412" s="157"/>
      <c r="C412" s="149"/>
      <c r="D412" s="149"/>
      <c r="E412" s="149"/>
      <c r="F412" s="149"/>
      <c r="G412" s="149"/>
      <c r="H412" s="149"/>
      <c r="I412" s="149"/>
      <c r="J412" s="149"/>
      <c r="K412" s="182"/>
      <c r="L412" s="149"/>
      <c r="M412" s="149"/>
      <c r="N412" s="149"/>
      <c r="O412" s="146"/>
      <c r="P412" s="146"/>
      <c r="Q412" s="146"/>
      <c r="R412" s="156"/>
      <c r="S412" s="146"/>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c r="AR412" s="146"/>
    </row>
    <row r="413" spans="1:44" ht="12.3">
      <c r="A413" s="157"/>
      <c r="B413" s="157"/>
      <c r="C413" s="149"/>
      <c r="D413" s="149"/>
      <c r="E413" s="149"/>
      <c r="F413" s="149"/>
      <c r="G413" s="149"/>
      <c r="H413" s="149"/>
      <c r="I413" s="149"/>
      <c r="J413" s="149"/>
      <c r="K413" s="182"/>
      <c r="L413" s="149"/>
      <c r="M413" s="149"/>
      <c r="N413" s="149"/>
      <c r="O413" s="146"/>
      <c r="P413" s="146"/>
      <c r="Q413" s="146"/>
      <c r="R413" s="156"/>
      <c r="S413" s="146"/>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c r="AR413" s="146"/>
    </row>
    <row r="414" spans="1:44" ht="12.3">
      <c r="A414" s="157"/>
      <c r="B414" s="157"/>
      <c r="C414" s="149"/>
      <c r="D414" s="149"/>
      <c r="E414" s="149"/>
      <c r="F414" s="149"/>
      <c r="G414" s="149"/>
      <c r="H414" s="149"/>
      <c r="I414" s="149"/>
      <c r="J414" s="149"/>
      <c r="K414" s="182"/>
      <c r="L414" s="149"/>
      <c r="M414" s="149"/>
      <c r="N414" s="149"/>
      <c r="O414" s="146"/>
      <c r="P414" s="146"/>
      <c r="Q414" s="146"/>
      <c r="R414" s="156"/>
      <c r="S414" s="146"/>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c r="AR414" s="146"/>
    </row>
    <row r="415" spans="1:44" ht="12.3">
      <c r="A415" s="157"/>
      <c r="B415" s="157"/>
      <c r="C415" s="149"/>
      <c r="D415" s="149"/>
      <c r="E415" s="149"/>
      <c r="F415" s="149"/>
      <c r="G415" s="149"/>
      <c r="H415" s="149"/>
      <c r="I415" s="149"/>
      <c r="J415" s="149"/>
      <c r="K415" s="182"/>
      <c r="L415" s="149"/>
      <c r="M415" s="149"/>
      <c r="N415" s="149"/>
      <c r="O415" s="146"/>
      <c r="P415" s="146"/>
      <c r="Q415" s="146"/>
      <c r="R415" s="156"/>
      <c r="S415" s="146"/>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c r="AR415" s="146"/>
    </row>
    <row r="416" spans="1:44" ht="12.3">
      <c r="A416" s="157"/>
      <c r="B416" s="157"/>
      <c r="C416" s="149"/>
      <c r="D416" s="149"/>
      <c r="E416" s="149"/>
      <c r="F416" s="149"/>
      <c r="G416" s="149"/>
      <c r="H416" s="149"/>
      <c r="I416" s="149"/>
      <c r="J416" s="149"/>
      <c r="K416" s="182"/>
      <c r="L416" s="149"/>
      <c r="M416" s="149"/>
      <c r="N416" s="149"/>
      <c r="O416" s="146"/>
      <c r="P416" s="146"/>
      <c r="Q416" s="146"/>
      <c r="R416" s="156"/>
      <c r="S416" s="146"/>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c r="AR416" s="146"/>
    </row>
    <row r="417" spans="1:44" ht="12.3">
      <c r="A417" s="157"/>
      <c r="B417" s="157"/>
      <c r="C417" s="149"/>
      <c r="D417" s="149"/>
      <c r="E417" s="149"/>
      <c r="F417" s="149"/>
      <c r="G417" s="149"/>
      <c r="H417" s="149"/>
      <c r="I417" s="149"/>
      <c r="J417" s="149"/>
      <c r="K417" s="182"/>
      <c r="L417" s="149"/>
      <c r="M417" s="149"/>
      <c r="N417" s="149"/>
      <c r="O417" s="146"/>
      <c r="P417" s="146"/>
      <c r="Q417" s="146"/>
      <c r="R417" s="156"/>
      <c r="S417" s="146"/>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c r="AR417" s="146"/>
    </row>
    <row r="418" spans="1:44" ht="12.3">
      <c r="A418" s="157"/>
      <c r="B418" s="157"/>
      <c r="C418" s="149"/>
      <c r="D418" s="149"/>
      <c r="E418" s="149"/>
      <c r="F418" s="149"/>
      <c r="G418" s="149"/>
      <c r="H418" s="149"/>
      <c r="I418" s="149"/>
      <c r="J418" s="149"/>
      <c r="K418" s="182"/>
      <c r="L418" s="149"/>
      <c r="M418" s="149"/>
      <c r="N418" s="149"/>
      <c r="O418" s="146"/>
      <c r="P418" s="146"/>
      <c r="Q418" s="146"/>
      <c r="R418" s="156"/>
      <c r="S418" s="146"/>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c r="AR418" s="146"/>
    </row>
    <row r="419" spans="1:44" ht="12.3">
      <c r="A419" s="157"/>
      <c r="B419" s="157"/>
      <c r="C419" s="149"/>
      <c r="D419" s="149"/>
      <c r="E419" s="149"/>
      <c r="F419" s="149"/>
      <c r="G419" s="149"/>
      <c r="H419" s="149"/>
      <c r="I419" s="149"/>
      <c r="J419" s="149"/>
      <c r="K419" s="182"/>
      <c r="L419" s="149"/>
      <c r="M419" s="149"/>
      <c r="N419" s="149"/>
      <c r="O419" s="146"/>
      <c r="P419" s="146"/>
      <c r="Q419" s="146"/>
      <c r="R419" s="156"/>
      <c r="S419" s="146"/>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c r="AR419" s="146"/>
    </row>
    <row r="420" spans="1:44" ht="12.3">
      <c r="A420" s="157"/>
      <c r="B420" s="157"/>
      <c r="C420" s="149"/>
      <c r="D420" s="149"/>
      <c r="E420" s="149"/>
      <c r="F420" s="149"/>
      <c r="G420" s="149"/>
      <c r="H420" s="149"/>
      <c r="I420" s="149"/>
      <c r="J420" s="149"/>
      <c r="K420" s="182"/>
      <c r="L420" s="149"/>
      <c r="M420" s="149"/>
      <c r="N420" s="149"/>
      <c r="O420" s="146"/>
      <c r="P420" s="146"/>
      <c r="Q420" s="146"/>
      <c r="R420" s="156"/>
      <c r="S420" s="146"/>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c r="AR420" s="146"/>
    </row>
    <row r="421" spans="1:44" ht="12.3">
      <c r="A421" s="157"/>
      <c r="B421" s="157"/>
      <c r="C421" s="149"/>
      <c r="D421" s="149"/>
      <c r="E421" s="149"/>
      <c r="F421" s="149"/>
      <c r="G421" s="149"/>
      <c r="H421" s="149"/>
      <c r="I421" s="149"/>
      <c r="J421" s="149"/>
      <c r="K421" s="182"/>
      <c r="L421" s="149"/>
      <c r="M421" s="149"/>
      <c r="N421" s="149"/>
      <c r="O421" s="146"/>
      <c r="P421" s="146"/>
      <c r="Q421" s="146"/>
      <c r="R421" s="156"/>
      <c r="S421" s="146"/>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c r="AR421" s="146"/>
    </row>
    <row r="422" spans="1:44" ht="12.3">
      <c r="A422" s="157"/>
      <c r="B422" s="157"/>
      <c r="C422" s="149"/>
      <c r="D422" s="149"/>
      <c r="E422" s="149"/>
      <c r="F422" s="149"/>
      <c r="G422" s="149"/>
      <c r="H422" s="149"/>
      <c r="I422" s="149"/>
      <c r="J422" s="149"/>
      <c r="K422" s="182"/>
      <c r="L422" s="149"/>
      <c r="M422" s="149"/>
      <c r="N422" s="149"/>
      <c r="O422" s="146"/>
      <c r="P422" s="146"/>
      <c r="Q422" s="146"/>
      <c r="R422" s="156"/>
      <c r="S422" s="146"/>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c r="AR422" s="146"/>
    </row>
    <row r="423" spans="1:44" ht="12.3">
      <c r="A423" s="157"/>
      <c r="B423" s="157"/>
      <c r="C423" s="149"/>
      <c r="D423" s="149"/>
      <c r="E423" s="149"/>
      <c r="F423" s="149"/>
      <c r="G423" s="149"/>
      <c r="H423" s="149"/>
      <c r="I423" s="149"/>
      <c r="J423" s="149"/>
      <c r="K423" s="182"/>
      <c r="L423" s="149"/>
      <c r="M423" s="149"/>
      <c r="N423" s="149"/>
      <c r="O423" s="146"/>
      <c r="P423" s="146"/>
      <c r="Q423" s="146"/>
      <c r="R423" s="156"/>
      <c r="S423" s="146"/>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c r="AR423" s="146"/>
    </row>
    <row r="424" spans="1:44" ht="12.3">
      <c r="A424" s="157"/>
      <c r="B424" s="157"/>
      <c r="C424" s="149"/>
      <c r="D424" s="149"/>
      <c r="E424" s="149"/>
      <c r="F424" s="149"/>
      <c r="G424" s="149"/>
      <c r="H424" s="149"/>
      <c r="I424" s="149"/>
      <c r="J424" s="149"/>
      <c r="K424" s="182"/>
      <c r="L424" s="149"/>
      <c r="M424" s="149"/>
      <c r="N424" s="149"/>
      <c r="O424" s="146"/>
      <c r="P424" s="146"/>
      <c r="Q424" s="146"/>
      <c r="R424" s="156"/>
      <c r="S424" s="146"/>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c r="AR424" s="146"/>
    </row>
    <row r="425" spans="1:44" ht="12.3">
      <c r="A425" s="157"/>
      <c r="B425" s="157"/>
      <c r="C425" s="149"/>
      <c r="D425" s="149"/>
      <c r="E425" s="149"/>
      <c r="F425" s="149"/>
      <c r="G425" s="149"/>
      <c r="H425" s="149"/>
      <c r="I425" s="149"/>
      <c r="J425" s="149"/>
      <c r="K425" s="182"/>
      <c r="L425" s="149"/>
      <c r="M425" s="149"/>
      <c r="N425" s="149"/>
      <c r="O425" s="146"/>
      <c r="P425" s="146"/>
      <c r="Q425" s="146"/>
      <c r="R425" s="156"/>
      <c r="S425" s="146"/>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c r="AR425" s="146"/>
    </row>
    <row r="426" spans="1:44" ht="12.3">
      <c r="A426" s="157"/>
      <c r="B426" s="157"/>
      <c r="C426" s="149"/>
      <c r="D426" s="149"/>
      <c r="E426" s="149"/>
      <c r="F426" s="149"/>
      <c r="G426" s="149"/>
      <c r="H426" s="149"/>
      <c r="I426" s="149"/>
      <c r="J426" s="149"/>
      <c r="K426" s="182"/>
      <c r="L426" s="149"/>
      <c r="M426" s="149"/>
      <c r="N426" s="149"/>
      <c r="O426" s="146"/>
      <c r="P426" s="146"/>
      <c r="Q426" s="146"/>
      <c r="R426" s="156"/>
      <c r="S426" s="146"/>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c r="AR426" s="146"/>
    </row>
    <row r="427" spans="1:44" ht="12.3">
      <c r="A427" s="157"/>
      <c r="B427" s="157"/>
      <c r="C427" s="149"/>
      <c r="D427" s="149"/>
      <c r="E427" s="149"/>
      <c r="F427" s="149"/>
      <c r="G427" s="149"/>
      <c r="H427" s="149"/>
      <c r="I427" s="149"/>
      <c r="J427" s="149"/>
      <c r="K427" s="182"/>
      <c r="L427" s="149"/>
      <c r="M427" s="149"/>
      <c r="N427" s="149"/>
      <c r="O427" s="146"/>
      <c r="P427" s="146"/>
      <c r="Q427" s="146"/>
      <c r="R427" s="156"/>
      <c r="S427" s="146"/>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c r="AR427" s="146"/>
    </row>
    <row r="428" spans="1:44" ht="12.3">
      <c r="A428" s="157"/>
      <c r="B428" s="157"/>
      <c r="C428" s="149"/>
      <c r="D428" s="149"/>
      <c r="E428" s="149"/>
      <c r="F428" s="149"/>
      <c r="G428" s="149"/>
      <c r="H428" s="149"/>
      <c r="I428" s="149"/>
      <c r="J428" s="149"/>
      <c r="K428" s="182"/>
      <c r="L428" s="149"/>
      <c r="M428" s="149"/>
      <c r="N428" s="149"/>
      <c r="O428" s="146"/>
      <c r="P428" s="146"/>
      <c r="Q428" s="146"/>
      <c r="R428" s="156"/>
      <c r="S428" s="146"/>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c r="AR428" s="146"/>
    </row>
    <row r="429" spans="1:44" ht="12.3">
      <c r="A429" s="157"/>
      <c r="B429" s="157"/>
      <c r="C429" s="149"/>
      <c r="D429" s="149"/>
      <c r="E429" s="149"/>
      <c r="F429" s="149"/>
      <c r="G429" s="149"/>
      <c r="H429" s="149"/>
      <c r="I429" s="149"/>
      <c r="J429" s="149"/>
      <c r="K429" s="182"/>
      <c r="L429" s="149"/>
      <c r="M429" s="149"/>
      <c r="N429" s="149"/>
      <c r="O429" s="146"/>
      <c r="P429" s="146"/>
      <c r="Q429" s="146"/>
      <c r="R429" s="156"/>
      <c r="S429" s="146"/>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c r="AR429" s="146"/>
    </row>
    <row r="430" spans="1:44" ht="12.3">
      <c r="A430" s="157"/>
      <c r="B430" s="157"/>
      <c r="C430" s="149"/>
      <c r="D430" s="149"/>
      <c r="E430" s="149"/>
      <c r="F430" s="149"/>
      <c r="G430" s="149"/>
      <c r="H430" s="149"/>
      <c r="I430" s="149"/>
      <c r="J430" s="149"/>
      <c r="K430" s="182"/>
      <c r="L430" s="149"/>
      <c r="M430" s="149"/>
      <c r="N430" s="149"/>
      <c r="O430" s="146"/>
      <c r="P430" s="146"/>
      <c r="Q430" s="146"/>
      <c r="R430" s="156"/>
      <c r="S430" s="146"/>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c r="AR430" s="146"/>
    </row>
    <row r="431" spans="1:44" ht="12.3">
      <c r="A431" s="157"/>
      <c r="B431" s="157"/>
      <c r="C431" s="149"/>
      <c r="D431" s="149"/>
      <c r="E431" s="149"/>
      <c r="F431" s="149"/>
      <c r="G431" s="149"/>
      <c r="H431" s="149"/>
      <c r="I431" s="149"/>
      <c r="J431" s="149"/>
      <c r="K431" s="182"/>
      <c r="L431" s="149"/>
      <c r="M431" s="149"/>
      <c r="N431" s="149"/>
      <c r="O431" s="146"/>
      <c r="P431" s="146"/>
      <c r="Q431" s="146"/>
      <c r="R431" s="156"/>
      <c r="S431" s="146"/>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c r="AR431" s="146"/>
    </row>
    <row r="432" spans="1:44" ht="12.3">
      <c r="A432" s="157"/>
      <c r="B432" s="157"/>
      <c r="C432" s="149"/>
      <c r="D432" s="149"/>
      <c r="E432" s="149"/>
      <c r="F432" s="149"/>
      <c r="G432" s="149"/>
      <c r="H432" s="149"/>
      <c r="I432" s="149"/>
      <c r="J432" s="149"/>
      <c r="K432" s="182"/>
      <c r="L432" s="149"/>
      <c r="M432" s="149"/>
      <c r="N432" s="149"/>
      <c r="O432" s="146"/>
      <c r="P432" s="146"/>
      <c r="Q432" s="146"/>
      <c r="R432" s="156"/>
      <c r="S432" s="146"/>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c r="AR432" s="146"/>
    </row>
    <row r="433" spans="1:44" ht="12.3">
      <c r="A433" s="157"/>
      <c r="B433" s="157"/>
      <c r="C433" s="149"/>
      <c r="D433" s="149"/>
      <c r="E433" s="149"/>
      <c r="F433" s="149"/>
      <c r="G433" s="149"/>
      <c r="H433" s="149"/>
      <c r="I433" s="149"/>
      <c r="J433" s="149"/>
      <c r="K433" s="182"/>
      <c r="L433" s="149"/>
      <c r="M433" s="149"/>
      <c r="N433" s="149"/>
      <c r="O433" s="146"/>
      <c r="P433" s="146"/>
      <c r="Q433" s="146"/>
      <c r="R433" s="156"/>
      <c r="S433" s="146"/>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c r="AR433" s="146"/>
    </row>
    <row r="434" spans="1:44" ht="12.3">
      <c r="A434" s="157"/>
      <c r="B434" s="157"/>
      <c r="C434" s="149"/>
      <c r="D434" s="149"/>
      <c r="E434" s="149"/>
      <c r="F434" s="149"/>
      <c r="G434" s="149"/>
      <c r="H434" s="149"/>
      <c r="I434" s="149"/>
      <c r="J434" s="149"/>
      <c r="K434" s="182"/>
      <c r="L434" s="149"/>
      <c r="M434" s="149"/>
      <c r="N434" s="149"/>
      <c r="O434" s="146"/>
      <c r="P434" s="146"/>
      <c r="Q434" s="146"/>
      <c r="R434" s="156"/>
      <c r="S434" s="146"/>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c r="AR434" s="146"/>
    </row>
    <row r="435" spans="1:44" ht="12.3">
      <c r="A435" s="157"/>
      <c r="B435" s="157"/>
      <c r="C435" s="149"/>
      <c r="D435" s="149"/>
      <c r="E435" s="149"/>
      <c r="F435" s="149"/>
      <c r="G435" s="149"/>
      <c r="H435" s="149"/>
      <c r="I435" s="149"/>
      <c r="J435" s="149"/>
      <c r="K435" s="182"/>
      <c r="L435" s="149"/>
      <c r="M435" s="149"/>
      <c r="N435" s="149"/>
      <c r="O435" s="146"/>
      <c r="P435" s="146"/>
      <c r="Q435" s="146"/>
      <c r="R435" s="156"/>
      <c r="S435" s="146"/>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c r="AR435" s="146"/>
    </row>
    <row r="436" spans="1:44" ht="12.3">
      <c r="A436" s="157"/>
      <c r="B436" s="157"/>
      <c r="C436" s="149"/>
      <c r="D436" s="149"/>
      <c r="E436" s="149"/>
      <c r="F436" s="149"/>
      <c r="G436" s="149"/>
      <c r="H436" s="149"/>
      <c r="I436" s="149"/>
      <c r="J436" s="149"/>
      <c r="K436" s="182"/>
      <c r="L436" s="149"/>
      <c r="M436" s="149"/>
      <c r="N436" s="149"/>
      <c r="O436" s="146"/>
      <c r="P436" s="146"/>
      <c r="Q436" s="146"/>
      <c r="R436" s="156"/>
      <c r="S436" s="146"/>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c r="AR436" s="146"/>
    </row>
    <row r="437" spans="1:44" ht="12.3">
      <c r="A437" s="157"/>
      <c r="B437" s="157"/>
      <c r="C437" s="149"/>
      <c r="D437" s="149"/>
      <c r="E437" s="149"/>
      <c r="F437" s="149"/>
      <c r="G437" s="149"/>
      <c r="H437" s="149"/>
      <c r="I437" s="149"/>
      <c r="J437" s="149"/>
      <c r="K437" s="182"/>
      <c r="L437" s="149"/>
      <c r="M437" s="149"/>
      <c r="N437" s="149"/>
      <c r="O437" s="146"/>
      <c r="P437" s="146"/>
      <c r="Q437" s="146"/>
      <c r="R437" s="156"/>
      <c r="S437" s="146"/>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c r="AR437" s="146"/>
    </row>
    <row r="438" spans="1:44" ht="12.3">
      <c r="A438" s="157"/>
      <c r="B438" s="157"/>
      <c r="C438" s="149"/>
      <c r="D438" s="149"/>
      <c r="E438" s="149"/>
      <c r="F438" s="149"/>
      <c r="G438" s="149"/>
      <c r="H438" s="149"/>
      <c r="I438" s="149"/>
      <c r="J438" s="149"/>
      <c r="K438" s="182"/>
      <c r="L438" s="149"/>
      <c r="M438" s="149"/>
      <c r="N438" s="149"/>
      <c r="O438" s="146"/>
      <c r="P438" s="146"/>
      <c r="Q438" s="146"/>
      <c r="R438" s="156"/>
      <c r="S438" s="146"/>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c r="AR438" s="146"/>
    </row>
    <row r="439" spans="1:44" ht="12.3">
      <c r="A439" s="157"/>
      <c r="B439" s="157"/>
      <c r="C439" s="149"/>
      <c r="D439" s="149"/>
      <c r="E439" s="149"/>
      <c r="F439" s="149"/>
      <c r="G439" s="149"/>
      <c r="H439" s="149"/>
      <c r="I439" s="149"/>
      <c r="J439" s="149"/>
      <c r="K439" s="182"/>
      <c r="L439" s="149"/>
      <c r="M439" s="149"/>
      <c r="N439" s="149"/>
      <c r="O439" s="146"/>
      <c r="P439" s="146"/>
      <c r="Q439" s="146"/>
      <c r="R439" s="156"/>
      <c r="S439" s="146"/>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c r="AR439" s="146"/>
    </row>
    <row r="440" spans="1:44" ht="12.3">
      <c r="A440" s="157"/>
      <c r="B440" s="157"/>
      <c r="C440" s="149"/>
      <c r="D440" s="149"/>
      <c r="E440" s="149"/>
      <c r="F440" s="149"/>
      <c r="G440" s="149"/>
      <c r="H440" s="149"/>
      <c r="I440" s="149"/>
      <c r="J440" s="149"/>
      <c r="K440" s="182"/>
      <c r="L440" s="149"/>
      <c r="M440" s="149"/>
      <c r="N440" s="149"/>
      <c r="O440" s="146"/>
      <c r="P440" s="146"/>
      <c r="Q440" s="146"/>
      <c r="R440" s="156"/>
      <c r="S440" s="146"/>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c r="AR440" s="146"/>
    </row>
    <row r="441" spans="1:44" ht="12.3">
      <c r="A441" s="157"/>
      <c r="B441" s="157"/>
      <c r="C441" s="149"/>
      <c r="D441" s="149"/>
      <c r="E441" s="149"/>
      <c r="F441" s="149"/>
      <c r="G441" s="149"/>
      <c r="H441" s="149"/>
      <c r="I441" s="149"/>
      <c r="J441" s="149"/>
      <c r="K441" s="182"/>
      <c r="L441" s="149"/>
      <c r="M441" s="149"/>
      <c r="N441" s="149"/>
      <c r="O441" s="146"/>
      <c r="P441" s="146"/>
      <c r="Q441" s="146"/>
      <c r="R441" s="156"/>
      <c r="S441" s="146"/>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c r="AR441" s="146"/>
    </row>
    <row r="442" spans="1:44" ht="12.3">
      <c r="A442" s="157"/>
      <c r="B442" s="157"/>
      <c r="C442" s="149"/>
      <c r="D442" s="149"/>
      <c r="E442" s="149"/>
      <c r="F442" s="149"/>
      <c r="G442" s="149"/>
      <c r="H442" s="149"/>
      <c r="I442" s="149"/>
      <c r="J442" s="149"/>
      <c r="K442" s="182"/>
      <c r="L442" s="149"/>
      <c r="M442" s="149"/>
      <c r="N442" s="149"/>
      <c r="O442" s="146"/>
      <c r="P442" s="146"/>
      <c r="Q442" s="146"/>
      <c r="R442" s="156"/>
      <c r="S442" s="146"/>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c r="AR442" s="146"/>
    </row>
    <row r="443" spans="1:44" ht="12.3">
      <c r="A443" s="157"/>
      <c r="B443" s="157"/>
      <c r="C443" s="149"/>
      <c r="D443" s="149"/>
      <c r="E443" s="149"/>
      <c r="F443" s="149"/>
      <c r="G443" s="149"/>
      <c r="H443" s="149"/>
      <c r="I443" s="149"/>
      <c r="J443" s="149"/>
      <c r="K443" s="182"/>
      <c r="L443" s="149"/>
      <c r="M443" s="149"/>
      <c r="N443" s="149"/>
      <c r="O443" s="146"/>
      <c r="P443" s="146"/>
      <c r="Q443" s="146"/>
      <c r="R443" s="156"/>
      <c r="S443" s="146"/>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c r="AR443" s="146"/>
    </row>
    <row r="444" spans="1:44" ht="12.3">
      <c r="A444" s="157"/>
      <c r="B444" s="157"/>
      <c r="C444" s="149"/>
      <c r="D444" s="149"/>
      <c r="E444" s="149"/>
      <c r="F444" s="149"/>
      <c r="G444" s="149"/>
      <c r="H444" s="149"/>
      <c r="I444" s="149"/>
      <c r="J444" s="149"/>
      <c r="K444" s="182"/>
      <c r="L444" s="149"/>
      <c r="M444" s="149"/>
      <c r="N444" s="149"/>
      <c r="O444" s="146"/>
      <c r="P444" s="146"/>
      <c r="Q444" s="146"/>
      <c r="R444" s="156"/>
      <c r="S444" s="146"/>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c r="AR444" s="146"/>
    </row>
    <row r="445" spans="1:44" ht="12.3">
      <c r="A445" s="157"/>
      <c r="B445" s="157"/>
      <c r="C445" s="149"/>
      <c r="D445" s="149"/>
      <c r="E445" s="149"/>
      <c r="F445" s="149"/>
      <c r="G445" s="149"/>
      <c r="H445" s="149"/>
      <c r="I445" s="149"/>
      <c r="J445" s="149"/>
      <c r="K445" s="182"/>
      <c r="L445" s="149"/>
      <c r="M445" s="149"/>
      <c r="N445" s="149"/>
      <c r="O445" s="146"/>
      <c r="P445" s="146"/>
      <c r="Q445" s="146"/>
      <c r="R445" s="156"/>
      <c r="S445" s="146"/>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c r="AR445" s="146"/>
    </row>
    <row r="446" spans="1:44" ht="12.3">
      <c r="A446" s="157"/>
      <c r="B446" s="157"/>
      <c r="C446" s="149"/>
      <c r="D446" s="149"/>
      <c r="E446" s="149"/>
      <c r="F446" s="149"/>
      <c r="G446" s="149"/>
      <c r="H446" s="149"/>
      <c r="I446" s="149"/>
      <c r="J446" s="149"/>
      <c r="K446" s="182"/>
      <c r="L446" s="149"/>
      <c r="M446" s="149"/>
      <c r="N446" s="149"/>
      <c r="O446" s="146"/>
      <c r="P446" s="146"/>
      <c r="Q446" s="146"/>
      <c r="R446" s="156"/>
      <c r="S446" s="146"/>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c r="AR446" s="146"/>
    </row>
    <row r="447" spans="1:44" ht="12.3">
      <c r="A447" s="157"/>
      <c r="B447" s="157"/>
      <c r="C447" s="149"/>
      <c r="D447" s="149"/>
      <c r="E447" s="149"/>
      <c r="F447" s="149"/>
      <c r="G447" s="149"/>
      <c r="H447" s="149"/>
      <c r="I447" s="149"/>
      <c r="J447" s="149"/>
      <c r="K447" s="182"/>
      <c r="L447" s="149"/>
      <c r="M447" s="149"/>
      <c r="N447" s="149"/>
      <c r="O447" s="146"/>
      <c r="P447" s="146"/>
      <c r="Q447" s="146"/>
      <c r="R447" s="156"/>
      <c r="S447" s="146"/>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c r="AR447" s="146"/>
    </row>
    <row r="448" spans="1:44" ht="12.3">
      <c r="A448" s="157"/>
      <c r="B448" s="157"/>
      <c r="C448" s="149"/>
      <c r="D448" s="149"/>
      <c r="E448" s="149"/>
      <c r="F448" s="149"/>
      <c r="G448" s="149"/>
      <c r="H448" s="149"/>
      <c r="I448" s="149"/>
      <c r="J448" s="149"/>
      <c r="K448" s="182"/>
      <c r="L448" s="149"/>
      <c r="M448" s="149"/>
      <c r="N448" s="149"/>
      <c r="O448" s="146"/>
      <c r="P448" s="146"/>
      <c r="Q448" s="146"/>
      <c r="R448" s="156"/>
      <c r="S448" s="146"/>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c r="AR448" s="146"/>
    </row>
    <row r="449" spans="1:44" ht="12.3">
      <c r="A449" s="157"/>
      <c r="B449" s="157"/>
      <c r="C449" s="149"/>
      <c r="D449" s="149"/>
      <c r="E449" s="149"/>
      <c r="F449" s="149"/>
      <c r="G449" s="149"/>
      <c r="H449" s="149"/>
      <c r="I449" s="149"/>
      <c r="J449" s="149"/>
      <c r="K449" s="182"/>
      <c r="L449" s="149"/>
      <c r="M449" s="149"/>
      <c r="N449" s="149"/>
      <c r="O449" s="146"/>
      <c r="P449" s="146"/>
      <c r="Q449" s="146"/>
      <c r="R449" s="156"/>
      <c r="S449" s="146"/>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c r="AR449" s="146"/>
    </row>
    <row r="450" spans="1:44" ht="12.3">
      <c r="A450" s="157"/>
      <c r="B450" s="157"/>
      <c r="C450" s="149"/>
      <c r="D450" s="149"/>
      <c r="E450" s="149"/>
      <c r="F450" s="149"/>
      <c r="G450" s="149"/>
      <c r="H450" s="149"/>
      <c r="I450" s="149"/>
      <c r="J450" s="149"/>
      <c r="K450" s="182"/>
      <c r="L450" s="149"/>
      <c r="M450" s="149"/>
      <c r="N450" s="149"/>
      <c r="O450" s="146"/>
      <c r="P450" s="146"/>
      <c r="Q450" s="146"/>
      <c r="R450" s="156"/>
      <c r="S450" s="146"/>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c r="AR450" s="146"/>
    </row>
    <row r="451" spans="1:44" ht="12.3">
      <c r="A451" s="157"/>
      <c r="B451" s="157"/>
      <c r="C451" s="149"/>
      <c r="D451" s="149"/>
      <c r="E451" s="149"/>
      <c r="F451" s="149"/>
      <c r="G451" s="149"/>
      <c r="H451" s="149"/>
      <c r="I451" s="149"/>
      <c r="J451" s="149"/>
      <c r="K451" s="182"/>
      <c r="L451" s="149"/>
      <c r="M451" s="149"/>
      <c r="N451" s="149"/>
      <c r="O451" s="146"/>
      <c r="P451" s="146"/>
      <c r="Q451" s="146"/>
      <c r="R451" s="156"/>
      <c r="S451" s="146"/>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c r="AR451" s="146"/>
    </row>
    <row r="452" spans="1:44" ht="12.3">
      <c r="A452" s="157"/>
      <c r="B452" s="157"/>
      <c r="C452" s="149"/>
      <c r="D452" s="149"/>
      <c r="E452" s="149"/>
      <c r="F452" s="149"/>
      <c r="G452" s="149"/>
      <c r="H452" s="149"/>
      <c r="I452" s="149"/>
      <c r="J452" s="149"/>
      <c r="K452" s="182"/>
      <c r="L452" s="149"/>
      <c r="M452" s="149"/>
      <c r="N452" s="149"/>
      <c r="O452" s="146"/>
      <c r="P452" s="146"/>
      <c r="Q452" s="146"/>
      <c r="R452" s="156"/>
      <c r="S452" s="146"/>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c r="AR452" s="146"/>
    </row>
    <row r="453" spans="1:44" ht="12.3">
      <c r="A453" s="157"/>
      <c r="B453" s="157"/>
      <c r="C453" s="149"/>
      <c r="D453" s="149"/>
      <c r="E453" s="149"/>
      <c r="F453" s="149"/>
      <c r="G453" s="149"/>
      <c r="H453" s="149"/>
      <c r="I453" s="149"/>
      <c r="J453" s="149"/>
      <c r="K453" s="182"/>
      <c r="L453" s="149"/>
      <c r="M453" s="149"/>
      <c r="N453" s="149"/>
      <c r="O453" s="146"/>
      <c r="P453" s="146"/>
      <c r="Q453" s="146"/>
      <c r="R453" s="156"/>
      <c r="S453" s="146"/>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c r="AR453" s="146"/>
    </row>
    <row r="454" spans="1:44" ht="12.3">
      <c r="A454" s="157"/>
      <c r="B454" s="157"/>
      <c r="C454" s="149"/>
      <c r="D454" s="149"/>
      <c r="E454" s="149"/>
      <c r="F454" s="149"/>
      <c r="G454" s="149"/>
      <c r="H454" s="149"/>
      <c r="I454" s="149"/>
      <c r="J454" s="149"/>
      <c r="K454" s="182"/>
      <c r="L454" s="149"/>
      <c r="M454" s="149"/>
      <c r="N454" s="149"/>
      <c r="O454" s="146"/>
      <c r="P454" s="146"/>
      <c r="Q454" s="146"/>
      <c r="R454" s="156"/>
      <c r="S454" s="146"/>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c r="AR454" s="146"/>
    </row>
    <row r="455" spans="1:44" ht="12.3">
      <c r="A455" s="157"/>
      <c r="B455" s="157"/>
      <c r="C455" s="149"/>
      <c r="D455" s="149"/>
      <c r="E455" s="149"/>
      <c r="F455" s="149"/>
      <c r="G455" s="149"/>
      <c r="H455" s="149"/>
      <c r="I455" s="149"/>
      <c r="J455" s="149"/>
      <c r="K455" s="182"/>
      <c r="L455" s="149"/>
      <c r="M455" s="149"/>
      <c r="N455" s="149"/>
      <c r="O455" s="146"/>
      <c r="P455" s="146"/>
      <c r="Q455" s="146"/>
      <c r="R455" s="156"/>
      <c r="S455" s="146"/>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c r="AR455" s="146"/>
    </row>
    <row r="456" spans="1:44" ht="12.3">
      <c r="A456" s="157"/>
      <c r="B456" s="157"/>
      <c r="C456" s="149"/>
      <c r="D456" s="149"/>
      <c r="E456" s="149"/>
      <c r="F456" s="149"/>
      <c r="G456" s="149"/>
      <c r="H456" s="149"/>
      <c r="I456" s="149"/>
      <c r="J456" s="149"/>
      <c r="K456" s="182"/>
      <c r="L456" s="149"/>
      <c r="M456" s="149"/>
      <c r="N456" s="149"/>
      <c r="O456" s="146"/>
      <c r="P456" s="146"/>
      <c r="Q456" s="146"/>
      <c r="R456" s="156"/>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row>
    <row r="457" spans="1:44" ht="12.3">
      <c r="A457" s="157"/>
      <c r="B457" s="157"/>
      <c r="C457" s="149"/>
      <c r="D457" s="149"/>
      <c r="E457" s="149"/>
      <c r="F457" s="149"/>
      <c r="G457" s="149"/>
      <c r="H457" s="149"/>
      <c r="I457" s="149"/>
      <c r="J457" s="149"/>
      <c r="K457" s="182"/>
      <c r="L457" s="149"/>
      <c r="M457" s="149"/>
      <c r="N457" s="149"/>
      <c r="O457" s="146"/>
      <c r="P457" s="146"/>
      <c r="Q457" s="146"/>
      <c r="R457" s="156"/>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row>
    <row r="458" spans="1:44" ht="12.3">
      <c r="A458" s="157"/>
      <c r="B458" s="157"/>
      <c r="C458" s="149"/>
      <c r="D458" s="149"/>
      <c r="E458" s="149"/>
      <c r="F458" s="149"/>
      <c r="G458" s="149"/>
      <c r="H458" s="149"/>
      <c r="I458" s="149"/>
      <c r="J458" s="149"/>
      <c r="K458" s="182"/>
      <c r="L458" s="149"/>
      <c r="M458" s="149"/>
      <c r="N458" s="149"/>
      <c r="O458" s="146"/>
      <c r="P458" s="146"/>
      <c r="Q458" s="146"/>
      <c r="R458" s="156"/>
      <c r="S458" s="146"/>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c r="AR458" s="146"/>
    </row>
    <row r="459" spans="1:44" ht="12.3">
      <c r="A459" s="157"/>
      <c r="B459" s="157"/>
      <c r="C459" s="149"/>
      <c r="D459" s="149"/>
      <c r="E459" s="149"/>
      <c r="F459" s="149"/>
      <c r="G459" s="149"/>
      <c r="H459" s="149"/>
      <c r="I459" s="149"/>
      <c r="J459" s="149"/>
      <c r="K459" s="182"/>
      <c r="L459" s="149"/>
      <c r="M459" s="149"/>
      <c r="N459" s="149"/>
      <c r="O459" s="146"/>
      <c r="P459" s="146"/>
      <c r="Q459" s="146"/>
      <c r="R459" s="156"/>
      <c r="S459" s="146"/>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c r="AR459" s="146"/>
    </row>
    <row r="460" spans="1:44" ht="12.3">
      <c r="A460" s="157"/>
      <c r="B460" s="157"/>
      <c r="C460" s="149"/>
      <c r="D460" s="149"/>
      <c r="E460" s="149"/>
      <c r="F460" s="149"/>
      <c r="G460" s="149"/>
      <c r="H460" s="149"/>
      <c r="I460" s="149"/>
      <c r="J460" s="149"/>
      <c r="K460" s="182"/>
      <c r="L460" s="149"/>
      <c r="M460" s="149"/>
      <c r="N460" s="149"/>
      <c r="O460" s="146"/>
      <c r="P460" s="146"/>
      <c r="Q460" s="146"/>
      <c r="R460" s="156"/>
      <c r="S460" s="146"/>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c r="AR460" s="146"/>
    </row>
    <row r="461" spans="1:44" ht="12.3">
      <c r="A461" s="157"/>
      <c r="B461" s="157"/>
      <c r="C461" s="149"/>
      <c r="D461" s="149"/>
      <c r="E461" s="149"/>
      <c r="F461" s="149"/>
      <c r="G461" s="149"/>
      <c r="H461" s="149"/>
      <c r="I461" s="149"/>
      <c r="J461" s="149"/>
      <c r="K461" s="182"/>
      <c r="L461" s="149"/>
      <c r="M461" s="149"/>
      <c r="N461" s="149"/>
      <c r="O461" s="146"/>
      <c r="P461" s="146"/>
      <c r="Q461" s="146"/>
      <c r="R461" s="156"/>
      <c r="S461" s="146"/>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c r="AR461" s="146"/>
    </row>
    <row r="462" spans="1:44" ht="12.3">
      <c r="A462" s="157"/>
      <c r="B462" s="157"/>
      <c r="C462" s="149"/>
      <c r="D462" s="149"/>
      <c r="E462" s="149"/>
      <c r="F462" s="149"/>
      <c r="G462" s="149"/>
      <c r="H462" s="149"/>
      <c r="I462" s="149"/>
      <c r="J462" s="149"/>
      <c r="K462" s="182"/>
      <c r="L462" s="149"/>
      <c r="M462" s="149"/>
      <c r="N462" s="149"/>
      <c r="O462" s="146"/>
      <c r="P462" s="146"/>
      <c r="Q462" s="146"/>
      <c r="R462" s="156"/>
      <c r="S462" s="146"/>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c r="AR462" s="146"/>
    </row>
    <row r="463" spans="1:44" ht="12.3">
      <c r="A463" s="157"/>
      <c r="B463" s="157"/>
      <c r="C463" s="149"/>
      <c r="D463" s="149"/>
      <c r="E463" s="149"/>
      <c r="F463" s="149"/>
      <c r="G463" s="149"/>
      <c r="H463" s="149"/>
      <c r="I463" s="149"/>
      <c r="J463" s="149"/>
      <c r="K463" s="182"/>
      <c r="L463" s="149"/>
      <c r="M463" s="149"/>
      <c r="N463" s="149"/>
      <c r="O463" s="146"/>
      <c r="P463" s="146"/>
      <c r="Q463" s="146"/>
      <c r="R463" s="156"/>
      <c r="S463" s="146"/>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c r="AR463" s="146"/>
    </row>
    <row r="464" spans="1:44" ht="12.3">
      <c r="A464" s="157"/>
      <c r="B464" s="157"/>
      <c r="C464" s="149"/>
      <c r="D464" s="149"/>
      <c r="E464" s="149"/>
      <c r="F464" s="149"/>
      <c r="G464" s="149"/>
      <c r="H464" s="149"/>
      <c r="I464" s="149"/>
      <c r="J464" s="149"/>
      <c r="K464" s="182"/>
      <c r="L464" s="149"/>
      <c r="M464" s="149"/>
      <c r="N464" s="149"/>
      <c r="O464" s="146"/>
      <c r="P464" s="146"/>
      <c r="Q464" s="146"/>
      <c r="R464" s="156"/>
      <c r="S464" s="146"/>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c r="AR464" s="146"/>
    </row>
    <row r="465" spans="1:44" ht="12.3">
      <c r="A465" s="157"/>
      <c r="B465" s="157"/>
      <c r="C465" s="149"/>
      <c r="D465" s="149"/>
      <c r="E465" s="149"/>
      <c r="F465" s="149"/>
      <c r="G465" s="149"/>
      <c r="H465" s="149"/>
      <c r="I465" s="149"/>
      <c r="J465" s="149"/>
      <c r="K465" s="182"/>
      <c r="L465" s="149"/>
      <c r="M465" s="149"/>
      <c r="N465" s="149"/>
      <c r="O465" s="146"/>
      <c r="P465" s="146"/>
      <c r="Q465" s="146"/>
      <c r="R465" s="156"/>
      <c r="S465" s="146"/>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c r="AR465" s="146"/>
    </row>
    <row r="466" spans="1:44" ht="12.3">
      <c r="A466" s="157"/>
      <c r="B466" s="157"/>
      <c r="C466" s="149"/>
      <c r="D466" s="149"/>
      <c r="E466" s="149"/>
      <c r="F466" s="149"/>
      <c r="G466" s="149"/>
      <c r="H466" s="149"/>
      <c r="I466" s="149"/>
      <c r="J466" s="149"/>
      <c r="K466" s="182"/>
      <c r="L466" s="149"/>
      <c r="M466" s="149"/>
      <c r="N466" s="149"/>
      <c r="O466" s="146"/>
      <c r="P466" s="146"/>
      <c r="Q466" s="146"/>
      <c r="R466" s="156"/>
      <c r="S466" s="146"/>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c r="AR466" s="146"/>
    </row>
    <row r="467" spans="1:44" ht="12.3">
      <c r="A467" s="157"/>
      <c r="B467" s="157"/>
      <c r="C467" s="149"/>
      <c r="D467" s="149"/>
      <c r="E467" s="149"/>
      <c r="F467" s="149"/>
      <c r="G467" s="149"/>
      <c r="H467" s="149"/>
      <c r="I467" s="149"/>
      <c r="J467" s="149"/>
      <c r="K467" s="182"/>
      <c r="L467" s="149"/>
      <c r="M467" s="149"/>
      <c r="N467" s="149"/>
      <c r="O467" s="146"/>
      <c r="P467" s="146"/>
      <c r="Q467" s="146"/>
      <c r="R467" s="156"/>
      <c r="S467" s="146"/>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c r="AR467" s="146"/>
    </row>
    <row r="468" spans="1:44" ht="12.3">
      <c r="A468" s="157"/>
      <c r="B468" s="157"/>
      <c r="C468" s="149"/>
      <c r="D468" s="149"/>
      <c r="E468" s="149"/>
      <c r="F468" s="149"/>
      <c r="G468" s="149"/>
      <c r="H468" s="149"/>
      <c r="I468" s="149"/>
      <c r="J468" s="149"/>
      <c r="K468" s="182"/>
      <c r="L468" s="149"/>
      <c r="M468" s="149"/>
      <c r="N468" s="149"/>
      <c r="O468" s="146"/>
      <c r="P468" s="146"/>
      <c r="Q468" s="146"/>
      <c r="R468" s="156"/>
      <c r="S468" s="146"/>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c r="AR468" s="146"/>
    </row>
    <row r="469" spans="1:44" ht="12.3">
      <c r="A469" s="157"/>
      <c r="B469" s="157"/>
      <c r="C469" s="149"/>
      <c r="D469" s="149"/>
      <c r="E469" s="149"/>
      <c r="F469" s="149"/>
      <c r="G469" s="149"/>
      <c r="H469" s="149"/>
      <c r="I469" s="149"/>
      <c r="J469" s="149"/>
      <c r="K469" s="182"/>
      <c r="L469" s="149"/>
      <c r="M469" s="149"/>
      <c r="N469" s="149"/>
      <c r="O469" s="146"/>
      <c r="P469" s="146"/>
      <c r="Q469" s="146"/>
      <c r="R469" s="156"/>
      <c r="S469" s="146"/>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c r="AR469" s="146"/>
    </row>
    <row r="470" spans="1:44" ht="12.3">
      <c r="A470" s="157"/>
      <c r="B470" s="157"/>
      <c r="C470" s="149"/>
      <c r="D470" s="149"/>
      <c r="E470" s="149"/>
      <c r="F470" s="149"/>
      <c r="G470" s="149"/>
      <c r="H470" s="149"/>
      <c r="I470" s="149"/>
      <c r="J470" s="149"/>
      <c r="K470" s="182"/>
      <c r="L470" s="149"/>
      <c r="M470" s="149"/>
      <c r="N470" s="149"/>
      <c r="O470" s="146"/>
      <c r="P470" s="146"/>
      <c r="Q470" s="146"/>
      <c r="R470" s="156"/>
      <c r="S470" s="146"/>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c r="AR470" s="146"/>
    </row>
    <row r="471" spans="1:44" ht="12.3">
      <c r="A471" s="157"/>
      <c r="B471" s="157"/>
      <c r="C471" s="149"/>
      <c r="D471" s="149"/>
      <c r="E471" s="149"/>
      <c r="F471" s="149"/>
      <c r="G471" s="149"/>
      <c r="H471" s="149"/>
      <c r="I471" s="149"/>
      <c r="J471" s="149"/>
      <c r="K471" s="182"/>
      <c r="L471" s="149"/>
      <c r="M471" s="149"/>
      <c r="N471" s="149"/>
      <c r="O471" s="146"/>
      <c r="P471" s="146"/>
      <c r="Q471" s="146"/>
      <c r="R471" s="156"/>
      <c r="S471" s="146"/>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c r="AR471" s="146"/>
    </row>
    <row r="472" spans="1:44" ht="12.3">
      <c r="A472" s="157"/>
      <c r="B472" s="157"/>
      <c r="C472" s="149"/>
      <c r="D472" s="149"/>
      <c r="E472" s="149"/>
      <c r="F472" s="149"/>
      <c r="G472" s="149"/>
      <c r="H472" s="149"/>
      <c r="I472" s="149"/>
      <c r="J472" s="149"/>
      <c r="K472" s="182"/>
      <c r="L472" s="149"/>
      <c r="M472" s="149"/>
      <c r="N472" s="149"/>
      <c r="O472" s="146"/>
      <c r="P472" s="146"/>
      <c r="Q472" s="146"/>
      <c r="R472" s="156"/>
      <c r="S472" s="146"/>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c r="AR472" s="146"/>
    </row>
    <row r="473" spans="1:44" ht="12.3">
      <c r="A473" s="157"/>
      <c r="B473" s="157"/>
      <c r="C473" s="149"/>
      <c r="D473" s="149"/>
      <c r="E473" s="149"/>
      <c r="F473" s="149"/>
      <c r="G473" s="149"/>
      <c r="H473" s="149"/>
      <c r="I473" s="149"/>
      <c r="J473" s="149"/>
      <c r="K473" s="182"/>
      <c r="L473" s="149"/>
      <c r="M473" s="149"/>
      <c r="N473" s="149"/>
      <c r="O473" s="146"/>
      <c r="P473" s="146"/>
      <c r="Q473" s="146"/>
      <c r="R473" s="156"/>
      <c r="S473" s="146"/>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c r="AR473" s="146"/>
    </row>
    <row r="474" spans="1:44" ht="12.3">
      <c r="A474" s="157"/>
      <c r="B474" s="157"/>
      <c r="C474" s="149"/>
      <c r="D474" s="149"/>
      <c r="E474" s="149"/>
      <c r="F474" s="149"/>
      <c r="G474" s="149"/>
      <c r="H474" s="149"/>
      <c r="I474" s="149"/>
      <c r="J474" s="149"/>
      <c r="K474" s="182"/>
      <c r="L474" s="149"/>
      <c r="M474" s="149"/>
      <c r="N474" s="149"/>
      <c r="O474" s="146"/>
      <c r="P474" s="146"/>
      <c r="Q474" s="146"/>
      <c r="R474" s="156"/>
      <c r="S474" s="146"/>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c r="AR474" s="146"/>
    </row>
    <row r="475" spans="1:44" ht="12.3">
      <c r="A475" s="157"/>
      <c r="B475" s="157"/>
      <c r="C475" s="149"/>
      <c r="D475" s="149"/>
      <c r="E475" s="149"/>
      <c r="F475" s="149"/>
      <c r="G475" s="149"/>
      <c r="H475" s="149"/>
      <c r="I475" s="149"/>
      <c r="J475" s="149"/>
      <c r="K475" s="182"/>
      <c r="L475" s="149"/>
      <c r="M475" s="149"/>
      <c r="N475" s="149"/>
      <c r="O475" s="146"/>
      <c r="P475" s="146"/>
      <c r="Q475" s="146"/>
      <c r="R475" s="156"/>
      <c r="S475" s="146"/>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c r="AR475" s="146"/>
    </row>
    <row r="476" spans="1:44" ht="12.3">
      <c r="A476" s="157"/>
      <c r="B476" s="157"/>
      <c r="C476" s="149"/>
      <c r="D476" s="149"/>
      <c r="E476" s="149"/>
      <c r="F476" s="149"/>
      <c r="G476" s="149"/>
      <c r="H476" s="149"/>
      <c r="I476" s="149"/>
      <c r="J476" s="149"/>
      <c r="K476" s="182"/>
      <c r="L476" s="149"/>
      <c r="M476" s="149"/>
      <c r="N476" s="149"/>
      <c r="O476" s="146"/>
      <c r="P476" s="146"/>
      <c r="Q476" s="146"/>
      <c r="R476" s="156"/>
      <c r="S476" s="146"/>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c r="AR476" s="146"/>
    </row>
    <row r="477" spans="1:44" ht="12.3">
      <c r="A477" s="157"/>
      <c r="B477" s="157"/>
      <c r="C477" s="149"/>
      <c r="D477" s="149"/>
      <c r="E477" s="149"/>
      <c r="F477" s="149"/>
      <c r="G477" s="149"/>
      <c r="H477" s="149"/>
      <c r="I477" s="149"/>
      <c r="J477" s="149"/>
      <c r="K477" s="182"/>
      <c r="L477" s="149"/>
      <c r="M477" s="149"/>
      <c r="N477" s="149"/>
      <c r="O477" s="146"/>
      <c r="P477" s="146"/>
      <c r="Q477" s="146"/>
      <c r="R477" s="156"/>
      <c r="S477" s="146"/>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c r="AR477" s="146"/>
    </row>
    <row r="478" spans="1:44" ht="12.3">
      <c r="A478" s="157"/>
      <c r="B478" s="157"/>
      <c r="C478" s="149"/>
      <c r="D478" s="149"/>
      <c r="E478" s="149"/>
      <c r="F478" s="149"/>
      <c r="G478" s="149"/>
      <c r="H478" s="149"/>
      <c r="I478" s="149"/>
      <c r="J478" s="149"/>
      <c r="K478" s="182"/>
      <c r="L478" s="149"/>
      <c r="M478" s="149"/>
      <c r="N478" s="149"/>
      <c r="O478" s="146"/>
      <c r="P478" s="146"/>
      <c r="Q478" s="146"/>
      <c r="R478" s="156"/>
      <c r="S478" s="146"/>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c r="AR478" s="146"/>
    </row>
    <row r="479" spans="1:44" ht="12.3">
      <c r="A479" s="157"/>
      <c r="B479" s="157"/>
      <c r="C479" s="149"/>
      <c r="D479" s="149"/>
      <c r="E479" s="149"/>
      <c r="F479" s="149"/>
      <c r="G479" s="149"/>
      <c r="H479" s="149"/>
      <c r="I479" s="149"/>
      <c r="J479" s="149"/>
      <c r="K479" s="182"/>
      <c r="L479" s="149"/>
      <c r="M479" s="149"/>
      <c r="N479" s="149"/>
      <c r="O479" s="146"/>
      <c r="P479" s="146"/>
      <c r="Q479" s="146"/>
      <c r="R479" s="156"/>
      <c r="S479" s="146"/>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c r="AR479" s="146"/>
    </row>
    <row r="480" spans="1:44" ht="12.3">
      <c r="A480" s="157"/>
      <c r="B480" s="157"/>
      <c r="C480" s="149"/>
      <c r="D480" s="149"/>
      <c r="E480" s="149"/>
      <c r="F480" s="149"/>
      <c r="G480" s="149"/>
      <c r="H480" s="149"/>
      <c r="I480" s="149"/>
      <c r="J480" s="149"/>
      <c r="K480" s="182"/>
      <c r="L480" s="149"/>
      <c r="M480" s="149"/>
      <c r="N480" s="149"/>
      <c r="O480" s="146"/>
      <c r="P480" s="146"/>
      <c r="Q480" s="146"/>
      <c r="R480" s="156"/>
      <c r="S480" s="146"/>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c r="AR480" s="146"/>
    </row>
    <row r="481" spans="1:44" ht="12.3">
      <c r="A481" s="157"/>
      <c r="B481" s="157"/>
      <c r="C481" s="149"/>
      <c r="D481" s="149"/>
      <c r="E481" s="149"/>
      <c r="F481" s="149"/>
      <c r="G481" s="149"/>
      <c r="H481" s="149"/>
      <c r="I481" s="149"/>
      <c r="J481" s="149"/>
      <c r="K481" s="182"/>
      <c r="L481" s="149"/>
      <c r="M481" s="149"/>
      <c r="N481" s="149"/>
      <c r="O481" s="146"/>
      <c r="P481" s="146"/>
      <c r="Q481" s="146"/>
      <c r="R481" s="156"/>
      <c r="S481" s="146"/>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c r="AR481" s="146"/>
    </row>
    <row r="482" spans="1:44" ht="12.3">
      <c r="A482" s="157"/>
      <c r="B482" s="157"/>
      <c r="C482" s="149"/>
      <c r="D482" s="149"/>
      <c r="E482" s="149"/>
      <c r="F482" s="149"/>
      <c r="G482" s="149"/>
      <c r="H482" s="149"/>
      <c r="I482" s="149"/>
      <c r="J482" s="149"/>
      <c r="K482" s="182"/>
      <c r="L482" s="149"/>
      <c r="M482" s="149"/>
      <c r="N482" s="149"/>
      <c r="O482" s="146"/>
      <c r="P482" s="146"/>
      <c r="Q482" s="146"/>
      <c r="R482" s="156"/>
      <c r="S482" s="146"/>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c r="AR482" s="146"/>
    </row>
    <row r="483" spans="1:44" ht="12.3">
      <c r="A483" s="157"/>
      <c r="B483" s="157"/>
      <c r="C483" s="149"/>
      <c r="D483" s="149"/>
      <c r="E483" s="149"/>
      <c r="F483" s="149"/>
      <c r="G483" s="149"/>
      <c r="H483" s="149"/>
      <c r="I483" s="149"/>
      <c r="J483" s="149"/>
      <c r="K483" s="182"/>
      <c r="L483" s="149"/>
      <c r="M483" s="149"/>
      <c r="N483" s="149"/>
      <c r="O483" s="146"/>
      <c r="P483" s="146"/>
      <c r="Q483" s="146"/>
      <c r="R483" s="156"/>
      <c r="S483" s="146"/>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c r="AR483" s="146"/>
    </row>
    <row r="484" spans="1:44" ht="12.3">
      <c r="A484" s="157"/>
      <c r="B484" s="157"/>
      <c r="C484" s="149"/>
      <c r="D484" s="149"/>
      <c r="E484" s="149"/>
      <c r="F484" s="149"/>
      <c r="G484" s="149"/>
      <c r="H484" s="149"/>
      <c r="I484" s="149"/>
      <c r="J484" s="149"/>
      <c r="K484" s="182"/>
      <c r="L484" s="149"/>
      <c r="M484" s="149"/>
      <c r="N484" s="149"/>
      <c r="O484" s="146"/>
      <c r="P484" s="146"/>
      <c r="Q484" s="146"/>
      <c r="R484" s="156"/>
      <c r="S484" s="146"/>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c r="AR484" s="146"/>
    </row>
    <row r="485" spans="1:44" ht="12.3">
      <c r="A485" s="157"/>
      <c r="B485" s="157"/>
      <c r="C485" s="149"/>
      <c r="D485" s="149"/>
      <c r="E485" s="149"/>
      <c r="F485" s="149"/>
      <c r="G485" s="149"/>
      <c r="H485" s="149"/>
      <c r="I485" s="149"/>
      <c r="J485" s="149"/>
      <c r="K485" s="182"/>
      <c r="L485" s="149"/>
      <c r="M485" s="149"/>
      <c r="N485" s="149"/>
      <c r="O485" s="146"/>
      <c r="P485" s="146"/>
      <c r="Q485" s="146"/>
      <c r="R485" s="156"/>
      <c r="S485" s="146"/>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c r="AR485" s="146"/>
    </row>
    <row r="486" spans="1:44" ht="12.3">
      <c r="A486" s="157"/>
      <c r="B486" s="157"/>
      <c r="C486" s="149"/>
      <c r="D486" s="149"/>
      <c r="E486" s="149"/>
      <c r="F486" s="149"/>
      <c r="G486" s="149"/>
      <c r="H486" s="149"/>
      <c r="I486" s="149"/>
      <c r="J486" s="149"/>
      <c r="K486" s="182"/>
      <c r="L486" s="149"/>
      <c r="M486" s="149"/>
      <c r="N486" s="149"/>
      <c r="O486" s="146"/>
      <c r="P486" s="146"/>
      <c r="Q486" s="146"/>
      <c r="R486" s="156"/>
      <c r="S486" s="146"/>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c r="AR486" s="146"/>
    </row>
    <row r="487" spans="1:44" ht="12.3">
      <c r="A487" s="157"/>
      <c r="B487" s="157"/>
      <c r="C487" s="149"/>
      <c r="D487" s="149"/>
      <c r="E487" s="149"/>
      <c r="F487" s="149"/>
      <c r="G487" s="149"/>
      <c r="H487" s="149"/>
      <c r="I487" s="149"/>
      <c r="J487" s="149"/>
      <c r="K487" s="182"/>
      <c r="L487" s="149"/>
      <c r="M487" s="149"/>
      <c r="N487" s="149"/>
      <c r="O487" s="146"/>
      <c r="P487" s="146"/>
      <c r="Q487" s="146"/>
      <c r="R487" s="156"/>
      <c r="S487" s="146"/>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c r="AR487" s="146"/>
    </row>
    <row r="488" spans="1:44" ht="12.3">
      <c r="A488" s="157"/>
      <c r="B488" s="157"/>
      <c r="C488" s="149"/>
      <c r="D488" s="149"/>
      <c r="E488" s="149"/>
      <c r="F488" s="149"/>
      <c r="G488" s="149"/>
      <c r="H488" s="149"/>
      <c r="I488" s="149"/>
      <c r="J488" s="149"/>
      <c r="K488" s="182"/>
      <c r="L488" s="149"/>
      <c r="M488" s="149"/>
      <c r="N488" s="149"/>
      <c r="O488" s="146"/>
      <c r="P488" s="146"/>
      <c r="Q488" s="146"/>
      <c r="R488" s="156"/>
      <c r="S488" s="146"/>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c r="AR488" s="146"/>
    </row>
    <row r="489" spans="1:44" ht="12.3">
      <c r="A489" s="157"/>
      <c r="B489" s="157"/>
      <c r="C489" s="149"/>
      <c r="D489" s="149"/>
      <c r="E489" s="149"/>
      <c r="F489" s="149"/>
      <c r="G489" s="149"/>
      <c r="H489" s="149"/>
      <c r="I489" s="149"/>
      <c r="J489" s="149"/>
      <c r="K489" s="182"/>
      <c r="L489" s="149"/>
      <c r="M489" s="149"/>
      <c r="N489" s="149"/>
      <c r="O489" s="146"/>
      <c r="P489" s="146"/>
      <c r="Q489" s="146"/>
      <c r="R489" s="156"/>
      <c r="S489" s="146"/>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c r="AR489" s="146"/>
    </row>
    <row r="490" spans="1:44" ht="12.3">
      <c r="A490" s="157"/>
      <c r="B490" s="157"/>
      <c r="C490" s="149"/>
      <c r="D490" s="149"/>
      <c r="E490" s="149"/>
      <c r="F490" s="149"/>
      <c r="G490" s="149"/>
      <c r="H490" s="149"/>
      <c r="I490" s="149"/>
      <c r="J490" s="149"/>
      <c r="K490" s="182"/>
      <c r="L490" s="149"/>
      <c r="M490" s="149"/>
      <c r="N490" s="149"/>
      <c r="O490" s="146"/>
      <c r="P490" s="146"/>
      <c r="Q490" s="146"/>
      <c r="R490" s="156"/>
      <c r="S490" s="146"/>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c r="AR490" s="146"/>
    </row>
    <row r="491" spans="1:44" ht="12.3">
      <c r="A491" s="157"/>
      <c r="B491" s="157"/>
      <c r="C491" s="149"/>
      <c r="D491" s="149"/>
      <c r="E491" s="149"/>
      <c r="F491" s="149"/>
      <c r="G491" s="149"/>
      <c r="H491" s="149"/>
      <c r="I491" s="149"/>
      <c r="J491" s="149"/>
      <c r="K491" s="182"/>
      <c r="L491" s="149"/>
      <c r="M491" s="149"/>
      <c r="N491" s="149"/>
      <c r="O491" s="146"/>
      <c r="P491" s="146"/>
      <c r="Q491" s="146"/>
      <c r="R491" s="156"/>
      <c r="S491" s="146"/>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c r="AR491" s="146"/>
    </row>
    <row r="492" spans="1:44" ht="12.3">
      <c r="A492" s="157"/>
      <c r="B492" s="157"/>
      <c r="C492" s="149"/>
      <c r="D492" s="149"/>
      <c r="E492" s="149"/>
      <c r="F492" s="149"/>
      <c r="G492" s="149"/>
      <c r="H492" s="149"/>
      <c r="I492" s="149"/>
      <c r="J492" s="149"/>
      <c r="K492" s="182"/>
      <c r="L492" s="149"/>
      <c r="M492" s="149"/>
      <c r="N492" s="149"/>
      <c r="O492" s="146"/>
      <c r="P492" s="146"/>
      <c r="Q492" s="146"/>
      <c r="R492" s="156"/>
      <c r="S492" s="146"/>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c r="AR492" s="146"/>
    </row>
    <row r="493" spans="1:44" ht="12.3">
      <c r="A493" s="157"/>
      <c r="B493" s="157"/>
      <c r="C493" s="149"/>
      <c r="D493" s="149"/>
      <c r="E493" s="149"/>
      <c r="F493" s="149"/>
      <c r="G493" s="149"/>
      <c r="H493" s="149"/>
      <c r="I493" s="149"/>
      <c r="J493" s="149"/>
      <c r="K493" s="182"/>
      <c r="L493" s="149"/>
      <c r="M493" s="149"/>
      <c r="N493" s="149"/>
      <c r="O493" s="146"/>
      <c r="P493" s="146"/>
      <c r="Q493" s="146"/>
      <c r="R493" s="156"/>
      <c r="S493" s="146"/>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c r="AR493" s="146"/>
    </row>
    <row r="494" spans="1:44" ht="12.3">
      <c r="A494" s="157"/>
      <c r="B494" s="157"/>
      <c r="C494" s="149"/>
      <c r="D494" s="149"/>
      <c r="E494" s="149"/>
      <c r="F494" s="149"/>
      <c r="G494" s="149"/>
      <c r="H494" s="149"/>
      <c r="I494" s="149"/>
      <c r="J494" s="149"/>
      <c r="K494" s="182"/>
      <c r="L494" s="149"/>
      <c r="M494" s="149"/>
      <c r="N494" s="149"/>
      <c r="O494" s="146"/>
      <c r="P494" s="146"/>
      <c r="Q494" s="146"/>
      <c r="R494" s="156"/>
      <c r="S494" s="146"/>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c r="AR494" s="146"/>
    </row>
    <row r="495" spans="1:44" ht="12.3">
      <c r="A495" s="157"/>
      <c r="B495" s="157"/>
      <c r="C495" s="149"/>
      <c r="D495" s="149"/>
      <c r="E495" s="149"/>
      <c r="F495" s="149"/>
      <c r="G495" s="149"/>
      <c r="H495" s="149"/>
      <c r="I495" s="149"/>
      <c r="J495" s="149"/>
      <c r="K495" s="182"/>
      <c r="L495" s="149"/>
      <c r="M495" s="149"/>
      <c r="N495" s="149"/>
      <c r="O495" s="146"/>
      <c r="P495" s="146"/>
      <c r="Q495" s="146"/>
      <c r="R495" s="156"/>
      <c r="S495" s="146"/>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c r="AR495" s="146"/>
    </row>
    <row r="496" spans="1:44" ht="12.3">
      <c r="A496" s="157"/>
      <c r="B496" s="157"/>
      <c r="C496" s="149"/>
      <c r="D496" s="149"/>
      <c r="E496" s="149"/>
      <c r="F496" s="149"/>
      <c r="G496" s="149"/>
      <c r="H496" s="149"/>
      <c r="I496" s="149"/>
      <c r="J496" s="149"/>
      <c r="K496" s="182"/>
      <c r="L496" s="149"/>
      <c r="M496" s="149"/>
      <c r="N496" s="149"/>
      <c r="O496" s="146"/>
      <c r="P496" s="146"/>
      <c r="Q496" s="146"/>
      <c r="R496" s="156"/>
      <c r="S496" s="146"/>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c r="AR496" s="146"/>
    </row>
    <row r="497" spans="1:44" ht="12.3">
      <c r="A497" s="157"/>
      <c r="B497" s="157"/>
      <c r="C497" s="149"/>
      <c r="D497" s="149"/>
      <c r="E497" s="149"/>
      <c r="F497" s="149"/>
      <c r="G497" s="149"/>
      <c r="H497" s="149"/>
      <c r="I497" s="149"/>
      <c r="J497" s="149"/>
      <c r="K497" s="182"/>
      <c r="L497" s="149"/>
      <c r="M497" s="149"/>
      <c r="N497" s="149"/>
      <c r="O497" s="146"/>
      <c r="P497" s="146"/>
      <c r="Q497" s="146"/>
      <c r="R497" s="156"/>
      <c r="S497" s="146"/>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c r="AR497" s="146"/>
    </row>
    <row r="498" spans="1:44" ht="12.3">
      <c r="A498" s="157"/>
      <c r="B498" s="157"/>
      <c r="C498" s="149"/>
      <c r="D498" s="149"/>
      <c r="E498" s="149"/>
      <c r="F498" s="149"/>
      <c r="G498" s="149"/>
      <c r="H498" s="149"/>
      <c r="I498" s="149"/>
      <c r="J498" s="149"/>
      <c r="K498" s="182"/>
      <c r="L498" s="149"/>
      <c r="M498" s="149"/>
      <c r="N498" s="149"/>
      <c r="O498" s="146"/>
      <c r="P498" s="146"/>
      <c r="Q498" s="146"/>
      <c r="R498" s="156"/>
      <c r="S498" s="146"/>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c r="AR498" s="146"/>
    </row>
    <row r="499" spans="1:44" ht="12.3">
      <c r="A499" s="157"/>
      <c r="B499" s="157"/>
      <c r="C499" s="149"/>
      <c r="D499" s="149"/>
      <c r="E499" s="149"/>
      <c r="F499" s="149"/>
      <c r="G499" s="149"/>
      <c r="H499" s="149"/>
      <c r="I499" s="149"/>
      <c r="J499" s="149"/>
      <c r="K499" s="182"/>
      <c r="L499" s="149"/>
      <c r="M499" s="149"/>
      <c r="N499" s="149"/>
      <c r="O499" s="146"/>
      <c r="P499" s="146"/>
      <c r="Q499" s="146"/>
      <c r="R499" s="156"/>
      <c r="S499" s="146"/>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c r="AR499" s="146"/>
    </row>
    <row r="500" spans="1:44" ht="12.3">
      <c r="A500" s="157"/>
      <c r="B500" s="157"/>
      <c r="C500" s="149"/>
      <c r="D500" s="149"/>
      <c r="E500" s="149"/>
      <c r="F500" s="149"/>
      <c r="G500" s="149"/>
      <c r="H500" s="149"/>
      <c r="I500" s="149"/>
      <c r="J500" s="149"/>
      <c r="K500" s="182"/>
      <c r="L500" s="149"/>
      <c r="M500" s="149"/>
      <c r="N500" s="149"/>
      <c r="O500" s="146"/>
      <c r="P500" s="146"/>
      <c r="Q500" s="146"/>
      <c r="R500" s="156"/>
      <c r="S500" s="146"/>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c r="AR500" s="146"/>
    </row>
    <row r="501" spans="1:44" ht="12.3">
      <c r="A501" s="157"/>
      <c r="B501" s="157"/>
      <c r="C501" s="149"/>
      <c r="D501" s="149"/>
      <c r="E501" s="149"/>
      <c r="F501" s="149"/>
      <c r="G501" s="149"/>
      <c r="H501" s="149"/>
      <c r="I501" s="149"/>
      <c r="J501" s="149"/>
      <c r="K501" s="182"/>
      <c r="L501" s="149"/>
      <c r="M501" s="149"/>
      <c r="N501" s="149"/>
      <c r="O501" s="146"/>
      <c r="P501" s="146"/>
      <c r="Q501" s="146"/>
      <c r="R501" s="156"/>
      <c r="S501" s="146"/>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c r="AR501" s="146"/>
    </row>
    <row r="502" spans="1:44" ht="12.3">
      <c r="A502" s="157"/>
      <c r="B502" s="157"/>
      <c r="C502" s="149"/>
      <c r="D502" s="149"/>
      <c r="E502" s="149"/>
      <c r="F502" s="149"/>
      <c r="G502" s="149"/>
      <c r="H502" s="149"/>
      <c r="I502" s="149"/>
      <c r="J502" s="149"/>
      <c r="K502" s="182"/>
      <c r="L502" s="149"/>
      <c r="M502" s="149"/>
      <c r="N502" s="149"/>
      <c r="O502" s="146"/>
      <c r="P502" s="146"/>
      <c r="Q502" s="146"/>
      <c r="R502" s="156"/>
      <c r="S502" s="146"/>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c r="AR502" s="146"/>
    </row>
    <row r="503" spans="1:44" ht="12.3">
      <c r="A503" s="157"/>
      <c r="B503" s="157"/>
      <c r="C503" s="149"/>
      <c r="D503" s="149"/>
      <c r="E503" s="149"/>
      <c r="F503" s="149"/>
      <c r="G503" s="149"/>
      <c r="H503" s="149"/>
      <c r="I503" s="149"/>
      <c r="J503" s="149"/>
      <c r="K503" s="182"/>
      <c r="L503" s="149"/>
      <c r="M503" s="149"/>
      <c r="N503" s="149"/>
      <c r="O503" s="146"/>
      <c r="P503" s="146"/>
      <c r="Q503" s="146"/>
      <c r="R503" s="156"/>
      <c r="S503" s="146"/>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c r="AR503" s="146"/>
    </row>
    <row r="504" spans="1:44" ht="12.3">
      <c r="A504" s="157"/>
      <c r="B504" s="157"/>
      <c r="C504" s="149"/>
      <c r="D504" s="149"/>
      <c r="E504" s="149"/>
      <c r="F504" s="149"/>
      <c r="G504" s="149"/>
      <c r="H504" s="149"/>
      <c r="I504" s="149"/>
      <c r="J504" s="149"/>
      <c r="K504" s="182"/>
      <c r="L504" s="149"/>
      <c r="M504" s="149"/>
      <c r="N504" s="149"/>
      <c r="O504" s="146"/>
      <c r="P504" s="146"/>
      <c r="Q504" s="146"/>
      <c r="R504" s="156"/>
      <c r="S504" s="146"/>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c r="AR504" s="146"/>
    </row>
    <row r="505" spans="1:44" ht="12.3">
      <c r="A505" s="157"/>
      <c r="B505" s="157"/>
      <c r="C505" s="149"/>
      <c r="D505" s="149"/>
      <c r="E505" s="149"/>
      <c r="F505" s="149"/>
      <c r="G505" s="149"/>
      <c r="H505" s="149"/>
      <c r="I505" s="149"/>
      <c r="J505" s="149"/>
      <c r="K505" s="182"/>
      <c r="L505" s="149"/>
      <c r="M505" s="149"/>
      <c r="N505" s="149"/>
      <c r="O505" s="146"/>
      <c r="P505" s="146"/>
      <c r="Q505" s="146"/>
      <c r="R505" s="156"/>
      <c r="S505" s="146"/>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c r="AR505" s="146"/>
    </row>
    <row r="506" spans="1:44" ht="12.3">
      <c r="A506" s="157"/>
      <c r="B506" s="157"/>
      <c r="C506" s="149"/>
      <c r="D506" s="149"/>
      <c r="E506" s="149"/>
      <c r="F506" s="149"/>
      <c r="G506" s="149"/>
      <c r="H506" s="149"/>
      <c r="I506" s="149"/>
      <c r="J506" s="149"/>
      <c r="K506" s="182"/>
      <c r="L506" s="149"/>
      <c r="M506" s="149"/>
      <c r="N506" s="149"/>
      <c r="O506" s="146"/>
      <c r="P506" s="146"/>
      <c r="Q506" s="146"/>
      <c r="R506" s="156"/>
      <c r="S506" s="146"/>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c r="AR506" s="146"/>
    </row>
    <row r="507" spans="1:44" ht="12.3">
      <c r="A507" s="157"/>
      <c r="B507" s="157"/>
      <c r="C507" s="149"/>
      <c r="D507" s="149"/>
      <c r="E507" s="149"/>
      <c r="F507" s="149"/>
      <c r="G507" s="149"/>
      <c r="H507" s="149"/>
      <c r="I507" s="149"/>
      <c r="J507" s="149"/>
      <c r="K507" s="182"/>
      <c r="L507" s="149"/>
      <c r="M507" s="149"/>
      <c r="N507" s="149"/>
      <c r="O507" s="146"/>
      <c r="P507" s="146"/>
      <c r="Q507" s="146"/>
      <c r="R507" s="156"/>
      <c r="S507" s="146"/>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c r="AR507" s="146"/>
    </row>
    <row r="508" spans="1:44" ht="12.3">
      <c r="A508" s="157"/>
      <c r="B508" s="157"/>
      <c r="C508" s="149"/>
      <c r="D508" s="149"/>
      <c r="E508" s="149"/>
      <c r="F508" s="149"/>
      <c r="G508" s="149"/>
      <c r="H508" s="149"/>
      <c r="I508" s="149"/>
      <c r="J508" s="149"/>
      <c r="K508" s="182"/>
      <c r="L508" s="149"/>
      <c r="M508" s="149"/>
      <c r="N508" s="149"/>
      <c r="O508" s="146"/>
      <c r="P508" s="146"/>
      <c r="Q508" s="146"/>
      <c r="R508" s="156"/>
      <c r="S508" s="146"/>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c r="AR508" s="146"/>
    </row>
    <row r="509" spans="1:44" ht="12.3">
      <c r="A509" s="157"/>
      <c r="B509" s="157"/>
      <c r="C509" s="149"/>
      <c r="D509" s="149"/>
      <c r="E509" s="149"/>
      <c r="F509" s="149"/>
      <c r="G509" s="149"/>
      <c r="H509" s="149"/>
      <c r="I509" s="149"/>
      <c r="J509" s="149"/>
      <c r="K509" s="182"/>
      <c r="L509" s="149"/>
      <c r="M509" s="149"/>
      <c r="N509" s="149"/>
      <c r="O509" s="146"/>
      <c r="P509" s="146"/>
      <c r="Q509" s="146"/>
      <c r="R509" s="156"/>
      <c r="S509" s="146"/>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c r="AR509" s="146"/>
    </row>
    <row r="510" spans="1:44" ht="12.3">
      <c r="A510" s="157"/>
      <c r="B510" s="157"/>
      <c r="C510" s="149"/>
      <c r="D510" s="149"/>
      <c r="E510" s="149"/>
      <c r="F510" s="149"/>
      <c r="G510" s="149"/>
      <c r="H510" s="149"/>
      <c r="I510" s="149"/>
      <c r="J510" s="149"/>
      <c r="K510" s="182"/>
      <c r="L510" s="149"/>
      <c r="M510" s="149"/>
      <c r="N510" s="149"/>
      <c r="O510" s="146"/>
      <c r="P510" s="146"/>
      <c r="Q510" s="146"/>
      <c r="R510" s="156"/>
      <c r="S510" s="146"/>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c r="AR510" s="146"/>
    </row>
    <row r="511" spans="1:44" ht="12.3">
      <c r="A511" s="157"/>
      <c r="B511" s="157"/>
      <c r="C511" s="149"/>
      <c r="D511" s="149"/>
      <c r="E511" s="149"/>
      <c r="F511" s="149"/>
      <c r="G511" s="149"/>
      <c r="H511" s="149"/>
      <c r="I511" s="149"/>
      <c r="J511" s="149"/>
      <c r="K511" s="182"/>
      <c r="L511" s="149"/>
      <c r="M511" s="149"/>
      <c r="N511" s="149"/>
      <c r="O511" s="146"/>
      <c r="P511" s="146"/>
      <c r="Q511" s="146"/>
      <c r="R511" s="156"/>
      <c r="S511" s="146"/>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c r="AR511" s="146"/>
    </row>
    <row r="512" spans="1:44" ht="12.3">
      <c r="A512" s="157"/>
      <c r="B512" s="157"/>
      <c r="C512" s="149"/>
      <c r="D512" s="149"/>
      <c r="E512" s="149"/>
      <c r="F512" s="149"/>
      <c r="G512" s="149"/>
      <c r="H512" s="149"/>
      <c r="I512" s="149"/>
      <c r="J512" s="149"/>
      <c r="K512" s="182"/>
      <c r="L512" s="149"/>
      <c r="M512" s="149"/>
      <c r="N512" s="149"/>
      <c r="O512" s="146"/>
      <c r="P512" s="146"/>
      <c r="Q512" s="146"/>
      <c r="R512" s="156"/>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c r="AR512" s="146"/>
    </row>
    <row r="513" spans="1:44" ht="12.3">
      <c r="A513" s="157"/>
      <c r="B513" s="157"/>
      <c r="C513" s="149"/>
      <c r="D513" s="149"/>
      <c r="E513" s="149"/>
      <c r="F513" s="149"/>
      <c r="G513" s="149"/>
      <c r="H513" s="149"/>
      <c r="I513" s="149"/>
      <c r="J513" s="149"/>
      <c r="K513" s="182"/>
      <c r="L513" s="149"/>
      <c r="M513" s="149"/>
      <c r="N513" s="149"/>
      <c r="O513" s="146"/>
      <c r="P513" s="146"/>
      <c r="Q513" s="146"/>
      <c r="R513" s="156"/>
      <c r="S513" s="146"/>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c r="AR513" s="146"/>
    </row>
    <row r="514" spans="1:44" ht="12.3">
      <c r="A514" s="157"/>
      <c r="B514" s="157"/>
      <c r="C514" s="149"/>
      <c r="D514" s="149"/>
      <c r="E514" s="149"/>
      <c r="F514" s="149"/>
      <c r="G514" s="149"/>
      <c r="H514" s="149"/>
      <c r="I514" s="149"/>
      <c r="J514" s="149"/>
      <c r="K514" s="182"/>
      <c r="L514" s="149"/>
      <c r="M514" s="149"/>
      <c r="N514" s="149"/>
      <c r="O514" s="146"/>
      <c r="P514" s="146"/>
      <c r="Q514" s="146"/>
      <c r="R514" s="156"/>
      <c r="S514" s="146"/>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c r="AR514" s="146"/>
    </row>
    <row r="515" spans="1:44" ht="12.3">
      <c r="A515" s="157"/>
      <c r="B515" s="157"/>
      <c r="C515" s="149"/>
      <c r="D515" s="149"/>
      <c r="E515" s="149"/>
      <c r="F515" s="149"/>
      <c r="G515" s="149"/>
      <c r="H515" s="149"/>
      <c r="I515" s="149"/>
      <c r="J515" s="149"/>
      <c r="K515" s="182"/>
      <c r="L515" s="149"/>
      <c r="M515" s="149"/>
      <c r="N515" s="149"/>
      <c r="O515" s="146"/>
      <c r="P515" s="146"/>
      <c r="Q515" s="146"/>
      <c r="R515" s="156"/>
      <c r="S515" s="146"/>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c r="AR515" s="146"/>
    </row>
    <row r="516" spans="1:44" ht="12.3">
      <c r="A516" s="157"/>
      <c r="B516" s="157"/>
      <c r="C516" s="149"/>
      <c r="D516" s="149"/>
      <c r="E516" s="149"/>
      <c r="F516" s="149"/>
      <c r="G516" s="149"/>
      <c r="H516" s="149"/>
      <c r="I516" s="149"/>
      <c r="J516" s="149"/>
      <c r="K516" s="182"/>
      <c r="L516" s="149"/>
      <c r="M516" s="149"/>
      <c r="N516" s="149"/>
      <c r="O516" s="146"/>
      <c r="P516" s="146"/>
      <c r="Q516" s="146"/>
      <c r="R516" s="156"/>
      <c r="S516" s="146"/>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c r="AR516" s="146"/>
    </row>
    <row r="517" spans="1:44" ht="12.3">
      <c r="A517" s="157"/>
      <c r="B517" s="157"/>
      <c r="C517" s="149"/>
      <c r="D517" s="149"/>
      <c r="E517" s="149"/>
      <c r="F517" s="149"/>
      <c r="G517" s="149"/>
      <c r="H517" s="149"/>
      <c r="I517" s="149"/>
      <c r="J517" s="149"/>
      <c r="K517" s="182"/>
      <c r="L517" s="149"/>
      <c r="M517" s="149"/>
      <c r="N517" s="149"/>
      <c r="O517" s="146"/>
      <c r="P517" s="146"/>
      <c r="Q517" s="146"/>
      <c r="R517" s="156"/>
      <c r="S517" s="146"/>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c r="AR517" s="146"/>
    </row>
    <row r="518" spans="1:44" ht="12.3">
      <c r="A518" s="157"/>
      <c r="B518" s="157"/>
      <c r="C518" s="149"/>
      <c r="D518" s="149"/>
      <c r="E518" s="149"/>
      <c r="F518" s="149"/>
      <c r="G518" s="149"/>
      <c r="H518" s="149"/>
      <c r="I518" s="149"/>
      <c r="J518" s="149"/>
      <c r="K518" s="182"/>
      <c r="L518" s="149"/>
      <c r="M518" s="149"/>
      <c r="N518" s="149"/>
      <c r="O518" s="146"/>
      <c r="P518" s="146"/>
      <c r="Q518" s="146"/>
      <c r="R518" s="156"/>
      <c r="S518" s="146"/>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c r="AR518" s="146"/>
    </row>
    <row r="519" spans="1:44" ht="12.3">
      <c r="A519" s="157"/>
      <c r="B519" s="157"/>
      <c r="C519" s="149"/>
      <c r="D519" s="149"/>
      <c r="E519" s="149"/>
      <c r="F519" s="149"/>
      <c r="G519" s="149"/>
      <c r="H519" s="149"/>
      <c r="I519" s="149"/>
      <c r="J519" s="149"/>
      <c r="K519" s="182"/>
      <c r="L519" s="149"/>
      <c r="M519" s="149"/>
      <c r="N519" s="149"/>
      <c r="O519" s="146"/>
      <c r="P519" s="146"/>
      <c r="Q519" s="146"/>
      <c r="R519" s="156"/>
      <c r="S519" s="146"/>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c r="AR519" s="146"/>
    </row>
    <row r="520" spans="1:44" ht="12.3">
      <c r="A520" s="157"/>
      <c r="B520" s="157"/>
      <c r="C520" s="149"/>
      <c r="D520" s="149"/>
      <c r="E520" s="149"/>
      <c r="F520" s="149"/>
      <c r="G520" s="149"/>
      <c r="H520" s="149"/>
      <c r="I520" s="149"/>
      <c r="J520" s="149"/>
      <c r="K520" s="182"/>
      <c r="L520" s="149"/>
      <c r="M520" s="149"/>
      <c r="N520" s="149"/>
      <c r="O520" s="146"/>
      <c r="P520" s="146"/>
      <c r="Q520" s="146"/>
      <c r="R520" s="156"/>
      <c r="S520" s="146"/>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c r="AR520" s="146"/>
    </row>
    <row r="521" spans="1:44" ht="12.3">
      <c r="A521" s="157"/>
      <c r="B521" s="157"/>
      <c r="C521" s="149"/>
      <c r="D521" s="149"/>
      <c r="E521" s="149"/>
      <c r="F521" s="149"/>
      <c r="G521" s="149"/>
      <c r="H521" s="149"/>
      <c r="I521" s="149"/>
      <c r="J521" s="149"/>
      <c r="K521" s="182"/>
      <c r="L521" s="149"/>
      <c r="M521" s="149"/>
      <c r="N521" s="149"/>
      <c r="O521" s="146"/>
      <c r="P521" s="146"/>
      <c r="Q521" s="146"/>
      <c r="R521" s="156"/>
      <c r="S521" s="146"/>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c r="AR521" s="146"/>
    </row>
    <row r="522" spans="1:44" ht="12.3">
      <c r="A522" s="157"/>
      <c r="B522" s="157"/>
      <c r="C522" s="149"/>
      <c r="D522" s="149"/>
      <c r="E522" s="149"/>
      <c r="F522" s="149"/>
      <c r="G522" s="149"/>
      <c r="H522" s="149"/>
      <c r="I522" s="149"/>
      <c r="J522" s="149"/>
      <c r="K522" s="182"/>
      <c r="L522" s="149"/>
      <c r="M522" s="149"/>
      <c r="N522" s="149"/>
      <c r="O522" s="146"/>
      <c r="P522" s="146"/>
      <c r="Q522" s="146"/>
      <c r="R522" s="156"/>
      <c r="S522" s="146"/>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c r="AR522" s="146"/>
    </row>
    <row r="523" spans="1:44" ht="12.3">
      <c r="A523" s="157"/>
      <c r="B523" s="157"/>
      <c r="C523" s="149"/>
      <c r="D523" s="149"/>
      <c r="E523" s="149"/>
      <c r="F523" s="149"/>
      <c r="G523" s="149"/>
      <c r="H523" s="149"/>
      <c r="I523" s="149"/>
      <c r="J523" s="149"/>
      <c r="K523" s="182"/>
      <c r="L523" s="149"/>
      <c r="M523" s="149"/>
      <c r="N523" s="149"/>
      <c r="O523" s="146"/>
      <c r="P523" s="146"/>
      <c r="Q523" s="146"/>
      <c r="R523" s="156"/>
      <c r="S523" s="146"/>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c r="AR523" s="146"/>
    </row>
    <row r="524" spans="1:44" ht="12.3">
      <c r="A524" s="157"/>
      <c r="B524" s="157"/>
      <c r="C524" s="149"/>
      <c r="D524" s="149"/>
      <c r="E524" s="149"/>
      <c r="F524" s="149"/>
      <c r="G524" s="149"/>
      <c r="H524" s="149"/>
      <c r="I524" s="149"/>
      <c r="J524" s="149"/>
      <c r="K524" s="182"/>
      <c r="L524" s="149"/>
      <c r="M524" s="149"/>
      <c r="N524" s="149"/>
      <c r="O524" s="146"/>
      <c r="P524" s="146"/>
      <c r="Q524" s="146"/>
      <c r="R524" s="156"/>
      <c r="S524" s="146"/>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c r="AR524" s="146"/>
    </row>
    <row r="525" spans="1:44" ht="12.3">
      <c r="A525" s="157"/>
      <c r="B525" s="157"/>
      <c r="C525" s="149"/>
      <c r="D525" s="149"/>
      <c r="E525" s="149"/>
      <c r="F525" s="149"/>
      <c r="G525" s="149"/>
      <c r="H525" s="149"/>
      <c r="I525" s="149"/>
      <c r="J525" s="149"/>
      <c r="K525" s="182"/>
      <c r="L525" s="149"/>
      <c r="M525" s="149"/>
      <c r="N525" s="149"/>
      <c r="O525" s="146"/>
      <c r="P525" s="146"/>
      <c r="Q525" s="146"/>
      <c r="R525" s="156"/>
      <c r="S525" s="146"/>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c r="AR525" s="146"/>
    </row>
    <row r="526" spans="1:44" ht="12.3">
      <c r="A526" s="157"/>
      <c r="B526" s="157"/>
      <c r="C526" s="149"/>
      <c r="D526" s="149"/>
      <c r="E526" s="149"/>
      <c r="F526" s="149"/>
      <c r="G526" s="149"/>
      <c r="H526" s="149"/>
      <c r="I526" s="149"/>
      <c r="J526" s="149"/>
      <c r="K526" s="182"/>
      <c r="L526" s="149"/>
      <c r="M526" s="149"/>
      <c r="N526" s="149"/>
      <c r="O526" s="146"/>
      <c r="P526" s="146"/>
      <c r="Q526" s="146"/>
      <c r="R526" s="156"/>
      <c r="S526" s="146"/>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c r="AR526" s="146"/>
    </row>
    <row r="527" spans="1:44" ht="12.3">
      <c r="A527" s="157"/>
      <c r="B527" s="157"/>
      <c r="C527" s="149"/>
      <c r="D527" s="149"/>
      <c r="E527" s="149"/>
      <c r="F527" s="149"/>
      <c r="G527" s="149"/>
      <c r="H527" s="149"/>
      <c r="I527" s="149"/>
      <c r="J527" s="149"/>
      <c r="K527" s="182"/>
      <c r="L527" s="149"/>
      <c r="M527" s="149"/>
      <c r="N527" s="149"/>
      <c r="O527" s="146"/>
      <c r="P527" s="146"/>
      <c r="Q527" s="146"/>
      <c r="R527" s="156"/>
      <c r="S527" s="146"/>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c r="AR527" s="146"/>
    </row>
    <row r="528" spans="1:44" ht="12.3">
      <c r="A528" s="157"/>
      <c r="B528" s="157"/>
      <c r="C528" s="149"/>
      <c r="D528" s="149"/>
      <c r="E528" s="149"/>
      <c r="F528" s="149"/>
      <c r="G528" s="149"/>
      <c r="H528" s="149"/>
      <c r="I528" s="149"/>
      <c r="J528" s="149"/>
      <c r="K528" s="182"/>
      <c r="L528" s="149"/>
      <c r="M528" s="149"/>
      <c r="N528" s="149"/>
      <c r="O528" s="146"/>
      <c r="P528" s="146"/>
      <c r="Q528" s="146"/>
      <c r="R528" s="156"/>
      <c r="S528" s="146"/>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c r="AR528" s="146"/>
    </row>
    <row r="529" spans="1:44" ht="12.3">
      <c r="A529" s="157"/>
      <c r="B529" s="157"/>
      <c r="C529" s="149"/>
      <c r="D529" s="149"/>
      <c r="E529" s="149"/>
      <c r="F529" s="149"/>
      <c r="G529" s="149"/>
      <c r="H529" s="149"/>
      <c r="I529" s="149"/>
      <c r="J529" s="149"/>
      <c r="K529" s="182"/>
      <c r="L529" s="149"/>
      <c r="M529" s="149"/>
      <c r="N529" s="149"/>
      <c r="O529" s="146"/>
      <c r="P529" s="146"/>
      <c r="Q529" s="146"/>
      <c r="R529" s="156"/>
      <c r="S529" s="146"/>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c r="AR529" s="146"/>
    </row>
    <row r="530" spans="1:44" ht="12.3">
      <c r="A530" s="157"/>
      <c r="B530" s="157"/>
      <c r="C530" s="149"/>
      <c r="D530" s="149"/>
      <c r="E530" s="149"/>
      <c r="F530" s="149"/>
      <c r="G530" s="149"/>
      <c r="H530" s="149"/>
      <c r="I530" s="149"/>
      <c r="J530" s="149"/>
      <c r="K530" s="182"/>
      <c r="L530" s="149"/>
      <c r="M530" s="149"/>
      <c r="N530" s="149"/>
      <c r="O530" s="146"/>
      <c r="P530" s="146"/>
      <c r="Q530" s="146"/>
      <c r="R530" s="156"/>
      <c r="S530" s="146"/>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c r="AR530" s="146"/>
    </row>
    <row r="531" spans="1:44" ht="12.3">
      <c r="A531" s="157"/>
      <c r="B531" s="157"/>
      <c r="C531" s="149"/>
      <c r="D531" s="149"/>
      <c r="E531" s="149"/>
      <c r="F531" s="149"/>
      <c r="G531" s="149"/>
      <c r="H531" s="149"/>
      <c r="I531" s="149"/>
      <c r="J531" s="149"/>
      <c r="K531" s="182"/>
      <c r="L531" s="149"/>
      <c r="M531" s="149"/>
      <c r="N531" s="149"/>
      <c r="O531" s="146"/>
      <c r="P531" s="146"/>
      <c r="Q531" s="146"/>
      <c r="R531" s="156"/>
      <c r="S531" s="146"/>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c r="AR531" s="146"/>
    </row>
    <row r="532" spans="1:44" ht="12.3">
      <c r="A532" s="157"/>
      <c r="B532" s="157"/>
      <c r="C532" s="149"/>
      <c r="D532" s="149"/>
      <c r="E532" s="149"/>
      <c r="F532" s="149"/>
      <c r="G532" s="149"/>
      <c r="H532" s="149"/>
      <c r="I532" s="149"/>
      <c r="J532" s="149"/>
      <c r="K532" s="182"/>
      <c r="L532" s="149"/>
      <c r="M532" s="149"/>
      <c r="N532" s="149"/>
      <c r="O532" s="146"/>
      <c r="P532" s="146"/>
      <c r="Q532" s="146"/>
      <c r="R532" s="156"/>
      <c r="S532" s="146"/>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c r="AR532" s="146"/>
    </row>
    <row r="533" spans="1:44" ht="12.3">
      <c r="A533" s="157"/>
      <c r="B533" s="157"/>
      <c r="C533" s="149"/>
      <c r="D533" s="149"/>
      <c r="E533" s="149"/>
      <c r="F533" s="149"/>
      <c r="G533" s="149"/>
      <c r="H533" s="149"/>
      <c r="I533" s="149"/>
      <c r="J533" s="149"/>
      <c r="K533" s="182"/>
      <c r="L533" s="149"/>
      <c r="M533" s="149"/>
      <c r="N533" s="149"/>
      <c r="O533" s="146"/>
      <c r="P533" s="146"/>
      <c r="Q533" s="146"/>
      <c r="R533" s="156"/>
      <c r="S533" s="146"/>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c r="AR533" s="146"/>
    </row>
    <row r="534" spans="1:44" ht="12.3">
      <c r="A534" s="157"/>
      <c r="B534" s="157"/>
      <c r="C534" s="149"/>
      <c r="D534" s="149"/>
      <c r="E534" s="149"/>
      <c r="F534" s="149"/>
      <c r="G534" s="149"/>
      <c r="H534" s="149"/>
      <c r="I534" s="149"/>
      <c r="J534" s="149"/>
      <c r="K534" s="182"/>
      <c r="L534" s="149"/>
      <c r="M534" s="149"/>
      <c r="N534" s="149"/>
      <c r="O534" s="146"/>
      <c r="P534" s="146"/>
      <c r="Q534" s="146"/>
      <c r="R534" s="156"/>
      <c r="S534" s="146"/>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c r="AR534" s="146"/>
    </row>
    <row r="535" spans="1:44" ht="12.3">
      <c r="A535" s="157"/>
      <c r="B535" s="157"/>
      <c r="C535" s="149"/>
      <c r="D535" s="149"/>
      <c r="E535" s="149"/>
      <c r="F535" s="149"/>
      <c r="G535" s="149"/>
      <c r="H535" s="149"/>
      <c r="I535" s="149"/>
      <c r="J535" s="149"/>
      <c r="K535" s="182"/>
      <c r="L535" s="149"/>
      <c r="M535" s="149"/>
      <c r="N535" s="149"/>
      <c r="O535" s="146"/>
      <c r="P535" s="146"/>
      <c r="Q535" s="146"/>
      <c r="R535" s="156"/>
      <c r="S535" s="146"/>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c r="AR535" s="146"/>
    </row>
    <row r="536" spans="1:44" ht="12.3">
      <c r="A536" s="157"/>
      <c r="B536" s="157"/>
      <c r="C536" s="149"/>
      <c r="D536" s="149"/>
      <c r="E536" s="149"/>
      <c r="F536" s="149"/>
      <c r="G536" s="149"/>
      <c r="H536" s="149"/>
      <c r="I536" s="149"/>
      <c r="J536" s="149"/>
      <c r="K536" s="182"/>
      <c r="L536" s="149"/>
      <c r="M536" s="149"/>
      <c r="N536" s="149"/>
      <c r="O536" s="146"/>
      <c r="P536" s="146"/>
      <c r="Q536" s="146"/>
      <c r="R536" s="156"/>
      <c r="S536" s="146"/>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c r="AR536" s="146"/>
    </row>
    <row r="537" spans="1:44" ht="12.3">
      <c r="A537" s="157"/>
      <c r="B537" s="157"/>
      <c r="C537" s="149"/>
      <c r="D537" s="149"/>
      <c r="E537" s="149"/>
      <c r="F537" s="149"/>
      <c r="G537" s="149"/>
      <c r="H537" s="149"/>
      <c r="I537" s="149"/>
      <c r="J537" s="149"/>
      <c r="K537" s="182"/>
      <c r="L537" s="149"/>
      <c r="M537" s="149"/>
      <c r="N537" s="149"/>
      <c r="O537" s="146"/>
      <c r="P537" s="146"/>
      <c r="Q537" s="146"/>
      <c r="R537" s="156"/>
      <c r="S537" s="146"/>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c r="AR537" s="146"/>
    </row>
    <row r="538" spans="1:44" ht="12.3">
      <c r="A538" s="157"/>
      <c r="B538" s="157"/>
      <c r="C538" s="149"/>
      <c r="D538" s="149"/>
      <c r="E538" s="149"/>
      <c r="F538" s="149"/>
      <c r="G538" s="149"/>
      <c r="H538" s="149"/>
      <c r="I538" s="149"/>
      <c r="J538" s="149"/>
      <c r="K538" s="182"/>
      <c r="L538" s="149"/>
      <c r="M538" s="149"/>
      <c r="N538" s="149"/>
      <c r="O538" s="146"/>
      <c r="P538" s="146"/>
      <c r="Q538" s="146"/>
      <c r="R538" s="156"/>
      <c r="S538" s="146"/>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c r="AR538" s="146"/>
    </row>
    <row r="539" spans="1:44" ht="12.3">
      <c r="A539" s="157"/>
      <c r="B539" s="157"/>
      <c r="C539" s="149"/>
      <c r="D539" s="149"/>
      <c r="E539" s="149"/>
      <c r="F539" s="149"/>
      <c r="G539" s="149"/>
      <c r="H539" s="149"/>
      <c r="I539" s="149"/>
      <c r="J539" s="149"/>
      <c r="K539" s="182"/>
      <c r="L539" s="149"/>
      <c r="M539" s="149"/>
      <c r="N539" s="149"/>
      <c r="O539" s="146"/>
      <c r="P539" s="146"/>
      <c r="Q539" s="146"/>
      <c r="R539" s="156"/>
      <c r="S539" s="146"/>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c r="AR539" s="146"/>
    </row>
    <row r="540" spans="1:44" ht="12.3">
      <c r="A540" s="157"/>
      <c r="B540" s="157"/>
      <c r="C540" s="149"/>
      <c r="D540" s="149"/>
      <c r="E540" s="149"/>
      <c r="F540" s="149"/>
      <c r="G540" s="149"/>
      <c r="H540" s="149"/>
      <c r="I540" s="149"/>
      <c r="J540" s="149"/>
      <c r="K540" s="182"/>
      <c r="L540" s="149"/>
      <c r="M540" s="149"/>
      <c r="N540" s="149"/>
      <c r="O540" s="146"/>
      <c r="P540" s="146"/>
      <c r="Q540" s="146"/>
      <c r="R540" s="156"/>
      <c r="S540" s="146"/>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c r="AR540" s="146"/>
    </row>
    <row r="541" spans="1:44" ht="12.3">
      <c r="A541" s="157"/>
      <c r="B541" s="157"/>
      <c r="C541" s="149"/>
      <c r="D541" s="149"/>
      <c r="E541" s="149"/>
      <c r="F541" s="149"/>
      <c r="G541" s="149"/>
      <c r="H541" s="149"/>
      <c r="I541" s="149"/>
      <c r="J541" s="149"/>
      <c r="K541" s="182"/>
      <c r="L541" s="149"/>
      <c r="M541" s="149"/>
      <c r="N541" s="149"/>
      <c r="O541" s="146"/>
      <c r="P541" s="146"/>
      <c r="Q541" s="146"/>
      <c r="R541" s="156"/>
      <c r="S541" s="146"/>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c r="AR541" s="146"/>
    </row>
    <row r="542" spans="1:44" ht="12.3">
      <c r="A542" s="157"/>
      <c r="B542" s="157"/>
      <c r="C542" s="149"/>
      <c r="D542" s="149"/>
      <c r="E542" s="149"/>
      <c r="F542" s="149"/>
      <c r="G542" s="149"/>
      <c r="H542" s="149"/>
      <c r="I542" s="149"/>
      <c r="J542" s="149"/>
      <c r="K542" s="182"/>
      <c r="L542" s="149"/>
      <c r="M542" s="149"/>
      <c r="N542" s="149"/>
      <c r="O542" s="146"/>
      <c r="P542" s="146"/>
      <c r="Q542" s="146"/>
      <c r="R542" s="156"/>
      <c r="S542" s="146"/>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c r="AR542" s="146"/>
    </row>
    <row r="543" spans="1:44" ht="12.3">
      <c r="A543" s="157"/>
      <c r="B543" s="157"/>
      <c r="C543" s="149"/>
      <c r="D543" s="149"/>
      <c r="E543" s="149"/>
      <c r="F543" s="149"/>
      <c r="G543" s="149"/>
      <c r="H543" s="149"/>
      <c r="I543" s="149"/>
      <c r="J543" s="149"/>
      <c r="K543" s="182"/>
      <c r="L543" s="149"/>
      <c r="M543" s="149"/>
      <c r="N543" s="149"/>
      <c r="O543" s="146"/>
      <c r="P543" s="146"/>
      <c r="Q543" s="146"/>
      <c r="R543" s="156"/>
      <c r="S543" s="146"/>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c r="AR543" s="146"/>
    </row>
    <row r="544" spans="1:44" ht="12.3">
      <c r="A544" s="157"/>
      <c r="B544" s="157"/>
      <c r="C544" s="149"/>
      <c r="D544" s="149"/>
      <c r="E544" s="149"/>
      <c r="F544" s="149"/>
      <c r="G544" s="149"/>
      <c r="H544" s="149"/>
      <c r="I544" s="149"/>
      <c r="J544" s="149"/>
      <c r="K544" s="182"/>
      <c r="L544" s="149"/>
      <c r="M544" s="149"/>
      <c r="N544" s="149"/>
      <c r="O544" s="146"/>
      <c r="P544" s="146"/>
      <c r="Q544" s="146"/>
      <c r="R544" s="156"/>
      <c r="S544" s="146"/>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c r="AR544" s="146"/>
    </row>
    <row r="545" spans="1:44" ht="12.3">
      <c r="A545" s="157"/>
      <c r="B545" s="157"/>
      <c r="C545" s="149"/>
      <c r="D545" s="149"/>
      <c r="E545" s="149"/>
      <c r="F545" s="149"/>
      <c r="G545" s="149"/>
      <c r="H545" s="149"/>
      <c r="I545" s="149"/>
      <c r="J545" s="149"/>
      <c r="K545" s="182"/>
      <c r="L545" s="149"/>
      <c r="M545" s="149"/>
      <c r="N545" s="149"/>
      <c r="O545" s="146"/>
      <c r="P545" s="146"/>
      <c r="Q545" s="146"/>
      <c r="R545" s="156"/>
      <c r="S545" s="146"/>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c r="AR545" s="146"/>
    </row>
    <row r="546" spans="1:44" ht="12.3">
      <c r="A546" s="157"/>
      <c r="B546" s="157"/>
      <c r="C546" s="149"/>
      <c r="D546" s="149"/>
      <c r="E546" s="149"/>
      <c r="F546" s="149"/>
      <c r="G546" s="149"/>
      <c r="H546" s="149"/>
      <c r="I546" s="149"/>
      <c r="J546" s="149"/>
      <c r="K546" s="182"/>
      <c r="L546" s="149"/>
      <c r="M546" s="149"/>
      <c r="N546" s="149"/>
      <c r="O546" s="146"/>
      <c r="P546" s="146"/>
      <c r="Q546" s="146"/>
      <c r="R546" s="156"/>
      <c r="S546" s="146"/>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c r="AR546" s="146"/>
    </row>
    <row r="547" spans="1:44" ht="12.3">
      <c r="A547" s="157"/>
      <c r="B547" s="157"/>
      <c r="C547" s="149"/>
      <c r="D547" s="149"/>
      <c r="E547" s="149"/>
      <c r="F547" s="149"/>
      <c r="G547" s="149"/>
      <c r="H547" s="149"/>
      <c r="I547" s="149"/>
      <c r="J547" s="149"/>
      <c r="K547" s="182"/>
      <c r="L547" s="149"/>
      <c r="M547" s="149"/>
      <c r="N547" s="149"/>
      <c r="O547" s="146"/>
      <c r="P547" s="146"/>
      <c r="Q547" s="146"/>
      <c r="R547" s="156"/>
      <c r="S547" s="146"/>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c r="AR547" s="146"/>
    </row>
    <row r="548" spans="1:44" ht="12.3">
      <c r="A548" s="157"/>
      <c r="B548" s="157"/>
      <c r="C548" s="149"/>
      <c r="D548" s="149"/>
      <c r="E548" s="149"/>
      <c r="F548" s="149"/>
      <c r="G548" s="149"/>
      <c r="H548" s="149"/>
      <c r="I548" s="149"/>
      <c r="J548" s="149"/>
      <c r="K548" s="182"/>
      <c r="L548" s="149"/>
      <c r="M548" s="149"/>
      <c r="N548" s="149"/>
      <c r="O548" s="146"/>
      <c r="P548" s="146"/>
      <c r="Q548" s="146"/>
      <c r="R548" s="156"/>
      <c r="S548" s="146"/>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c r="AR548" s="146"/>
    </row>
    <row r="549" spans="1:44" ht="12.3">
      <c r="A549" s="157"/>
      <c r="B549" s="157"/>
      <c r="C549" s="149"/>
      <c r="D549" s="149"/>
      <c r="E549" s="149"/>
      <c r="F549" s="149"/>
      <c r="G549" s="149"/>
      <c r="H549" s="149"/>
      <c r="I549" s="149"/>
      <c r="J549" s="149"/>
      <c r="K549" s="182"/>
      <c r="L549" s="149"/>
      <c r="M549" s="149"/>
      <c r="N549" s="149"/>
      <c r="O549" s="146"/>
      <c r="P549" s="146"/>
      <c r="Q549" s="146"/>
      <c r="R549" s="156"/>
      <c r="S549" s="146"/>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c r="AR549" s="146"/>
    </row>
    <row r="550" spans="1:44" ht="12.3">
      <c r="A550" s="157"/>
      <c r="B550" s="157"/>
      <c r="C550" s="149"/>
      <c r="D550" s="149"/>
      <c r="E550" s="149"/>
      <c r="F550" s="149"/>
      <c r="G550" s="149"/>
      <c r="H550" s="149"/>
      <c r="I550" s="149"/>
      <c r="J550" s="149"/>
      <c r="K550" s="182"/>
      <c r="L550" s="149"/>
      <c r="M550" s="149"/>
      <c r="N550" s="149"/>
      <c r="O550" s="146"/>
      <c r="P550" s="146"/>
      <c r="Q550" s="146"/>
      <c r="R550" s="156"/>
      <c r="S550" s="146"/>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c r="AR550" s="146"/>
    </row>
    <row r="551" spans="1:44" ht="12.3">
      <c r="A551" s="157"/>
      <c r="B551" s="157"/>
      <c r="C551" s="149"/>
      <c r="D551" s="149"/>
      <c r="E551" s="149"/>
      <c r="F551" s="149"/>
      <c r="G551" s="149"/>
      <c r="H551" s="149"/>
      <c r="I551" s="149"/>
      <c r="J551" s="149"/>
      <c r="K551" s="182"/>
      <c r="L551" s="149"/>
      <c r="M551" s="149"/>
      <c r="N551" s="149"/>
      <c r="O551" s="146"/>
      <c r="P551" s="146"/>
      <c r="Q551" s="146"/>
      <c r="R551" s="156"/>
      <c r="S551" s="146"/>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c r="AR551" s="146"/>
    </row>
    <row r="552" spans="1:44" ht="12.3">
      <c r="A552" s="157"/>
      <c r="B552" s="157"/>
      <c r="C552" s="149"/>
      <c r="D552" s="149"/>
      <c r="E552" s="149"/>
      <c r="F552" s="149"/>
      <c r="G552" s="149"/>
      <c r="H552" s="149"/>
      <c r="I552" s="149"/>
      <c r="J552" s="149"/>
      <c r="K552" s="182"/>
      <c r="L552" s="149"/>
      <c r="M552" s="149"/>
      <c r="N552" s="149"/>
      <c r="O552" s="146"/>
      <c r="P552" s="146"/>
      <c r="Q552" s="146"/>
      <c r="R552" s="156"/>
      <c r="S552" s="146"/>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c r="AR552" s="146"/>
    </row>
    <row r="553" spans="1:44" ht="12.3">
      <c r="A553" s="157"/>
      <c r="B553" s="157"/>
      <c r="C553" s="149"/>
      <c r="D553" s="149"/>
      <c r="E553" s="149"/>
      <c r="F553" s="149"/>
      <c r="G553" s="149"/>
      <c r="H553" s="149"/>
      <c r="I553" s="149"/>
      <c r="J553" s="149"/>
      <c r="K553" s="182"/>
      <c r="L553" s="149"/>
      <c r="M553" s="149"/>
      <c r="N553" s="149"/>
      <c r="O553" s="146"/>
      <c r="P553" s="146"/>
      <c r="Q553" s="146"/>
      <c r="R553" s="156"/>
      <c r="S553" s="146"/>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c r="AR553" s="146"/>
    </row>
    <row r="554" spans="1:44" ht="12.3">
      <c r="A554" s="157"/>
      <c r="B554" s="157"/>
      <c r="C554" s="149"/>
      <c r="D554" s="149"/>
      <c r="E554" s="149"/>
      <c r="F554" s="149"/>
      <c r="G554" s="149"/>
      <c r="H554" s="149"/>
      <c r="I554" s="149"/>
      <c r="J554" s="149"/>
      <c r="K554" s="182"/>
      <c r="L554" s="149"/>
      <c r="M554" s="149"/>
      <c r="N554" s="149"/>
      <c r="O554" s="146"/>
      <c r="P554" s="146"/>
      <c r="Q554" s="146"/>
      <c r="R554" s="156"/>
      <c r="S554" s="146"/>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c r="AR554" s="146"/>
    </row>
    <row r="555" spans="1:44" ht="12.3">
      <c r="A555" s="157"/>
      <c r="B555" s="157"/>
      <c r="C555" s="149"/>
      <c r="D555" s="149"/>
      <c r="E555" s="149"/>
      <c r="F555" s="149"/>
      <c r="G555" s="149"/>
      <c r="H555" s="149"/>
      <c r="I555" s="149"/>
      <c r="J555" s="149"/>
      <c r="K555" s="182"/>
      <c r="L555" s="149"/>
      <c r="M555" s="149"/>
      <c r="N555" s="149"/>
      <c r="O555" s="146"/>
      <c r="P555" s="146"/>
      <c r="Q555" s="146"/>
      <c r="R555" s="156"/>
      <c r="S555" s="146"/>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c r="AR555" s="146"/>
    </row>
    <row r="556" spans="1:44" ht="12.3">
      <c r="A556" s="157"/>
      <c r="B556" s="157"/>
      <c r="C556" s="149"/>
      <c r="D556" s="149"/>
      <c r="E556" s="149"/>
      <c r="F556" s="149"/>
      <c r="G556" s="149"/>
      <c r="H556" s="149"/>
      <c r="I556" s="149"/>
      <c r="J556" s="149"/>
      <c r="K556" s="182"/>
      <c r="L556" s="149"/>
      <c r="M556" s="149"/>
      <c r="N556" s="149"/>
      <c r="O556" s="146"/>
      <c r="P556" s="146"/>
      <c r="Q556" s="146"/>
      <c r="R556" s="156"/>
      <c r="S556" s="146"/>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c r="AR556" s="146"/>
    </row>
    <row r="557" spans="1:44" ht="12.3">
      <c r="A557" s="157"/>
      <c r="B557" s="157"/>
      <c r="C557" s="149"/>
      <c r="D557" s="149"/>
      <c r="E557" s="149"/>
      <c r="F557" s="149"/>
      <c r="G557" s="149"/>
      <c r="H557" s="149"/>
      <c r="I557" s="149"/>
      <c r="J557" s="149"/>
      <c r="K557" s="182"/>
      <c r="L557" s="149"/>
      <c r="M557" s="149"/>
      <c r="N557" s="149"/>
      <c r="O557" s="146"/>
      <c r="P557" s="146"/>
      <c r="Q557" s="146"/>
      <c r="R557" s="156"/>
      <c r="S557" s="146"/>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c r="AR557" s="146"/>
    </row>
    <row r="558" spans="1:44" ht="12.3">
      <c r="A558" s="157"/>
      <c r="B558" s="157"/>
      <c r="C558" s="149"/>
      <c r="D558" s="149"/>
      <c r="E558" s="149"/>
      <c r="F558" s="149"/>
      <c r="G558" s="149"/>
      <c r="H558" s="149"/>
      <c r="I558" s="149"/>
      <c r="J558" s="149"/>
      <c r="K558" s="182"/>
      <c r="L558" s="149"/>
      <c r="M558" s="149"/>
      <c r="N558" s="149"/>
      <c r="O558" s="146"/>
      <c r="P558" s="146"/>
      <c r="Q558" s="146"/>
      <c r="R558" s="156"/>
      <c r="S558" s="146"/>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c r="AR558" s="146"/>
    </row>
    <row r="559" spans="1:44" ht="12.3">
      <c r="A559" s="157"/>
      <c r="B559" s="157"/>
      <c r="C559" s="149"/>
      <c r="D559" s="149"/>
      <c r="E559" s="149"/>
      <c r="F559" s="149"/>
      <c r="G559" s="149"/>
      <c r="H559" s="149"/>
      <c r="I559" s="149"/>
      <c r="J559" s="149"/>
      <c r="K559" s="182"/>
      <c r="L559" s="149"/>
      <c r="M559" s="149"/>
      <c r="N559" s="149"/>
      <c r="O559" s="146"/>
      <c r="P559" s="146"/>
      <c r="Q559" s="146"/>
      <c r="R559" s="156"/>
      <c r="S559" s="146"/>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c r="AR559" s="146"/>
    </row>
    <row r="560" spans="1:44" ht="12.3">
      <c r="A560" s="157"/>
      <c r="B560" s="157"/>
      <c r="C560" s="149"/>
      <c r="D560" s="149"/>
      <c r="E560" s="149"/>
      <c r="F560" s="149"/>
      <c r="G560" s="149"/>
      <c r="H560" s="149"/>
      <c r="I560" s="149"/>
      <c r="J560" s="149"/>
      <c r="K560" s="182"/>
      <c r="L560" s="149"/>
      <c r="M560" s="149"/>
      <c r="N560" s="149"/>
      <c r="O560" s="146"/>
      <c r="P560" s="146"/>
      <c r="Q560" s="146"/>
      <c r="R560" s="156"/>
      <c r="S560" s="146"/>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c r="AR560" s="146"/>
    </row>
    <row r="561" spans="1:44" ht="12.3">
      <c r="A561" s="157"/>
      <c r="B561" s="157"/>
      <c r="C561" s="149"/>
      <c r="D561" s="149"/>
      <c r="E561" s="149"/>
      <c r="F561" s="149"/>
      <c r="G561" s="149"/>
      <c r="H561" s="149"/>
      <c r="I561" s="149"/>
      <c r="J561" s="149"/>
      <c r="K561" s="182"/>
      <c r="L561" s="149"/>
      <c r="M561" s="149"/>
      <c r="N561" s="149"/>
      <c r="O561" s="146"/>
      <c r="P561" s="146"/>
      <c r="Q561" s="146"/>
      <c r="R561" s="156"/>
      <c r="S561" s="146"/>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c r="AR561" s="146"/>
    </row>
    <row r="562" spans="1:44" ht="12.3">
      <c r="A562" s="157"/>
      <c r="B562" s="157"/>
      <c r="C562" s="149"/>
      <c r="D562" s="149"/>
      <c r="E562" s="149"/>
      <c r="F562" s="149"/>
      <c r="G562" s="149"/>
      <c r="H562" s="149"/>
      <c r="I562" s="149"/>
      <c r="J562" s="149"/>
      <c r="K562" s="182"/>
      <c r="L562" s="149"/>
      <c r="M562" s="149"/>
      <c r="N562" s="149"/>
      <c r="O562" s="146"/>
      <c r="P562" s="146"/>
      <c r="Q562" s="146"/>
      <c r="R562" s="156"/>
      <c r="S562" s="146"/>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c r="AR562" s="146"/>
    </row>
    <row r="563" spans="1:44" ht="12.3">
      <c r="A563" s="157"/>
      <c r="B563" s="157"/>
      <c r="C563" s="149"/>
      <c r="D563" s="149"/>
      <c r="E563" s="149"/>
      <c r="F563" s="149"/>
      <c r="G563" s="149"/>
      <c r="H563" s="149"/>
      <c r="I563" s="149"/>
      <c r="J563" s="149"/>
      <c r="K563" s="182"/>
      <c r="L563" s="149"/>
      <c r="M563" s="149"/>
      <c r="N563" s="149"/>
      <c r="O563" s="146"/>
      <c r="P563" s="146"/>
      <c r="Q563" s="146"/>
      <c r="R563" s="156"/>
      <c r="S563" s="146"/>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c r="AR563" s="146"/>
    </row>
    <row r="564" spans="1:44" ht="12.3">
      <c r="A564" s="157"/>
      <c r="B564" s="157"/>
      <c r="C564" s="149"/>
      <c r="D564" s="149"/>
      <c r="E564" s="149"/>
      <c r="F564" s="149"/>
      <c r="G564" s="149"/>
      <c r="H564" s="149"/>
      <c r="I564" s="149"/>
      <c r="J564" s="149"/>
      <c r="K564" s="182"/>
      <c r="L564" s="149"/>
      <c r="M564" s="149"/>
      <c r="N564" s="149"/>
      <c r="O564" s="146"/>
      <c r="P564" s="146"/>
      <c r="Q564" s="146"/>
      <c r="R564" s="156"/>
      <c r="S564" s="146"/>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c r="AR564" s="146"/>
    </row>
    <row r="565" spans="1:44" ht="12.3">
      <c r="A565" s="157"/>
      <c r="B565" s="157"/>
      <c r="C565" s="149"/>
      <c r="D565" s="149"/>
      <c r="E565" s="149"/>
      <c r="F565" s="149"/>
      <c r="G565" s="149"/>
      <c r="H565" s="149"/>
      <c r="I565" s="149"/>
      <c r="J565" s="149"/>
      <c r="K565" s="182"/>
      <c r="L565" s="149"/>
      <c r="M565" s="149"/>
      <c r="N565" s="149"/>
      <c r="O565" s="146"/>
      <c r="P565" s="146"/>
      <c r="Q565" s="146"/>
      <c r="R565" s="156"/>
      <c r="S565" s="146"/>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c r="AR565" s="146"/>
    </row>
    <row r="566" spans="1:44" ht="12.3">
      <c r="A566" s="157"/>
      <c r="B566" s="157"/>
      <c r="C566" s="149"/>
      <c r="D566" s="149"/>
      <c r="E566" s="149"/>
      <c r="F566" s="149"/>
      <c r="G566" s="149"/>
      <c r="H566" s="149"/>
      <c r="I566" s="149"/>
      <c r="J566" s="149"/>
      <c r="K566" s="182"/>
      <c r="L566" s="149"/>
      <c r="M566" s="149"/>
      <c r="N566" s="149"/>
      <c r="O566" s="146"/>
      <c r="P566" s="146"/>
      <c r="Q566" s="146"/>
      <c r="R566" s="156"/>
      <c r="S566" s="146"/>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c r="AR566" s="146"/>
    </row>
    <row r="567" spans="1:44" ht="12.3">
      <c r="A567" s="157"/>
      <c r="B567" s="157"/>
      <c r="C567" s="149"/>
      <c r="D567" s="149"/>
      <c r="E567" s="149"/>
      <c r="F567" s="149"/>
      <c r="G567" s="149"/>
      <c r="H567" s="149"/>
      <c r="I567" s="149"/>
      <c r="J567" s="149"/>
      <c r="K567" s="182"/>
      <c r="L567" s="149"/>
      <c r="M567" s="149"/>
      <c r="N567" s="149"/>
      <c r="O567" s="146"/>
      <c r="P567" s="146"/>
      <c r="Q567" s="146"/>
      <c r="R567" s="156"/>
      <c r="S567" s="146"/>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c r="AR567" s="146"/>
    </row>
    <row r="568" spans="1:44" ht="12.3">
      <c r="A568" s="157"/>
      <c r="B568" s="157"/>
      <c r="C568" s="149"/>
      <c r="D568" s="149"/>
      <c r="E568" s="149"/>
      <c r="F568" s="149"/>
      <c r="G568" s="149"/>
      <c r="H568" s="149"/>
      <c r="I568" s="149"/>
      <c r="J568" s="149"/>
      <c r="K568" s="182"/>
      <c r="L568" s="149"/>
      <c r="M568" s="149"/>
      <c r="N568" s="149"/>
      <c r="O568" s="146"/>
      <c r="P568" s="146"/>
      <c r="Q568" s="146"/>
      <c r="R568" s="156"/>
      <c r="S568" s="146"/>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c r="AR568" s="146"/>
    </row>
    <row r="569" spans="1:44" ht="12.3">
      <c r="A569" s="157"/>
      <c r="B569" s="157"/>
      <c r="C569" s="149"/>
      <c r="D569" s="149"/>
      <c r="E569" s="149"/>
      <c r="F569" s="149"/>
      <c r="G569" s="149"/>
      <c r="H569" s="149"/>
      <c r="I569" s="149"/>
      <c r="J569" s="149"/>
      <c r="K569" s="182"/>
      <c r="L569" s="149"/>
      <c r="M569" s="149"/>
      <c r="N569" s="149"/>
      <c r="O569" s="146"/>
      <c r="P569" s="146"/>
      <c r="Q569" s="146"/>
      <c r="R569" s="156"/>
      <c r="S569" s="146"/>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c r="AR569" s="146"/>
    </row>
    <row r="570" spans="1:44" ht="12.3">
      <c r="A570" s="157"/>
      <c r="B570" s="157"/>
      <c r="C570" s="149"/>
      <c r="D570" s="149"/>
      <c r="E570" s="149"/>
      <c r="F570" s="149"/>
      <c r="G570" s="149"/>
      <c r="H570" s="149"/>
      <c r="I570" s="149"/>
      <c r="J570" s="149"/>
      <c r="K570" s="182"/>
      <c r="L570" s="149"/>
      <c r="M570" s="149"/>
      <c r="N570" s="149"/>
      <c r="O570" s="146"/>
      <c r="P570" s="146"/>
      <c r="Q570" s="146"/>
      <c r="R570" s="156"/>
      <c r="S570" s="146"/>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c r="AR570" s="146"/>
    </row>
    <row r="571" spans="1:44" ht="12.3">
      <c r="A571" s="157"/>
      <c r="B571" s="157"/>
      <c r="C571" s="149"/>
      <c r="D571" s="149"/>
      <c r="E571" s="149"/>
      <c r="F571" s="149"/>
      <c r="G571" s="149"/>
      <c r="H571" s="149"/>
      <c r="I571" s="149"/>
      <c r="J571" s="149"/>
      <c r="K571" s="182"/>
      <c r="L571" s="149"/>
      <c r="M571" s="149"/>
      <c r="N571" s="149"/>
      <c r="O571" s="146"/>
      <c r="P571" s="146"/>
      <c r="Q571" s="146"/>
      <c r="R571" s="156"/>
      <c r="S571" s="146"/>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c r="AR571" s="146"/>
    </row>
    <row r="572" spans="1:44" ht="12.3">
      <c r="A572" s="157"/>
      <c r="B572" s="157"/>
      <c r="C572" s="149"/>
      <c r="D572" s="149"/>
      <c r="E572" s="149"/>
      <c r="F572" s="149"/>
      <c r="G572" s="149"/>
      <c r="H572" s="149"/>
      <c r="I572" s="149"/>
      <c r="J572" s="149"/>
      <c r="K572" s="182"/>
      <c r="L572" s="149"/>
      <c r="M572" s="149"/>
      <c r="N572" s="149"/>
      <c r="O572" s="146"/>
      <c r="P572" s="146"/>
      <c r="Q572" s="146"/>
      <c r="R572" s="156"/>
      <c r="S572" s="146"/>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c r="AR572" s="146"/>
    </row>
    <row r="573" spans="1:44" ht="12.3">
      <c r="A573" s="157"/>
      <c r="B573" s="157"/>
      <c r="C573" s="149"/>
      <c r="D573" s="149"/>
      <c r="E573" s="149"/>
      <c r="F573" s="149"/>
      <c r="G573" s="149"/>
      <c r="H573" s="149"/>
      <c r="I573" s="149"/>
      <c r="J573" s="149"/>
      <c r="K573" s="182"/>
      <c r="L573" s="149"/>
      <c r="M573" s="149"/>
      <c r="N573" s="149"/>
      <c r="O573" s="146"/>
      <c r="P573" s="146"/>
      <c r="Q573" s="146"/>
      <c r="R573" s="156"/>
      <c r="S573" s="146"/>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c r="AR573" s="146"/>
    </row>
    <row r="574" spans="1:44" ht="12.3">
      <c r="A574" s="157"/>
      <c r="B574" s="157"/>
      <c r="C574" s="149"/>
      <c r="D574" s="149"/>
      <c r="E574" s="149"/>
      <c r="F574" s="149"/>
      <c r="G574" s="149"/>
      <c r="H574" s="149"/>
      <c r="I574" s="149"/>
      <c r="J574" s="149"/>
      <c r="K574" s="182"/>
      <c r="L574" s="149"/>
      <c r="M574" s="149"/>
      <c r="N574" s="149"/>
      <c r="O574" s="146"/>
      <c r="P574" s="146"/>
      <c r="Q574" s="146"/>
      <c r="R574" s="156"/>
      <c r="S574" s="146"/>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c r="AR574" s="146"/>
    </row>
    <row r="575" spans="1:44" ht="12.3">
      <c r="A575" s="157"/>
      <c r="B575" s="157"/>
      <c r="C575" s="149"/>
      <c r="D575" s="149"/>
      <c r="E575" s="149"/>
      <c r="F575" s="149"/>
      <c r="G575" s="149"/>
      <c r="H575" s="149"/>
      <c r="I575" s="149"/>
      <c r="J575" s="149"/>
      <c r="K575" s="182"/>
      <c r="L575" s="149"/>
      <c r="M575" s="149"/>
      <c r="N575" s="149"/>
      <c r="O575" s="146"/>
      <c r="P575" s="146"/>
      <c r="Q575" s="146"/>
      <c r="R575" s="156"/>
      <c r="S575" s="146"/>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c r="AR575" s="146"/>
    </row>
    <row r="576" spans="1:44" ht="12.3">
      <c r="A576" s="157"/>
      <c r="B576" s="157"/>
      <c r="C576" s="149"/>
      <c r="D576" s="149"/>
      <c r="E576" s="149"/>
      <c r="F576" s="149"/>
      <c r="G576" s="149"/>
      <c r="H576" s="149"/>
      <c r="I576" s="149"/>
      <c r="J576" s="149"/>
      <c r="K576" s="182"/>
      <c r="L576" s="149"/>
      <c r="M576" s="149"/>
      <c r="N576" s="149"/>
      <c r="O576" s="146"/>
      <c r="P576" s="146"/>
      <c r="Q576" s="146"/>
      <c r="R576" s="156"/>
      <c r="S576" s="146"/>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c r="AR576" s="146"/>
    </row>
    <row r="577" spans="1:44" ht="12.3">
      <c r="A577" s="157"/>
      <c r="B577" s="157"/>
      <c r="C577" s="149"/>
      <c r="D577" s="149"/>
      <c r="E577" s="149"/>
      <c r="F577" s="149"/>
      <c r="G577" s="149"/>
      <c r="H577" s="149"/>
      <c r="I577" s="149"/>
      <c r="J577" s="149"/>
      <c r="K577" s="182"/>
      <c r="L577" s="149"/>
      <c r="M577" s="149"/>
      <c r="N577" s="149"/>
      <c r="O577" s="146"/>
      <c r="P577" s="146"/>
      <c r="Q577" s="146"/>
      <c r="R577" s="156"/>
      <c r="S577" s="146"/>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c r="AR577" s="146"/>
    </row>
    <row r="578" spans="1:44" ht="12.3">
      <c r="A578" s="157"/>
      <c r="B578" s="157"/>
      <c r="C578" s="149"/>
      <c r="D578" s="149"/>
      <c r="E578" s="149"/>
      <c r="F578" s="149"/>
      <c r="G578" s="149"/>
      <c r="H578" s="149"/>
      <c r="I578" s="149"/>
      <c r="J578" s="149"/>
      <c r="K578" s="182"/>
      <c r="L578" s="149"/>
      <c r="M578" s="149"/>
      <c r="N578" s="149"/>
      <c r="O578" s="146"/>
      <c r="P578" s="146"/>
      <c r="Q578" s="146"/>
      <c r="R578" s="156"/>
      <c r="S578" s="146"/>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c r="AR578" s="146"/>
    </row>
    <row r="579" spans="1:44" ht="12.3">
      <c r="A579" s="157"/>
      <c r="B579" s="157"/>
      <c r="C579" s="149"/>
      <c r="D579" s="149"/>
      <c r="E579" s="149"/>
      <c r="F579" s="149"/>
      <c r="G579" s="149"/>
      <c r="H579" s="149"/>
      <c r="I579" s="149"/>
      <c r="J579" s="149"/>
      <c r="K579" s="182"/>
      <c r="L579" s="149"/>
      <c r="M579" s="149"/>
      <c r="N579" s="149"/>
      <c r="O579" s="146"/>
      <c r="P579" s="146"/>
      <c r="Q579" s="146"/>
      <c r="R579" s="156"/>
      <c r="S579" s="146"/>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c r="AR579" s="146"/>
    </row>
    <row r="580" spans="1:44" ht="12.3">
      <c r="A580" s="157"/>
      <c r="B580" s="157"/>
      <c r="C580" s="149"/>
      <c r="D580" s="149"/>
      <c r="E580" s="149"/>
      <c r="F580" s="149"/>
      <c r="G580" s="149"/>
      <c r="H580" s="149"/>
      <c r="I580" s="149"/>
      <c r="J580" s="149"/>
      <c r="K580" s="182"/>
      <c r="L580" s="149"/>
      <c r="M580" s="149"/>
      <c r="N580" s="149"/>
      <c r="O580" s="146"/>
      <c r="P580" s="146"/>
      <c r="Q580" s="146"/>
      <c r="R580" s="156"/>
      <c r="S580" s="146"/>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c r="AR580" s="146"/>
    </row>
    <row r="581" spans="1:44" ht="12.3">
      <c r="A581" s="157"/>
      <c r="B581" s="157"/>
      <c r="C581" s="149"/>
      <c r="D581" s="149"/>
      <c r="E581" s="149"/>
      <c r="F581" s="149"/>
      <c r="G581" s="149"/>
      <c r="H581" s="149"/>
      <c r="I581" s="149"/>
      <c r="J581" s="149"/>
      <c r="K581" s="182"/>
      <c r="L581" s="149"/>
      <c r="M581" s="149"/>
      <c r="N581" s="149"/>
      <c r="O581" s="146"/>
      <c r="P581" s="146"/>
      <c r="Q581" s="146"/>
      <c r="R581" s="156"/>
      <c r="S581" s="146"/>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c r="AR581" s="146"/>
    </row>
    <row r="582" spans="1:44" ht="12.3">
      <c r="A582" s="157"/>
      <c r="B582" s="157"/>
      <c r="C582" s="149"/>
      <c r="D582" s="149"/>
      <c r="E582" s="149"/>
      <c r="F582" s="149"/>
      <c r="G582" s="149"/>
      <c r="H582" s="149"/>
      <c r="I582" s="149"/>
      <c r="J582" s="149"/>
      <c r="K582" s="182"/>
      <c r="L582" s="149"/>
      <c r="M582" s="149"/>
      <c r="N582" s="149"/>
      <c r="O582" s="146"/>
      <c r="P582" s="146"/>
      <c r="Q582" s="146"/>
      <c r="R582" s="156"/>
      <c r="S582" s="146"/>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c r="AR582" s="146"/>
    </row>
    <row r="583" spans="1:44" ht="12.3">
      <c r="A583" s="157"/>
      <c r="B583" s="157"/>
      <c r="C583" s="149"/>
      <c r="D583" s="149"/>
      <c r="E583" s="149"/>
      <c r="F583" s="149"/>
      <c r="G583" s="149"/>
      <c r="H583" s="149"/>
      <c r="I583" s="149"/>
      <c r="J583" s="149"/>
      <c r="K583" s="182"/>
      <c r="L583" s="149"/>
      <c r="M583" s="149"/>
      <c r="N583" s="149"/>
      <c r="O583" s="146"/>
      <c r="P583" s="146"/>
      <c r="Q583" s="146"/>
      <c r="R583" s="156"/>
      <c r="S583" s="146"/>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c r="AR583" s="146"/>
    </row>
    <row r="584" spans="1:44" ht="12.3">
      <c r="A584" s="157"/>
      <c r="B584" s="157"/>
      <c r="C584" s="149"/>
      <c r="D584" s="149"/>
      <c r="E584" s="149"/>
      <c r="F584" s="149"/>
      <c r="G584" s="149"/>
      <c r="H584" s="149"/>
      <c r="I584" s="149"/>
      <c r="J584" s="149"/>
      <c r="K584" s="182"/>
      <c r="L584" s="149"/>
      <c r="M584" s="149"/>
      <c r="N584" s="149"/>
      <c r="O584" s="146"/>
      <c r="P584" s="146"/>
      <c r="Q584" s="146"/>
      <c r="R584" s="156"/>
      <c r="S584" s="146"/>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c r="AR584" s="146"/>
    </row>
    <row r="585" spans="1:44" ht="12.3">
      <c r="A585" s="157"/>
      <c r="B585" s="157"/>
      <c r="C585" s="149"/>
      <c r="D585" s="149"/>
      <c r="E585" s="149"/>
      <c r="F585" s="149"/>
      <c r="G585" s="149"/>
      <c r="H585" s="149"/>
      <c r="I585" s="149"/>
      <c r="J585" s="149"/>
      <c r="K585" s="182"/>
      <c r="L585" s="149"/>
      <c r="M585" s="149"/>
      <c r="N585" s="149"/>
      <c r="O585" s="146"/>
      <c r="P585" s="146"/>
      <c r="Q585" s="146"/>
      <c r="R585" s="156"/>
      <c r="S585" s="146"/>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c r="AR585" s="146"/>
    </row>
    <row r="586" spans="1:44" ht="12.3">
      <c r="A586" s="157"/>
      <c r="B586" s="157"/>
      <c r="C586" s="149"/>
      <c r="D586" s="149"/>
      <c r="E586" s="149"/>
      <c r="F586" s="149"/>
      <c r="G586" s="149"/>
      <c r="H586" s="149"/>
      <c r="I586" s="149"/>
      <c r="J586" s="149"/>
      <c r="K586" s="182"/>
      <c r="L586" s="149"/>
      <c r="M586" s="149"/>
      <c r="N586" s="149"/>
      <c r="O586" s="146"/>
      <c r="P586" s="146"/>
      <c r="Q586" s="146"/>
      <c r="R586" s="156"/>
      <c r="S586" s="146"/>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c r="AR586" s="146"/>
    </row>
    <row r="587" spans="1:44" ht="12.3">
      <c r="A587" s="157"/>
      <c r="B587" s="157"/>
      <c r="C587" s="149"/>
      <c r="D587" s="149"/>
      <c r="E587" s="149"/>
      <c r="F587" s="149"/>
      <c r="G587" s="149"/>
      <c r="H587" s="149"/>
      <c r="I587" s="149"/>
      <c r="J587" s="149"/>
      <c r="K587" s="182"/>
      <c r="L587" s="149"/>
      <c r="M587" s="149"/>
      <c r="N587" s="149"/>
      <c r="O587" s="146"/>
      <c r="P587" s="146"/>
      <c r="Q587" s="146"/>
      <c r="R587" s="156"/>
      <c r="S587" s="146"/>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c r="AR587" s="146"/>
    </row>
    <row r="588" spans="1:44" ht="12.3">
      <c r="A588" s="157"/>
      <c r="B588" s="157"/>
      <c r="C588" s="149"/>
      <c r="D588" s="149"/>
      <c r="E588" s="149"/>
      <c r="F588" s="149"/>
      <c r="G588" s="149"/>
      <c r="H588" s="149"/>
      <c r="I588" s="149"/>
      <c r="J588" s="149"/>
      <c r="K588" s="182"/>
      <c r="L588" s="149"/>
      <c r="M588" s="149"/>
      <c r="N588" s="149"/>
      <c r="O588" s="146"/>
      <c r="P588" s="146"/>
      <c r="Q588" s="146"/>
      <c r="R588" s="156"/>
      <c r="S588" s="146"/>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c r="AR588" s="146"/>
    </row>
    <row r="589" spans="1:44" ht="12.3">
      <c r="A589" s="157"/>
      <c r="B589" s="157"/>
      <c r="C589" s="149"/>
      <c r="D589" s="149"/>
      <c r="E589" s="149"/>
      <c r="F589" s="149"/>
      <c r="G589" s="149"/>
      <c r="H589" s="149"/>
      <c r="I589" s="149"/>
      <c r="J589" s="149"/>
      <c r="K589" s="182"/>
      <c r="L589" s="149"/>
      <c r="M589" s="149"/>
      <c r="N589" s="149"/>
      <c r="O589" s="146"/>
      <c r="P589" s="146"/>
      <c r="Q589" s="146"/>
      <c r="R589" s="156"/>
      <c r="S589" s="146"/>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c r="AR589" s="146"/>
    </row>
    <row r="590" spans="1:44" ht="12.3">
      <c r="A590" s="157"/>
      <c r="B590" s="157"/>
      <c r="C590" s="149"/>
      <c r="D590" s="149"/>
      <c r="E590" s="149"/>
      <c r="F590" s="149"/>
      <c r="G590" s="149"/>
      <c r="H590" s="149"/>
      <c r="I590" s="149"/>
      <c r="J590" s="149"/>
      <c r="K590" s="182"/>
      <c r="L590" s="149"/>
      <c r="M590" s="149"/>
      <c r="N590" s="149"/>
      <c r="O590" s="146"/>
      <c r="P590" s="146"/>
      <c r="Q590" s="146"/>
      <c r="R590" s="156"/>
      <c r="S590" s="146"/>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c r="AR590" s="146"/>
    </row>
    <row r="591" spans="1:44" ht="12.3">
      <c r="A591" s="157"/>
      <c r="B591" s="157"/>
      <c r="C591" s="149"/>
      <c r="D591" s="149"/>
      <c r="E591" s="149"/>
      <c r="F591" s="149"/>
      <c r="G591" s="149"/>
      <c r="H591" s="149"/>
      <c r="I591" s="149"/>
      <c r="J591" s="149"/>
      <c r="K591" s="182"/>
      <c r="L591" s="149"/>
      <c r="M591" s="149"/>
      <c r="N591" s="149"/>
      <c r="O591" s="146"/>
      <c r="P591" s="146"/>
      <c r="Q591" s="146"/>
      <c r="R591" s="156"/>
      <c r="S591" s="146"/>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c r="AR591" s="146"/>
    </row>
    <row r="592" spans="1:44" ht="12.3">
      <c r="A592" s="157"/>
      <c r="B592" s="157"/>
      <c r="C592" s="149"/>
      <c r="D592" s="149"/>
      <c r="E592" s="149"/>
      <c r="F592" s="149"/>
      <c r="G592" s="149"/>
      <c r="H592" s="149"/>
      <c r="I592" s="149"/>
      <c r="J592" s="149"/>
      <c r="K592" s="182"/>
      <c r="L592" s="149"/>
      <c r="M592" s="149"/>
      <c r="N592" s="149"/>
      <c r="O592" s="146"/>
      <c r="P592" s="146"/>
      <c r="Q592" s="146"/>
      <c r="R592" s="156"/>
      <c r="S592" s="146"/>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c r="AR592" s="146"/>
    </row>
    <row r="593" spans="1:44" ht="12.3">
      <c r="A593" s="157"/>
      <c r="B593" s="157"/>
      <c r="C593" s="149"/>
      <c r="D593" s="149"/>
      <c r="E593" s="149"/>
      <c r="F593" s="149"/>
      <c r="G593" s="149"/>
      <c r="H593" s="149"/>
      <c r="I593" s="149"/>
      <c r="J593" s="149"/>
      <c r="K593" s="182"/>
      <c r="L593" s="149"/>
      <c r="M593" s="149"/>
      <c r="N593" s="149"/>
      <c r="O593" s="146"/>
      <c r="P593" s="146"/>
      <c r="Q593" s="146"/>
      <c r="R593" s="156"/>
      <c r="S593" s="146"/>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c r="AR593" s="146"/>
    </row>
    <row r="594" spans="1:44" ht="12.3">
      <c r="A594" s="157"/>
      <c r="B594" s="157"/>
      <c r="C594" s="149"/>
      <c r="D594" s="149"/>
      <c r="E594" s="149"/>
      <c r="F594" s="149"/>
      <c r="G594" s="149"/>
      <c r="H594" s="149"/>
      <c r="I594" s="149"/>
      <c r="J594" s="149"/>
      <c r="K594" s="182"/>
      <c r="L594" s="149"/>
      <c r="M594" s="149"/>
      <c r="N594" s="149"/>
      <c r="O594" s="146"/>
      <c r="P594" s="146"/>
      <c r="Q594" s="146"/>
      <c r="R594" s="156"/>
      <c r="S594" s="146"/>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c r="AR594" s="146"/>
    </row>
    <row r="595" spans="1:44" ht="12.3">
      <c r="A595" s="157"/>
      <c r="B595" s="157"/>
      <c r="C595" s="149"/>
      <c r="D595" s="149"/>
      <c r="E595" s="149"/>
      <c r="F595" s="149"/>
      <c r="G595" s="149"/>
      <c r="H595" s="149"/>
      <c r="I595" s="149"/>
      <c r="J595" s="149"/>
      <c r="K595" s="182"/>
      <c r="L595" s="149"/>
      <c r="M595" s="149"/>
      <c r="N595" s="149"/>
      <c r="O595" s="146"/>
      <c r="P595" s="146"/>
      <c r="Q595" s="146"/>
      <c r="R595" s="156"/>
      <c r="S595" s="146"/>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c r="AR595" s="146"/>
    </row>
    <row r="596" spans="1:44" ht="12.3">
      <c r="A596" s="157"/>
      <c r="B596" s="157"/>
      <c r="C596" s="149"/>
      <c r="D596" s="149"/>
      <c r="E596" s="149"/>
      <c r="F596" s="149"/>
      <c r="G596" s="149"/>
      <c r="H596" s="149"/>
      <c r="I596" s="149"/>
      <c r="J596" s="149"/>
      <c r="K596" s="182"/>
      <c r="L596" s="149"/>
      <c r="M596" s="149"/>
      <c r="N596" s="149"/>
      <c r="O596" s="146"/>
      <c r="P596" s="146"/>
      <c r="Q596" s="146"/>
      <c r="R596" s="156"/>
      <c r="S596" s="146"/>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c r="AR596" s="146"/>
    </row>
    <row r="597" spans="1:44" ht="12.3">
      <c r="A597" s="157"/>
      <c r="B597" s="157"/>
      <c r="C597" s="149"/>
      <c r="D597" s="149"/>
      <c r="E597" s="149"/>
      <c r="F597" s="149"/>
      <c r="G597" s="149"/>
      <c r="H597" s="149"/>
      <c r="I597" s="149"/>
      <c r="J597" s="149"/>
      <c r="K597" s="182"/>
      <c r="L597" s="149"/>
      <c r="M597" s="149"/>
      <c r="N597" s="149"/>
      <c r="O597" s="146"/>
      <c r="P597" s="146"/>
      <c r="Q597" s="146"/>
      <c r="R597" s="156"/>
      <c r="S597" s="146"/>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c r="AR597" s="146"/>
    </row>
    <row r="598" spans="1:44" ht="12.3">
      <c r="A598" s="157"/>
      <c r="B598" s="157"/>
      <c r="C598" s="149"/>
      <c r="D598" s="149"/>
      <c r="E598" s="149"/>
      <c r="F598" s="149"/>
      <c r="G598" s="149"/>
      <c r="H598" s="149"/>
      <c r="I598" s="149"/>
      <c r="J598" s="149"/>
      <c r="K598" s="182"/>
      <c r="L598" s="149"/>
      <c r="M598" s="149"/>
      <c r="N598" s="149"/>
      <c r="O598" s="146"/>
      <c r="P598" s="146"/>
      <c r="Q598" s="146"/>
      <c r="R598" s="156"/>
      <c r="S598" s="146"/>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c r="AR598" s="146"/>
    </row>
    <row r="599" spans="1:44" ht="12.3">
      <c r="A599" s="157"/>
      <c r="B599" s="157"/>
      <c r="C599" s="149"/>
      <c r="D599" s="149"/>
      <c r="E599" s="149"/>
      <c r="F599" s="149"/>
      <c r="G599" s="149"/>
      <c r="H599" s="149"/>
      <c r="I599" s="149"/>
      <c r="J599" s="149"/>
      <c r="K599" s="182"/>
      <c r="L599" s="149"/>
      <c r="M599" s="149"/>
      <c r="N599" s="149"/>
      <c r="O599" s="146"/>
      <c r="P599" s="146"/>
      <c r="Q599" s="146"/>
      <c r="R599" s="156"/>
      <c r="S599" s="146"/>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c r="AR599" s="146"/>
    </row>
    <row r="600" spans="1:44" ht="12.3">
      <c r="A600" s="157"/>
      <c r="B600" s="157"/>
      <c r="C600" s="149"/>
      <c r="D600" s="149"/>
      <c r="E600" s="149"/>
      <c r="F600" s="149"/>
      <c r="G600" s="149"/>
      <c r="H600" s="149"/>
      <c r="I600" s="149"/>
      <c r="J600" s="149"/>
      <c r="K600" s="182"/>
      <c r="L600" s="149"/>
      <c r="M600" s="149"/>
      <c r="N600" s="149"/>
      <c r="O600" s="146"/>
      <c r="P600" s="146"/>
      <c r="Q600" s="146"/>
      <c r="R600" s="156"/>
      <c r="S600" s="146"/>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c r="AR600" s="146"/>
    </row>
    <row r="601" spans="1:44" ht="12.3">
      <c r="A601" s="157"/>
      <c r="B601" s="157"/>
      <c r="C601" s="149"/>
      <c r="D601" s="149"/>
      <c r="E601" s="149"/>
      <c r="F601" s="149"/>
      <c r="G601" s="149"/>
      <c r="H601" s="149"/>
      <c r="I601" s="149"/>
      <c r="J601" s="149"/>
      <c r="K601" s="182"/>
      <c r="L601" s="149"/>
      <c r="M601" s="149"/>
      <c r="N601" s="149"/>
      <c r="O601" s="146"/>
      <c r="P601" s="146"/>
      <c r="Q601" s="146"/>
      <c r="R601" s="156"/>
      <c r="S601" s="146"/>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c r="AR601" s="146"/>
    </row>
    <row r="602" spans="1:44" ht="12.3">
      <c r="A602" s="157"/>
      <c r="B602" s="157"/>
      <c r="C602" s="149"/>
      <c r="D602" s="149"/>
      <c r="E602" s="149"/>
      <c r="F602" s="149"/>
      <c r="G602" s="149"/>
      <c r="H602" s="149"/>
      <c r="I602" s="149"/>
      <c r="J602" s="149"/>
      <c r="K602" s="182"/>
      <c r="L602" s="149"/>
      <c r="M602" s="149"/>
      <c r="N602" s="149"/>
      <c r="O602" s="146"/>
      <c r="P602" s="146"/>
      <c r="Q602" s="146"/>
      <c r="R602" s="156"/>
      <c r="S602" s="146"/>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c r="AR602" s="146"/>
    </row>
    <row r="603" spans="1:44" ht="12.3">
      <c r="A603" s="157"/>
      <c r="B603" s="157"/>
      <c r="C603" s="149"/>
      <c r="D603" s="149"/>
      <c r="E603" s="149"/>
      <c r="F603" s="149"/>
      <c r="G603" s="149"/>
      <c r="H603" s="149"/>
      <c r="I603" s="149"/>
      <c r="J603" s="149"/>
      <c r="K603" s="182"/>
      <c r="L603" s="149"/>
      <c r="M603" s="149"/>
      <c r="N603" s="149"/>
      <c r="O603" s="146"/>
      <c r="P603" s="146"/>
      <c r="Q603" s="146"/>
      <c r="R603" s="156"/>
      <c r="S603" s="146"/>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c r="AR603" s="146"/>
    </row>
    <row r="604" spans="1:44" ht="12.3">
      <c r="A604" s="157"/>
      <c r="B604" s="157"/>
      <c r="C604" s="149"/>
      <c r="D604" s="149"/>
      <c r="E604" s="149"/>
      <c r="F604" s="149"/>
      <c r="G604" s="149"/>
      <c r="H604" s="149"/>
      <c r="I604" s="149"/>
      <c r="J604" s="149"/>
      <c r="K604" s="182"/>
      <c r="L604" s="149"/>
      <c r="M604" s="149"/>
      <c r="N604" s="149"/>
      <c r="O604" s="146"/>
      <c r="P604" s="146"/>
      <c r="Q604" s="146"/>
      <c r="R604" s="156"/>
      <c r="S604" s="146"/>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c r="AR604" s="146"/>
    </row>
    <row r="605" spans="1:44" ht="12.3">
      <c r="A605" s="157"/>
      <c r="B605" s="157"/>
      <c r="C605" s="149"/>
      <c r="D605" s="149"/>
      <c r="E605" s="149"/>
      <c r="F605" s="149"/>
      <c r="G605" s="149"/>
      <c r="H605" s="149"/>
      <c r="I605" s="149"/>
      <c r="J605" s="149"/>
      <c r="K605" s="182"/>
      <c r="L605" s="149"/>
      <c r="M605" s="149"/>
      <c r="N605" s="149"/>
      <c r="O605" s="146"/>
      <c r="P605" s="146"/>
      <c r="Q605" s="146"/>
      <c r="R605" s="156"/>
      <c r="S605" s="146"/>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c r="AR605" s="146"/>
    </row>
    <row r="606" spans="1:44" ht="12.3">
      <c r="A606" s="157"/>
      <c r="B606" s="157"/>
      <c r="C606" s="149"/>
      <c r="D606" s="149"/>
      <c r="E606" s="149"/>
      <c r="F606" s="149"/>
      <c r="G606" s="149"/>
      <c r="H606" s="149"/>
      <c r="I606" s="149"/>
      <c r="J606" s="149"/>
      <c r="K606" s="182"/>
      <c r="L606" s="149"/>
      <c r="M606" s="149"/>
      <c r="N606" s="149"/>
      <c r="O606" s="146"/>
      <c r="P606" s="146"/>
      <c r="Q606" s="146"/>
      <c r="R606" s="156"/>
      <c r="S606" s="146"/>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c r="AR606" s="146"/>
    </row>
    <row r="607" spans="1:44" ht="12.3">
      <c r="A607" s="157"/>
      <c r="B607" s="157"/>
      <c r="C607" s="149"/>
      <c r="D607" s="149"/>
      <c r="E607" s="149"/>
      <c r="F607" s="149"/>
      <c r="G607" s="149"/>
      <c r="H607" s="149"/>
      <c r="I607" s="149"/>
      <c r="J607" s="149"/>
      <c r="K607" s="182"/>
      <c r="L607" s="149"/>
      <c r="M607" s="149"/>
      <c r="N607" s="149"/>
      <c r="O607" s="146"/>
      <c r="P607" s="146"/>
      <c r="Q607" s="146"/>
      <c r="R607" s="156"/>
      <c r="S607" s="146"/>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c r="AR607" s="146"/>
    </row>
    <row r="608" spans="1:44" ht="12.3">
      <c r="A608" s="157"/>
      <c r="B608" s="157"/>
      <c r="C608" s="149"/>
      <c r="D608" s="149"/>
      <c r="E608" s="149"/>
      <c r="F608" s="149"/>
      <c r="G608" s="149"/>
      <c r="H608" s="149"/>
      <c r="I608" s="149"/>
      <c r="J608" s="149"/>
      <c r="K608" s="182"/>
      <c r="L608" s="149"/>
      <c r="M608" s="149"/>
      <c r="N608" s="149"/>
      <c r="O608" s="146"/>
      <c r="P608" s="146"/>
      <c r="Q608" s="146"/>
      <c r="R608" s="156"/>
      <c r="S608" s="146"/>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c r="AR608" s="146"/>
    </row>
    <row r="609" spans="1:44" ht="12.3">
      <c r="A609" s="157"/>
      <c r="B609" s="157"/>
      <c r="C609" s="149"/>
      <c r="D609" s="149"/>
      <c r="E609" s="149"/>
      <c r="F609" s="149"/>
      <c r="G609" s="149"/>
      <c r="H609" s="149"/>
      <c r="I609" s="149"/>
      <c r="J609" s="149"/>
      <c r="K609" s="182"/>
      <c r="L609" s="149"/>
      <c r="M609" s="149"/>
      <c r="N609" s="149"/>
      <c r="O609" s="146"/>
      <c r="P609" s="146"/>
      <c r="Q609" s="146"/>
      <c r="R609" s="156"/>
      <c r="S609" s="146"/>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c r="AR609" s="146"/>
    </row>
    <row r="610" spans="1:44" ht="12.3">
      <c r="A610" s="157"/>
      <c r="B610" s="157"/>
      <c r="C610" s="149"/>
      <c r="D610" s="149"/>
      <c r="E610" s="149"/>
      <c r="F610" s="149"/>
      <c r="G610" s="149"/>
      <c r="H610" s="149"/>
      <c r="I610" s="149"/>
      <c r="J610" s="149"/>
      <c r="K610" s="182"/>
      <c r="L610" s="149"/>
      <c r="M610" s="149"/>
      <c r="N610" s="149"/>
      <c r="O610" s="146"/>
      <c r="P610" s="146"/>
      <c r="Q610" s="146"/>
      <c r="R610" s="156"/>
      <c r="S610" s="146"/>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c r="AR610" s="146"/>
    </row>
    <row r="611" spans="1:44" ht="12.3">
      <c r="A611" s="157"/>
      <c r="B611" s="157"/>
      <c r="C611" s="149"/>
      <c r="D611" s="149"/>
      <c r="E611" s="149"/>
      <c r="F611" s="149"/>
      <c r="G611" s="149"/>
      <c r="H611" s="149"/>
      <c r="I611" s="149"/>
      <c r="J611" s="149"/>
      <c r="K611" s="182"/>
      <c r="L611" s="149"/>
      <c r="M611" s="149"/>
      <c r="N611" s="149"/>
      <c r="O611" s="146"/>
      <c r="P611" s="146"/>
      <c r="Q611" s="146"/>
      <c r="R611" s="156"/>
      <c r="S611" s="146"/>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c r="AR611" s="146"/>
    </row>
    <row r="612" spans="1:44" ht="12.3">
      <c r="A612" s="157"/>
      <c r="B612" s="157"/>
      <c r="C612" s="149"/>
      <c r="D612" s="149"/>
      <c r="E612" s="149"/>
      <c r="F612" s="149"/>
      <c r="G612" s="149"/>
      <c r="H612" s="149"/>
      <c r="I612" s="149"/>
      <c r="J612" s="149"/>
      <c r="K612" s="182"/>
      <c r="L612" s="149"/>
      <c r="M612" s="149"/>
      <c r="N612" s="149"/>
      <c r="O612" s="146"/>
      <c r="P612" s="146"/>
      <c r="Q612" s="146"/>
      <c r="R612" s="156"/>
      <c r="S612" s="146"/>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c r="AR612" s="146"/>
    </row>
    <row r="613" spans="1:44" ht="12.3">
      <c r="A613" s="157"/>
      <c r="B613" s="157"/>
      <c r="C613" s="149"/>
      <c r="D613" s="149"/>
      <c r="E613" s="149"/>
      <c r="F613" s="149"/>
      <c r="G613" s="149"/>
      <c r="H613" s="149"/>
      <c r="I613" s="149"/>
      <c r="J613" s="149"/>
      <c r="K613" s="182"/>
      <c r="L613" s="149"/>
      <c r="M613" s="149"/>
      <c r="N613" s="149"/>
      <c r="O613" s="146"/>
      <c r="P613" s="146"/>
      <c r="Q613" s="146"/>
      <c r="R613" s="156"/>
      <c r="S613" s="146"/>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c r="AR613" s="146"/>
    </row>
    <row r="614" spans="1:44" ht="12.3">
      <c r="A614" s="157"/>
      <c r="B614" s="157"/>
      <c r="C614" s="149"/>
      <c r="D614" s="149"/>
      <c r="E614" s="149"/>
      <c r="F614" s="149"/>
      <c r="G614" s="149"/>
      <c r="H614" s="149"/>
      <c r="I614" s="149"/>
      <c r="J614" s="149"/>
      <c r="K614" s="182"/>
      <c r="L614" s="149"/>
      <c r="M614" s="149"/>
      <c r="N614" s="149"/>
      <c r="O614" s="146"/>
      <c r="P614" s="146"/>
      <c r="Q614" s="146"/>
      <c r="R614" s="156"/>
      <c r="S614" s="146"/>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c r="AR614" s="146"/>
    </row>
    <row r="615" spans="1:44" ht="12.3">
      <c r="A615" s="157"/>
      <c r="B615" s="157"/>
      <c r="C615" s="149"/>
      <c r="D615" s="149"/>
      <c r="E615" s="149"/>
      <c r="F615" s="149"/>
      <c r="G615" s="149"/>
      <c r="H615" s="149"/>
      <c r="I615" s="149"/>
      <c r="J615" s="149"/>
      <c r="K615" s="182"/>
      <c r="L615" s="149"/>
      <c r="M615" s="149"/>
      <c r="N615" s="149"/>
      <c r="O615" s="146"/>
      <c r="P615" s="146"/>
      <c r="Q615" s="146"/>
      <c r="R615" s="156"/>
      <c r="S615" s="146"/>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c r="AR615" s="146"/>
    </row>
    <row r="616" spans="1:44" ht="12.3">
      <c r="A616" s="157"/>
      <c r="B616" s="157"/>
      <c r="C616" s="149"/>
      <c r="D616" s="149"/>
      <c r="E616" s="149"/>
      <c r="F616" s="149"/>
      <c r="G616" s="149"/>
      <c r="H616" s="149"/>
      <c r="I616" s="149"/>
      <c r="J616" s="149"/>
      <c r="K616" s="182"/>
      <c r="L616" s="149"/>
      <c r="M616" s="149"/>
      <c r="N616" s="149"/>
      <c r="O616" s="146"/>
      <c r="P616" s="146"/>
      <c r="Q616" s="146"/>
      <c r="R616" s="156"/>
      <c r="S616" s="146"/>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c r="AR616" s="146"/>
    </row>
    <row r="617" spans="1:44" ht="12.3">
      <c r="A617" s="157"/>
      <c r="B617" s="157"/>
      <c r="C617" s="149"/>
      <c r="D617" s="149"/>
      <c r="E617" s="149"/>
      <c r="F617" s="149"/>
      <c r="G617" s="149"/>
      <c r="H617" s="149"/>
      <c r="I617" s="149"/>
      <c r="J617" s="149"/>
      <c r="K617" s="182"/>
      <c r="L617" s="149"/>
      <c r="M617" s="149"/>
      <c r="N617" s="149"/>
      <c r="O617" s="146"/>
      <c r="P617" s="146"/>
      <c r="Q617" s="146"/>
      <c r="R617" s="156"/>
      <c r="S617" s="146"/>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c r="AR617" s="146"/>
    </row>
    <row r="618" spans="1:44" ht="12.3">
      <c r="A618" s="157"/>
      <c r="B618" s="157"/>
      <c r="C618" s="149"/>
      <c r="D618" s="149"/>
      <c r="E618" s="149"/>
      <c r="F618" s="149"/>
      <c r="G618" s="149"/>
      <c r="H618" s="149"/>
      <c r="I618" s="149"/>
      <c r="J618" s="149"/>
      <c r="K618" s="182"/>
      <c r="L618" s="149"/>
      <c r="M618" s="149"/>
      <c r="N618" s="149"/>
      <c r="O618" s="146"/>
      <c r="P618" s="146"/>
      <c r="Q618" s="146"/>
      <c r="R618" s="156"/>
      <c r="S618" s="146"/>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c r="AR618" s="146"/>
    </row>
    <row r="619" spans="1:44" ht="12.3">
      <c r="A619" s="157"/>
      <c r="B619" s="157"/>
      <c r="C619" s="149"/>
      <c r="D619" s="149"/>
      <c r="E619" s="149"/>
      <c r="F619" s="149"/>
      <c r="G619" s="149"/>
      <c r="H619" s="149"/>
      <c r="I619" s="149"/>
      <c r="J619" s="149"/>
      <c r="K619" s="182"/>
      <c r="L619" s="149"/>
      <c r="M619" s="149"/>
      <c r="N619" s="149"/>
      <c r="O619" s="146"/>
      <c r="P619" s="146"/>
      <c r="Q619" s="146"/>
      <c r="R619" s="156"/>
      <c r="S619" s="146"/>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row>
    <row r="620" spans="1:44" ht="12.3">
      <c r="A620" s="157"/>
      <c r="B620" s="157"/>
      <c r="C620" s="149"/>
      <c r="D620" s="149"/>
      <c r="E620" s="149"/>
      <c r="F620" s="149"/>
      <c r="G620" s="149"/>
      <c r="H620" s="149"/>
      <c r="I620" s="149"/>
      <c r="J620" s="149"/>
      <c r="K620" s="182"/>
      <c r="L620" s="149"/>
      <c r="M620" s="149"/>
      <c r="N620" s="149"/>
      <c r="O620" s="146"/>
      <c r="P620" s="146"/>
      <c r="Q620" s="146"/>
      <c r="R620" s="156"/>
      <c r="S620" s="146"/>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c r="AR620" s="146"/>
    </row>
    <row r="621" spans="1:44" ht="12.3">
      <c r="A621" s="157"/>
      <c r="B621" s="157"/>
      <c r="C621" s="149"/>
      <c r="D621" s="149"/>
      <c r="E621" s="149"/>
      <c r="F621" s="149"/>
      <c r="G621" s="149"/>
      <c r="H621" s="149"/>
      <c r="I621" s="149"/>
      <c r="J621" s="149"/>
      <c r="K621" s="182"/>
      <c r="L621" s="149"/>
      <c r="M621" s="149"/>
      <c r="N621" s="149"/>
      <c r="O621" s="146"/>
      <c r="P621" s="146"/>
      <c r="Q621" s="146"/>
      <c r="R621" s="156"/>
      <c r="S621" s="146"/>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c r="AR621" s="146"/>
    </row>
    <row r="622" spans="1:44" ht="12.3">
      <c r="A622" s="157"/>
      <c r="B622" s="157"/>
      <c r="C622" s="149"/>
      <c r="D622" s="149"/>
      <c r="E622" s="149"/>
      <c r="F622" s="149"/>
      <c r="G622" s="149"/>
      <c r="H622" s="149"/>
      <c r="I622" s="149"/>
      <c r="J622" s="149"/>
      <c r="K622" s="182"/>
      <c r="L622" s="149"/>
      <c r="M622" s="149"/>
      <c r="N622" s="149"/>
      <c r="O622" s="146"/>
      <c r="P622" s="146"/>
      <c r="Q622" s="146"/>
      <c r="R622" s="156"/>
      <c r="S622" s="146"/>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c r="AR622" s="146"/>
    </row>
    <row r="623" spans="1:44" ht="12.3">
      <c r="A623" s="157"/>
      <c r="B623" s="157"/>
      <c r="C623" s="149"/>
      <c r="D623" s="149"/>
      <c r="E623" s="149"/>
      <c r="F623" s="149"/>
      <c r="G623" s="149"/>
      <c r="H623" s="149"/>
      <c r="I623" s="149"/>
      <c r="J623" s="149"/>
      <c r="K623" s="182"/>
      <c r="L623" s="149"/>
      <c r="M623" s="149"/>
      <c r="N623" s="149"/>
      <c r="O623" s="146"/>
      <c r="P623" s="146"/>
      <c r="Q623" s="146"/>
      <c r="R623" s="156"/>
      <c r="S623" s="146"/>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c r="AR623" s="146"/>
    </row>
    <row r="624" spans="1:44" ht="12.3">
      <c r="A624" s="157"/>
      <c r="B624" s="157"/>
      <c r="C624" s="149"/>
      <c r="D624" s="149"/>
      <c r="E624" s="149"/>
      <c r="F624" s="149"/>
      <c r="G624" s="149"/>
      <c r="H624" s="149"/>
      <c r="I624" s="149"/>
      <c r="J624" s="149"/>
      <c r="K624" s="182"/>
      <c r="L624" s="149"/>
      <c r="M624" s="149"/>
      <c r="N624" s="149"/>
      <c r="O624" s="146"/>
      <c r="P624" s="146"/>
      <c r="Q624" s="146"/>
      <c r="R624" s="156"/>
      <c r="S624" s="146"/>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c r="AR624" s="146"/>
    </row>
    <row r="625" spans="1:44" ht="12.3">
      <c r="A625" s="157"/>
      <c r="B625" s="157"/>
      <c r="C625" s="149"/>
      <c r="D625" s="149"/>
      <c r="E625" s="149"/>
      <c r="F625" s="149"/>
      <c r="G625" s="149"/>
      <c r="H625" s="149"/>
      <c r="I625" s="149"/>
      <c r="J625" s="149"/>
      <c r="K625" s="182"/>
      <c r="L625" s="149"/>
      <c r="M625" s="149"/>
      <c r="N625" s="149"/>
      <c r="O625" s="146"/>
      <c r="P625" s="146"/>
      <c r="Q625" s="146"/>
      <c r="R625" s="156"/>
      <c r="S625" s="146"/>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c r="AR625" s="146"/>
    </row>
    <row r="626" spans="1:44" ht="12.3">
      <c r="A626" s="157"/>
      <c r="B626" s="157"/>
      <c r="C626" s="149"/>
      <c r="D626" s="149"/>
      <c r="E626" s="149"/>
      <c r="F626" s="149"/>
      <c r="G626" s="149"/>
      <c r="H626" s="149"/>
      <c r="I626" s="149"/>
      <c r="J626" s="149"/>
      <c r="K626" s="182"/>
      <c r="L626" s="149"/>
      <c r="M626" s="149"/>
      <c r="N626" s="149"/>
      <c r="O626" s="146"/>
      <c r="P626" s="146"/>
      <c r="Q626" s="146"/>
      <c r="R626" s="156"/>
      <c r="S626" s="146"/>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c r="AR626" s="146"/>
    </row>
    <row r="627" spans="1:44" ht="12.3">
      <c r="A627" s="157"/>
      <c r="B627" s="157"/>
      <c r="C627" s="149"/>
      <c r="D627" s="149"/>
      <c r="E627" s="149"/>
      <c r="F627" s="149"/>
      <c r="G627" s="149"/>
      <c r="H627" s="149"/>
      <c r="I627" s="149"/>
      <c r="J627" s="149"/>
      <c r="K627" s="182"/>
      <c r="L627" s="149"/>
      <c r="M627" s="149"/>
      <c r="N627" s="149"/>
      <c r="O627" s="146"/>
      <c r="P627" s="146"/>
      <c r="Q627" s="146"/>
      <c r="R627" s="156"/>
      <c r="S627" s="146"/>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c r="AR627" s="146"/>
    </row>
    <row r="628" spans="1:44" ht="12.3">
      <c r="A628" s="157"/>
      <c r="B628" s="157"/>
      <c r="C628" s="149"/>
      <c r="D628" s="149"/>
      <c r="E628" s="149"/>
      <c r="F628" s="149"/>
      <c r="G628" s="149"/>
      <c r="H628" s="149"/>
      <c r="I628" s="149"/>
      <c r="J628" s="149"/>
      <c r="K628" s="182"/>
      <c r="L628" s="149"/>
      <c r="M628" s="149"/>
      <c r="N628" s="149"/>
      <c r="O628" s="146"/>
      <c r="P628" s="146"/>
      <c r="Q628" s="146"/>
      <c r="R628" s="156"/>
      <c r="S628" s="146"/>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c r="AR628" s="146"/>
    </row>
    <row r="629" spans="1:44" ht="12.3">
      <c r="A629" s="157"/>
      <c r="B629" s="157"/>
      <c r="C629" s="149"/>
      <c r="D629" s="149"/>
      <c r="E629" s="149"/>
      <c r="F629" s="149"/>
      <c r="G629" s="149"/>
      <c r="H629" s="149"/>
      <c r="I629" s="149"/>
      <c r="J629" s="149"/>
      <c r="K629" s="182"/>
      <c r="L629" s="149"/>
      <c r="M629" s="149"/>
      <c r="N629" s="149"/>
      <c r="O629" s="146"/>
      <c r="P629" s="146"/>
      <c r="Q629" s="146"/>
      <c r="R629" s="156"/>
      <c r="S629" s="146"/>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c r="AR629" s="146"/>
    </row>
    <row r="630" spans="1:44" ht="12.3">
      <c r="A630" s="157"/>
      <c r="B630" s="157"/>
      <c r="C630" s="149"/>
      <c r="D630" s="149"/>
      <c r="E630" s="149"/>
      <c r="F630" s="149"/>
      <c r="G630" s="149"/>
      <c r="H630" s="149"/>
      <c r="I630" s="149"/>
      <c r="J630" s="149"/>
      <c r="K630" s="182"/>
      <c r="L630" s="149"/>
      <c r="M630" s="149"/>
      <c r="N630" s="149"/>
      <c r="O630" s="146"/>
      <c r="P630" s="146"/>
      <c r="Q630" s="146"/>
      <c r="R630" s="156"/>
      <c r="S630" s="146"/>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c r="AR630" s="146"/>
    </row>
    <row r="631" spans="1:44" ht="12.3">
      <c r="A631" s="157"/>
      <c r="B631" s="157"/>
      <c r="C631" s="149"/>
      <c r="D631" s="149"/>
      <c r="E631" s="149"/>
      <c r="F631" s="149"/>
      <c r="G631" s="149"/>
      <c r="H631" s="149"/>
      <c r="I631" s="149"/>
      <c r="J631" s="149"/>
      <c r="K631" s="182"/>
      <c r="L631" s="149"/>
      <c r="M631" s="149"/>
      <c r="N631" s="149"/>
      <c r="O631" s="146"/>
      <c r="P631" s="146"/>
      <c r="Q631" s="146"/>
      <c r="R631" s="156"/>
      <c r="S631" s="146"/>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c r="AR631" s="146"/>
    </row>
    <row r="632" spans="1:44" ht="12.3">
      <c r="A632" s="157"/>
      <c r="B632" s="157"/>
      <c r="C632" s="149"/>
      <c r="D632" s="149"/>
      <c r="E632" s="149"/>
      <c r="F632" s="149"/>
      <c r="G632" s="149"/>
      <c r="H632" s="149"/>
      <c r="I632" s="149"/>
      <c r="J632" s="149"/>
      <c r="K632" s="182"/>
      <c r="L632" s="149"/>
      <c r="M632" s="149"/>
      <c r="N632" s="149"/>
      <c r="O632" s="146"/>
      <c r="P632" s="146"/>
      <c r="Q632" s="146"/>
      <c r="R632" s="156"/>
      <c r="S632" s="146"/>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c r="AR632" s="146"/>
    </row>
    <row r="633" spans="1:44" ht="12.3">
      <c r="A633" s="157"/>
      <c r="B633" s="157"/>
      <c r="C633" s="149"/>
      <c r="D633" s="149"/>
      <c r="E633" s="149"/>
      <c r="F633" s="149"/>
      <c r="G633" s="149"/>
      <c r="H633" s="149"/>
      <c r="I633" s="149"/>
      <c r="J633" s="149"/>
      <c r="K633" s="182"/>
      <c r="L633" s="149"/>
      <c r="M633" s="149"/>
      <c r="N633" s="149"/>
      <c r="O633" s="146"/>
      <c r="P633" s="146"/>
      <c r="Q633" s="146"/>
      <c r="R633" s="156"/>
      <c r="S633" s="146"/>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c r="AR633" s="146"/>
    </row>
    <row r="634" spans="1:44" ht="12.3">
      <c r="A634" s="157"/>
      <c r="B634" s="157"/>
      <c r="C634" s="149"/>
      <c r="D634" s="149"/>
      <c r="E634" s="149"/>
      <c r="F634" s="149"/>
      <c r="G634" s="149"/>
      <c r="H634" s="149"/>
      <c r="I634" s="149"/>
      <c r="J634" s="149"/>
      <c r="K634" s="182"/>
      <c r="L634" s="149"/>
      <c r="M634" s="149"/>
      <c r="N634" s="149"/>
      <c r="O634" s="146"/>
      <c r="P634" s="146"/>
      <c r="Q634" s="146"/>
      <c r="R634" s="156"/>
      <c r="S634" s="146"/>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c r="AR634" s="146"/>
    </row>
    <row r="635" spans="1:44" ht="12.3">
      <c r="A635" s="157"/>
      <c r="B635" s="157"/>
      <c r="C635" s="149"/>
      <c r="D635" s="149"/>
      <c r="E635" s="149"/>
      <c r="F635" s="149"/>
      <c r="G635" s="149"/>
      <c r="H635" s="149"/>
      <c r="I635" s="149"/>
      <c r="J635" s="149"/>
      <c r="K635" s="182"/>
      <c r="L635" s="149"/>
      <c r="M635" s="149"/>
      <c r="N635" s="149"/>
      <c r="O635" s="146"/>
      <c r="P635" s="146"/>
      <c r="Q635" s="146"/>
      <c r="R635" s="156"/>
      <c r="S635" s="146"/>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c r="AR635" s="146"/>
    </row>
    <row r="636" spans="1:44" ht="12.3">
      <c r="A636" s="157"/>
      <c r="B636" s="157"/>
      <c r="C636" s="149"/>
      <c r="D636" s="149"/>
      <c r="E636" s="149"/>
      <c r="F636" s="149"/>
      <c r="G636" s="149"/>
      <c r="H636" s="149"/>
      <c r="I636" s="149"/>
      <c r="J636" s="149"/>
      <c r="K636" s="182"/>
      <c r="L636" s="149"/>
      <c r="M636" s="149"/>
      <c r="N636" s="149"/>
      <c r="O636" s="146"/>
      <c r="P636" s="146"/>
      <c r="Q636" s="146"/>
      <c r="R636" s="156"/>
      <c r="S636" s="146"/>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c r="AR636" s="146"/>
    </row>
    <row r="637" spans="1:44" ht="12.3">
      <c r="A637" s="157"/>
      <c r="B637" s="157"/>
      <c r="C637" s="149"/>
      <c r="D637" s="149"/>
      <c r="E637" s="149"/>
      <c r="F637" s="149"/>
      <c r="G637" s="149"/>
      <c r="H637" s="149"/>
      <c r="I637" s="149"/>
      <c r="J637" s="149"/>
      <c r="K637" s="182"/>
      <c r="L637" s="149"/>
      <c r="M637" s="149"/>
      <c r="N637" s="149"/>
      <c r="O637" s="146"/>
      <c r="P637" s="146"/>
      <c r="Q637" s="146"/>
      <c r="R637" s="156"/>
      <c r="S637" s="146"/>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c r="AR637" s="146"/>
    </row>
    <row r="638" spans="1:44" ht="12.3">
      <c r="A638" s="157"/>
      <c r="B638" s="157"/>
      <c r="C638" s="149"/>
      <c r="D638" s="149"/>
      <c r="E638" s="149"/>
      <c r="F638" s="149"/>
      <c r="G638" s="149"/>
      <c r="H638" s="149"/>
      <c r="I638" s="149"/>
      <c r="J638" s="149"/>
      <c r="K638" s="182"/>
      <c r="L638" s="149"/>
      <c r="M638" s="149"/>
      <c r="N638" s="149"/>
      <c r="O638" s="146"/>
      <c r="P638" s="146"/>
      <c r="Q638" s="146"/>
      <c r="R638" s="156"/>
      <c r="S638" s="146"/>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c r="AR638" s="146"/>
    </row>
    <row r="639" spans="1:44" ht="12.3">
      <c r="A639" s="157"/>
      <c r="B639" s="157"/>
      <c r="C639" s="149"/>
      <c r="D639" s="149"/>
      <c r="E639" s="149"/>
      <c r="F639" s="149"/>
      <c r="G639" s="149"/>
      <c r="H639" s="149"/>
      <c r="I639" s="149"/>
      <c r="J639" s="149"/>
      <c r="K639" s="182"/>
      <c r="L639" s="149"/>
      <c r="M639" s="149"/>
      <c r="N639" s="149"/>
      <c r="O639" s="146"/>
      <c r="P639" s="146"/>
      <c r="Q639" s="146"/>
      <c r="R639" s="156"/>
      <c r="S639" s="146"/>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c r="AR639" s="146"/>
    </row>
    <row r="640" spans="1:44" ht="12.3">
      <c r="A640" s="157"/>
      <c r="B640" s="157"/>
      <c r="C640" s="149"/>
      <c r="D640" s="149"/>
      <c r="E640" s="149"/>
      <c r="F640" s="149"/>
      <c r="G640" s="149"/>
      <c r="H640" s="149"/>
      <c r="I640" s="149"/>
      <c r="J640" s="149"/>
      <c r="K640" s="182"/>
      <c r="L640" s="149"/>
      <c r="M640" s="149"/>
      <c r="N640" s="149"/>
      <c r="O640" s="146"/>
      <c r="P640" s="146"/>
      <c r="Q640" s="146"/>
      <c r="R640" s="156"/>
      <c r="S640" s="146"/>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c r="AR640" s="146"/>
    </row>
    <row r="641" spans="1:44" ht="12.3">
      <c r="A641" s="157"/>
      <c r="B641" s="157"/>
      <c r="C641" s="149"/>
      <c r="D641" s="149"/>
      <c r="E641" s="149"/>
      <c r="F641" s="149"/>
      <c r="G641" s="149"/>
      <c r="H641" s="149"/>
      <c r="I641" s="149"/>
      <c r="J641" s="149"/>
      <c r="K641" s="182"/>
      <c r="L641" s="149"/>
      <c r="M641" s="149"/>
      <c r="N641" s="149"/>
      <c r="O641" s="146"/>
      <c r="P641" s="146"/>
      <c r="Q641" s="146"/>
      <c r="R641" s="156"/>
      <c r="S641" s="146"/>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c r="AR641" s="146"/>
    </row>
    <row r="642" spans="1:44" ht="12.3">
      <c r="A642" s="157"/>
      <c r="B642" s="157"/>
      <c r="C642" s="149"/>
      <c r="D642" s="149"/>
      <c r="E642" s="149"/>
      <c r="F642" s="149"/>
      <c r="G642" s="149"/>
      <c r="H642" s="149"/>
      <c r="I642" s="149"/>
      <c r="J642" s="149"/>
      <c r="K642" s="182"/>
      <c r="L642" s="149"/>
      <c r="M642" s="149"/>
      <c r="N642" s="149"/>
      <c r="O642" s="146"/>
      <c r="P642" s="146"/>
      <c r="Q642" s="146"/>
      <c r="R642" s="156"/>
      <c r="S642" s="146"/>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c r="AR642" s="146"/>
    </row>
    <row r="643" spans="1:44" ht="12.3">
      <c r="A643" s="157"/>
      <c r="B643" s="157"/>
      <c r="C643" s="149"/>
      <c r="D643" s="149"/>
      <c r="E643" s="149"/>
      <c r="F643" s="149"/>
      <c r="G643" s="149"/>
      <c r="H643" s="149"/>
      <c r="I643" s="149"/>
      <c r="J643" s="149"/>
      <c r="K643" s="182"/>
      <c r="L643" s="149"/>
      <c r="M643" s="149"/>
      <c r="N643" s="149"/>
      <c r="O643" s="146"/>
      <c r="P643" s="146"/>
      <c r="Q643" s="146"/>
      <c r="R643" s="156"/>
      <c r="S643" s="146"/>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c r="AR643" s="146"/>
    </row>
    <row r="644" spans="1:44" ht="12.3">
      <c r="A644" s="157"/>
      <c r="B644" s="157"/>
      <c r="C644" s="149"/>
      <c r="D644" s="149"/>
      <c r="E644" s="149"/>
      <c r="F644" s="149"/>
      <c r="G644" s="149"/>
      <c r="H644" s="149"/>
      <c r="I644" s="149"/>
      <c r="J644" s="149"/>
      <c r="K644" s="182"/>
      <c r="L644" s="149"/>
      <c r="M644" s="149"/>
      <c r="N644" s="149"/>
      <c r="O644" s="146"/>
      <c r="P644" s="146"/>
      <c r="Q644" s="146"/>
      <c r="R644" s="156"/>
      <c r="S644" s="146"/>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c r="AR644" s="146"/>
    </row>
    <row r="645" spans="1:44" ht="12.3">
      <c r="A645" s="157"/>
      <c r="B645" s="157"/>
      <c r="C645" s="149"/>
      <c r="D645" s="149"/>
      <c r="E645" s="149"/>
      <c r="F645" s="149"/>
      <c r="G645" s="149"/>
      <c r="H645" s="149"/>
      <c r="I645" s="149"/>
      <c r="J645" s="149"/>
      <c r="K645" s="182"/>
      <c r="L645" s="149"/>
      <c r="M645" s="149"/>
      <c r="N645" s="149"/>
      <c r="O645" s="146"/>
      <c r="P645" s="146"/>
      <c r="Q645" s="146"/>
      <c r="R645" s="156"/>
      <c r="S645" s="146"/>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c r="AR645" s="146"/>
    </row>
    <row r="646" spans="1:44" ht="12.3">
      <c r="A646" s="157"/>
      <c r="B646" s="157"/>
      <c r="C646" s="149"/>
      <c r="D646" s="149"/>
      <c r="E646" s="149"/>
      <c r="F646" s="149"/>
      <c r="G646" s="149"/>
      <c r="H646" s="149"/>
      <c r="I646" s="149"/>
      <c r="J646" s="149"/>
      <c r="K646" s="182"/>
      <c r="L646" s="149"/>
      <c r="M646" s="149"/>
      <c r="N646" s="149"/>
      <c r="O646" s="146"/>
      <c r="P646" s="146"/>
      <c r="Q646" s="146"/>
      <c r="R646" s="156"/>
      <c r="S646" s="146"/>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c r="AR646" s="146"/>
    </row>
    <row r="647" spans="1:44" ht="12.3">
      <c r="A647" s="157"/>
      <c r="B647" s="157"/>
      <c r="C647" s="149"/>
      <c r="D647" s="149"/>
      <c r="E647" s="149"/>
      <c r="F647" s="149"/>
      <c r="G647" s="149"/>
      <c r="H647" s="149"/>
      <c r="I647" s="149"/>
      <c r="J647" s="149"/>
      <c r="K647" s="182"/>
      <c r="L647" s="149"/>
      <c r="M647" s="149"/>
      <c r="N647" s="149"/>
      <c r="O647" s="146"/>
      <c r="P647" s="146"/>
      <c r="Q647" s="146"/>
      <c r="R647" s="156"/>
      <c r="S647" s="146"/>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c r="AR647" s="146"/>
    </row>
    <row r="648" spans="1:44" ht="12.3">
      <c r="A648" s="157"/>
      <c r="B648" s="157"/>
      <c r="C648" s="149"/>
      <c r="D648" s="149"/>
      <c r="E648" s="149"/>
      <c r="F648" s="149"/>
      <c r="G648" s="149"/>
      <c r="H648" s="149"/>
      <c r="I648" s="149"/>
      <c r="J648" s="149"/>
      <c r="K648" s="182"/>
      <c r="L648" s="149"/>
      <c r="M648" s="149"/>
      <c r="N648" s="149"/>
      <c r="O648" s="146"/>
      <c r="P648" s="146"/>
      <c r="Q648" s="146"/>
      <c r="R648" s="156"/>
      <c r="S648" s="146"/>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c r="AR648" s="146"/>
    </row>
    <row r="649" spans="1:44" ht="12.3">
      <c r="A649" s="157"/>
      <c r="B649" s="157"/>
      <c r="C649" s="149"/>
      <c r="D649" s="149"/>
      <c r="E649" s="149"/>
      <c r="F649" s="149"/>
      <c r="G649" s="149"/>
      <c r="H649" s="149"/>
      <c r="I649" s="149"/>
      <c r="J649" s="149"/>
      <c r="K649" s="182"/>
      <c r="L649" s="149"/>
      <c r="M649" s="149"/>
      <c r="N649" s="149"/>
      <c r="O649" s="146"/>
      <c r="P649" s="146"/>
      <c r="Q649" s="146"/>
      <c r="R649" s="156"/>
      <c r="S649" s="146"/>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c r="AR649" s="146"/>
    </row>
    <row r="650" spans="1:44" ht="12.3">
      <c r="A650" s="157"/>
      <c r="B650" s="157"/>
      <c r="C650" s="149"/>
      <c r="D650" s="149"/>
      <c r="E650" s="149"/>
      <c r="F650" s="149"/>
      <c r="G650" s="149"/>
      <c r="H650" s="149"/>
      <c r="I650" s="149"/>
      <c r="J650" s="149"/>
      <c r="K650" s="182"/>
      <c r="L650" s="149"/>
      <c r="M650" s="149"/>
      <c r="N650" s="149"/>
      <c r="O650" s="146"/>
      <c r="P650" s="146"/>
      <c r="Q650" s="146"/>
      <c r="R650" s="156"/>
      <c r="S650" s="146"/>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c r="AR650" s="146"/>
    </row>
    <row r="651" spans="1:44" ht="12.3">
      <c r="A651" s="157"/>
      <c r="B651" s="157"/>
      <c r="C651" s="149"/>
      <c r="D651" s="149"/>
      <c r="E651" s="149"/>
      <c r="F651" s="149"/>
      <c r="G651" s="149"/>
      <c r="H651" s="149"/>
      <c r="I651" s="149"/>
      <c r="J651" s="149"/>
      <c r="K651" s="182"/>
      <c r="L651" s="149"/>
      <c r="M651" s="149"/>
      <c r="N651" s="149"/>
      <c r="O651" s="146"/>
      <c r="P651" s="146"/>
      <c r="Q651" s="146"/>
      <c r="R651" s="156"/>
      <c r="S651" s="146"/>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c r="AR651" s="146"/>
    </row>
    <row r="652" spans="1:44" ht="12.3">
      <c r="A652" s="157"/>
      <c r="B652" s="157"/>
      <c r="C652" s="149"/>
      <c r="D652" s="149"/>
      <c r="E652" s="149"/>
      <c r="F652" s="149"/>
      <c r="G652" s="149"/>
      <c r="H652" s="149"/>
      <c r="I652" s="149"/>
      <c r="J652" s="149"/>
      <c r="K652" s="182"/>
      <c r="L652" s="149"/>
      <c r="M652" s="149"/>
      <c r="N652" s="149"/>
      <c r="O652" s="146"/>
      <c r="P652" s="146"/>
      <c r="Q652" s="146"/>
      <c r="R652" s="156"/>
      <c r="S652" s="146"/>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c r="AR652" s="146"/>
    </row>
    <row r="653" spans="1:44" ht="12.3">
      <c r="A653" s="157"/>
      <c r="B653" s="157"/>
      <c r="C653" s="149"/>
      <c r="D653" s="149"/>
      <c r="E653" s="149"/>
      <c r="F653" s="149"/>
      <c r="G653" s="149"/>
      <c r="H653" s="149"/>
      <c r="I653" s="149"/>
      <c r="J653" s="149"/>
      <c r="K653" s="182"/>
      <c r="L653" s="149"/>
      <c r="M653" s="149"/>
      <c r="N653" s="149"/>
      <c r="O653" s="146"/>
      <c r="P653" s="146"/>
      <c r="Q653" s="146"/>
      <c r="R653" s="156"/>
      <c r="S653" s="146"/>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c r="AR653" s="146"/>
    </row>
    <row r="654" spans="1:44" ht="12.3">
      <c r="A654" s="157"/>
      <c r="B654" s="157"/>
      <c r="C654" s="149"/>
      <c r="D654" s="149"/>
      <c r="E654" s="149"/>
      <c r="F654" s="149"/>
      <c r="G654" s="149"/>
      <c r="H654" s="149"/>
      <c r="I654" s="149"/>
      <c r="J654" s="149"/>
      <c r="K654" s="182"/>
      <c r="L654" s="149"/>
      <c r="M654" s="149"/>
      <c r="N654" s="149"/>
      <c r="O654" s="146"/>
      <c r="P654" s="146"/>
      <c r="Q654" s="146"/>
      <c r="R654" s="156"/>
      <c r="S654" s="146"/>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row>
    <row r="655" spans="1:44" ht="12.3">
      <c r="A655" s="157"/>
      <c r="B655" s="157"/>
      <c r="C655" s="149"/>
      <c r="D655" s="149"/>
      <c r="E655" s="149"/>
      <c r="F655" s="149"/>
      <c r="G655" s="149"/>
      <c r="H655" s="149"/>
      <c r="I655" s="149"/>
      <c r="J655" s="149"/>
      <c r="K655" s="182"/>
      <c r="L655" s="149"/>
      <c r="M655" s="149"/>
      <c r="N655" s="149"/>
      <c r="O655" s="146"/>
      <c r="P655" s="146"/>
      <c r="Q655" s="146"/>
      <c r="R655" s="156"/>
      <c r="S655" s="146"/>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c r="AR655" s="146"/>
    </row>
    <row r="656" spans="1:44" ht="12.3">
      <c r="A656" s="157"/>
      <c r="B656" s="157"/>
      <c r="C656" s="149"/>
      <c r="D656" s="149"/>
      <c r="E656" s="149"/>
      <c r="F656" s="149"/>
      <c r="G656" s="149"/>
      <c r="H656" s="149"/>
      <c r="I656" s="149"/>
      <c r="J656" s="149"/>
      <c r="K656" s="182"/>
      <c r="L656" s="149"/>
      <c r="M656" s="149"/>
      <c r="N656" s="149"/>
      <c r="O656" s="146"/>
      <c r="P656" s="146"/>
      <c r="Q656" s="146"/>
      <c r="R656" s="156"/>
      <c r="S656" s="146"/>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c r="AR656" s="146"/>
    </row>
    <row r="657" spans="1:44" ht="12.3">
      <c r="A657" s="157"/>
      <c r="B657" s="157"/>
      <c r="C657" s="149"/>
      <c r="D657" s="149"/>
      <c r="E657" s="149"/>
      <c r="F657" s="149"/>
      <c r="G657" s="149"/>
      <c r="H657" s="149"/>
      <c r="I657" s="149"/>
      <c r="J657" s="149"/>
      <c r="K657" s="182"/>
      <c r="L657" s="149"/>
      <c r="M657" s="149"/>
      <c r="N657" s="149"/>
      <c r="O657" s="146"/>
      <c r="P657" s="146"/>
      <c r="Q657" s="146"/>
      <c r="R657" s="156"/>
      <c r="S657" s="146"/>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c r="AR657" s="146"/>
    </row>
    <row r="658" spans="1:44" ht="12.3">
      <c r="A658" s="157"/>
      <c r="B658" s="157"/>
      <c r="C658" s="149"/>
      <c r="D658" s="149"/>
      <c r="E658" s="149"/>
      <c r="F658" s="149"/>
      <c r="G658" s="149"/>
      <c r="H658" s="149"/>
      <c r="I658" s="149"/>
      <c r="J658" s="149"/>
      <c r="K658" s="182"/>
      <c r="L658" s="149"/>
      <c r="M658" s="149"/>
      <c r="N658" s="149"/>
      <c r="O658" s="146"/>
      <c r="P658" s="146"/>
      <c r="Q658" s="146"/>
      <c r="R658" s="156"/>
      <c r="S658" s="146"/>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row>
    <row r="659" spans="1:44" ht="12.3">
      <c r="A659" s="157"/>
      <c r="B659" s="157"/>
      <c r="C659" s="149"/>
      <c r="D659" s="149"/>
      <c r="E659" s="149"/>
      <c r="F659" s="149"/>
      <c r="G659" s="149"/>
      <c r="H659" s="149"/>
      <c r="I659" s="149"/>
      <c r="J659" s="149"/>
      <c r="K659" s="182"/>
      <c r="L659" s="149"/>
      <c r="M659" s="149"/>
      <c r="N659" s="149"/>
      <c r="O659" s="146"/>
      <c r="P659" s="146"/>
      <c r="Q659" s="146"/>
      <c r="R659" s="156"/>
      <c r="S659" s="146"/>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c r="AR659" s="146"/>
    </row>
    <row r="660" spans="1:44" ht="12.3">
      <c r="A660" s="157"/>
      <c r="B660" s="157"/>
      <c r="C660" s="149"/>
      <c r="D660" s="149"/>
      <c r="E660" s="149"/>
      <c r="F660" s="149"/>
      <c r="G660" s="149"/>
      <c r="H660" s="149"/>
      <c r="I660" s="149"/>
      <c r="J660" s="149"/>
      <c r="K660" s="182"/>
      <c r="L660" s="149"/>
      <c r="M660" s="149"/>
      <c r="N660" s="149"/>
      <c r="O660" s="146"/>
      <c r="P660" s="146"/>
      <c r="Q660" s="146"/>
      <c r="R660" s="156"/>
      <c r="S660" s="146"/>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c r="AR660" s="146"/>
    </row>
    <row r="661" spans="1:44" ht="12.3">
      <c r="A661" s="157"/>
      <c r="B661" s="157"/>
      <c r="C661" s="149"/>
      <c r="D661" s="149"/>
      <c r="E661" s="149"/>
      <c r="F661" s="149"/>
      <c r="G661" s="149"/>
      <c r="H661" s="149"/>
      <c r="I661" s="149"/>
      <c r="J661" s="149"/>
      <c r="K661" s="182"/>
      <c r="L661" s="149"/>
      <c r="M661" s="149"/>
      <c r="N661" s="149"/>
      <c r="O661" s="146"/>
      <c r="P661" s="146"/>
      <c r="Q661" s="146"/>
      <c r="R661" s="156"/>
      <c r="S661" s="146"/>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c r="AR661" s="146"/>
    </row>
    <row r="662" spans="1:44" ht="12.3">
      <c r="A662" s="157"/>
      <c r="B662" s="157"/>
      <c r="C662" s="149"/>
      <c r="D662" s="149"/>
      <c r="E662" s="149"/>
      <c r="F662" s="149"/>
      <c r="G662" s="149"/>
      <c r="H662" s="149"/>
      <c r="I662" s="149"/>
      <c r="J662" s="149"/>
      <c r="K662" s="182"/>
      <c r="L662" s="149"/>
      <c r="M662" s="149"/>
      <c r="N662" s="149"/>
      <c r="O662" s="146"/>
      <c r="P662" s="146"/>
      <c r="Q662" s="146"/>
      <c r="R662" s="156"/>
      <c r="S662" s="146"/>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c r="AR662" s="146"/>
    </row>
    <row r="663" spans="1:44" ht="12.3">
      <c r="A663" s="157"/>
      <c r="B663" s="157"/>
      <c r="C663" s="149"/>
      <c r="D663" s="149"/>
      <c r="E663" s="149"/>
      <c r="F663" s="149"/>
      <c r="G663" s="149"/>
      <c r="H663" s="149"/>
      <c r="I663" s="149"/>
      <c r="J663" s="149"/>
      <c r="K663" s="182"/>
      <c r="L663" s="149"/>
      <c r="M663" s="149"/>
      <c r="N663" s="149"/>
      <c r="O663" s="146"/>
      <c r="P663" s="146"/>
      <c r="Q663" s="146"/>
      <c r="R663" s="156"/>
      <c r="S663" s="146"/>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c r="AR663" s="146"/>
    </row>
    <row r="664" spans="1:44" ht="12.3">
      <c r="A664" s="157"/>
      <c r="B664" s="157"/>
      <c r="C664" s="149"/>
      <c r="D664" s="149"/>
      <c r="E664" s="149"/>
      <c r="F664" s="149"/>
      <c r="G664" s="149"/>
      <c r="H664" s="149"/>
      <c r="I664" s="149"/>
      <c r="J664" s="149"/>
      <c r="K664" s="182"/>
      <c r="L664" s="149"/>
      <c r="M664" s="149"/>
      <c r="N664" s="149"/>
      <c r="O664" s="146"/>
      <c r="P664" s="146"/>
      <c r="Q664" s="146"/>
      <c r="R664" s="156"/>
      <c r="S664" s="146"/>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c r="AR664" s="146"/>
    </row>
    <row r="665" spans="1:44" ht="12.3">
      <c r="A665" s="157"/>
      <c r="B665" s="157"/>
      <c r="C665" s="149"/>
      <c r="D665" s="149"/>
      <c r="E665" s="149"/>
      <c r="F665" s="149"/>
      <c r="G665" s="149"/>
      <c r="H665" s="149"/>
      <c r="I665" s="149"/>
      <c r="J665" s="149"/>
      <c r="K665" s="182"/>
      <c r="L665" s="149"/>
      <c r="M665" s="149"/>
      <c r="N665" s="149"/>
      <c r="O665" s="146"/>
      <c r="P665" s="146"/>
      <c r="Q665" s="146"/>
      <c r="R665" s="156"/>
      <c r="S665" s="146"/>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c r="AR665" s="146"/>
    </row>
    <row r="666" spans="1:44" ht="12.3">
      <c r="A666" s="157"/>
      <c r="B666" s="157"/>
      <c r="C666" s="149"/>
      <c r="D666" s="149"/>
      <c r="E666" s="149"/>
      <c r="F666" s="149"/>
      <c r="G666" s="149"/>
      <c r="H666" s="149"/>
      <c r="I666" s="149"/>
      <c r="J666" s="149"/>
      <c r="K666" s="182"/>
      <c r="L666" s="149"/>
      <c r="M666" s="149"/>
      <c r="N666" s="149"/>
      <c r="O666" s="146"/>
      <c r="P666" s="146"/>
      <c r="Q666" s="146"/>
      <c r="R666" s="156"/>
      <c r="S666" s="146"/>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c r="AR666" s="146"/>
    </row>
    <row r="667" spans="1:44" ht="12.3">
      <c r="A667" s="157"/>
      <c r="B667" s="157"/>
      <c r="C667" s="149"/>
      <c r="D667" s="149"/>
      <c r="E667" s="149"/>
      <c r="F667" s="149"/>
      <c r="G667" s="149"/>
      <c r="H667" s="149"/>
      <c r="I667" s="149"/>
      <c r="J667" s="149"/>
      <c r="K667" s="182"/>
      <c r="L667" s="149"/>
      <c r="M667" s="149"/>
      <c r="N667" s="149"/>
      <c r="O667" s="146"/>
      <c r="P667" s="146"/>
      <c r="Q667" s="146"/>
      <c r="R667" s="156"/>
      <c r="S667" s="146"/>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c r="AR667" s="146"/>
    </row>
    <row r="668" spans="1:44" ht="12.3">
      <c r="A668" s="157"/>
      <c r="B668" s="157"/>
      <c r="C668" s="149"/>
      <c r="D668" s="149"/>
      <c r="E668" s="149"/>
      <c r="F668" s="149"/>
      <c r="G668" s="149"/>
      <c r="H668" s="149"/>
      <c r="I668" s="149"/>
      <c r="J668" s="149"/>
      <c r="K668" s="182"/>
      <c r="L668" s="149"/>
      <c r="M668" s="149"/>
      <c r="N668" s="149"/>
      <c r="O668" s="146"/>
      <c r="P668" s="146"/>
      <c r="Q668" s="146"/>
      <c r="R668" s="156"/>
      <c r="S668" s="146"/>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c r="AR668" s="146"/>
    </row>
    <row r="669" spans="1:44" ht="12.3">
      <c r="A669" s="157"/>
      <c r="B669" s="157"/>
      <c r="C669" s="149"/>
      <c r="D669" s="149"/>
      <c r="E669" s="149"/>
      <c r="F669" s="149"/>
      <c r="G669" s="149"/>
      <c r="H669" s="149"/>
      <c r="I669" s="149"/>
      <c r="J669" s="149"/>
      <c r="K669" s="182"/>
      <c r="L669" s="149"/>
      <c r="M669" s="149"/>
      <c r="N669" s="149"/>
      <c r="O669" s="146"/>
      <c r="P669" s="146"/>
      <c r="Q669" s="146"/>
      <c r="R669" s="156"/>
      <c r="S669" s="146"/>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c r="AR669" s="146"/>
    </row>
    <row r="670" spans="1:44" ht="12.3">
      <c r="A670" s="157"/>
      <c r="B670" s="157"/>
      <c r="C670" s="149"/>
      <c r="D670" s="149"/>
      <c r="E670" s="149"/>
      <c r="F670" s="149"/>
      <c r="G670" s="149"/>
      <c r="H670" s="149"/>
      <c r="I670" s="149"/>
      <c r="J670" s="149"/>
      <c r="K670" s="182"/>
      <c r="L670" s="149"/>
      <c r="M670" s="149"/>
      <c r="N670" s="149"/>
      <c r="O670" s="146"/>
      <c r="P670" s="146"/>
      <c r="Q670" s="146"/>
      <c r="R670" s="156"/>
      <c r="S670" s="146"/>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c r="AR670" s="146"/>
    </row>
    <row r="671" spans="1:44" ht="12.3">
      <c r="A671" s="157"/>
      <c r="B671" s="157"/>
      <c r="C671" s="149"/>
      <c r="D671" s="149"/>
      <c r="E671" s="149"/>
      <c r="F671" s="149"/>
      <c r="G671" s="149"/>
      <c r="H671" s="149"/>
      <c r="I671" s="149"/>
      <c r="J671" s="149"/>
      <c r="K671" s="182"/>
      <c r="L671" s="149"/>
      <c r="M671" s="149"/>
      <c r="N671" s="149"/>
      <c r="O671" s="146"/>
      <c r="P671" s="146"/>
      <c r="Q671" s="146"/>
      <c r="R671" s="156"/>
      <c r="S671" s="146"/>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c r="AR671" s="146"/>
    </row>
    <row r="672" spans="1:44" ht="12.3">
      <c r="A672" s="157"/>
      <c r="B672" s="157"/>
      <c r="C672" s="149"/>
      <c r="D672" s="149"/>
      <c r="E672" s="149"/>
      <c r="F672" s="149"/>
      <c r="G672" s="149"/>
      <c r="H672" s="149"/>
      <c r="I672" s="149"/>
      <c r="J672" s="149"/>
      <c r="K672" s="182"/>
      <c r="L672" s="149"/>
      <c r="M672" s="149"/>
      <c r="N672" s="149"/>
      <c r="O672" s="146"/>
      <c r="P672" s="146"/>
      <c r="Q672" s="146"/>
      <c r="R672" s="156"/>
      <c r="S672" s="146"/>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c r="AR672" s="146"/>
    </row>
    <row r="673" spans="1:44" ht="12.3">
      <c r="A673" s="157"/>
      <c r="B673" s="157"/>
      <c r="C673" s="149"/>
      <c r="D673" s="149"/>
      <c r="E673" s="149"/>
      <c r="F673" s="149"/>
      <c r="G673" s="149"/>
      <c r="H673" s="149"/>
      <c r="I673" s="149"/>
      <c r="J673" s="149"/>
      <c r="K673" s="182"/>
      <c r="L673" s="149"/>
      <c r="M673" s="149"/>
      <c r="N673" s="149"/>
      <c r="O673" s="146"/>
      <c r="P673" s="146"/>
      <c r="Q673" s="146"/>
      <c r="R673" s="156"/>
      <c r="S673" s="146"/>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c r="AR673" s="146"/>
    </row>
    <row r="674" spans="1:44" ht="12.3">
      <c r="A674" s="157"/>
      <c r="B674" s="157"/>
      <c r="C674" s="149"/>
      <c r="D674" s="149"/>
      <c r="E674" s="149"/>
      <c r="F674" s="149"/>
      <c r="G674" s="149"/>
      <c r="H674" s="149"/>
      <c r="I674" s="149"/>
      <c r="J674" s="149"/>
      <c r="K674" s="182"/>
      <c r="L674" s="149"/>
      <c r="M674" s="149"/>
      <c r="N674" s="149"/>
      <c r="O674" s="146"/>
      <c r="P674" s="146"/>
      <c r="Q674" s="146"/>
      <c r="R674" s="156"/>
      <c r="S674" s="146"/>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c r="AR674" s="146"/>
    </row>
    <row r="675" spans="1:44" ht="12.3">
      <c r="A675" s="157"/>
      <c r="B675" s="157"/>
      <c r="C675" s="149"/>
      <c r="D675" s="149"/>
      <c r="E675" s="149"/>
      <c r="F675" s="149"/>
      <c r="G675" s="149"/>
      <c r="H675" s="149"/>
      <c r="I675" s="149"/>
      <c r="J675" s="149"/>
      <c r="K675" s="182"/>
      <c r="L675" s="149"/>
      <c r="M675" s="149"/>
      <c r="N675" s="149"/>
      <c r="O675" s="146"/>
      <c r="P675" s="146"/>
      <c r="Q675" s="146"/>
      <c r="R675" s="156"/>
      <c r="S675" s="146"/>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c r="AR675" s="146"/>
    </row>
    <row r="676" spans="1:44" ht="12.3">
      <c r="A676" s="157"/>
      <c r="B676" s="157"/>
      <c r="C676" s="149"/>
      <c r="D676" s="149"/>
      <c r="E676" s="149"/>
      <c r="F676" s="149"/>
      <c r="G676" s="149"/>
      <c r="H676" s="149"/>
      <c r="I676" s="149"/>
      <c r="J676" s="149"/>
      <c r="K676" s="182"/>
      <c r="L676" s="149"/>
      <c r="M676" s="149"/>
      <c r="N676" s="149"/>
      <c r="O676" s="146"/>
      <c r="P676" s="146"/>
      <c r="Q676" s="146"/>
      <c r="R676" s="156"/>
      <c r="S676" s="146"/>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c r="AR676" s="146"/>
    </row>
    <row r="677" spans="1:44" ht="12.3">
      <c r="A677" s="157"/>
      <c r="B677" s="157"/>
      <c r="C677" s="149"/>
      <c r="D677" s="149"/>
      <c r="E677" s="149"/>
      <c r="F677" s="149"/>
      <c r="G677" s="149"/>
      <c r="H677" s="149"/>
      <c r="I677" s="149"/>
      <c r="J677" s="149"/>
      <c r="K677" s="182"/>
      <c r="L677" s="149"/>
      <c r="M677" s="149"/>
      <c r="N677" s="149"/>
      <c r="O677" s="146"/>
      <c r="P677" s="146"/>
      <c r="Q677" s="146"/>
      <c r="R677" s="156"/>
      <c r="S677" s="146"/>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c r="AR677" s="146"/>
    </row>
    <row r="678" spans="1:44" ht="12.3">
      <c r="A678" s="157"/>
      <c r="B678" s="157"/>
      <c r="C678" s="149"/>
      <c r="D678" s="149"/>
      <c r="E678" s="149"/>
      <c r="F678" s="149"/>
      <c r="G678" s="149"/>
      <c r="H678" s="149"/>
      <c r="I678" s="149"/>
      <c r="J678" s="149"/>
      <c r="K678" s="182"/>
      <c r="L678" s="149"/>
      <c r="M678" s="149"/>
      <c r="N678" s="149"/>
      <c r="O678" s="146"/>
      <c r="P678" s="146"/>
      <c r="Q678" s="146"/>
      <c r="R678" s="156"/>
      <c r="S678" s="146"/>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c r="AR678" s="146"/>
    </row>
    <row r="679" spans="1:44" ht="12.3">
      <c r="A679" s="157"/>
      <c r="B679" s="157"/>
      <c r="C679" s="149"/>
      <c r="D679" s="149"/>
      <c r="E679" s="149"/>
      <c r="F679" s="149"/>
      <c r="G679" s="149"/>
      <c r="H679" s="149"/>
      <c r="I679" s="149"/>
      <c r="J679" s="149"/>
      <c r="K679" s="182"/>
      <c r="L679" s="149"/>
      <c r="M679" s="149"/>
      <c r="N679" s="149"/>
      <c r="O679" s="146"/>
      <c r="P679" s="146"/>
      <c r="Q679" s="146"/>
      <c r="R679" s="156"/>
      <c r="S679" s="146"/>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c r="AR679" s="146"/>
    </row>
    <row r="680" spans="1:44" ht="12.3">
      <c r="A680" s="157"/>
      <c r="B680" s="157"/>
      <c r="C680" s="149"/>
      <c r="D680" s="149"/>
      <c r="E680" s="149"/>
      <c r="F680" s="149"/>
      <c r="G680" s="149"/>
      <c r="H680" s="149"/>
      <c r="I680" s="149"/>
      <c r="J680" s="149"/>
      <c r="K680" s="182"/>
      <c r="L680" s="149"/>
      <c r="M680" s="149"/>
      <c r="N680" s="149"/>
      <c r="O680" s="146"/>
      <c r="P680" s="146"/>
      <c r="Q680" s="146"/>
      <c r="R680" s="156"/>
      <c r="S680" s="146"/>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c r="AR680" s="146"/>
    </row>
    <row r="681" spans="1:44" ht="12.3">
      <c r="A681" s="157"/>
      <c r="B681" s="157"/>
      <c r="C681" s="149"/>
      <c r="D681" s="149"/>
      <c r="E681" s="149"/>
      <c r="F681" s="149"/>
      <c r="G681" s="149"/>
      <c r="H681" s="149"/>
      <c r="I681" s="149"/>
      <c r="J681" s="149"/>
      <c r="K681" s="182"/>
      <c r="L681" s="149"/>
      <c r="M681" s="149"/>
      <c r="N681" s="149"/>
      <c r="O681" s="146"/>
      <c r="P681" s="146"/>
      <c r="Q681" s="146"/>
      <c r="R681" s="156"/>
      <c r="S681" s="146"/>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c r="AR681" s="146"/>
    </row>
    <row r="682" spans="1:44" ht="12.3">
      <c r="A682" s="157"/>
      <c r="B682" s="157"/>
      <c r="C682" s="149"/>
      <c r="D682" s="149"/>
      <c r="E682" s="149"/>
      <c r="F682" s="149"/>
      <c r="G682" s="149"/>
      <c r="H682" s="149"/>
      <c r="I682" s="149"/>
      <c r="J682" s="149"/>
      <c r="K682" s="182"/>
      <c r="L682" s="149"/>
      <c r="M682" s="149"/>
      <c r="N682" s="149"/>
      <c r="O682" s="146"/>
      <c r="P682" s="146"/>
      <c r="Q682" s="146"/>
      <c r="R682" s="156"/>
      <c r="S682" s="146"/>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c r="AR682" s="146"/>
    </row>
    <row r="683" spans="1:44" ht="12.3">
      <c r="A683" s="157"/>
      <c r="B683" s="157"/>
      <c r="C683" s="149"/>
      <c r="D683" s="149"/>
      <c r="E683" s="149"/>
      <c r="F683" s="149"/>
      <c r="G683" s="149"/>
      <c r="H683" s="149"/>
      <c r="I683" s="149"/>
      <c r="J683" s="149"/>
      <c r="K683" s="182"/>
      <c r="L683" s="149"/>
      <c r="M683" s="149"/>
      <c r="N683" s="149"/>
      <c r="O683" s="146"/>
      <c r="P683" s="146"/>
      <c r="Q683" s="146"/>
      <c r="R683" s="156"/>
      <c r="S683" s="146"/>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c r="AR683" s="146"/>
    </row>
    <row r="684" spans="1:44" ht="12.3">
      <c r="A684" s="157"/>
      <c r="B684" s="157"/>
      <c r="C684" s="149"/>
      <c r="D684" s="149"/>
      <c r="E684" s="149"/>
      <c r="F684" s="149"/>
      <c r="G684" s="149"/>
      <c r="H684" s="149"/>
      <c r="I684" s="149"/>
      <c r="J684" s="149"/>
      <c r="K684" s="182"/>
      <c r="L684" s="149"/>
      <c r="M684" s="149"/>
      <c r="N684" s="149"/>
      <c r="O684" s="146"/>
      <c r="P684" s="146"/>
      <c r="Q684" s="146"/>
      <c r="R684" s="156"/>
      <c r="S684" s="146"/>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c r="AR684" s="146"/>
    </row>
    <row r="685" spans="1:44" ht="12.3">
      <c r="A685" s="157"/>
      <c r="B685" s="157"/>
      <c r="C685" s="149"/>
      <c r="D685" s="149"/>
      <c r="E685" s="149"/>
      <c r="F685" s="149"/>
      <c r="G685" s="149"/>
      <c r="H685" s="149"/>
      <c r="I685" s="149"/>
      <c r="J685" s="149"/>
      <c r="K685" s="182"/>
      <c r="L685" s="149"/>
      <c r="M685" s="149"/>
      <c r="N685" s="149"/>
      <c r="O685" s="146"/>
      <c r="P685" s="146"/>
      <c r="Q685" s="146"/>
      <c r="R685" s="156"/>
      <c r="S685" s="146"/>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c r="AR685" s="146"/>
    </row>
    <row r="686" spans="1:44" ht="12.3">
      <c r="A686" s="157"/>
      <c r="B686" s="157"/>
      <c r="C686" s="149"/>
      <c r="D686" s="149"/>
      <c r="E686" s="149"/>
      <c r="F686" s="149"/>
      <c r="G686" s="149"/>
      <c r="H686" s="149"/>
      <c r="I686" s="149"/>
      <c r="J686" s="149"/>
      <c r="K686" s="182"/>
      <c r="L686" s="149"/>
      <c r="M686" s="149"/>
      <c r="N686" s="149"/>
      <c r="O686" s="146"/>
      <c r="P686" s="146"/>
      <c r="Q686" s="146"/>
      <c r="R686" s="156"/>
      <c r="S686" s="146"/>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c r="AR686" s="146"/>
    </row>
    <row r="687" spans="1:44" ht="12.3">
      <c r="A687" s="157"/>
      <c r="B687" s="157"/>
      <c r="C687" s="149"/>
      <c r="D687" s="149"/>
      <c r="E687" s="149"/>
      <c r="F687" s="149"/>
      <c r="G687" s="149"/>
      <c r="H687" s="149"/>
      <c r="I687" s="149"/>
      <c r="J687" s="149"/>
      <c r="K687" s="182"/>
      <c r="L687" s="149"/>
      <c r="M687" s="149"/>
      <c r="N687" s="149"/>
      <c r="O687" s="146"/>
      <c r="P687" s="146"/>
      <c r="Q687" s="146"/>
      <c r="R687" s="156"/>
      <c r="S687" s="146"/>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c r="AR687" s="146"/>
    </row>
    <row r="688" spans="1:44" ht="12.3">
      <c r="A688" s="157"/>
      <c r="B688" s="157"/>
      <c r="C688" s="149"/>
      <c r="D688" s="149"/>
      <c r="E688" s="149"/>
      <c r="F688" s="149"/>
      <c r="G688" s="149"/>
      <c r="H688" s="149"/>
      <c r="I688" s="149"/>
      <c r="J688" s="149"/>
      <c r="K688" s="182"/>
      <c r="L688" s="149"/>
      <c r="M688" s="149"/>
      <c r="N688" s="149"/>
      <c r="O688" s="146"/>
      <c r="P688" s="146"/>
      <c r="Q688" s="146"/>
      <c r="R688" s="156"/>
      <c r="S688" s="146"/>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c r="AR688" s="146"/>
    </row>
    <row r="689" spans="1:44" ht="12.3">
      <c r="A689" s="157"/>
      <c r="B689" s="157"/>
      <c r="C689" s="149"/>
      <c r="D689" s="149"/>
      <c r="E689" s="149"/>
      <c r="F689" s="149"/>
      <c r="G689" s="149"/>
      <c r="H689" s="149"/>
      <c r="I689" s="149"/>
      <c r="J689" s="149"/>
      <c r="K689" s="182"/>
      <c r="L689" s="149"/>
      <c r="M689" s="149"/>
      <c r="N689" s="149"/>
      <c r="O689" s="146"/>
      <c r="P689" s="146"/>
      <c r="Q689" s="146"/>
      <c r="R689" s="156"/>
      <c r="S689" s="146"/>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c r="AR689" s="146"/>
    </row>
    <row r="690" spans="1:44" ht="12.3">
      <c r="A690" s="157"/>
      <c r="B690" s="157"/>
      <c r="C690" s="149"/>
      <c r="D690" s="149"/>
      <c r="E690" s="149"/>
      <c r="F690" s="149"/>
      <c r="G690" s="149"/>
      <c r="H690" s="149"/>
      <c r="I690" s="149"/>
      <c r="J690" s="149"/>
      <c r="K690" s="182"/>
      <c r="L690" s="149"/>
      <c r="M690" s="149"/>
      <c r="N690" s="149"/>
      <c r="O690" s="146"/>
      <c r="P690" s="146"/>
      <c r="Q690" s="146"/>
      <c r="R690" s="156"/>
      <c r="S690" s="146"/>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c r="AR690" s="146"/>
    </row>
    <row r="691" spans="1:44" ht="12.3">
      <c r="A691" s="157"/>
      <c r="B691" s="157"/>
      <c r="C691" s="149"/>
      <c r="D691" s="149"/>
      <c r="E691" s="149"/>
      <c r="F691" s="149"/>
      <c r="G691" s="149"/>
      <c r="H691" s="149"/>
      <c r="I691" s="149"/>
      <c r="J691" s="149"/>
      <c r="K691" s="182"/>
      <c r="L691" s="149"/>
      <c r="M691" s="149"/>
      <c r="N691" s="149"/>
      <c r="O691" s="146"/>
      <c r="P691" s="146"/>
      <c r="Q691" s="146"/>
      <c r="R691" s="156"/>
      <c r="S691" s="146"/>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c r="AR691" s="146"/>
    </row>
    <row r="692" spans="1:44" ht="12.3">
      <c r="A692" s="157"/>
      <c r="B692" s="157"/>
      <c r="C692" s="149"/>
      <c r="D692" s="149"/>
      <c r="E692" s="149"/>
      <c r="F692" s="149"/>
      <c r="G692" s="149"/>
      <c r="H692" s="149"/>
      <c r="I692" s="149"/>
      <c r="J692" s="149"/>
      <c r="K692" s="182"/>
      <c r="L692" s="149"/>
      <c r="M692" s="149"/>
      <c r="N692" s="149"/>
      <c r="O692" s="146"/>
      <c r="P692" s="146"/>
      <c r="Q692" s="146"/>
      <c r="R692" s="156"/>
      <c r="S692" s="146"/>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c r="AR692" s="146"/>
    </row>
    <row r="693" spans="1:44" ht="12.3">
      <c r="A693" s="157"/>
      <c r="B693" s="157"/>
      <c r="C693" s="149"/>
      <c r="D693" s="149"/>
      <c r="E693" s="149"/>
      <c r="F693" s="149"/>
      <c r="G693" s="149"/>
      <c r="H693" s="149"/>
      <c r="I693" s="149"/>
      <c r="J693" s="149"/>
      <c r="K693" s="182"/>
      <c r="L693" s="149"/>
      <c r="M693" s="149"/>
      <c r="N693" s="149"/>
      <c r="O693" s="146"/>
      <c r="P693" s="146"/>
      <c r="Q693" s="146"/>
      <c r="R693" s="156"/>
      <c r="S693" s="146"/>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c r="AR693" s="146"/>
    </row>
    <row r="694" spans="1:44" ht="12.3">
      <c r="A694" s="157"/>
      <c r="B694" s="157"/>
      <c r="C694" s="149"/>
      <c r="D694" s="149"/>
      <c r="E694" s="149"/>
      <c r="F694" s="149"/>
      <c r="G694" s="149"/>
      <c r="H694" s="149"/>
      <c r="I694" s="149"/>
      <c r="J694" s="149"/>
      <c r="K694" s="182"/>
      <c r="L694" s="149"/>
      <c r="M694" s="149"/>
      <c r="N694" s="149"/>
      <c r="O694" s="146"/>
      <c r="P694" s="146"/>
      <c r="Q694" s="146"/>
      <c r="R694" s="156"/>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row>
    <row r="695" spans="1:44" ht="12.3">
      <c r="A695" s="157"/>
      <c r="B695" s="157"/>
      <c r="C695" s="149"/>
      <c r="D695" s="149"/>
      <c r="E695" s="149"/>
      <c r="F695" s="149"/>
      <c r="G695" s="149"/>
      <c r="H695" s="149"/>
      <c r="I695" s="149"/>
      <c r="J695" s="149"/>
      <c r="K695" s="182"/>
      <c r="L695" s="149"/>
      <c r="M695" s="149"/>
      <c r="N695" s="149"/>
      <c r="O695" s="146"/>
      <c r="P695" s="146"/>
      <c r="Q695" s="146"/>
      <c r="R695" s="156"/>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row>
    <row r="696" spans="1:44" ht="12.3">
      <c r="A696" s="157"/>
      <c r="B696" s="157"/>
      <c r="C696" s="149"/>
      <c r="D696" s="149"/>
      <c r="E696" s="149"/>
      <c r="F696" s="149"/>
      <c r="G696" s="149"/>
      <c r="H696" s="149"/>
      <c r="I696" s="149"/>
      <c r="J696" s="149"/>
      <c r="K696" s="182"/>
      <c r="L696" s="149"/>
      <c r="M696" s="149"/>
      <c r="N696" s="149"/>
      <c r="O696" s="146"/>
      <c r="P696" s="146"/>
      <c r="Q696" s="146"/>
      <c r="R696" s="156"/>
      <c r="S696" s="146"/>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c r="AR696" s="146"/>
    </row>
    <row r="697" spans="1:44" ht="12.3">
      <c r="A697" s="157"/>
      <c r="B697" s="157"/>
      <c r="C697" s="149"/>
      <c r="D697" s="149"/>
      <c r="E697" s="149"/>
      <c r="F697" s="149"/>
      <c r="G697" s="149"/>
      <c r="H697" s="149"/>
      <c r="I697" s="149"/>
      <c r="J697" s="149"/>
      <c r="K697" s="182"/>
      <c r="L697" s="149"/>
      <c r="M697" s="149"/>
      <c r="N697" s="149"/>
      <c r="O697" s="146"/>
      <c r="P697" s="146"/>
      <c r="Q697" s="146"/>
      <c r="R697" s="156"/>
      <c r="S697" s="146"/>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c r="AR697" s="146"/>
    </row>
    <row r="698" spans="1:44" ht="12.3">
      <c r="A698" s="157"/>
      <c r="B698" s="157"/>
      <c r="C698" s="149"/>
      <c r="D698" s="149"/>
      <c r="E698" s="149"/>
      <c r="F698" s="149"/>
      <c r="G698" s="149"/>
      <c r="H698" s="149"/>
      <c r="I698" s="149"/>
      <c r="J698" s="149"/>
      <c r="K698" s="182"/>
      <c r="L698" s="149"/>
      <c r="M698" s="149"/>
      <c r="N698" s="149"/>
      <c r="O698" s="146"/>
      <c r="P698" s="146"/>
      <c r="Q698" s="146"/>
      <c r="R698" s="156"/>
      <c r="S698" s="146"/>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c r="AR698" s="146"/>
    </row>
    <row r="699" spans="1:44" ht="12.3">
      <c r="A699" s="157"/>
      <c r="B699" s="157"/>
      <c r="C699" s="149"/>
      <c r="D699" s="149"/>
      <c r="E699" s="149"/>
      <c r="F699" s="149"/>
      <c r="G699" s="149"/>
      <c r="H699" s="149"/>
      <c r="I699" s="149"/>
      <c r="J699" s="149"/>
      <c r="K699" s="182"/>
      <c r="L699" s="149"/>
      <c r="M699" s="149"/>
      <c r="N699" s="149"/>
      <c r="O699" s="146"/>
      <c r="P699" s="146"/>
      <c r="Q699" s="146"/>
      <c r="R699" s="156"/>
      <c r="S699" s="146"/>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c r="AR699" s="146"/>
    </row>
    <row r="700" spans="1:44" ht="12.3">
      <c r="A700" s="157"/>
      <c r="B700" s="157"/>
      <c r="C700" s="149"/>
      <c r="D700" s="149"/>
      <c r="E700" s="149"/>
      <c r="F700" s="149"/>
      <c r="G700" s="149"/>
      <c r="H700" s="149"/>
      <c r="I700" s="149"/>
      <c r="J700" s="149"/>
      <c r="K700" s="182"/>
      <c r="L700" s="149"/>
      <c r="M700" s="149"/>
      <c r="N700" s="149"/>
      <c r="O700" s="146"/>
      <c r="P700" s="146"/>
      <c r="Q700" s="146"/>
      <c r="R700" s="156"/>
      <c r="S700" s="146"/>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c r="AR700" s="146"/>
    </row>
    <row r="701" spans="1:44" ht="12.3">
      <c r="A701" s="157"/>
      <c r="B701" s="157"/>
      <c r="C701" s="149"/>
      <c r="D701" s="149"/>
      <c r="E701" s="149"/>
      <c r="F701" s="149"/>
      <c r="G701" s="149"/>
      <c r="H701" s="149"/>
      <c r="I701" s="149"/>
      <c r="J701" s="149"/>
      <c r="K701" s="182"/>
      <c r="L701" s="149"/>
      <c r="M701" s="149"/>
      <c r="N701" s="149"/>
      <c r="O701" s="146"/>
      <c r="P701" s="146"/>
      <c r="Q701" s="146"/>
      <c r="R701" s="156"/>
      <c r="S701" s="146"/>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c r="AR701" s="146"/>
    </row>
    <row r="702" spans="1:44" ht="12.3">
      <c r="A702" s="157"/>
      <c r="B702" s="157"/>
      <c r="C702" s="149"/>
      <c r="D702" s="149"/>
      <c r="E702" s="149"/>
      <c r="F702" s="149"/>
      <c r="G702" s="149"/>
      <c r="H702" s="149"/>
      <c r="I702" s="149"/>
      <c r="J702" s="149"/>
      <c r="K702" s="182"/>
      <c r="L702" s="149"/>
      <c r="M702" s="149"/>
      <c r="N702" s="149"/>
      <c r="O702" s="146"/>
      <c r="P702" s="146"/>
      <c r="Q702" s="146"/>
      <c r="R702" s="156"/>
      <c r="S702" s="146"/>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c r="AR702" s="146"/>
    </row>
    <row r="703" spans="1:44" ht="12.3">
      <c r="A703" s="157"/>
      <c r="B703" s="157"/>
      <c r="C703" s="149"/>
      <c r="D703" s="149"/>
      <c r="E703" s="149"/>
      <c r="F703" s="149"/>
      <c r="G703" s="149"/>
      <c r="H703" s="149"/>
      <c r="I703" s="149"/>
      <c r="J703" s="149"/>
      <c r="K703" s="182"/>
      <c r="L703" s="149"/>
      <c r="M703" s="149"/>
      <c r="N703" s="149"/>
      <c r="O703" s="146"/>
      <c r="P703" s="146"/>
      <c r="Q703" s="146"/>
      <c r="R703" s="156"/>
      <c r="S703" s="146"/>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c r="AR703" s="146"/>
    </row>
    <row r="704" spans="1:44" ht="12.3">
      <c r="A704" s="157"/>
      <c r="B704" s="157"/>
      <c r="C704" s="149"/>
      <c r="D704" s="149"/>
      <c r="E704" s="149"/>
      <c r="F704" s="149"/>
      <c r="G704" s="149"/>
      <c r="H704" s="149"/>
      <c r="I704" s="149"/>
      <c r="J704" s="149"/>
      <c r="K704" s="182"/>
      <c r="L704" s="149"/>
      <c r="M704" s="149"/>
      <c r="N704" s="149"/>
      <c r="O704" s="146"/>
      <c r="P704" s="146"/>
      <c r="Q704" s="146"/>
      <c r="R704" s="156"/>
      <c r="S704" s="146"/>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c r="AR704" s="146"/>
    </row>
    <row r="705" spans="1:44" ht="12.3">
      <c r="A705" s="157"/>
      <c r="B705" s="157"/>
      <c r="C705" s="149"/>
      <c r="D705" s="149"/>
      <c r="E705" s="149"/>
      <c r="F705" s="149"/>
      <c r="G705" s="149"/>
      <c r="H705" s="149"/>
      <c r="I705" s="149"/>
      <c r="J705" s="149"/>
      <c r="K705" s="182"/>
      <c r="L705" s="149"/>
      <c r="M705" s="149"/>
      <c r="N705" s="149"/>
      <c r="O705" s="146"/>
      <c r="P705" s="146"/>
      <c r="Q705" s="146"/>
      <c r="R705" s="156"/>
      <c r="S705" s="146"/>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c r="AR705" s="146"/>
    </row>
    <row r="706" spans="1:44" ht="12.3">
      <c r="A706" s="157"/>
      <c r="B706" s="157"/>
      <c r="C706" s="149"/>
      <c r="D706" s="149"/>
      <c r="E706" s="149"/>
      <c r="F706" s="149"/>
      <c r="G706" s="149"/>
      <c r="H706" s="149"/>
      <c r="I706" s="149"/>
      <c r="J706" s="149"/>
      <c r="K706" s="182"/>
      <c r="L706" s="149"/>
      <c r="M706" s="149"/>
      <c r="N706" s="149"/>
      <c r="O706" s="146"/>
      <c r="P706" s="146"/>
      <c r="Q706" s="146"/>
      <c r="R706" s="156"/>
      <c r="S706" s="146"/>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c r="AR706" s="146"/>
    </row>
    <row r="707" spans="1:44" ht="12.3">
      <c r="A707" s="157"/>
      <c r="B707" s="157"/>
      <c r="C707" s="149"/>
      <c r="D707" s="149"/>
      <c r="E707" s="149"/>
      <c r="F707" s="149"/>
      <c r="G707" s="149"/>
      <c r="H707" s="149"/>
      <c r="I707" s="149"/>
      <c r="J707" s="149"/>
      <c r="K707" s="182"/>
      <c r="L707" s="149"/>
      <c r="M707" s="149"/>
      <c r="N707" s="149"/>
      <c r="O707" s="146"/>
      <c r="P707" s="146"/>
      <c r="Q707" s="146"/>
      <c r="R707" s="156"/>
      <c r="S707" s="146"/>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c r="AR707" s="146"/>
    </row>
    <row r="708" spans="1:44" ht="12.3">
      <c r="A708" s="157"/>
      <c r="B708" s="157"/>
      <c r="C708" s="149"/>
      <c r="D708" s="149"/>
      <c r="E708" s="149"/>
      <c r="F708" s="149"/>
      <c r="G708" s="149"/>
      <c r="H708" s="149"/>
      <c r="I708" s="149"/>
      <c r="J708" s="149"/>
      <c r="K708" s="182"/>
      <c r="L708" s="149"/>
      <c r="M708" s="149"/>
      <c r="N708" s="149"/>
      <c r="O708" s="146"/>
      <c r="P708" s="146"/>
      <c r="Q708" s="146"/>
      <c r="R708" s="156"/>
      <c r="S708" s="146"/>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c r="AR708" s="146"/>
    </row>
    <row r="709" spans="1:44" ht="12.3">
      <c r="A709" s="157"/>
      <c r="B709" s="157"/>
      <c r="C709" s="149"/>
      <c r="D709" s="149"/>
      <c r="E709" s="149"/>
      <c r="F709" s="149"/>
      <c r="G709" s="149"/>
      <c r="H709" s="149"/>
      <c r="I709" s="149"/>
      <c r="J709" s="149"/>
      <c r="K709" s="182"/>
      <c r="L709" s="149"/>
      <c r="M709" s="149"/>
      <c r="N709" s="149"/>
      <c r="O709" s="146"/>
      <c r="P709" s="146"/>
      <c r="Q709" s="146"/>
      <c r="R709" s="156"/>
      <c r="S709" s="146"/>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c r="AR709" s="146"/>
    </row>
    <row r="710" spans="1:44" ht="12.3">
      <c r="A710" s="157"/>
      <c r="B710" s="157"/>
      <c r="C710" s="149"/>
      <c r="D710" s="149"/>
      <c r="E710" s="149"/>
      <c r="F710" s="149"/>
      <c r="G710" s="149"/>
      <c r="H710" s="149"/>
      <c r="I710" s="149"/>
      <c r="J710" s="149"/>
      <c r="K710" s="182"/>
      <c r="L710" s="149"/>
      <c r="M710" s="149"/>
      <c r="N710" s="149"/>
      <c r="O710" s="146"/>
      <c r="P710" s="146"/>
      <c r="Q710" s="146"/>
      <c r="R710" s="156"/>
      <c r="S710" s="146"/>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c r="AR710" s="146"/>
    </row>
    <row r="711" spans="1:44" ht="12.3">
      <c r="A711" s="157"/>
      <c r="B711" s="157"/>
      <c r="C711" s="149"/>
      <c r="D711" s="149"/>
      <c r="E711" s="149"/>
      <c r="F711" s="149"/>
      <c r="G711" s="149"/>
      <c r="H711" s="149"/>
      <c r="I711" s="149"/>
      <c r="J711" s="149"/>
      <c r="K711" s="182"/>
      <c r="L711" s="149"/>
      <c r="M711" s="149"/>
      <c r="N711" s="149"/>
      <c r="O711" s="146"/>
      <c r="P711" s="146"/>
      <c r="Q711" s="146"/>
      <c r="R711" s="156"/>
      <c r="S711" s="146"/>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c r="AR711" s="146"/>
    </row>
    <row r="712" spans="1:44" ht="12.3">
      <c r="A712" s="157"/>
      <c r="B712" s="157"/>
      <c r="C712" s="149"/>
      <c r="D712" s="149"/>
      <c r="E712" s="149"/>
      <c r="F712" s="149"/>
      <c r="G712" s="149"/>
      <c r="H712" s="149"/>
      <c r="I712" s="149"/>
      <c r="J712" s="149"/>
      <c r="K712" s="182"/>
      <c r="L712" s="149"/>
      <c r="M712" s="149"/>
      <c r="N712" s="149"/>
      <c r="O712" s="146"/>
      <c r="P712" s="146"/>
      <c r="Q712" s="146"/>
      <c r="R712" s="156"/>
      <c r="S712" s="146"/>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c r="AR712" s="146"/>
    </row>
    <row r="713" spans="1:44" ht="12.3">
      <c r="A713" s="157"/>
      <c r="B713" s="157"/>
      <c r="C713" s="149"/>
      <c r="D713" s="149"/>
      <c r="E713" s="149"/>
      <c r="F713" s="149"/>
      <c r="G713" s="149"/>
      <c r="H713" s="149"/>
      <c r="I713" s="149"/>
      <c r="J713" s="149"/>
      <c r="K713" s="182"/>
      <c r="L713" s="149"/>
      <c r="M713" s="149"/>
      <c r="N713" s="149"/>
      <c r="O713" s="146"/>
      <c r="P713" s="146"/>
      <c r="Q713" s="146"/>
      <c r="R713" s="156"/>
      <c r="S713" s="146"/>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c r="AR713" s="146"/>
    </row>
    <row r="714" spans="1:44" ht="12.3">
      <c r="A714" s="157"/>
      <c r="B714" s="157"/>
      <c r="C714" s="149"/>
      <c r="D714" s="149"/>
      <c r="E714" s="149"/>
      <c r="F714" s="149"/>
      <c r="G714" s="149"/>
      <c r="H714" s="149"/>
      <c r="I714" s="149"/>
      <c r="J714" s="149"/>
      <c r="K714" s="182"/>
      <c r="L714" s="149"/>
      <c r="M714" s="149"/>
      <c r="N714" s="149"/>
      <c r="O714" s="146"/>
      <c r="P714" s="146"/>
      <c r="Q714" s="146"/>
      <c r="R714" s="156"/>
      <c r="S714" s="146"/>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c r="AR714" s="146"/>
    </row>
    <row r="715" spans="1:44" ht="12.3">
      <c r="A715" s="157"/>
      <c r="B715" s="157"/>
      <c r="C715" s="149"/>
      <c r="D715" s="149"/>
      <c r="E715" s="149"/>
      <c r="F715" s="149"/>
      <c r="G715" s="149"/>
      <c r="H715" s="149"/>
      <c r="I715" s="149"/>
      <c r="J715" s="149"/>
      <c r="K715" s="182"/>
      <c r="L715" s="149"/>
      <c r="M715" s="149"/>
      <c r="N715" s="149"/>
      <c r="O715" s="146"/>
      <c r="P715" s="146"/>
      <c r="Q715" s="146"/>
      <c r="R715" s="156"/>
      <c r="S715" s="146"/>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c r="AR715" s="146"/>
    </row>
    <row r="716" spans="1:44" ht="12.3">
      <c r="A716" s="157"/>
      <c r="B716" s="157"/>
      <c r="C716" s="149"/>
      <c r="D716" s="149"/>
      <c r="E716" s="149"/>
      <c r="F716" s="149"/>
      <c r="G716" s="149"/>
      <c r="H716" s="149"/>
      <c r="I716" s="149"/>
      <c r="J716" s="149"/>
      <c r="K716" s="182"/>
      <c r="L716" s="149"/>
      <c r="M716" s="149"/>
      <c r="N716" s="149"/>
      <c r="O716" s="146"/>
      <c r="P716" s="146"/>
      <c r="Q716" s="146"/>
      <c r="R716" s="156"/>
      <c r="S716" s="146"/>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c r="AR716" s="146"/>
    </row>
    <row r="717" spans="1:44" ht="12.3">
      <c r="A717" s="157"/>
      <c r="B717" s="157"/>
      <c r="C717" s="149"/>
      <c r="D717" s="149"/>
      <c r="E717" s="149"/>
      <c r="F717" s="149"/>
      <c r="G717" s="149"/>
      <c r="H717" s="149"/>
      <c r="I717" s="149"/>
      <c r="J717" s="149"/>
      <c r="K717" s="182"/>
      <c r="L717" s="149"/>
      <c r="M717" s="149"/>
      <c r="N717" s="149"/>
      <c r="O717" s="146"/>
      <c r="P717" s="146"/>
      <c r="Q717" s="146"/>
      <c r="R717" s="156"/>
      <c r="S717" s="146"/>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c r="AR717" s="146"/>
    </row>
    <row r="718" spans="1:44" ht="12.3">
      <c r="A718" s="157"/>
      <c r="B718" s="157"/>
      <c r="C718" s="149"/>
      <c r="D718" s="149"/>
      <c r="E718" s="149"/>
      <c r="F718" s="149"/>
      <c r="G718" s="149"/>
      <c r="H718" s="149"/>
      <c r="I718" s="149"/>
      <c r="J718" s="149"/>
      <c r="K718" s="182"/>
      <c r="L718" s="149"/>
      <c r="M718" s="149"/>
      <c r="N718" s="149"/>
      <c r="O718" s="146"/>
      <c r="P718" s="146"/>
      <c r="Q718" s="146"/>
      <c r="R718" s="156"/>
      <c r="S718" s="146"/>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c r="AR718" s="146"/>
    </row>
    <row r="719" spans="1:44" ht="12.3">
      <c r="A719" s="157"/>
      <c r="B719" s="157"/>
      <c r="C719" s="149"/>
      <c r="D719" s="149"/>
      <c r="E719" s="149"/>
      <c r="F719" s="149"/>
      <c r="G719" s="149"/>
      <c r="H719" s="149"/>
      <c r="I719" s="149"/>
      <c r="J719" s="149"/>
      <c r="K719" s="182"/>
      <c r="L719" s="149"/>
      <c r="M719" s="149"/>
      <c r="N719" s="149"/>
      <c r="O719" s="146"/>
      <c r="P719" s="146"/>
      <c r="Q719" s="146"/>
      <c r="R719" s="156"/>
      <c r="S719" s="146"/>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c r="AR719" s="146"/>
    </row>
    <row r="720" spans="1:44" ht="12.3">
      <c r="A720" s="157"/>
      <c r="B720" s="157"/>
      <c r="C720" s="149"/>
      <c r="D720" s="149"/>
      <c r="E720" s="149"/>
      <c r="F720" s="149"/>
      <c r="G720" s="149"/>
      <c r="H720" s="149"/>
      <c r="I720" s="149"/>
      <c r="J720" s="149"/>
      <c r="K720" s="182"/>
      <c r="L720" s="149"/>
      <c r="M720" s="149"/>
      <c r="N720" s="149"/>
      <c r="O720" s="146"/>
      <c r="P720" s="146"/>
      <c r="Q720" s="146"/>
      <c r="R720" s="156"/>
      <c r="S720" s="146"/>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c r="AR720" s="146"/>
    </row>
    <row r="721" spans="1:44" ht="12.3">
      <c r="A721" s="157"/>
      <c r="B721" s="157"/>
      <c r="C721" s="149"/>
      <c r="D721" s="149"/>
      <c r="E721" s="149"/>
      <c r="F721" s="149"/>
      <c r="G721" s="149"/>
      <c r="H721" s="149"/>
      <c r="I721" s="149"/>
      <c r="J721" s="149"/>
      <c r="K721" s="182"/>
      <c r="L721" s="149"/>
      <c r="M721" s="149"/>
      <c r="N721" s="149"/>
      <c r="O721" s="146"/>
      <c r="P721" s="146"/>
      <c r="Q721" s="146"/>
      <c r="R721" s="156"/>
      <c r="S721" s="146"/>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c r="AR721" s="146"/>
    </row>
    <row r="722" spans="1:44" ht="12.3">
      <c r="A722" s="157"/>
      <c r="B722" s="157"/>
      <c r="C722" s="149"/>
      <c r="D722" s="149"/>
      <c r="E722" s="149"/>
      <c r="F722" s="149"/>
      <c r="G722" s="149"/>
      <c r="H722" s="149"/>
      <c r="I722" s="149"/>
      <c r="J722" s="149"/>
      <c r="K722" s="182"/>
      <c r="L722" s="149"/>
      <c r="M722" s="149"/>
      <c r="N722" s="149"/>
      <c r="O722" s="146"/>
      <c r="P722" s="146"/>
      <c r="Q722" s="146"/>
      <c r="R722" s="156"/>
      <c r="S722" s="146"/>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c r="AR722" s="146"/>
    </row>
    <row r="723" spans="1:44" ht="12.3">
      <c r="A723" s="157"/>
      <c r="B723" s="157"/>
      <c r="C723" s="149"/>
      <c r="D723" s="149"/>
      <c r="E723" s="149"/>
      <c r="F723" s="149"/>
      <c r="G723" s="149"/>
      <c r="H723" s="149"/>
      <c r="I723" s="149"/>
      <c r="J723" s="149"/>
      <c r="K723" s="182"/>
      <c r="L723" s="149"/>
      <c r="M723" s="149"/>
      <c r="N723" s="149"/>
      <c r="O723" s="146"/>
      <c r="P723" s="146"/>
      <c r="Q723" s="146"/>
      <c r="R723" s="156"/>
      <c r="S723" s="146"/>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c r="AR723" s="146"/>
    </row>
    <row r="724" spans="1:44" ht="12.3">
      <c r="A724" s="157"/>
      <c r="B724" s="157"/>
      <c r="C724" s="149"/>
      <c r="D724" s="149"/>
      <c r="E724" s="149"/>
      <c r="F724" s="149"/>
      <c r="G724" s="149"/>
      <c r="H724" s="149"/>
      <c r="I724" s="149"/>
      <c r="J724" s="149"/>
      <c r="K724" s="182"/>
      <c r="L724" s="149"/>
      <c r="M724" s="149"/>
      <c r="N724" s="149"/>
      <c r="O724" s="146"/>
      <c r="P724" s="146"/>
      <c r="Q724" s="146"/>
      <c r="R724" s="156"/>
      <c r="S724" s="146"/>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c r="AR724" s="146"/>
    </row>
    <row r="725" spans="1:44" ht="12.3">
      <c r="A725" s="157"/>
      <c r="B725" s="157"/>
      <c r="C725" s="149"/>
      <c r="D725" s="149"/>
      <c r="E725" s="149"/>
      <c r="F725" s="149"/>
      <c r="G725" s="149"/>
      <c r="H725" s="149"/>
      <c r="I725" s="149"/>
      <c r="J725" s="149"/>
      <c r="K725" s="182"/>
      <c r="L725" s="149"/>
      <c r="M725" s="149"/>
      <c r="N725" s="149"/>
      <c r="O725" s="146"/>
      <c r="P725" s="146"/>
      <c r="Q725" s="146"/>
      <c r="R725" s="156"/>
      <c r="S725" s="146"/>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c r="AR725" s="146"/>
    </row>
    <row r="726" spans="1:44" ht="12.3">
      <c r="A726" s="157"/>
      <c r="B726" s="157"/>
      <c r="C726" s="149"/>
      <c r="D726" s="149"/>
      <c r="E726" s="149"/>
      <c r="F726" s="149"/>
      <c r="G726" s="149"/>
      <c r="H726" s="149"/>
      <c r="I726" s="149"/>
      <c r="J726" s="149"/>
      <c r="K726" s="182"/>
      <c r="L726" s="149"/>
      <c r="M726" s="149"/>
      <c r="N726" s="149"/>
      <c r="O726" s="146"/>
      <c r="P726" s="146"/>
      <c r="Q726" s="146"/>
      <c r="R726" s="156"/>
      <c r="S726" s="146"/>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c r="AR726" s="146"/>
    </row>
    <row r="727" spans="1:44" ht="12.3">
      <c r="A727" s="157"/>
      <c r="B727" s="157"/>
      <c r="C727" s="149"/>
      <c r="D727" s="149"/>
      <c r="E727" s="149"/>
      <c r="F727" s="149"/>
      <c r="G727" s="149"/>
      <c r="H727" s="149"/>
      <c r="I727" s="149"/>
      <c r="J727" s="149"/>
      <c r="K727" s="182"/>
      <c r="L727" s="149"/>
      <c r="M727" s="149"/>
      <c r="N727" s="149"/>
      <c r="O727" s="146"/>
      <c r="P727" s="146"/>
      <c r="Q727" s="146"/>
      <c r="R727" s="156"/>
      <c r="S727" s="146"/>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c r="AR727" s="146"/>
    </row>
    <row r="728" spans="1:44" ht="12.3">
      <c r="A728" s="157"/>
      <c r="B728" s="157"/>
      <c r="C728" s="149"/>
      <c r="D728" s="149"/>
      <c r="E728" s="149"/>
      <c r="F728" s="149"/>
      <c r="G728" s="149"/>
      <c r="H728" s="149"/>
      <c r="I728" s="149"/>
      <c r="J728" s="149"/>
      <c r="K728" s="182"/>
      <c r="L728" s="149"/>
      <c r="M728" s="149"/>
      <c r="N728" s="149"/>
      <c r="O728" s="146"/>
      <c r="P728" s="146"/>
      <c r="Q728" s="146"/>
      <c r="R728" s="156"/>
      <c r="S728" s="146"/>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c r="AR728" s="146"/>
    </row>
    <row r="729" spans="1:44" ht="12.3">
      <c r="A729" s="157"/>
      <c r="B729" s="157"/>
      <c r="C729" s="149"/>
      <c r="D729" s="149"/>
      <c r="E729" s="149"/>
      <c r="F729" s="149"/>
      <c r="G729" s="149"/>
      <c r="H729" s="149"/>
      <c r="I729" s="149"/>
      <c r="J729" s="149"/>
      <c r="K729" s="182"/>
      <c r="L729" s="149"/>
      <c r="M729" s="149"/>
      <c r="N729" s="149"/>
      <c r="O729" s="146"/>
      <c r="P729" s="146"/>
      <c r="Q729" s="146"/>
      <c r="R729" s="156"/>
      <c r="S729" s="146"/>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c r="AR729" s="146"/>
    </row>
    <row r="730" spans="1:44" ht="12.3">
      <c r="A730" s="157"/>
      <c r="B730" s="157"/>
      <c r="C730" s="149"/>
      <c r="D730" s="149"/>
      <c r="E730" s="149"/>
      <c r="F730" s="149"/>
      <c r="G730" s="149"/>
      <c r="H730" s="149"/>
      <c r="I730" s="149"/>
      <c r="J730" s="149"/>
      <c r="K730" s="182"/>
      <c r="L730" s="149"/>
      <c r="M730" s="149"/>
      <c r="N730" s="149"/>
      <c r="O730" s="146"/>
      <c r="P730" s="146"/>
      <c r="Q730" s="146"/>
      <c r="R730" s="156"/>
      <c r="S730" s="146"/>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c r="AR730" s="146"/>
    </row>
    <row r="731" spans="1:44" ht="12.3">
      <c r="A731" s="157"/>
      <c r="B731" s="157"/>
      <c r="C731" s="149"/>
      <c r="D731" s="149"/>
      <c r="E731" s="149"/>
      <c r="F731" s="149"/>
      <c r="G731" s="149"/>
      <c r="H731" s="149"/>
      <c r="I731" s="149"/>
      <c r="J731" s="149"/>
      <c r="K731" s="182"/>
      <c r="L731" s="149"/>
      <c r="M731" s="149"/>
      <c r="N731" s="149"/>
      <c r="O731" s="146"/>
      <c r="P731" s="146"/>
      <c r="Q731" s="146"/>
      <c r="R731" s="156"/>
      <c r="S731" s="146"/>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c r="AR731" s="146"/>
    </row>
    <row r="732" spans="1:44" ht="12.3">
      <c r="A732" s="157"/>
      <c r="B732" s="157"/>
      <c r="C732" s="149"/>
      <c r="D732" s="149"/>
      <c r="E732" s="149"/>
      <c r="F732" s="149"/>
      <c r="G732" s="149"/>
      <c r="H732" s="149"/>
      <c r="I732" s="149"/>
      <c r="J732" s="149"/>
      <c r="K732" s="182"/>
      <c r="L732" s="149"/>
      <c r="M732" s="149"/>
      <c r="N732" s="149"/>
      <c r="O732" s="146"/>
      <c r="P732" s="146"/>
      <c r="Q732" s="146"/>
      <c r="R732" s="156"/>
      <c r="S732" s="146"/>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c r="AR732" s="146"/>
    </row>
    <row r="733" spans="1:44" ht="12.3">
      <c r="A733" s="157"/>
      <c r="B733" s="157"/>
      <c r="C733" s="149"/>
      <c r="D733" s="149"/>
      <c r="E733" s="149"/>
      <c r="F733" s="149"/>
      <c r="G733" s="149"/>
      <c r="H733" s="149"/>
      <c r="I733" s="149"/>
      <c r="J733" s="149"/>
      <c r="K733" s="182"/>
      <c r="L733" s="149"/>
      <c r="M733" s="149"/>
      <c r="N733" s="149"/>
      <c r="O733" s="146"/>
      <c r="P733" s="146"/>
      <c r="Q733" s="146"/>
      <c r="R733" s="156"/>
      <c r="S733" s="146"/>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c r="AR733" s="146"/>
    </row>
    <row r="734" spans="1:44" ht="12.3">
      <c r="A734" s="157"/>
      <c r="B734" s="157"/>
      <c r="C734" s="149"/>
      <c r="D734" s="149"/>
      <c r="E734" s="149"/>
      <c r="F734" s="149"/>
      <c r="G734" s="149"/>
      <c r="H734" s="149"/>
      <c r="I734" s="149"/>
      <c r="J734" s="149"/>
      <c r="K734" s="182"/>
      <c r="L734" s="149"/>
      <c r="M734" s="149"/>
      <c r="N734" s="149"/>
      <c r="O734" s="146"/>
      <c r="P734" s="146"/>
      <c r="Q734" s="146"/>
      <c r="R734" s="156"/>
      <c r="S734" s="146"/>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c r="AR734" s="146"/>
    </row>
    <row r="735" spans="1:44" ht="12.3">
      <c r="A735" s="157"/>
      <c r="B735" s="157"/>
      <c r="C735" s="149"/>
      <c r="D735" s="149"/>
      <c r="E735" s="149"/>
      <c r="F735" s="149"/>
      <c r="G735" s="149"/>
      <c r="H735" s="149"/>
      <c r="I735" s="149"/>
      <c r="J735" s="149"/>
      <c r="K735" s="182"/>
      <c r="L735" s="149"/>
      <c r="M735" s="149"/>
      <c r="N735" s="149"/>
      <c r="O735" s="146"/>
      <c r="P735" s="146"/>
      <c r="Q735" s="146"/>
      <c r="R735" s="156"/>
      <c r="S735" s="146"/>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c r="AR735" s="146"/>
    </row>
    <row r="736" spans="1:44" ht="12.3">
      <c r="A736" s="157"/>
      <c r="B736" s="157"/>
      <c r="C736" s="149"/>
      <c r="D736" s="149"/>
      <c r="E736" s="149"/>
      <c r="F736" s="149"/>
      <c r="G736" s="149"/>
      <c r="H736" s="149"/>
      <c r="I736" s="149"/>
      <c r="J736" s="149"/>
      <c r="K736" s="182"/>
      <c r="L736" s="149"/>
      <c r="M736" s="149"/>
      <c r="N736" s="149"/>
      <c r="O736" s="146"/>
      <c r="P736" s="146"/>
      <c r="Q736" s="146"/>
      <c r="R736" s="156"/>
      <c r="S736" s="146"/>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c r="AR736" s="146"/>
    </row>
    <row r="737" spans="1:44" ht="12.3">
      <c r="A737" s="157"/>
      <c r="B737" s="157"/>
      <c r="C737" s="149"/>
      <c r="D737" s="149"/>
      <c r="E737" s="149"/>
      <c r="F737" s="149"/>
      <c r="G737" s="149"/>
      <c r="H737" s="149"/>
      <c r="I737" s="149"/>
      <c r="J737" s="149"/>
      <c r="K737" s="182"/>
      <c r="L737" s="149"/>
      <c r="M737" s="149"/>
      <c r="N737" s="149"/>
      <c r="O737" s="146"/>
      <c r="P737" s="146"/>
      <c r="Q737" s="146"/>
      <c r="R737" s="156"/>
      <c r="S737" s="146"/>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c r="AR737" s="146"/>
    </row>
    <row r="738" spans="1:44" ht="12.3">
      <c r="A738" s="157"/>
      <c r="B738" s="157"/>
      <c r="C738" s="149"/>
      <c r="D738" s="149"/>
      <c r="E738" s="149"/>
      <c r="F738" s="149"/>
      <c r="G738" s="149"/>
      <c r="H738" s="149"/>
      <c r="I738" s="149"/>
      <c r="J738" s="149"/>
      <c r="K738" s="182"/>
      <c r="L738" s="149"/>
      <c r="M738" s="149"/>
      <c r="N738" s="149"/>
      <c r="O738" s="146"/>
      <c r="P738" s="146"/>
      <c r="Q738" s="146"/>
      <c r="R738" s="156"/>
      <c r="S738" s="146"/>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c r="AR738" s="146"/>
    </row>
    <row r="739" spans="1:44" ht="12.3">
      <c r="A739" s="157"/>
      <c r="B739" s="157"/>
      <c r="C739" s="149"/>
      <c r="D739" s="149"/>
      <c r="E739" s="149"/>
      <c r="F739" s="149"/>
      <c r="G739" s="149"/>
      <c r="H739" s="149"/>
      <c r="I739" s="149"/>
      <c r="J739" s="149"/>
      <c r="K739" s="182"/>
      <c r="L739" s="149"/>
      <c r="M739" s="149"/>
      <c r="N739" s="149"/>
      <c r="O739" s="146"/>
      <c r="P739" s="146"/>
      <c r="Q739" s="146"/>
      <c r="R739" s="156"/>
      <c r="S739" s="146"/>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c r="AR739" s="146"/>
    </row>
    <row r="740" spans="1:44" ht="12.3">
      <c r="A740" s="157"/>
      <c r="B740" s="157"/>
      <c r="C740" s="149"/>
      <c r="D740" s="149"/>
      <c r="E740" s="149"/>
      <c r="F740" s="149"/>
      <c r="G740" s="149"/>
      <c r="H740" s="149"/>
      <c r="I740" s="149"/>
      <c r="J740" s="149"/>
      <c r="K740" s="182"/>
      <c r="L740" s="149"/>
      <c r="M740" s="149"/>
      <c r="N740" s="149"/>
      <c r="O740" s="146"/>
      <c r="P740" s="146"/>
      <c r="Q740" s="146"/>
      <c r="R740" s="156"/>
      <c r="S740" s="146"/>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c r="AR740" s="146"/>
    </row>
    <row r="741" spans="1:44" ht="12.3">
      <c r="A741" s="157"/>
      <c r="B741" s="157"/>
      <c r="C741" s="149"/>
      <c r="D741" s="149"/>
      <c r="E741" s="149"/>
      <c r="F741" s="149"/>
      <c r="G741" s="149"/>
      <c r="H741" s="149"/>
      <c r="I741" s="149"/>
      <c r="J741" s="149"/>
      <c r="K741" s="182"/>
      <c r="L741" s="149"/>
      <c r="M741" s="149"/>
      <c r="N741" s="149"/>
      <c r="O741" s="146"/>
      <c r="P741" s="146"/>
      <c r="Q741" s="146"/>
      <c r="R741" s="156"/>
      <c r="S741" s="146"/>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c r="AR741" s="146"/>
    </row>
    <row r="742" spans="1:44" ht="12.3">
      <c r="A742" s="157"/>
      <c r="B742" s="157"/>
      <c r="C742" s="149"/>
      <c r="D742" s="149"/>
      <c r="E742" s="149"/>
      <c r="F742" s="149"/>
      <c r="G742" s="149"/>
      <c r="H742" s="149"/>
      <c r="I742" s="149"/>
      <c r="J742" s="149"/>
      <c r="K742" s="182"/>
      <c r="L742" s="149"/>
      <c r="M742" s="149"/>
      <c r="N742" s="149"/>
      <c r="O742" s="146"/>
      <c r="P742" s="146"/>
      <c r="Q742" s="146"/>
      <c r="R742" s="156"/>
      <c r="S742" s="146"/>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c r="AR742" s="146"/>
    </row>
    <row r="743" spans="1:44" ht="12.3">
      <c r="A743" s="157"/>
      <c r="B743" s="157"/>
      <c r="C743" s="149"/>
      <c r="D743" s="149"/>
      <c r="E743" s="149"/>
      <c r="F743" s="149"/>
      <c r="G743" s="149"/>
      <c r="H743" s="149"/>
      <c r="I743" s="149"/>
      <c r="J743" s="149"/>
      <c r="K743" s="182"/>
      <c r="L743" s="149"/>
      <c r="M743" s="149"/>
      <c r="N743" s="149"/>
      <c r="O743" s="146"/>
      <c r="P743" s="146"/>
      <c r="Q743" s="146"/>
      <c r="R743" s="156"/>
      <c r="S743" s="146"/>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c r="AR743" s="146"/>
    </row>
    <row r="744" spans="1:44" ht="12.3">
      <c r="A744" s="157"/>
      <c r="B744" s="157"/>
      <c r="C744" s="149"/>
      <c r="D744" s="149"/>
      <c r="E744" s="149"/>
      <c r="F744" s="149"/>
      <c r="G744" s="149"/>
      <c r="H744" s="149"/>
      <c r="I744" s="149"/>
      <c r="J744" s="149"/>
      <c r="K744" s="182"/>
      <c r="L744" s="149"/>
      <c r="M744" s="149"/>
      <c r="N744" s="149"/>
      <c r="O744" s="146"/>
      <c r="P744" s="146"/>
      <c r="Q744" s="146"/>
      <c r="R744" s="156"/>
      <c r="S744" s="146"/>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c r="AR744" s="146"/>
    </row>
    <row r="745" spans="1:44" ht="12.3">
      <c r="A745" s="157"/>
      <c r="B745" s="157"/>
      <c r="C745" s="149"/>
      <c r="D745" s="149"/>
      <c r="E745" s="149"/>
      <c r="F745" s="149"/>
      <c r="G745" s="149"/>
      <c r="H745" s="149"/>
      <c r="I745" s="149"/>
      <c r="J745" s="149"/>
      <c r="K745" s="182"/>
      <c r="L745" s="149"/>
      <c r="M745" s="149"/>
      <c r="N745" s="149"/>
      <c r="O745" s="146"/>
      <c r="P745" s="146"/>
      <c r="Q745" s="146"/>
      <c r="R745" s="156"/>
      <c r="S745" s="146"/>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c r="AR745" s="146"/>
    </row>
    <row r="746" spans="1:44" ht="12.3">
      <c r="A746" s="157"/>
      <c r="B746" s="157"/>
      <c r="C746" s="149"/>
      <c r="D746" s="149"/>
      <c r="E746" s="149"/>
      <c r="F746" s="149"/>
      <c r="G746" s="149"/>
      <c r="H746" s="149"/>
      <c r="I746" s="149"/>
      <c r="J746" s="149"/>
      <c r="K746" s="182"/>
      <c r="L746" s="149"/>
      <c r="M746" s="149"/>
      <c r="N746" s="149"/>
      <c r="O746" s="146"/>
      <c r="P746" s="146"/>
      <c r="Q746" s="146"/>
      <c r="R746" s="156"/>
      <c r="S746" s="146"/>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c r="AR746" s="146"/>
    </row>
    <row r="747" spans="1:44" ht="12.3">
      <c r="A747" s="157"/>
      <c r="B747" s="157"/>
      <c r="C747" s="149"/>
      <c r="D747" s="149"/>
      <c r="E747" s="149"/>
      <c r="F747" s="149"/>
      <c r="G747" s="149"/>
      <c r="H747" s="149"/>
      <c r="I747" s="149"/>
      <c r="J747" s="149"/>
      <c r="K747" s="182"/>
      <c r="L747" s="149"/>
      <c r="M747" s="149"/>
      <c r="N747" s="149"/>
      <c r="O747" s="146"/>
      <c r="P747" s="146"/>
      <c r="Q747" s="146"/>
      <c r="R747" s="156"/>
      <c r="S747" s="146"/>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c r="AR747" s="146"/>
    </row>
    <row r="748" spans="1:44" ht="12.3">
      <c r="A748" s="157"/>
      <c r="B748" s="157"/>
      <c r="C748" s="149"/>
      <c r="D748" s="149"/>
      <c r="E748" s="149"/>
      <c r="F748" s="149"/>
      <c r="G748" s="149"/>
      <c r="H748" s="149"/>
      <c r="I748" s="149"/>
      <c r="J748" s="149"/>
      <c r="K748" s="182"/>
      <c r="L748" s="149"/>
      <c r="M748" s="149"/>
      <c r="N748" s="149"/>
      <c r="O748" s="146"/>
      <c r="P748" s="146"/>
      <c r="Q748" s="146"/>
      <c r="R748" s="156"/>
      <c r="S748" s="146"/>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c r="AR748" s="146"/>
    </row>
    <row r="749" spans="1:44" ht="12.3">
      <c r="A749" s="157"/>
      <c r="B749" s="157"/>
      <c r="C749" s="149"/>
      <c r="D749" s="149"/>
      <c r="E749" s="149"/>
      <c r="F749" s="149"/>
      <c r="G749" s="149"/>
      <c r="H749" s="149"/>
      <c r="I749" s="149"/>
      <c r="J749" s="149"/>
      <c r="K749" s="182"/>
      <c r="L749" s="149"/>
      <c r="M749" s="149"/>
      <c r="N749" s="149"/>
      <c r="O749" s="146"/>
      <c r="P749" s="146"/>
      <c r="Q749" s="146"/>
      <c r="R749" s="156"/>
      <c r="S749" s="146"/>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c r="AR749" s="146"/>
    </row>
    <row r="750" spans="1:44" ht="12.3">
      <c r="A750" s="157"/>
      <c r="B750" s="157"/>
      <c r="C750" s="149"/>
      <c r="D750" s="149"/>
      <c r="E750" s="149"/>
      <c r="F750" s="149"/>
      <c r="G750" s="149"/>
      <c r="H750" s="149"/>
      <c r="I750" s="149"/>
      <c r="J750" s="149"/>
      <c r="K750" s="182"/>
      <c r="L750" s="149"/>
      <c r="M750" s="149"/>
      <c r="N750" s="149"/>
      <c r="O750" s="146"/>
      <c r="P750" s="146"/>
      <c r="Q750" s="146"/>
      <c r="R750" s="156"/>
      <c r="S750" s="146"/>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c r="AR750" s="146"/>
    </row>
    <row r="751" spans="1:44" ht="12.3">
      <c r="A751" s="157"/>
      <c r="B751" s="157"/>
      <c r="C751" s="149"/>
      <c r="D751" s="149"/>
      <c r="E751" s="149"/>
      <c r="F751" s="149"/>
      <c r="G751" s="149"/>
      <c r="H751" s="149"/>
      <c r="I751" s="149"/>
      <c r="J751" s="149"/>
      <c r="K751" s="182"/>
      <c r="L751" s="149"/>
      <c r="M751" s="149"/>
      <c r="N751" s="149"/>
      <c r="O751" s="146"/>
      <c r="P751" s="146"/>
      <c r="Q751" s="146"/>
      <c r="R751" s="156"/>
      <c r="S751" s="146"/>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c r="AR751" s="146"/>
    </row>
    <row r="752" spans="1:44" ht="12.3">
      <c r="A752" s="157"/>
      <c r="B752" s="157"/>
      <c r="C752" s="149"/>
      <c r="D752" s="149"/>
      <c r="E752" s="149"/>
      <c r="F752" s="149"/>
      <c r="G752" s="149"/>
      <c r="H752" s="149"/>
      <c r="I752" s="149"/>
      <c r="J752" s="149"/>
      <c r="K752" s="182"/>
      <c r="L752" s="149"/>
      <c r="M752" s="149"/>
      <c r="N752" s="149"/>
      <c r="O752" s="146"/>
      <c r="P752" s="146"/>
      <c r="Q752" s="146"/>
      <c r="R752" s="156"/>
      <c r="S752" s="146"/>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c r="AR752" s="146"/>
    </row>
    <row r="753" spans="1:44" ht="12.3">
      <c r="A753" s="157"/>
      <c r="B753" s="157"/>
      <c r="C753" s="149"/>
      <c r="D753" s="149"/>
      <c r="E753" s="149"/>
      <c r="F753" s="149"/>
      <c r="G753" s="149"/>
      <c r="H753" s="149"/>
      <c r="I753" s="149"/>
      <c r="J753" s="149"/>
      <c r="K753" s="182"/>
      <c r="L753" s="149"/>
      <c r="M753" s="149"/>
      <c r="N753" s="149"/>
      <c r="O753" s="146"/>
      <c r="P753" s="146"/>
      <c r="Q753" s="146"/>
      <c r="R753" s="156"/>
      <c r="S753" s="146"/>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c r="AR753" s="146"/>
    </row>
    <row r="754" spans="1:44" ht="12.3">
      <c r="A754" s="157"/>
      <c r="B754" s="157"/>
      <c r="C754" s="149"/>
      <c r="D754" s="149"/>
      <c r="E754" s="149"/>
      <c r="F754" s="149"/>
      <c r="G754" s="149"/>
      <c r="H754" s="149"/>
      <c r="I754" s="149"/>
      <c r="J754" s="149"/>
      <c r="K754" s="182"/>
      <c r="L754" s="149"/>
      <c r="M754" s="149"/>
      <c r="N754" s="149"/>
      <c r="O754" s="146"/>
      <c r="P754" s="146"/>
      <c r="Q754" s="146"/>
      <c r="R754" s="156"/>
      <c r="S754" s="146"/>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c r="AR754" s="146"/>
    </row>
    <row r="755" spans="1:44" ht="12.3">
      <c r="A755" s="157"/>
      <c r="B755" s="157"/>
      <c r="C755" s="149"/>
      <c r="D755" s="149"/>
      <c r="E755" s="149"/>
      <c r="F755" s="149"/>
      <c r="G755" s="149"/>
      <c r="H755" s="149"/>
      <c r="I755" s="149"/>
      <c r="J755" s="149"/>
      <c r="K755" s="182"/>
      <c r="L755" s="149"/>
      <c r="M755" s="149"/>
      <c r="N755" s="149"/>
      <c r="O755" s="146"/>
      <c r="P755" s="146"/>
      <c r="Q755" s="146"/>
      <c r="R755" s="156"/>
      <c r="S755" s="146"/>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c r="AR755" s="146"/>
    </row>
    <row r="756" spans="1:44" ht="12.3">
      <c r="A756" s="157"/>
      <c r="B756" s="157"/>
      <c r="C756" s="149"/>
      <c r="D756" s="149"/>
      <c r="E756" s="149"/>
      <c r="F756" s="149"/>
      <c r="G756" s="149"/>
      <c r="H756" s="149"/>
      <c r="I756" s="149"/>
      <c r="J756" s="149"/>
      <c r="K756" s="182"/>
      <c r="L756" s="149"/>
      <c r="M756" s="149"/>
      <c r="N756" s="149"/>
      <c r="O756" s="146"/>
      <c r="P756" s="146"/>
      <c r="Q756" s="146"/>
      <c r="R756" s="156"/>
      <c r="S756" s="146"/>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c r="AR756" s="146"/>
    </row>
    <row r="757" spans="1:44" ht="12.3">
      <c r="A757" s="157"/>
      <c r="B757" s="157"/>
      <c r="C757" s="149"/>
      <c r="D757" s="149"/>
      <c r="E757" s="149"/>
      <c r="F757" s="149"/>
      <c r="G757" s="149"/>
      <c r="H757" s="149"/>
      <c r="I757" s="149"/>
      <c r="J757" s="149"/>
      <c r="K757" s="182"/>
      <c r="L757" s="149"/>
      <c r="M757" s="149"/>
      <c r="N757" s="149"/>
      <c r="O757" s="146"/>
      <c r="P757" s="146"/>
      <c r="Q757" s="146"/>
      <c r="R757" s="156"/>
      <c r="S757" s="146"/>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c r="AR757" s="146"/>
    </row>
    <row r="758" spans="1:44" ht="12.3">
      <c r="A758" s="157"/>
      <c r="B758" s="157"/>
      <c r="C758" s="149"/>
      <c r="D758" s="149"/>
      <c r="E758" s="149"/>
      <c r="F758" s="149"/>
      <c r="G758" s="149"/>
      <c r="H758" s="149"/>
      <c r="I758" s="149"/>
      <c r="J758" s="149"/>
      <c r="K758" s="182"/>
      <c r="L758" s="149"/>
      <c r="M758" s="149"/>
      <c r="N758" s="149"/>
      <c r="O758" s="146"/>
      <c r="P758" s="146"/>
      <c r="Q758" s="146"/>
      <c r="R758" s="156"/>
      <c r="S758" s="146"/>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c r="AR758" s="146"/>
    </row>
    <row r="759" spans="1:44" ht="12.3">
      <c r="A759" s="157"/>
      <c r="B759" s="157"/>
      <c r="C759" s="149"/>
      <c r="D759" s="149"/>
      <c r="E759" s="149"/>
      <c r="F759" s="149"/>
      <c r="G759" s="149"/>
      <c r="H759" s="149"/>
      <c r="I759" s="149"/>
      <c r="J759" s="149"/>
      <c r="K759" s="182"/>
      <c r="L759" s="149"/>
      <c r="M759" s="149"/>
      <c r="N759" s="149"/>
      <c r="O759" s="146"/>
      <c r="P759" s="146"/>
      <c r="Q759" s="146"/>
      <c r="R759" s="156"/>
      <c r="S759" s="146"/>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c r="AR759" s="146"/>
    </row>
    <row r="760" spans="1:44" ht="12.3">
      <c r="A760" s="157"/>
      <c r="B760" s="157"/>
      <c r="C760" s="149"/>
      <c r="D760" s="149"/>
      <c r="E760" s="149"/>
      <c r="F760" s="149"/>
      <c r="G760" s="149"/>
      <c r="H760" s="149"/>
      <c r="I760" s="149"/>
      <c r="J760" s="149"/>
      <c r="K760" s="182"/>
      <c r="L760" s="149"/>
      <c r="M760" s="149"/>
      <c r="N760" s="149"/>
      <c r="O760" s="146"/>
      <c r="P760" s="146"/>
      <c r="Q760" s="146"/>
      <c r="R760" s="156"/>
      <c r="S760" s="146"/>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c r="AR760" s="146"/>
    </row>
    <row r="761" spans="1:44" ht="12.3">
      <c r="A761" s="157"/>
      <c r="B761" s="157"/>
      <c r="C761" s="149"/>
      <c r="D761" s="149"/>
      <c r="E761" s="149"/>
      <c r="F761" s="149"/>
      <c r="G761" s="149"/>
      <c r="H761" s="149"/>
      <c r="I761" s="149"/>
      <c r="J761" s="149"/>
      <c r="K761" s="182"/>
      <c r="L761" s="149"/>
      <c r="M761" s="149"/>
      <c r="N761" s="149"/>
      <c r="O761" s="146"/>
      <c r="P761" s="146"/>
      <c r="Q761" s="146"/>
      <c r="R761" s="156"/>
      <c r="S761" s="146"/>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c r="AR761" s="146"/>
    </row>
    <row r="762" spans="1:44" ht="12.3">
      <c r="A762" s="157"/>
      <c r="B762" s="157"/>
      <c r="C762" s="149"/>
      <c r="D762" s="149"/>
      <c r="E762" s="149"/>
      <c r="F762" s="149"/>
      <c r="G762" s="149"/>
      <c r="H762" s="149"/>
      <c r="I762" s="149"/>
      <c r="J762" s="149"/>
      <c r="K762" s="182"/>
      <c r="L762" s="149"/>
      <c r="M762" s="149"/>
      <c r="N762" s="149"/>
      <c r="O762" s="146"/>
      <c r="P762" s="146"/>
      <c r="Q762" s="146"/>
      <c r="R762" s="156"/>
      <c r="S762" s="146"/>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c r="AR762" s="146"/>
    </row>
    <row r="763" spans="1:44" ht="12.3">
      <c r="A763" s="157"/>
      <c r="B763" s="157"/>
      <c r="C763" s="149"/>
      <c r="D763" s="149"/>
      <c r="E763" s="149"/>
      <c r="F763" s="149"/>
      <c r="G763" s="149"/>
      <c r="H763" s="149"/>
      <c r="I763" s="149"/>
      <c r="J763" s="149"/>
      <c r="K763" s="182"/>
      <c r="L763" s="149"/>
      <c r="M763" s="149"/>
      <c r="N763" s="149"/>
      <c r="O763" s="146"/>
      <c r="P763" s="146"/>
      <c r="Q763" s="146"/>
      <c r="R763" s="156"/>
      <c r="S763" s="146"/>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c r="AR763" s="146"/>
    </row>
    <row r="764" spans="1:44" ht="12.3">
      <c r="A764" s="157"/>
      <c r="B764" s="157"/>
      <c r="C764" s="149"/>
      <c r="D764" s="149"/>
      <c r="E764" s="149"/>
      <c r="F764" s="149"/>
      <c r="G764" s="149"/>
      <c r="H764" s="149"/>
      <c r="I764" s="149"/>
      <c r="J764" s="149"/>
      <c r="K764" s="182"/>
      <c r="L764" s="149"/>
      <c r="M764" s="149"/>
      <c r="N764" s="149"/>
      <c r="O764" s="146"/>
      <c r="P764" s="146"/>
      <c r="Q764" s="146"/>
      <c r="R764" s="156"/>
      <c r="S764" s="146"/>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c r="AR764" s="146"/>
    </row>
    <row r="765" spans="1:44" ht="12.3">
      <c r="A765" s="157"/>
      <c r="B765" s="157"/>
      <c r="C765" s="149"/>
      <c r="D765" s="149"/>
      <c r="E765" s="149"/>
      <c r="F765" s="149"/>
      <c r="G765" s="149"/>
      <c r="H765" s="149"/>
      <c r="I765" s="149"/>
      <c r="J765" s="149"/>
      <c r="K765" s="182"/>
      <c r="L765" s="149"/>
      <c r="M765" s="149"/>
      <c r="N765" s="149"/>
      <c r="O765" s="146"/>
      <c r="P765" s="146"/>
      <c r="Q765" s="146"/>
      <c r="R765" s="156"/>
      <c r="S765" s="146"/>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c r="AR765" s="146"/>
    </row>
    <row r="766" spans="1:44" ht="12.3">
      <c r="A766" s="157"/>
      <c r="B766" s="157"/>
      <c r="C766" s="149"/>
      <c r="D766" s="149"/>
      <c r="E766" s="149"/>
      <c r="F766" s="149"/>
      <c r="G766" s="149"/>
      <c r="H766" s="149"/>
      <c r="I766" s="149"/>
      <c r="J766" s="149"/>
      <c r="K766" s="182"/>
      <c r="L766" s="149"/>
      <c r="M766" s="149"/>
      <c r="N766" s="149"/>
      <c r="O766" s="146"/>
      <c r="P766" s="146"/>
      <c r="Q766" s="146"/>
      <c r="R766" s="156"/>
      <c r="S766" s="146"/>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c r="AR766" s="146"/>
    </row>
    <row r="767" spans="1:44" ht="12.3">
      <c r="A767" s="157"/>
      <c r="B767" s="157"/>
      <c r="C767" s="149"/>
      <c r="D767" s="149"/>
      <c r="E767" s="149"/>
      <c r="F767" s="149"/>
      <c r="G767" s="149"/>
      <c r="H767" s="149"/>
      <c r="I767" s="149"/>
      <c r="J767" s="149"/>
      <c r="K767" s="182"/>
      <c r="L767" s="149"/>
      <c r="M767" s="149"/>
      <c r="N767" s="149"/>
      <c r="O767" s="146"/>
      <c r="P767" s="146"/>
      <c r="Q767" s="146"/>
      <c r="R767" s="156"/>
      <c r="S767" s="146"/>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c r="AR767" s="146"/>
    </row>
    <row r="768" spans="1:44" ht="12.3">
      <c r="A768" s="157"/>
      <c r="B768" s="157"/>
      <c r="C768" s="149"/>
      <c r="D768" s="149"/>
      <c r="E768" s="149"/>
      <c r="F768" s="149"/>
      <c r="G768" s="149"/>
      <c r="H768" s="149"/>
      <c r="I768" s="149"/>
      <c r="J768" s="149"/>
      <c r="K768" s="182"/>
      <c r="L768" s="149"/>
      <c r="M768" s="149"/>
      <c r="N768" s="149"/>
      <c r="O768" s="146"/>
      <c r="P768" s="146"/>
      <c r="Q768" s="146"/>
      <c r="R768" s="156"/>
      <c r="S768" s="146"/>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c r="AR768" s="146"/>
    </row>
    <row r="769" spans="1:44" ht="12.3">
      <c r="A769" s="157"/>
      <c r="B769" s="157"/>
      <c r="C769" s="149"/>
      <c r="D769" s="149"/>
      <c r="E769" s="149"/>
      <c r="F769" s="149"/>
      <c r="G769" s="149"/>
      <c r="H769" s="149"/>
      <c r="I769" s="149"/>
      <c r="J769" s="149"/>
      <c r="K769" s="182"/>
      <c r="L769" s="149"/>
      <c r="M769" s="149"/>
      <c r="N769" s="149"/>
      <c r="O769" s="146"/>
      <c r="P769" s="146"/>
      <c r="Q769" s="146"/>
      <c r="R769" s="156"/>
      <c r="S769" s="146"/>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c r="AR769" s="146"/>
    </row>
    <row r="770" spans="1:44" ht="12.3">
      <c r="A770" s="157"/>
      <c r="B770" s="157"/>
      <c r="C770" s="149"/>
      <c r="D770" s="149"/>
      <c r="E770" s="149"/>
      <c r="F770" s="149"/>
      <c r="G770" s="149"/>
      <c r="H770" s="149"/>
      <c r="I770" s="149"/>
      <c r="J770" s="149"/>
      <c r="K770" s="182"/>
      <c r="L770" s="149"/>
      <c r="M770" s="149"/>
      <c r="N770" s="149"/>
      <c r="O770" s="146"/>
      <c r="P770" s="146"/>
      <c r="Q770" s="146"/>
      <c r="R770" s="156"/>
      <c r="S770" s="146"/>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c r="AR770" s="146"/>
    </row>
    <row r="771" spans="1:44" ht="12.3">
      <c r="A771" s="157"/>
      <c r="B771" s="157"/>
      <c r="C771" s="149"/>
      <c r="D771" s="149"/>
      <c r="E771" s="149"/>
      <c r="F771" s="149"/>
      <c r="G771" s="149"/>
      <c r="H771" s="149"/>
      <c r="I771" s="149"/>
      <c r="J771" s="149"/>
      <c r="K771" s="182"/>
      <c r="L771" s="149"/>
      <c r="M771" s="149"/>
      <c r="N771" s="149"/>
      <c r="O771" s="146"/>
      <c r="P771" s="146"/>
      <c r="Q771" s="146"/>
      <c r="R771" s="156"/>
      <c r="S771" s="146"/>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c r="AR771" s="146"/>
    </row>
    <row r="772" spans="1:44" ht="12.3">
      <c r="A772" s="157"/>
      <c r="B772" s="157"/>
      <c r="C772" s="149"/>
      <c r="D772" s="149"/>
      <c r="E772" s="149"/>
      <c r="F772" s="149"/>
      <c r="G772" s="149"/>
      <c r="H772" s="149"/>
      <c r="I772" s="149"/>
      <c r="J772" s="149"/>
      <c r="K772" s="182"/>
      <c r="L772" s="149"/>
      <c r="M772" s="149"/>
      <c r="N772" s="149"/>
      <c r="O772" s="146"/>
      <c r="P772" s="146"/>
      <c r="Q772" s="146"/>
      <c r="R772" s="156"/>
      <c r="S772" s="146"/>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c r="AR772" s="146"/>
    </row>
    <row r="773" spans="1:44" ht="12.3">
      <c r="A773" s="157"/>
      <c r="B773" s="157"/>
      <c r="C773" s="149"/>
      <c r="D773" s="149"/>
      <c r="E773" s="149"/>
      <c r="F773" s="149"/>
      <c r="G773" s="149"/>
      <c r="H773" s="149"/>
      <c r="I773" s="149"/>
      <c r="J773" s="149"/>
      <c r="K773" s="182"/>
      <c r="L773" s="149"/>
      <c r="M773" s="149"/>
      <c r="N773" s="149"/>
      <c r="O773" s="146"/>
      <c r="P773" s="146"/>
      <c r="Q773" s="146"/>
      <c r="R773" s="156"/>
      <c r="S773" s="146"/>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c r="AR773" s="146"/>
    </row>
    <row r="774" spans="1:44" ht="12.3">
      <c r="A774" s="157"/>
      <c r="B774" s="157"/>
      <c r="C774" s="149"/>
      <c r="D774" s="149"/>
      <c r="E774" s="149"/>
      <c r="F774" s="149"/>
      <c r="G774" s="149"/>
      <c r="H774" s="149"/>
      <c r="I774" s="149"/>
      <c r="J774" s="149"/>
      <c r="K774" s="182"/>
      <c r="L774" s="149"/>
      <c r="M774" s="149"/>
      <c r="N774" s="149"/>
      <c r="O774" s="146"/>
      <c r="P774" s="146"/>
      <c r="Q774" s="146"/>
      <c r="R774" s="156"/>
      <c r="S774" s="146"/>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c r="AR774" s="146"/>
    </row>
    <row r="775" spans="1:44" ht="12.3">
      <c r="A775" s="157"/>
      <c r="B775" s="157"/>
      <c r="C775" s="149"/>
      <c r="D775" s="149"/>
      <c r="E775" s="149"/>
      <c r="F775" s="149"/>
      <c r="G775" s="149"/>
      <c r="H775" s="149"/>
      <c r="I775" s="149"/>
      <c r="J775" s="149"/>
      <c r="K775" s="182"/>
      <c r="L775" s="149"/>
      <c r="M775" s="149"/>
      <c r="N775" s="149"/>
      <c r="O775" s="146"/>
      <c r="P775" s="146"/>
      <c r="Q775" s="146"/>
      <c r="R775" s="156"/>
      <c r="S775" s="146"/>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c r="AR775" s="146"/>
    </row>
    <row r="776" spans="1:44" ht="12.3">
      <c r="A776" s="157"/>
      <c r="B776" s="157"/>
      <c r="C776" s="149"/>
      <c r="D776" s="149"/>
      <c r="E776" s="149"/>
      <c r="F776" s="149"/>
      <c r="G776" s="149"/>
      <c r="H776" s="149"/>
      <c r="I776" s="149"/>
      <c r="J776" s="149"/>
      <c r="K776" s="182"/>
      <c r="L776" s="149"/>
      <c r="M776" s="149"/>
      <c r="N776" s="149"/>
      <c r="O776" s="146"/>
      <c r="P776" s="146"/>
      <c r="Q776" s="146"/>
      <c r="R776" s="156"/>
      <c r="S776" s="146"/>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c r="AR776" s="146"/>
    </row>
    <row r="777" spans="1:44" ht="12.3">
      <c r="A777" s="157"/>
      <c r="B777" s="157"/>
      <c r="C777" s="149"/>
      <c r="D777" s="149"/>
      <c r="E777" s="149"/>
      <c r="F777" s="149"/>
      <c r="G777" s="149"/>
      <c r="H777" s="149"/>
      <c r="I777" s="149"/>
      <c r="J777" s="149"/>
      <c r="K777" s="182"/>
      <c r="L777" s="149"/>
      <c r="M777" s="149"/>
      <c r="N777" s="149"/>
      <c r="O777" s="146"/>
      <c r="P777" s="146"/>
      <c r="Q777" s="146"/>
      <c r="R777" s="156"/>
      <c r="S777" s="146"/>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c r="AR777" s="146"/>
    </row>
    <row r="778" spans="1:44" ht="12.3">
      <c r="A778" s="157"/>
      <c r="B778" s="157"/>
      <c r="C778" s="149"/>
      <c r="D778" s="149"/>
      <c r="E778" s="149"/>
      <c r="F778" s="149"/>
      <c r="G778" s="149"/>
      <c r="H778" s="149"/>
      <c r="I778" s="149"/>
      <c r="J778" s="149"/>
      <c r="K778" s="182"/>
      <c r="L778" s="149"/>
      <c r="M778" s="149"/>
      <c r="N778" s="149"/>
      <c r="O778" s="146"/>
      <c r="P778" s="146"/>
      <c r="Q778" s="146"/>
      <c r="R778" s="156"/>
      <c r="S778" s="146"/>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c r="AR778" s="146"/>
    </row>
    <row r="779" spans="1:44" ht="12.3">
      <c r="A779" s="157"/>
      <c r="B779" s="157"/>
      <c r="C779" s="149"/>
      <c r="D779" s="149"/>
      <c r="E779" s="149"/>
      <c r="F779" s="149"/>
      <c r="G779" s="149"/>
      <c r="H779" s="149"/>
      <c r="I779" s="149"/>
      <c r="J779" s="149"/>
      <c r="K779" s="182"/>
      <c r="L779" s="149"/>
      <c r="M779" s="149"/>
      <c r="N779" s="149"/>
      <c r="O779" s="146"/>
      <c r="P779" s="146"/>
      <c r="Q779" s="146"/>
      <c r="R779" s="156"/>
      <c r="S779" s="146"/>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c r="AR779" s="146"/>
    </row>
    <row r="780" spans="1:44" ht="12.3">
      <c r="A780" s="157"/>
      <c r="B780" s="157"/>
      <c r="C780" s="149"/>
      <c r="D780" s="149"/>
      <c r="E780" s="149"/>
      <c r="F780" s="149"/>
      <c r="G780" s="149"/>
      <c r="H780" s="149"/>
      <c r="I780" s="149"/>
      <c r="J780" s="149"/>
      <c r="K780" s="182"/>
      <c r="L780" s="149"/>
      <c r="M780" s="149"/>
      <c r="N780" s="149"/>
      <c r="O780" s="146"/>
      <c r="P780" s="146"/>
      <c r="Q780" s="146"/>
      <c r="R780" s="156"/>
      <c r="S780" s="146"/>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c r="AR780" s="146"/>
    </row>
    <row r="781" spans="1:44" ht="12.3">
      <c r="A781" s="157"/>
      <c r="B781" s="157"/>
      <c r="C781" s="149"/>
      <c r="D781" s="149"/>
      <c r="E781" s="149"/>
      <c r="F781" s="149"/>
      <c r="G781" s="149"/>
      <c r="H781" s="149"/>
      <c r="I781" s="149"/>
      <c r="J781" s="149"/>
      <c r="K781" s="182"/>
      <c r="L781" s="149"/>
      <c r="M781" s="149"/>
      <c r="N781" s="149"/>
      <c r="O781" s="146"/>
      <c r="P781" s="146"/>
      <c r="Q781" s="146"/>
      <c r="R781" s="156"/>
      <c r="S781" s="146"/>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c r="AR781" s="146"/>
    </row>
    <row r="782" spans="1:44" ht="12.3">
      <c r="A782" s="157"/>
      <c r="B782" s="157"/>
      <c r="C782" s="149"/>
      <c r="D782" s="149"/>
      <c r="E782" s="149"/>
      <c r="F782" s="149"/>
      <c r="G782" s="149"/>
      <c r="H782" s="149"/>
      <c r="I782" s="149"/>
      <c r="J782" s="149"/>
      <c r="K782" s="182"/>
      <c r="L782" s="149"/>
      <c r="M782" s="149"/>
      <c r="N782" s="149"/>
      <c r="O782" s="146"/>
      <c r="P782" s="146"/>
      <c r="Q782" s="146"/>
      <c r="R782" s="156"/>
      <c r="S782" s="146"/>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c r="AR782" s="146"/>
    </row>
    <row r="783" spans="1:44" ht="12.3">
      <c r="A783" s="157"/>
      <c r="B783" s="157"/>
      <c r="C783" s="149"/>
      <c r="D783" s="149"/>
      <c r="E783" s="149"/>
      <c r="F783" s="149"/>
      <c r="G783" s="149"/>
      <c r="H783" s="149"/>
      <c r="I783" s="149"/>
      <c r="J783" s="149"/>
      <c r="K783" s="182"/>
      <c r="L783" s="149"/>
      <c r="M783" s="149"/>
      <c r="N783" s="149"/>
      <c r="O783" s="146"/>
      <c r="P783" s="146"/>
      <c r="Q783" s="146"/>
      <c r="R783" s="156"/>
      <c r="S783" s="146"/>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c r="AR783" s="146"/>
    </row>
    <row r="784" spans="1:44" ht="12.3">
      <c r="A784" s="157"/>
      <c r="B784" s="157"/>
      <c r="C784" s="149"/>
      <c r="D784" s="149"/>
      <c r="E784" s="149"/>
      <c r="F784" s="149"/>
      <c r="G784" s="149"/>
      <c r="H784" s="149"/>
      <c r="I784" s="149"/>
      <c r="J784" s="149"/>
      <c r="K784" s="182"/>
      <c r="L784" s="149"/>
      <c r="M784" s="149"/>
      <c r="N784" s="149"/>
      <c r="O784" s="146"/>
      <c r="P784" s="146"/>
      <c r="Q784" s="146"/>
      <c r="R784" s="156"/>
      <c r="S784" s="146"/>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c r="AR784" s="146"/>
    </row>
    <row r="785" spans="1:44" ht="12.3">
      <c r="A785" s="157"/>
      <c r="B785" s="157"/>
      <c r="C785" s="149"/>
      <c r="D785" s="149"/>
      <c r="E785" s="149"/>
      <c r="F785" s="149"/>
      <c r="G785" s="149"/>
      <c r="H785" s="149"/>
      <c r="I785" s="149"/>
      <c r="J785" s="149"/>
      <c r="K785" s="182"/>
      <c r="L785" s="149"/>
      <c r="M785" s="149"/>
      <c r="N785" s="149"/>
      <c r="O785" s="146"/>
      <c r="P785" s="146"/>
      <c r="Q785" s="146"/>
      <c r="R785" s="156"/>
      <c r="S785" s="146"/>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c r="AR785" s="146"/>
    </row>
    <row r="786" spans="1:44" ht="12.3">
      <c r="A786" s="157"/>
      <c r="B786" s="157"/>
      <c r="C786" s="149"/>
      <c r="D786" s="149"/>
      <c r="E786" s="149"/>
      <c r="F786" s="149"/>
      <c r="G786" s="149"/>
      <c r="H786" s="149"/>
      <c r="I786" s="149"/>
      <c r="J786" s="149"/>
      <c r="K786" s="182"/>
      <c r="L786" s="149"/>
      <c r="M786" s="149"/>
      <c r="N786" s="149"/>
      <c r="O786" s="146"/>
      <c r="P786" s="146"/>
      <c r="Q786" s="146"/>
      <c r="R786" s="156"/>
      <c r="S786" s="146"/>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c r="AR786" s="146"/>
    </row>
    <row r="787" spans="1:44" ht="12.3">
      <c r="A787" s="157"/>
      <c r="B787" s="157"/>
      <c r="C787" s="149"/>
      <c r="D787" s="149"/>
      <c r="E787" s="149"/>
      <c r="F787" s="149"/>
      <c r="G787" s="149"/>
      <c r="H787" s="149"/>
      <c r="I787" s="149"/>
      <c r="J787" s="149"/>
      <c r="K787" s="182"/>
      <c r="L787" s="149"/>
      <c r="M787" s="149"/>
      <c r="N787" s="149"/>
      <c r="O787" s="146"/>
      <c r="P787" s="146"/>
      <c r="Q787" s="146"/>
      <c r="R787" s="156"/>
      <c r="S787" s="146"/>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c r="AR787" s="146"/>
    </row>
    <row r="788" spans="1:44" ht="12.3">
      <c r="A788" s="157"/>
      <c r="B788" s="157"/>
      <c r="C788" s="149"/>
      <c r="D788" s="149"/>
      <c r="E788" s="149"/>
      <c r="F788" s="149"/>
      <c r="G788" s="149"/>
      <c r="H788" s="149"/>
      <c r="I788" s="149"/>
      <c r="J788" s="149"/>
      <c r="K788" s="182"/>
      <c r="L788" s="149"/>
      <c r="M788" s="149"/>
      <c r="N788" s="149"/>
      <c r="O788" s="146"/>
      <c r="P788" s="146"/>
      <c r="Q788" s="146"/>
      <c r="R788" s="156"/>
      <c r="S788" s="146"/>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c r="AR788" s="146"/>
    </row>
    <row r="789" spans="1:44" ht="12.3">
      <c r="A789" s="157"/>
      <c r="B789" s="157"/>
      <c r="C789" s="149"/>
      <c r="D789" s="149"/>
      <c r="E789" s="149"/>
      <c r="F789" s="149"/>
      <c r="G789" s="149"/>
      <c r="H789" s="149"/>
      <c r="I789" s="149"/>
      <c r="J789" s="149"/>
      <c r="K789" s="182"/>
      <c r="L789" s="149"/>
      <c r="M789" s="149"/>
      <c r="N789" s="149"/>
      <c r="O789" s="146"/>
      <c r="P789" s="146"/>
      <c r="Q789" s="146"/>
      <c r="R789" s="156"/>
      <c r="S789" s="146"/>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c r="AR789" s="146"/>
    </row>
    <row r="790" spans="1:44" ht="12.3">
      <c r="A790" s="157"/>
      <c r="B790" s="157"/>
      <c r="C790" s="149"/>
      <c r="D790" s="149"/>
      <c r="E790" s="149"/>
      <c r="F790" s="149"/>
      <c r="G790" s="149"/>
      <c r="H790" s="149"/>
      <c r="I790" s="149"/>
      <c r="J790" s="149"/>
      <c r="K790" s="182"/>
      <c r="L790" s="149"/>
      <c r="M790" s="149"/>
      <c r="N790" s="149"/>
      <c r="O790" s="146"/>
      <c r="P790" s="146"/>
      <c r="Q790" s="146"/>
      <c r="R790" s="156"/>
      <c r="S790" s="146"/>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c r="AR790" s="146"/>
    </row>
    <row r="791" spans="1:44" ht="12.3">
      <c r="A791" s="157"/>
      <c r="B791" s="157"/>
      <c r="C791" s="149"/>
      <c r="D791" s="149"/>
      <c r="E791" s="149"/>
      <c r="F791" s="149"/>
      <c r="G791" s="149"/>
      <c r="H791" s="149"/>
      <c r="I791" s="149"/>
      <c r="J791" s="149"/>
      <c r="K791" s="182"/>
      <c r="L791" s="149"/>
      <c r="M791" s="149"/>
      <c r="N791" s="149"/>
      <c r="O791" s="146"/>
      <c r="P791" s="146"/>
      <c r="Q791" s="146"/>
      <c r="R791" s="156"/>
      <c r="S791" s="146"/>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c r="AR791" s="146"/>
    </row>
    <row r="792" spans="1:44" ht="12.3">
      <c r="A792" s="157"/>
      <c r="B792" s="157"/>
      <c r="C792" s="149"/>
      <c r="D792" s="149"/>
      <c r="E792" s="149"/>
      <c r="F792" s="149"/>
      <c r="G792" s="149"/>
      <c r="H792" s="149"/>
      <c r="I792" s="149"/>
      <c r="J792" s="149"/>
      <c r="K792" s="182"/>
      <c r="L792" s="149"/>
      <c r="M792" s="149"/>
      <c r="N792" s="149"/>
      <c r="O792" s="146"/>
      <c r="P792" s="146"/>
      <c r="Q792" s="146"/>
      <c r="R792" s="156"/>
      <c r="S792" s="146"/>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c r="AR792" s="146"/>
    </row>
    <row r="793" spans="1:44" ht="12.3">
      <c r="A793" s="157"/>
      <c r="B793" s="157"/>
      <c r="C793" s="149"/>
      <c r="D793" s="149"/>
      <c r="E793" s="149"/>
      <c r="F793" s="149"/>
      <c r="G793" s="149"/>
      <c r="H793" s="149"/>
      <c r="I793" s="149"/>
      <c r="J793" s="149"/>
      <c r="K793" s="182"/>
      <c r="L793" s="149"/>
      <c r="M793" s="149"/>
      <c r="N793" s="149"/>
      <c r="O793" s="146"/>
      <c r="P793" s="146"/>
      <c r="Q793" s="146"/>
      <c r="R793" s="156"/>
      <c r="S793" s="146"/>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c r="AR793" s="146"/>
    </row>
    <row r="794" spans="1:44" ht="12.3">
      <c r="A794" s="157"/>
      <c r="B794" s="157"/>
      <c r="C794" s="149"/>
      <c r="D794" s="149"/>
      <c r="E794" s="149"/>
      <c r="F794" s="149"/>
      <c r="G794" s="149"/>
      <c r="H794" s="149"/>
      <c r="I794" s="149"/>
      <c r="J794" s="149"/>
      <c r="K794" s="182"/>
      <c r="L794" s="149"/>
      <c r="M794" s="149"/>
      <c r="N794" s="149"/>
      <c r="O794" s="146"/>
      <c r="P794" s="146"/>
      <c r="Q794" s="146"/>
      <c r="R794" s="156"/>
      <c r="S794" s="146"/>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c r="AR794" s="146"/>
    </row>
    <row r="795" spans="1:44" ht="12.3">
      <c r="A795" s="157"/>
      <c r="B795" s="157"/>
      <c r="C795" s="149"/>
      <c r="D795" s="149"/>
      <c r="E795" s="149"/>
      <c r="F795" s="149"/>
      <c r="G795" s="149"/>
      <c r="H795" s="149"/>
      <c r="I795" s="149"/>
      <c r="J795" s="149"/>
      <c r="K795" s="182"/>
      <c r="L795" s="149"/>
      <c r="M795" s="149"/>
      <c r="N795" s="149"/>
      <c r="O795" s="146"/>
      <c r="P795" s="146"/>
      <c r="Q795" s="146"/>
      <c r="R795" s="156"/>
      <c r="S795" s="146"/>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c r="AR795" s="146"/>
    </row>
    <row r="796" spans="1:44" ht="12.3">
      <c r="A796" s="157"/>
      <c r="B796" s="157"/>
      <c r="C796" s="149"/>
      <c r="D796" s="149"/>
      <c r="E796" s="149"/>
      <c r="F796" s="149"/>
      <c r="G796" s="149"/>
      <c r="H796" s="149"/>
      <c r="I796" s="149"/>
      <c r="J796" s="149"/>
      <c r="K796" s="182"/>
      <c r="L796" s="149"/>
      <c r="M796" s="149"/>
      <c r="N796" s="149"/>
      <c r="O796" s="146"/>
      <c r="P796" s="146"/>
      <c r="Q796" s="146"/>
      <c r="R796" s="156"/>
      <c r="S796" s="146"/>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c r="AR796" s="146"/>
    </row>
    <row r="797" spans="1:44" ht="12.3">
      <c r="A797" s="157"/>
      <c r="B797" s="157"/>
      <c r="C797" s="149"/>
      <c r="D797" s="149"/>
      <c r="E797" s="149"/>
      <c r="F797" s="149"/>
      <c r="G797" s="149"/>
      <c r="H797" s="149"/>
      <c r="I797" s="149"/>
      <c r="J797" s="149"/>
      <c r="K797" s="182"/>
      <c r="L797" s="149"/>
      <c r="M797" s="149"/>
      <c r="N797" s="149"/>
      <c r="O797" s="146"/>
      <c r="P797" s="146"/>
      <c r="Q797" s="146"/>
      <c r="R797" s="156"/>
      <c r="S797" s="146"/>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c r="AR797" s="146"/>
    </row>
    <row r="798" spans="1:44" ht="12.3">
      <c r="A798" s="157"/>
      <c r="B798" s="157"/>
      <c r="C798" s="149"/>
      <c r="D798" s="149"/>
      <c r="E798" s="149"/>
      <c r="F798" s="149"/>
      <c r="G798" s="149"/>
      <c r="H798" s="149"/>
      <c r="I798" s="149"/>
      <c r="J798" s="149"/>
      <c r="K798" s="182"/>
      <c r="L798" s="149"/>
      <c r="M798" s="149"/>
      <c r="N798" s="149"/>
      <c r="O798" s="146"/>
      <c r="P798" s="146"/>
      <c r="Q798" s="146"/>
      <c r="R798" s="156"/>
      <c r="S798" s="146"/>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row>
    <row r="799" spans="1:44" ht="12.3">
      <c r="A799" s="157"/>
      <c r="B799" s="157"/>
      <c r="C799" s="149"/>
      <c r="D799" s="149"/>
      <c r="E799" s="149"/>
      <c r="F799" s="149"/>
      <c r="G799" s="149"/>
      <c r="H799" s="149"/>
      <c r="I799" s="149"/>
      <c r="J799" s="149"/>
      <c r="K799" s="182"/>
      <c r="L799" s="149"/>
      <c r="M799" s="149"/>
      <c r="N799" s="149"/>
      <c r="O799" s="146"/>
      <c r="P799" s="146"/>
      <c r="Q799" s="146"/>
      <c r="R799" s="156"/>
      <c r="S799" s="146"/>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row>
    <row r="800" spans="1:44" ht="12.3">
      <c r="A800" s="157"/>
      <c r="B800" s="157"/>
      <c r="C800" s="149"/>
      <c r="D800" s="149"/>
      <c r="E800" s="149"/>
      <c r="F800" s="149"/>
      <c r="G800" s="149"/>
      <c r="H800" s="149"/>
      <c r="I800" s="149"/>
      <c r="J800" s="149"/>
      <c r="K800" s="182"/>
      <c r="L800" s="149"/>
      <c r="M800" s="149"/>
      <c r="N800" s="149"/>
      <c r="O800" s="146"/>
      <c r="P800" s="146"/>
      <c r="Q800" s="146"/>
      <c r="R800" s="156"/>
      <c r="S800" s="146"/>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row>
    <row r="801" spans="1:44" ht="12.3">
      <c r="A801" s="157"/>
      <c r="B801" s="157"/>
      <c r="C801" s="149"/>
      <c r="D801" s="149"/>
      <c r="E801" s="149"/>
      <c r="F801" s="149"/>
      <c r="G801" s="149"/>
      <c r="H801" s="149"/>
      <c r="I801" s="149"/>
      <c r="J801" s="149"/>
      <c r="K801" s="182"/>
      <c r="L801" s="149"/>
      <c r="M801" s="149"/>
      <c r="N801" s="149"/>
      <c r="O801" s="146"/>
      <c r="P801" s="146"/>
      <c r="Q801" s="146"/>
      <c r="R801" s="156"/>
      <c r="S801" s="146"/>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row>
    <row r="802" spans="1:44" ht="12.3">
      <c r="A802" s="157"/>
      <c r="B802" s="157"/>
      <c r="C802" s="149"/>
      <c r="D802" s="149"/>
      <c r="E802" s="149"/>
      <c r="F802" s="149"/>
      <c r="G802" s="149"/>
      <c r="H802" s="149"/>
      <c r="I802" s="149"/>
      <c r="J802" s="149"/>
      <c r="K802" s="182"/>
      <c r="L802" s="149"/>
      <c r="M802" s="149"/>
      <c r="N802" s="149"/>
      <c r="O802" s="146"/>
      <c r="P802" s="146"/>
      <c r="Q802" s="146"/>
      <c r="R802" s="156"/>
      <c r="S802" s="146"/>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row>
    <row r="803" spans="1:44" ht="12.3">
      <c r="A803" s="157"/>
      <c r="B803" s="157"/>
      <c r="C803" s="149"/>
      <c r="D803" s="149"/>
      <c r="E803" s="149"/>
      <c r="F803" s="149"/>
      <c r="G803" s="149"/>
      <c r="H803" s="149"/>
      <c r="I803" s="149"/>
      <c r="J803" s="149"/>
      <c r="K803" s="182"/>
      <c r="L803" s="149"/>
      <c r="M803" s="149"/>
      <c r="N803" s="149"/>
      <c r="O803" s="146"/>
      <c r="P803" s="146"/>
      <c r="Q803" s="146"/>
      <c r="R803" s="156"/>
      <c r="S803" s="146"/>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row>
    <row r="804" spans="1:44" ht="12.3">
      <c r="A804" s="157"/>
      <c r="B804" s="157"/>
      <c r="C804" s="149"/>
      <c r="D804" s="149"/>
      <c r="E804" s="149"/>
      <c r="F804" s="149"/>
      <c r="G804" s="149"/>
      <c r="H804" s="149"/>
      <c r="I804" s="149"/>
      <c r="J804" s="149"/>
      <c r="K804" s="182"/>
      <c r="L804" s="149"/>
      <c r="M804" s="149"/>
      <c r="N804" s="149"/>
      <c r="O804" s="146"/>
      <c r="P804" s="146"/>
      <c r="Q804" s="146"/>
      <c r="R804" s="156"/>
      <c r="S804" s="146"/>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row>
    <row r="805" spans="1:44" ht="12.3">
      <c r="A805" s="157"/>
      <c r="B805" s="157"/>
      <c r="C805" s="149"/>
      <c r="D805" s="149"/>
      <c r="E805" s="149"/>
      <c r="F805" s="149"/>
      <c r="G805" s="149"/>
      <c r="H805" s="149"/>
      <c r="I805" s="149"/>
      <c r="J805" s="149"/>
      <c r="K805" s="182"/>
      <c r="L805" s="149"/>
      <c r="M805" s="149"/>
      <c r="N805" s="149"/>
      <c r="O805" s="146"/>
      <c r="P805" s="146"/>
      <c r="Q805" s="146"/>
      <c r="R805" s="156"/>
      <c r="S805" s="146"/>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row>
    <row r="806" spans="1:44" ht="12.3">
      <c r="A806" s="157"/>
      <c r="B806" s="157"/>
      <c r="C806" s="149"/>
      <c r="D806" s="149"/>
      <c r="E806" s="149"/>
      <c r="F806" s="149"/>
      <c r="G806" s="149"/>
      <c r="H806" s="149"/>
      <c r="I806" s="149"/>
      <c r="J806" s="149"/>
      <c r="K806" s="182"/>
      <c r="L806" s="149"/>
      <c r="M806" s="149"/>
      <c r="N806" s="149"/>
      <c r="O806" s="146"/>
      <c r="P806" s="146"/>
      <c r="Q806" s="146"/>
      <c r="R806" s="156"/>
      <c r="S806" s="146"/>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row>
    <row r="807" spans="1:44" ht="12.3">
      <c r="A807" s="157"/>
      <c r="B807" s="157"/>
      <c r="C807" s="149"/>
      <c r="D807" s="149"/>
      <c r="E807" s="149"/>
      <c r="F807" s="149"/>
      <c r="G807" s="149"/>
      <c r="H807" s="149"/>
      <c r="I807" s="149"/>
      <c r="J807" s="149"/>
      <c r="K807" s="182"/>
      <c r="L807" s="149"/>
      <c r="M807" s="149"/>
      <c r="N807" s="149"/>
      <c r="O807" s="146"/>
      <c r="P807" s="146"/>
      <c r="Q807" s="146"/>
      <c r="R807" s="156"/>
      <c r="S807" s="146"/>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row>
    <row r="808" spans="1:44" ht="12.3">
      <c r="A808" s="157"/>
      <c r="B808" s="157"/>
      <c r="C808" s="149"/>
      <c r="D808" s="149"/>
      <c r="E808" s="149"/>
      <c r="F808" s="149"/>
      <c r="G808" s="149"/>
      <c r="H808" s="149"/>
      <c r="I808" s="149"/>
      <c r="J808" s="149"/>
      <c r="K808" s="182"/>
      <c r="L808" s="149"/>
      <c r="M808" s="149"/>
      <c r="N808" s="149"/>
      <c r="O808" s="146"/>
      <c r="P808" s="146"/>
      <c r="Q808" s="146"/>
      <c r="R808" s="156"/>
      <c r="S808" s="146"/>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row>
    <row r="809" spans="1:44" ht="12.3">
      <c r="A809" s="157"/>
      <c r="B809" s="157"/>
      <c r="C809" s="149"/>
      <c r="D809" s="149"/>
      <c r="E809" s="149"/>
      <c r="F809" s="149"/>
      <c r="G809" s="149"/>
      <c r="H809" s="149"/>
      <c r="I809" s="149"/>
      <c r="J809" s="149"/>
      <c r="K809" s="182"/>
      <c r="L809" s="149"/>
      <c r="M809" s="149"/>
      <c r="N809" s="149"/>
      <c r="O809" s="146"/>
      <c r="P809" s="146"/>
      <c r="Q809" s="146"/>
      <c r="R809" s="156"/>
      <c r="S809" s="146"/>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row>
    <row r="810" spans="1:44" ht="12.3">
      <c r="A810" s="157"/>
      <c r="B810" s="157"/>
      <c r="C810" s="149"/>
      <c r="D810" s="149"/>
      <c r="E810" s="149"/>
      <c r="F810" s="149"/>
      <c r="G810" s="149"/>
      <c r="H810" s="149"/>
      <c r="I810" s="149"/>
      <c r="J810" s="149"/>
      <c r="K810" s="182"/>
      <c r="L810" s="149"/>
      <c r="M810" s="149"/>
      <c r="N810" s="149"/>
      <c r="O810" s="146"/>
      <c r="P810" s="146"/>
      <c r="Q810" s="146"/>
      <c r="R810" s="156"/>
      <c r="S810" s="146"/>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row>
    <row r="811" spans="1:44" ht="12.3">
      <c r="A811" s="157"/>
      <c r="B811" s="157"/>
      <c r="C811" s="149"/>
      <c r="D811" s="149"/>
      <c r="E811" s="149"/>
      <c r="F811" s="149"/>
      <c r="G811" s="149"/>
      <c r="H811" s="149"/>
      <c r="I811" s="149"/>
      <c r="J811" s="149"/>
      <c r="K811" s="182"/>
      <c r="L811" s="149"/>
      <c r="M811" s="149"/>
      <c r="N811" s="149"/>
      <c r="O811" s="146"/>
      <c r="P811" s="146"/>
      <c r="Q811" s="146"/>
      <c r="R811" s="156"/>
      <c r="S811" s="146"/>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row>
    <row r="812" spans="1:44" ht="12.3">
      <c r="A812" s="157"/>
      <c r="B812" s="157"/>
      <c r="C812" s="149"/>
      <c r="D812" s="149"/>
      <c r="E812" s="149"/>
      <c r="F812" s="149"/>
      <c r="G812" s="149"/>
      <c r="H812" s="149"/>
      <c r="I812" s="149"/>
      <c r="J812" s="149"/>
      <c r="K812" s="182"/>
      <c r="L812" s="149"/>
      <c r="M812" s="149"/>
      <c r="N812" s="149"/>
      <c r="O812" s="146"/>
      <c r="P812" s="146"/>
      <c r="Q812" s="146"/>
      <c r="R812" s="156"/>
      <c r="S812" s="146"/>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row>
    <row r="813" spans="1:44" ht="12.3">
      <c r="A813" s="157"/>
      <c r="B813" s="157"/>
      <c r="C813" s="149"/>
      <c r="D813" s="149"/>
      <c r="E813" s="149"/>
      <c r="F813" s="149"/>
      <c r="G813" s="149"/>
      <c r="H813" s="149"/>
      <c r="I813" s="149"/>
      <c r="J813" s="149"/>
      <c r="K813" s="182"/>
      <c r="L813" s="149"/>
      <c r="M813" s="149"/>
      <c r="N813" s="149"/>
      <c r="O813" s="146"/>
      <c r="P813" s="146"/>
      <c r="Q813" s="146"/>
      <c r="R813" s="156"/>
      <c r="S813" s="146"/>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row>
    <row r="814" spans="1:44" ht="12.3">
      <c r="A814" s="157"/>
      <c r="B814" s="157"/>
      <c r="C814" s="149"/>
      <c r="D814" s="149"/>
      <c r="E814" s="149"/>
      <c r="F814" s="149"/>
      <c r="G814" s="149"/>
      <c r="H814" s="149"/>
      <c r="I814" s="149"/>
      <c r="J814" s="149"/>
      <c r="K814" s="182"/>
      <c r="L814" s="149"/>
      <c r="M814" s="149"/>
      <c r="N814" s="149"/>
      <c r="O814" s="146"/>
      <c r="P814" s="146"/>
      <c r="Q814" s="146"/>
      <c r="R814" s="156"/>
      <c r="S814" s="146"/>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row>
    <row r="815" spans="1:44" ht="12.3">
      <c r="A815" s="157"/>
      <c r="B815" s="157"/>
      <c r="C815" s="149"/>
      <c r="D815" s="149"/>
      <c r="E815" s="149"/>
      <c r="F815" s="149"/>
      <c r="G815" s="149"/>
      <c r="H815" s="149"/>
      <c r="I815" s="149"/>
      <c r="J815" s="149"/>
      <c r="K815" s="182"/>
      <c r="L815" s="149"/>
      <c r="M815" s="149"/>
      <c r="N815" s="149"/>
      <c r="O815" s="146"/>
      <c r="P815" s="146"/>
      <c r="Q815" s="146"/>
      <c r="R815" s="156"/>
      <c r="S815" s="146"/>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row>
    <row r="816" spans="1:44" ht="12.3">
      <c r="A816" s="157"/>
      <c r="B816" s="157"/>
      <c r="C816" s="149"/>
      <c r="D816" s="149"/>
      <c r="E816" s="149"/>
      <c r="F816" s="149"/>
      <c r="G816" s="149"/>
      <c r="H816" s="149"/>
      <c r="I816" s="149"/>
      <c r="J816" s="149"/>
      <c r="K816" s="182"/>
      <c r="L816" s="149"/>
      <c r="M816" s="149"/>
      <c r="N816" s="149"/>
      <c r="O816" s="146"/>
      <c r="P816" s="146"/>
      <c r="Q816" s="146"/>
      <c r="R816" s="156"/>
      <c r="S816" s="146"/>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row>
    <row r="817" spans="1:44" ht="12.3">
      <c r="A817" s="157"/>
      <c r="B817" s="157"/>
      <c r="C817" s="149"/>
      <c r="D817" s="149"/>
      <c r="E817" s="149"/>
      <c r="F817" s="149"/>
      <c r="G817" s="149"/>
      <c r="H817" s="149"/>
      <c r="I817" s="149"/>
      <c r="J817" s="149"/>
      <c r="K817" s="182"/>
      <c r="L817" s="149"/>
      <c r="M817" s="149"/>
      <c r="N817" s="149"/>
      <c r="O817" s="146"/>
      <c r="P817" s="146"/>
      <c r="Q817" s="146"/>
      <c r="R817" s="156"/>
      <c r="S817" s="146"/>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row>
    <row r="818" spans="1:44" ht="12.3">
      <c r="A818" s="157"/>
      <c r="B818" s="157"/>
      <c r="C818" s="149"/>
      <c r="D818" s="149"/>
      <c r="E818" s="149"/>
      <c r="F818" s="149"/>
      <c r="G818" s="149"/>
      <c r="H818" s="149"/>
      <c r="I818" s="149"/>
      <c r="J818" s="149"/>
      <c r="K818" s="182"/>
      <c r="L818" s="149"/>
      <c r="M818" s="149"/>
      <c r="N818" s="149"/>
      <c r="O818" s="146"/>
      <c r="P818" s="146"/>
      <c r="Q818" s="146"/>
      <c r="R818" s="156"/>
      <c r="S818" s="146"/>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row>
    <row r="819" spans="1:44" ht="12.3">
      <c r="A819" s="157"/>
      <c r="B819" s="157"/>
      <c r="C819" s="149"/>
      <c r="D819" s="149"/>
      <c r="E819" s="149"/>
      <c r="F819" s="149"/>
      <c r="G819" s="149"/>
      <c r="H819" s="149"/>
      <c r="I819" s="149"/>
      <c r="J819" s="149"/>
      <c r="K819" s="182"/>
      <c r="L819" s="149"/>
      <c r="M819" s="149"/>
      <c r="N819" s="149"/>
      <c r="O819" s="146"/>
      <c r="P819" s="146"/>
      <c r="Q819" s="146"/>
      <c r="R819" s="156"/>
      <c r="S819" s="146"/>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row>
    <row r="820" spans="1:44" ht="12.3">
      <c r="A820" s="157"/>
      <c r="B820" s="157"/>
      <c r="C820" s="149"/>
      <c r="D820" s="149"/>
      <c r="E820" s="149"/>
      <c r="F820" s="149"/>
      <c r="G820" s="149"/>
      <c r="H820" s="149"/>
      <c r="I820" s="149"/>
      <c r="J820" s="149"/>
      <c r="K820" s="182"/>
      <c r="L820" s="149"/>
      <c r="M820" s="149"/>
      <c r="N820" s="149"/>
      <c r="O820" s="146"/>
      <c r="P820" s="146"/>
      <c r="Q820" s="146"/>
      <c r="R820" s="156"/>
      <c r="S820" s="146"/>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row>
    <row r="821" spans="1:44" ht="12.3">
      <c r="A821" s="157"/>
      <c r="B821" s="157"/>
      <c r="C821" s="149"/>
      <c r="D821" s="149"/>
      <c r="E821" s="149"/>
      <c r="F821" s="149"/>
      <c r="G821" s="149"/>
      <c r="H821" s="149"/>
      <c r="I821" s="149"/>
      <c r="J821" s="149"/>
      <c r="K821" s="182"/>
      <c r="L821" s="149"/>
      <c r="M821" s="149"/>
      <c r="N821" s="149"/>
      <c r="O821" s="146"/>
      <c r="P821" s="146"/>
      <c r="Q821" s="146"/>
      <c r="R821" s="156"/>
      <c r="S821" s="146"/>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row>
    <row r="822" spans="1:44" ht="12.3">
      <c r="A822" s="157"/>
      <c r="B822" s="157"/>
      <c r="C822" s="149"/>
      <c r="D822" s="149"/>
      <c r="E822" s="149"/>
      <c r="F822" s="149"/>
      <c r="G822" s="149"/>
      <c r="H822" s="149"/>
      <c r="I822" s="149"/>
      <c r="J822" s="149"/>
      <c r="K822" s="182"/>
      <c r="L822" s="149"/>
      <c r="M822" s="149"/>
      <c r="N822" s="149"/>
      <c r="O822" s="146"/>
      <c r="P822" s="146"/>
      <c r="Q822" s="146"/>
      <c r="R822" s="156"/>
      <c r="S822" s="146"/>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row>
    <row r="823" spans="1:44" ht="12.3">
      <c r="A823" s="157"/>
      <c r="B823" s="157"/>
      <c r="C823" s="149"/>
      <c r="D823" s="149"/>
      <c r="E823" s="149"/>
      <c r="F823" s="149"/>
      <c r="G823" s="149"/>
      <c r="H823" s="149"/>
      <c r="I823" s="149"/>
      <c r="J823" s="149"/>
      <c r="K823" s="182"/>
      <c r="L823" s="149"/>
      <c r="M823" s="149"/>
      <c r="N823" s="149"/>
      <c r="O823" s="146"/>
      <c r="P823" s="146"/>
      <c r="Q823" s="146"/>
      <c r="R823" s="156"/>
      <c r="S823" s="146"/>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row>
    <row r="824" spans="1:44" ht="12.3">
      <c r="A824" s="157"/>
      <c r="B824" s="157"/>
      <c r="C824" s="149"/>
      <c r="D824" s="149"/>
      <c r="E824" s="149"/>
      <c r="F824" s="149"/>
      <c r="G824" s="149"/>
      <c r="H824" s="149"/>
      <c r="I824" s="149"/>
      <c r="J824" s="149"/>
      <c r="K824" s="182"/>
      <c r="L824" s="149"/>
      <c r="M824" s="149"/>
      <c r="N824" s="149"/>
      <c r="O824" s="146"/>
      <c r="P824" s="146"/>
      <c r="Q824" s="146"/>
      <c r="R824" s="156"/>
      <c r="S824" s="146"/>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row>
    <row r="825" spans="1:44" ht="12.3">
      <c r="A825" s="157"/>
      <c r="B825" s="157"/>
      <c r="C825" s="149"/>
      <c r="D825" s="149"/>
      <c r="E825" s="149"/>
      <c r="F825" s="149"/>
      <c r="G825" s="149"/>
      <c r="H825" s="149"/>
      <c r="I825" s="149"/>
      <c r="J825" s="149"/>
      <c r="K825" s="182"/>
      <c r="L825" s="149"/>
      <c r="M825" s="149"/>
      <c r="N825" s="149"/>
      <c r="O825" s="146"/>
      <c r="P825" s="146"/>
      <c r="Q825" s="146"/>
      <c r="R825" s="156"/>
      <c r="S825" s="146"/>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row>
    <row r="826" spans="1:44" ht="12.3">
      <c r="A826" s="157"/>
      <c r="B826" s="157"/>
      <c r="C826" s="149"/>
      <c r="D826" s="149"/>
      <c r="E826" s="149"/>
      <c r="F826" s="149"/>
      <c r="G826" s="149"/>
      <c r="H826" s="149"/>
      <c r="I826" s="149"/>
      <c r="J826" s="149"/>
      <c r="K826" s="182"/>
      <c r="L826" s="149"/>
      <c r="M826" s="149"/>
      <c r="N826" s="149"/>
      <c r="O826" s="146"/>
      <c r="P826" s="146"/>
      <c r="Q826" s="146"/>
      <c r="R826" s="156"/>
      <c r="S826" s="146"/>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row>
    <row r="827" spans="1:44" ht="12.3">
      <c r="A827" s="157"/>
      <c r="B827" s="157"/>
      <c r="C827" s="149"/>
      <c r="D827" s="149"/>
      <c r="E827" s="149"/>
      <c r="F827" s="149"/>
      <c r="G827" s="149"/>
      <c r="H827" s="149"/>
      <c r="I827" s="149"/>
      <c r="J827" s="149"/>
      <c r="K827" s="182"/>
      <c r="L827" s="149"/>
      <c r="M827" s="149"/>
      <c r="N827" s="149"/>
      <c r="O827" s="146"/>
      <c r="P827" s="146"/>
      <c r="Q827" s="146"/>
      <c r="R827" s="156"/>
      <c r="S827" s="146"/>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row>
    <row r="828" spans="1:44" ht="12.3">
      <c r="A828" s="157"/>
      <c r="B828" s="157"/>
      <c r="C828" s="149"/>
      <c r="D828" s="149"/>
      <c r="E828" s="149"/>
      <c r="F828" s="149"/>
      <c r="G828" s="149"/>
      <c r="H828" s="149"/>
      <c r="I828" s="149"/>
      <c r="J828" s="149"/>
      <c r="K828" s="182"/>
      <c r="L828" s="149"/>
      <c r="M828" s="149"/>
      <c r="N828" s="149"/>
      <c r="O828" s="146"/>
      <c r="P828" s="146"/>
      <c r="Q828" s="146"/>
      <c r="R828" s="156"/>
      <c r="S828" s="146"/>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row>
    <row r="829" spans="1:44" ht="12.3">
      <c r="A829" s="157"/>
      <c r="B829" s="157"/>
      <c r="C829" s="149"/>
      <c r="D829" s="149"/>
      <c r="E829" s="149"/>
      <c r="F829" s="149"/>
      <c r="G829" s="149"/>
      <c r="H829" s="149"/>
      <c r="I829" s="149"/>
      <c r="J829" s="149"/>
      <c r="K829" s="182"/>
      <c r="L829" s="149"/>
      <c r="M829" s="149"/>
      <c r="N829" s="149"/>
      <c r="O829" s="146"/>
      <c r="P829" s="146"/>
      <c r="Q829" s="146"/>
      <c r="R829" s="156"/>
      <c r="S829" s="146"/>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row>
    <row r="830" spans="1:44" ht="12.3">
      <c r="A830" s="157"/>
      <c r="B830" s="157"/>
      <c r="C830" s="149"/>
      <c r="D830" s="149"/>
      <c r="E830" s="149"/>
      <c r="F830" s="149"/>
      <c r="G830" s="149"/>
      <c r="H830" s="149"/>
      <c r="I830" s="149"/>
      <c r="J830" s="149"/>
      <c r="K830" s="182"/>
      <c r="L830" s="149"/>
      <c r="M830" s="149"/>
      <c r="N830" s="149"/>
      <c r="O830" s="146"/>
      <c r="P830" s="146"/>
      <c r="Q830" s="146"/>
      <c r="R830" s="156"/>
      <c r="S830" s="146"/>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row>
    <row r="831" spans="1:44" ht="12.3">
      <c r="A831" s="157"/>
      <c r="B831" s="157"/>
      <c r="C831" s="149"/>
      <c r="D831" s="149"/>
      <c r="E831" s="149"/>
      <c r="F831" s="149"/>
      <c r="G831" s="149"/>
      <c r="H831" s="149"/>
      <c r="I831" s="149"/>
      <c r="J831" s="149"/>
      <c r="K831" s="182"/>
      <c r="L831" s="149"/>
      <c r="M831" s="149"/>
      <c r="N831" s="149"/>
      <c r="O831" s="146"/>
      <c r="P831" s="146"/>
      <c r="Q831" s="146"/>
      <c r="R831" s="156"/>
      <c r="S831" s="146"/>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row>
    <row r="832" spans="1:44" ht="12.3">
      <c r="A832" s="157"/>
      <c r="B832" s="157"/>
      <c r="C832" s="149"/>
      <c r="D832" s="149"/>
      <c r="E832" s="149"/>
      <c r="F832" s="149"/>
      <c r="G832" s="149"/>
      <c r="H832" s="149"/>
      <c r="I832" s="149"/>
      <c r="J832" s="149"/>
      <c r="K832" s="182"/>
      <c r="L832" s="149"/>
      <c r="M832" s="149"/>
      <c r="N832" s="149"/>
      <c r="O832" s="146"/>
      <c r="P832" s="146"/>
      <c r="Q832" s="146"/>
      <c r="R832" s="156"/>
      <c r="S832" s="146"/>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row>
    <row r="833" spans="1:44" ht="12.3">
      <c r="A833" s="157"/>
      <c r="B833" s="157"/>
      <c r="C833" s="149"/>
      <c r="D833" s="149"/>
      <c r="E833" s="149"/>
      <c r="F833" s="149"/>
      <c r="G833" s="149"/>
      <c r="H833" s="149"/>
      <c r="I833" s="149"/>
      <c r="J833" s="149"/>
      <c r="K833" s="182"/>
      <c r="L833" s="149"/>
      <c r="M833" s="149"/>
      <c r="N833" s="149"/>
      <c r="O833" s="146"/>
      <c r="P833" s="146"/>
      <c r="Q833" s="146"/>
      <c r="R833" s="156"/>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row>
    <row r="834" spans="1:44" ht="12.3">
      <c r="A834" s="157"/>
      <c r="B834" s="157"/>
      <c r="C834" s="149"/>
      <c r="D834" s="149"/>
      <c r="E834" s="149"/>
      <c r="F834" s="149"/>
      <c r="G834" s="149"/>
      <c r="H834" s="149"/>
      <c r="I834" s="149"/>
      <c r="J834" s="149"/>
      <c r="K834" s="182"/>
      <c r="L834" s="149"/>
      <c r="M834" s="149"/>
      <c r="N834" s="149"/>
      <c r="O834" s="146"/>
      <c r="P834" s="146"/>
      <c r="Q834" s="146"/>
      <c r="R834" s="156"/>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row>
    <row r="835" spans="1:44" ht="12.3">
      <c r="A835" s="157"/>
      <c r="B835" s="157"/>
      <c r="C835" s="149"/>
      <c r="D835" s="149"/>
      <c r="E835" s="149"/>
      <c r="F835" s="149"/>
      <c r="G835" s="149"/>
      <c r="H835" s="149"/>
      <c r="I835" s="149"/>
      <c r="J835" s="149"/>
      <c r="K835" s="182"/>
      <c r="L835" s="149"/>
      <c r="M835" s="149"/>
      <c r="N835" s="149"/>
      <c r="O835" s="146"/>
      <c r="P835" s="146"/>
      <c r="Q835" s="146"/>
      <c r="R835" s="156"/>
      <c r="S835" s="146"/>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row>
    <row r="836" spans="1:44" ht="12.3">
      <c r="A836" s="157"/>
      <c r="B836" s="157"/>
      <c r="C836" s="149"/>
      <c r="D836" s="149"/>
      <c r="E836" s="149"/>
      <c r="F836" s="149"/>
      <c r="G836" s="149"/>
      <c r="H836" s="149"/>
      <c r="I836" s="149"/>
      <c r="J836" s="149"/>
      <c r="K836" s="182"/>
      <c r="L836" s="149"/>
      <c r="M836" s="149"/>
      <c r="N836" s="149"/>
      <c r="O836" s="146"/>
      <c r="P836" s="146"/>
      <c r="Q836" s="146"/>
      <c r="R836" s="156"/>
      <c r="S836" s="146"/>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row>
    <row r="837" spans="1:44" ht="12.3">
      <c r="A837" s="157"/>
      <c r="B837" s="157"/>
      <c r="C837" s="149"/>
      <c r="D837" s="149"/>
      <c r="E837" s="149"/>
      <c r="F837" s="149"/>
      <c r="G837" s="149"/>
      <c r="H837" s="149"/>
      <c r="I837" s="149"/>
      <c r="J837" s="149"/>
      <c r="K837" s="182"/>
      <c r="L837" s="149"/>
      <c r="M837" s="149"/>
      <c r="N837" s="149"/>
      <c r="O837" s="146"/>
      <c r="P837" s="146"/>
      <c r="Q837" s="146"/>
      <c r="R837" s="156"/>
      <c r="S837" s="146"/>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row>
    <row r="838" spans="1:44" ht="12.3">
      <c r="A838" s="157"/>
      <c r="B838" s="157"/>
      <c r="C838" s="149"/>
      <c r="D838" s="149"/>
      <c r="E838" s="149"/>
      <c r="F838" s="149"/>
      <c r="G838" s="149"/>
      <c r="H838" s="149"/>
      <c r="I838" s="149"/>
      <c r="J838" s="149"/>
      <c r="K838" s="182"/>
      <c r="L838" s="149"/>
      <c r="M838" s="149"/>
      <c r="N838" s="149"/>
      <c r="O838" s="146"/>
      <c r="P838" s="146"/>
      <c r="Q838" s="146"/>
      <c r="R838" s="156"/>
      <c r="S838" s="146"/>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row>
    <row r="839" spans="1:44" ht="12.3">
      <c r="A839" s="157"/>
      <c r="B839" s="157"/>
      <c r="C839" s="149"/>
      <c r="D839" s="149"/>
      <c r="E839" s="149"/>
      <c r="F839" s="149"/>
      <c r="G839" s="149"/>
      <c r="H839" s="149"/>
      <c r="I839" s="149"/>
      <c r="J839" s="149"/>
      <c r="K839" s="182"/>
      <c r="L839" s="149"/>
      <c r="M839" s="149"/>
      <c r="N839" s="149"/>
      <c r="O839" s="146"/>
      <c r="P839" s="146"/>
      <c r="Q839" s="146"/>
      <c r="R839" s="156"/>
      <c r="S839" s="146"/>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row>
    <row r="840" spans="1:44" ht="12.3">
      <c r="A840" s="157"/>
      <c r="B840" s="157"/>
      <c r="C840" s="149"/>
      <c r="D840" s="149"/>
      <c r="E840" s="149"/>
      <c r="F840" s="149"/>
      <c r="G840" s="149"/>
      <c r="H840" s="149"/>
      <c r="I840" s="149"/>
      <c r="J840" s="149"/>
      <c r="K840" s="182"/>
      <c r="L840" s="149"/>
      <c r="M840" s="149"/>
      <c r="N840" s="149"/>
      <c r="O840" s="146"/>
      <c r="P840" s="146"/>
      <c r="Q840" s="146"/>
      <c r="R840" s="156"/>
      <c r="S840" s="146"/>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row>
    <row r="841" spans="1:44" ht="12.3">
      <c r="A841" s="157"/>
      <c r="B841" s="157"/>
      <c r="C841" s="149"/>
      <c r="D841" s="149"/>
      <c r="E841" s="149"/>
      <c r="F841" s="149"/>
      <c r="G841" s="149"/>
      <c r="H841" s="149"/>
      <c r="I841" s="149"/>
      <c r="J841" s="149"/>
      <c r="K841" s="182"/>
      <c r="L841" s="149"/>
      <c r="M841" s="149"/>
      <c r="N841" s="149"/>
      <c r="O841" s="146"/>
      <c r="P841" s="146"/>
      <c r="Q841" s="146"/>
      <c r="R841" s="156"/>
      <c r="S841" s="146"/>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row>
    <row r="842" spans="1:44" ht="12.3">
      <c r="A842" s="157"/>
      <c r="B842" s="157"/>
      <c r="C842" s="149"/>
      <c r="D842" s="149"/>
      <c r="E842" s="149"/>
      <c r="F842" s="149"/>
      <c r="G842" s="149"/>
      <c r="H842" s="149"/>
      <c r="I842" s="149"/>
      <c r="J842" s="149"/>
      <c r="K842" s="182"/>
      <c r="L842" s="149"/>
      <c r="M842" s="149"/>
      <c r="N842" s="149"/>
      <c r="O842" s="146"/>
      <c r="P842" s="146"/>
      <c r="Q842" s="146"/>
      <c r="R842" s="156"/>
      <c r="S842" s="146"/>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row>
    <row r="843" spans="1:44" ht="12.3">
      <c r="A843" s="157"/>
      <c r="B843" s="157"/>
      <c r="C843" s="149"/>
      <c r="D843" s="149"/>
      <c r="E843" s="149"/>
      <c r="F843" s="149"/>
      <c r="G843" s="149"/>
      <c r="H843" s="149"/>
      <c r="I843" s="149"/>
      <c r="J843" s="149"/>
      <c r="K843" s="182"/>
      <c r="L843" s="149"/>
      <c r="M843" s="149"/>
      <c r="N843" s="149"/>
      <c r="O843" s="146"/>
      <c r="P843" s="146"/>
      <c r="Q843" s="146"/>
      <c r="R843" s="156"/>
      <c r="S843" s="146"/>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row>
    <row r="844" spans="1:44" ht="12.3">
      <c r="A844" s="157"/>
      <c r="B844" s="157"/>
      <c r="C844" s="149"/>
      <c r="D844" s="149"/>
      <c r="E844" s="149"/>
      <c r="F844" s="149"/>
      <c r="G844" s="149"/>
      <c r="H844" s="149"/>
      <c r="I844" s="149"/>
      <c r="J844" s="149"/>
      <c r="K844" s="182"/>
      <c r="L844" s="149"/>
      <c r="M844" s="149"/>
      <c r="N844" s="149"/>
      <c r="O844" s="146"/>
      <c r="P844" s="146"/>
      <c r="Q844" s="146"/>
      <c r="R844" s="156"/>
      <c r="S844" s="146"/>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row>
    <row r="845" spans="1:44" ht="12.3">
      <c r="A845" s="157"/>
      <c r="B845" s="157"/>
      <c r="C845" s="149"/>
      <c r="D845" s="149"/>
      <c r="E845" s="149"/>
      <c r="F845" s="149"/>
      <c r="G845" s="149"/>
      <c r="H845" s="149"/>
      <c r="I845" s="149"/>
      <c r="J845" s="149"/>
      <c r="K845" s="182"/>
      <c r="L845" s="149"/>
      <c r="M845" s="149"/>
      <c r="N845" s="149"/>
      <c r="O845" s="146"/>
      <c r="P845" s="146"/>
      <c r="Q845" s="146"/>
      <c r="R845" s="156"/>
      <c r="S845" s="146"/>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row>
    <row r="846" spans="1:44" ht="12.3">
      <c r="A846" s="157"/>
      <c r="B846" s="157"/>
      <c r="C846" s="149"/>
      <c r="D846" s="149"/>
      <c r="E846" s="149"/>
      <c r="F846" s="149"/>
      <c r="G846" s="149"/>
      <c r="H846" s="149"/>
      <c r="I846" s="149"/>
      <c r="J846" s="149"/>
      <c r="K846" s="182"/>
      <c r="L846" s="149"/>
      <c r="M846" s="149"/>
      <c r="N846" s="149"/>
      <c r="O846" s="146"/>
      <c r="P846" s="146"/>
      <c r="Q846" s="146"/>
      <c r="R846" s="156"/>
      <c r="S846" s="146"/>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row>
    <row r="847" spans="1:44" ht="12.3">
      <c r="A847" s="157"/>
      <c r="B847" s="157"/>
      <c r="C847" s="149"/>
      <c r="D847" s="149"/>
      <c r="E847" s="149"/>
      <c r="F847" s="149"/>
      <c r="G847" s="149"/>
      <c r="H847" s="149"/>
      <c r="I847" s="149"/>
      <c r="J847" s="149"/>
      <c r="K847" s="182"/>
      <c r="L847" s="149"/>
      <c r="M847" s="149"/>
      <c r="N847" s="149"/>
      <c r="O847" s="146"/>
      <c r="P847" s="146"/>
      <c r="Q847" s="146"/>
      <c r="R847" s="156"/>
      <c r="S847" s="146"/>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row>
    <row r="848" spans="1:44" ht="12.3">
      <c r="A848" s="157"/>
      <c r="B848" s="157"/>
      <c r="C848" s="149"/>
      <c r="D848" s="149"/>
      <c r="E848" s="149"/>
      <c r="F848" s="149"/>
      <c r="G848" s="149"/>
      <c r="H848" s="149"/>
      <c r="I848" s="149"/>
      <c r="J848" s="149"/>
      <c r="K848" s="182"/>
      <c r="L848" s="149"/>
      <c r="M848" s="149"/>
      <c r="N848" s="149"/>
      <c r="O848" s="146"/>
      <c r="P848" s="146"/>
      <c r="Q848" s="146"/>
      <c r="R848" s="156"/>
      <c r="S848" s="146"/>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row>
    <row r="849" spans="1:44" ht="12.3">
      <c r="A849" s="157"/>
      <c r="B849" s="157"/>
      <c r="C849" s="149"/>
      <c r="D849" s="149"/>
      <c r="E849" s="149"/>
      <c r="F849" s="149"/>
      <c r="G849" s="149"/>
      <c r="H849" s="149"/>
      <c r="I849" s="149"/>
      <c r="J849" s="149"/>
      <c r="K849" s="182"/>
      <c r="L849" s="149"/>
      <c r="M849" s="149"/>
      <c r="N849" s="149"/>
      <c r="O849" s="146"/>
      <c r="P849" s="146"/>
      <c r="Q849" s="146"/>
      <c r="R849" s="156"/>
      <c r="S849" s="146"/>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row>
    <row r="850" spans="1:44" ht="12.3">
      <c r="A850" s="157"/>
      <c r="B850" s="157"/>
      <c r="C850" s="149"/>
      <c r="D850" s="149"/>
      <c r="E850" s="149"/>
      <c r="F850" s="149"/>
      <c r="G850" s="149"/>
      <c r="H850" s="149"/>
      <c r="I850" s="149"/>
      <c r="J850" s="149"/>
      <c r="K850" s="182"/>
      <c r="L850" s="149"/>
      <c r="M850" s="149"/>
      <c r="N850" s="149"/>
      <c r="O850" s="146"/>
      <c r="P850" s="146"/>
      <c r="Q850" s="146"/>
      <c r="R850" s="156"/>
      <c r="S850" s="146"/>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row>
    <row r="851" spans="1:44" ht="12.3">
      <c r="A851" s="157"/>
      <c r="B851" s="157"/>
      <c r="C851" s="149"/>
      <c r="D851" s="149"/>
      <c r="E851" s="149"/>
      <c r="F851" s="149"/>
      <c r="G851" s="149"/>
      <c r="H851" s="149"/>
      <c r="I851" s="149"/>
      <c r="J851" s="149"/>
      <c r="K851" s="182"/>
      <c r="L851" s="149"/>
      <c r="M851" s="149"/>
      <c r="N851" s="149"/>
      <c r="O851" s="146"/>
      <c r="P851" s="146"/>
      <c r="Q851" s="146"/>
      <c r="R851" s="156"/>
      <c r="S851" s="146"/>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row>
    <row r="852" spans="1:44" ht="12.3">
      <c r="A852" s="157"/>
      <c r="B852" s="157"/>
      <c r="C852" s="149"/>
      <c r="D852" s="149"/>
      <c r="E852" s="149"/>
      <c r="F852" s="149"/>
      <c r="G852" s="149"/>
      <c r="H852" s="149"/>
      <c r="I852" s="149"/>
      <c r="J852" s="149"/>
      <c r="K852" s="182"/>
      <c r="L852" s="149"/>
      <c r="M852" s="149"/>
      <c r="N852" s="149"/>
      <c r="O852" s="146"/>
      <c r="P852" s="146"/>
      <c r="Q852" s="146"/>
      <c r="R852" s="156"/>
      <c r="S852" s="146"/>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row>
    <row r="853" spans="1:44" ht="12.3">
      <c r="A853" s="157"/>
      <c r="B853" s="157"/>
      <c r="C853" s="149"/>
      <c r="D853" s="149"/>
      <c r="E853" s="149"/>
      <c r="F853" s="149"/>
      <c r="G853" s="149"/>
      <c r="H853" s="149"/>
      <c r="I853" s="149"/>
      <c r="J853" s="149"/>
      <c r="K853" s="182"/>
      <c r="L853" s="149"/>
      <c r="M853" s="149"/>
      <c r="N853" s="149"/>
      <c r="O853" s="146"/>
      <c r="P853" s="146"/>
      <c r="Q853" s="146"/>
      <c r="R853" s="156"/>
      <c r="S853" s="146"/>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row>
    <row r="854" spans="1:44" ht="12.3">
      <c r="A854" s="157"/>
      <c r="B854" s="157"/>
      <c r="C854" s="149"/>
      <c r="D854" s="149"/>
      <c r="E854" s="149"/>
      <c r="F854" s="149"/>
      <c r="G854" s="149"/>
      <c r="H854" s="149"/>
      <c r="I854" s="149"/>
      <c r="J854" s="149"/>
      <c r="K854" s="182"/>
      <c r="L854" s="149"/>
      <c r="M854" s="149"/>
      <c r="N854" s="149"/>
      <c r="O854" s="146"/>
      <c r="P854" s="146"/>
      <c r="Q854" s="146"/>
      <c r="R854" s="156"/>
      <c r="S854" s="146"/>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row>
    <row r="855" spans="1:44" ht="12.3">
      <c r="A855" s="157"/>
      <c r="B855" s="157"/>
      <c r="C855" s="149"/>
      <c r="D855" s="149"/>
      <c r="E855" s="149"/>
      <c r="F855" s="149"/>
      <c r="G855" s="149"/>
      <c r="H855" s="149"/>
      <c r="I855" s="149"/>
      <c r="J855" s="149"/>
      <c r="K855" s="182"/>
      <c r="L855" s="149"/>
      <c r="M855" s="149"/>
      <c r="N855" s="149"/>
      <c r="O855" s="146"/>
      <c r="P855" s="146"/>
      <c r="Q855" s="146"/>
      <c r="R855" s="156"/>
      <c r="S855" s="146"/>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row>
    <row r="856" spans="1:44" ht="12.3">
      <c r="A856" s="157"/>
      <c r="B856" s="157"/>
      <c r="C856" s="149"/>
      <c r="D856" s="149"/>
      <c r="E856" s="149"/>
      <c r="F856" s="149"/>
      <c r="G856" s="149"/>
      <c r="H856" s="149"/>
      <c r="I856" s="149"/>
      <c r="J856" s="149"/>
      <c r="K856" s="182"/>
      <c r="L856" s="149"/>
      <c r="M856" s="149"/>
      <c r="N856" s="149"/>
      <c r="O856" s="146"/>
      <c r="P856" s="146"/>
      <c r="Q856" s="146"/>
      <c r="R856" s="156"/>
      <c r="S856" s="146"/>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row>
    <row r="857" spans="1:44" ht="12.3">
      <c r="A857" s="157"/>
      <c r="B857" s="157"/>
      <c r="C857" s="149"/>
      <c r="D857" s="149"/>
      <c r="E857" s="149"/>
      <c r="F857" s="149"/>
      <c r="G857" s="149"/>
      <c r="H857" s="149"/>
      <c r="I857" s="149"/>
      <c r="J857" s="149"/>
      <c r="K857" s="182"/>
      <c r="L857" s="149"/>
      <c r="M857" s="149"/>
      <c r="N857" s="149"/>
      <c r="O857" s="146"/>
      <c r="P857" s="146"/>
      <c r="Q857" s="146"/>
      <c r="R857" s="156"/>
      <c r="S857" s="146"/>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row>
    <row r="858" spans="1:44" ht="12.3">
      <c r="A858" s="157"/>
      <c r="B858" s="157"/>
      <c r="C858" s="149"/>
      <c r="D858" s="149"/>
      <c r="E858" s="149"/>
      <c r="F858" s="149"/>
      <c r="G858" s="149"/>
      <c r="H858" s="149"/>
      <c r="I858" s="149"/>
      <c r="J858" s="149"/>
      <c r="K858" s="182"/>
      <c r="L858" s="149"/>
      <c r="M858" s="149"/>
      <c r="N858" s="149"/>
      <c r="O858" s="146"/>
      <c r="P858" s="146"/>
      <c r="Q858" s="146"/>
      <c r="R858" s="156"/>
      <c r="S858" s="146"/>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row>
    <row r="859" spans="1:44" ht="12.3">
      <c r="A859" s="157"/>
      <c r="B859" s="157"/>
      <c r="C859" s="149"/>
      <c r="D859" s="149"/>
      <c r="E859" s="149"/>
      <c r="F859" s="149"/>
      <c r="G859" s="149"/>
      <c r="H859" s="149"/>
      <c r="I859" s="149"/>
      <c r="J859" s="149"/>
      <c r="K859" s="182"/>
      <c r="L859" s="149"/>
      <c r="M859" s="149"/>
      <c r="N859" s="149"/>
      <c r="O859" s="146"/>
      <c r="P859" s="146"/>
      <c r="Q859" s="146"/>
      <c r="R859" s="156"/>
      <c r="S859" s="146"/>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row>
    <row r="860" spans="1:44" ht="12.3">
      <c r="A860" s="157"/>
      <c r="B860" s="157"/>
      <c r="C860" s="149"/>
      <c r="D860" s="149"/>
      <c r="E860" s="149"/>
      <c r="F860" s="149"/>
      <c r="G860" s="149"/>
      <c r="H860" s="149"/>
      <c r="I860" s="149"/>
      <c r="J860" s="149"/>
      <c r="K860" s="182"/>
      <c r="L860" s="149"/>
      <c r="M860" s="149"/>
      <c r="N860" s="149"/>
      <c r="O860" s="146"/>
      <c r="P860" s="146"/>
      <c r="Q860" s="146"/>
      <c r="R860" s="156"/>
      <c r="S860" s="146"/>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row>
    <row r="861" spans="1:44" ht="12.3">
      <c r="A861" s="157"/>
      <c r="B861" s="157"/>
      <c r="C861" s="149"/>
      <c r="D861" s="149"/>
      <c r="E861" s="149"/>
      <c r="F861" s="149"/>
      <c r="G861" s="149"/>
      <c r="H861" s="149"/>
      <c r="I861" s="149"/>
      <c r="J861" s="149"/>
      <c r="K861" s="182"/>
      <c r="L861" s="149"/>
      <c r="M861" s="149"/>
      <c r="N861" s="149"/>
      <c r="O861" s="146"/>
      <c r="P861" s="146"/>
      <c r="Q861" s="146"/>
      <c r="R861" s="156"/>
      <c r="S861" s="146"/>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row>
    <row r="862" spans="1:44" ht="12.3">
      <c r="A862" s="157"/>
      <c r="B862" s="157"/>
      <c r="C862" s="149"/>
      <c r="D862" s="149"/>
      <c r="E862" s="149"/>
      <c r="F862" s="149"/>
      <c r="G862" s="149"/>
      <c r="H862" s="149"/>
      <c r="I862" s="149"/>
      <c r="J862" s="149"/>
      <c r="K862" s="182"/>
      <c r="L862" s="149"/>
      <c r="M862" s="149"/>
      <c r="N862" s="149"/>
      <c r="O862" s="146"/>
      <c r="P862" s="146"/>
      <c r="Q862" s="146"/>
      <c r="R862" s="156"/>
      <c r="S862" s="146"/>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row>
    <row r="863" spans="1:44" ht="12.3">
      <c r="A863" s="157"/>
      <c r="B863" s="157"/>
      <c r="C863" s="149"/>
      <c r="D863" s="149"/>
      <c r="E863" s="149"/>
      <c r="F863" s="149"/>
      <c r="G863" s="149"/>
      <c r="H863" s="149"/>
      <c r="I863" s="149"/>
      <c r="J863" s="149"/>
      <c r="K863" s="182"/>
      <c r="L863" s="149"/>
      <c r="M863" s="149"/>
      <c r="N863" s="149"/>
      <c r="O863" s="146"/>
      <c r="P863" s="146"/>
      <c r="Q863" s="146"/>
      <c r="R863" s="156"/>
      <c r="S863" s="146"/>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row>
    <row r="864" spans="1:44" ht="12.3">
      <c r="A864" s="157"/>
      <c r="B864" s="157"/>
      <c r="C864" s="149"/>
      <c r="D864" s="149"/>
      <c r="E864" s="149"/>
      <c r="F864" s="149"/>
      <c r="G864" s="149"/>
      <c r="H864" s="149"/>
      <c r="I864" s="149"/>
      <c r="J864" s="149"/>
      <c r="K864" s="182"/>
      <c r="L864" s="149"/>
      <c r="M864" s="149"/>
      <c r="N864" s="149"/>
      <c r="O864" s="146"/>
      <c r="P864" s="146"/>
      <c r="Q864" s="146"/>
      <c r="R864" s="156"/>
      <c r="S864" s="146"/>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row>
    <row r="865" spans="1:44" ht="12.3">
      <c r="A865" s="157"/>
      <c r="B865" s="157"/>
      <c r="C865" s="149"/>
      <c r="D865" s="149"/>
      <c r="E865" s="149"/>
      <c r="F865" s="149"/>
      <c r="G865" s="149"/>
      <c r="H865" s="149"/>
      <c r="I865" s="149"/>
      <c r="J865" s="149"/>
      <c r="K865" s="182"/>
      <c r="L865" s="149"/>
      <c r="M865" s="149"/>
      <c r="N865" s="149"/>
      <c r="O865" s="146"/>
      <c r="P865" s="146"/>
      <c r="Q865" s="146"/>
      <c r="R865" s="156"/>
      <c r="S865" s="146"/>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row>
    <row r="866" spans="1:44" ht="12.3">
      <c r="A866" s="157"/>
      <c r="B866" s="157"/>
      <c r="C866" s="149"/>
      <c r="D866" s="149"/>
      <c r="E866" s="149"/>
      <c r="F866" s="149"/>
      <c r="G866" s="149"/>
      <c r="H866" s="149"/>
      <c r="I866" s="149"/>
      <c r="J866" s="149"/>
      <c r="K866" s="182"/>
      <c r="L866" s="149"/>
      <c r="M866" s="149"/>
      <c r="N866" s="149"/>
      <c r="O866" s="146"/>
      <c r="P866" s="146"/>
      <c r="Q866" s="146"/>
      <c r="R866" s="156"/>
      <c r="S866" s="146"/>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row>
    <row r="867" spans="1:44" ht="12.3">
      <c r="A867" s="157"/>
      <c r="B867" s="157"/>
      <c r="C867" s="149"/>
      <c r="D867" s="149"/>
      <c r="E867" s="149"/>
      <c r="F867" s="149"/>
      <c r="G867" s="149"/>
      <c r="H867" s="149"/>
      <c r="I867" s="149"/>
      <c r="J867" s="149"/>
      <c r="K867" s="182"/>
      <c r="L867" s="149"/>
      <c r="M867" s="149"/>
      <c r="N867" s="149"/>
      <c r="O867" s="146"/>
      <c r="P867" s="146"/>
      <c r="Q867" s="146"/>
      <c r="R867" s="156"/>
      <c r="S867" s="146"/>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row>
    <row r="868" spans="1:44" ht="12.3">
      <c r="A868" s="157"/>
      <c r="B868" s="157"/>
      <c r="C868" s="149"/>
      <c r="D868" s="149"/>
      <c r="E868" s="149"/>
      <c r="F868" s="149"/>
      <c r="G868" s="149"/>
      <c r="H868" s="149"/>
      <c r="I868" s="149"/>
      <c r="J868" s="149"/>
      <c r="K868" s="182"/>
      <c r="L868" s="149"/>
      <c r="M868" s="149"/>
      <c r="N868" s="149"/>
      <c r="O868" s="146"/>
      <c r="P868" s="146"/>
      <c r="Q868" s="146"/>
      <c r="R868" s="156"/>
      <c r="S868" s="146"/>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row>
    <row r="869" spans="1:44" ht="12.3">
      <c r="A869" s="157"/>
      <c r="B869" s="157"/>
      <c r="C869" s="149"/>
      <c r="D869" s="149"/>
      <c r="E869" s="149"/>
      <c r="F869" s="149"/>
      <c r="G869" s="149"/>
      <c r="H869" s="149"/>
      <c r="I869" s="149"/>
      <c r="J869" s="149"/>
      <c r="K869" s="182"/>
      <c r="L869" s="149"/>
      <c r="M869" s="149"/>
      <c r="N869" s="149"/>
      <c r="O869" s="146"/>
      <c r="P869" s="146"/>
      <c r="Q869" s="146"/>
      <c r="R869" s="156"/>
      <c r="S869" s="146"/>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row>
    <row r="870" spans="1:44" ht="12.3">
      <c r="A870" s="157"/>
      <c r="B870" s="157"/>
      <c r="C870" s="149"/>
      <c r="D870" s="149"/>
      <c r="E870" s="149"/>
      <c r="F870" s="149"/>
      <c r="G870" s="149"/>
      <c r="H870" s="149"/>
      <c r="I870" s="149"/>
      <c r="J870" s="149"/>
      <c r="K870" s="182"/>
      <c r="L870" s="149"/>
      <c r="M870" s="149"/>
      <c r="N870" s="149"/>
      <c r="O870" s="146"/>
      <c r="P870" s="146"/>
      <c r="Q870" s="146"/>
      <c r="R870" s="156"/>
      <c r="S870" s="146"/>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row>
    <row r="871" spans="1:44" ht="12.3">
      <c r="A871" s="157"/>
      <c r="B871" s="157"/>
      <c r="C871" s="149"/>
      <c r="D871" s="149"/>
      <c r="E871" s="149"/>
      <c r="F871" s="149"/>
      <c r="G871" s="149"/>
      <c r="H871" s="149"/>
      <c r="I871" s="149"/>
      <c r="J871" s="149"/>
      <c r="K871" s="182"/>
      <c r="L871" s="149"/>
      <c r="M871" s="149"/>
      <c r="N871" s="149"/>
      <c r="O871" s="146"/>
      <c r="P871" s="146"/>
      <c r="Q871" s="146"/>
      <c r="R871" s="156"/>
      <c r="S871" s="146"/>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row>
    <row r="872" spans="1:44" ht="12.3">
      <c r="A872" s="157"/>
      <c r="B872" s="157"/>
      <c r="C872" s="149"/>
      <c r="D872" s="149"/>
      <c r="E872" s="149"/>
      <c r="F872" s="149"/>
      <c r="G872" s="149"/>
      <c r="H872" s="149"/>
      <c r="I872" s="149"/>
      <c r="J872" s="149"/>
      <c r="K872" s="182"/>
      <c r="L872" s="149"/>
      <c r="M872" s="149"/>
      <c r="N872" s="149"/>
      <c r="O872" s="146"/>
      <c r="P872" s="146"/>
      <c r="Q872" s="146"/>
      <c r="R872" s="156"/>
      <c r="S872" s="146"/>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row>
    <row r="873" spans="1:44" ht="12.3">
      <c r="A873" s="157"/>
      <c r="B873" s="157"/>
      <c r="C873" s="149"/>
      <c r="D873" s="149"/>
      <c r="E873" s="149"/>
      <c r="F873" s="149"/>
      <c r="G873" s="149"/>
      <c r="H873" s="149"/>
      <c r="I873" s="149"/>
      <c r="J873" s="149"/>
      <c r="K873" s="182"/>
      <c r="L873" s="149"/>
      <c r="M873" s="149"/>
      <c r="N873" s="149"/>
      <c r="O873" s="146"/>
      <c r="P873" s="146"/>
      <c r="Q873" s="146"/>
      <c r="R873" s="156"/>
      <c r="S873" s="146"/>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row>
    <row r="874" spans="1:44" ht="12.3">
      <c r="A874" s="157"/>
      <c r="B874" s="157"/>
      <c r="C874" s="149"/>
      <c r="D874" s="149"/>
      <c r="E874" s="149"/>
      <c r="F874" s="149"/>
      <c r="G874" s="149"/>
      <c r="H874" s="149"/>
      <c r="I874" s="149"/>
      <c r="J874" s="149"/>
      <c r="K874" s="182"/>
      <c r="L874" s="149"/>
      <c r="M874" s="149"/>
      <c r="N874" s="149"/>
      <c r="O874" s="146"/>
      <c r="P874" s="146"/>
      <c r="Q874" s="146"/>
      <c r="R874" s="156"/>
      <c r="S874" s="146"/>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row>
    <row r="875" spans="1:44" ht="12.3">
      <c r="A875" s="157"/>
      <c r="B875" s="157"/>
      <c r="C875" s="149"/>
      <c r="D875" s="149"/>
      <c r="E875" s="149"/>
      <c r="F875" s="149"/>
      <c r="G875" s="149"/>
      <c r="H875" s="149"/>
      <c r="I875" s="149"/>
      <c r="J875" s="149"/>
      <c r="K875" s="182"/>
      <c r="L875" s="149"/>
      <c r="M875" s="149"/>
      <c r="N875" s="149"/>
      <c r="O875" s="146"/>
      <c r="P875" s="146"/>
      <c r="Q875" s="146"/>
      <c r="R875" s="156"/>
      <c r="S875" s="146"/>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row>
    <row r="876" spans="1:44" ht="12.3">
      <c r="A876" s="157"/>
      <c r="B876" s="157"/>
      <c r="C876" s="149"/>
      <c r="D876" s="149"/>
      <c r="E876" s="149"/>
      <c r="F876" s="149"/>
      <c r="G876" s="149"/>
      <c r="H876" s="149"/>
      <c r="I876" s="149"/>
      <c r="J876" s="149"/>
      <c r="K876" s="182"/>
      <c r="L876" s="149"/>
      <c r="M876" s="149"/>
      <c r="N876" s="149"/>
      <c r="O876" s="146"/>
      <c r="P876" s="146"/>
      <c r="Q876" s="146"/>
      <c r="R876" s="156"/>
      <c r="S876" s="146"/>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row>
    <row r="877" spans="1:44" ht="12.3">
      <c r="A877" s="157"/>
      <c r="B877" s="157"/>
      <c r="C877" s="149"/>
      <c r="D877" s="149"/>
      <c r="E877" s="149"/>
      <c r="F877" s="149"/>
      <c r="G877" s="149"/>
      <c r="H877" s="149"/>
      <c r="I877" s="149"/>
      <c r="J877" s="149"/>
      <c r="K877" s="182"/>
      <c r="L877" s="149"/>
      <c r="M877" s="149"/>
      <c r="N877" s="149"/>
      <c r="O877" s="146"/>
      <c r="P877" s="146"/>
      <c r="Q877" s="146"/>
      <c r="R877" s="156"/>
      <c r="S877" s="146"/>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row>
    <row r="878" spans="1:44" ht="12.3">
      <c r="A878" s="157"/>
      <c r="B878" s="157"/>
      <c r="C878" s="149"/>
      <c r="D878" s="149"/>
      <c r="E878" s="149"/>
      <c r="F878" s="149"/>
      <c r="G878" s="149"/>
      <c r="H878" s="149"/>
      <c r="I878" s="149"/>
      <c r="J878" s="149"/>
      <c r="K878" s="182"/>
      <c r="L878" s="149"/>
      <c r="M878" s="149"/>
      <c r="N878" s="149"/>
      <c r="O878" s="146"/>
      <c r="P878" s="146"/>
      <c r="Q878" s="146"/>
      <c r="R878" s="156"/>
      <c r="S878" s="146"/>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row>
    <row r="879" spans="1:44" ht="12.3">
      <c r="A879" s="157"/>
      <c r="B879" s="157"/>
      <c r="C879" s="149"/>
      <c r="D879" s="149"/>
      <c r="E879" s="149"/>
      <c r="F879" s="149"/>
      <c r="G879" s="149"/>
      <c r="H879" s="149"/>
      <c r="I879" s="149"/>
      <c r="J879" s="149"/>
      <c r="K879" s="182"/>
      <c r="L879" s="149"/>
      <c r="M879" s="149"/>
      <c r="N879" s="149"/>
      <c r="O879" s="146"/>
      <c r="P879" s="146"/>
      <c r="Q879" s="146"/>
      <c r="R879" s="156"/>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row>
    <row r="880" spans="1:44" ht="12.3">
      <c r="A880" s="157"/>
      <c r="B880" s="157"/>
      <c r="C880" s="149"/>
      <c r="D880" s="149"/>
      <c r="E880" s="149"/>
      <c r="F880" s="149"/>
      <c r="G880" s="149"/>
      <c r="H880" s="149"/>
      <c r="I880" s="149"/>
      <c r="J880" s="149"/>
      <c r="K880" s="182"/>
      <c r="L880" s="149"/>
      <c r="M880" s="149"/>
      <c r="N880" s="149"/>
      <c r="O880" s="146"/>
      <c r="P880" s="146"/>
      <c r="Q880" s="146"/>
      <c r="R880" s="156"/>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row>
    <row r="881" spans="1:44" ht="12.3">
      <c r="A881" s="157"/>
      <c r="B881" s="157"/>
      <c r="C881" s="149"/>
      <c r="D881" s="149"/>
      <c r="E881" s="149"/>
      <c r="F881" s="149"/>
      <c r="G881" s="149"/>
      <c r="H881" s="149"/>
      <c r="I881" s="149"/>
      <c r="J881" s="149"/>
      <c r="K881" s="182"/>
      <c r="L881" s="149"/>
      <c r="M881" s="149"/>
      <c r="N881" s="149"/>
      <c r="O881" s="146"/>
      <c r="P881" s="146"/>
      <c r="Q881" s="146"/>
      <c r="R881" s="156"/>
      <c r="S881" s="146"/>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row>
    <row r="882" spans="1:44" ht="12.3">
      <c r="A882" s="157"/>
      <c r="B882" s="157"/>
      <c r="C882" s="149"/>
      <c r="D882" s="149"/>
      <c r="E882" s="149"/>
      <c r="F882" s="149"/>
      <c r="G882" s="149"/>
      <c r="H882" s="149"/>
      <c r="I882" s="149"/>
      <c r="J882" s="149"/>
      <c r="K882" s="182"/>
      <c r="L882" s="149"/>
      <c r="M882" s="149"/>
      <c r="N882" s="149"/>
      <c r="O882" s="146"/>
      <c r="P882" s="146"/>
      <c r="Q882" s="146"/>
      <c r="R882" s="156"/>
      <c r="S882" s="146"/>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row>
    <row r="883" spans="1:44" ht="12.3">
      <c r="A883" s="157"/>
      <c r="B883" s="157"/>
      <c r="C883" s="149"/>
      <c r="D883" s="149"/>
      <c r="E883" s="149"/>
      <c r="F883" s="149"/>
      <c r="G883" s="149"/>
      <c r="H883" s="149"/>
      <c r="I883" s="149"/>
      <c r="J883" s="149"/>
      <c r="K883" s="182"/>
      <c r="L883" s="149"/>
      <c r="M883" s="149"/>
      <c r="N883" s="149"/>
      <c r="O883" s="146"/>
      <c r="P883" s="146"/>
      <c r="Q883" s="146"/>
      <c r="R883" s="156"/>
      <c r="S883" s="146"/>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row>
    <row r="884" spans="1:44" ht="12.3">
      <c r="A884" s="157"/>
      <c r="B884" s="157"/>
      <c r="C884" s="149"/>
      <c r="D884" s="149"/>
      <c r="E884" s="149"/>
      <c r="F884" s="149"/>
      <c r="G884" s="149"/>
      <c r="H884" s="149"/>
      <c r="I884" s="149"/>
      <c r="J884" s="149"/>
      <c r="K884" s="182"/>
      <c r="L884" s="149"/>
      <c r="M884" s="149"/>
      <c r="N884" s="149"/>
      <c r="O884" s="146"/>
      <c r="P884" s="146"/>
      <c r="Q884" s="146"/>
      <c r="R884" s="156"/>
      <c r="S884" s="146"/>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row>
    <row r="885" spans="1:44" ht="12.3">
      <c r="A885" s="157"/>
      <c r="B885" s="157"/>
      <c r="C885" s="149"/>
      <c r="D885" s="149"/>
      <c r="E885" s="149"/>
      <c r="F885" s="149"/>
      <c r="G885" s="149"/>
      <c r="H885" s="149"/>
      <c r="I885" s="149"/>
      <c r="J885" s="149"/>
      <c r="K885" s="182"/>
      <c r="L885" s="149"/>
      <c r="M885" s="149"/>
      <c r="N885" s="149"/>
      <c r="O885" s="146"/>
      <c r="P885" s="146"/>
      <c r="Q885" s="146"/>
      <c r="R885" s="156"/>
      <c r="S885" s="146"/>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row>
    <row r="886" spans="1:44" ht="12.3">
      <c r="A886" s="157"/>
      <c r="B886" s="157"/>
      <c r="C886" s="149"/>
      <c r="D886" s="149"/>
      <c r="E886" s="149"/>
      <c r="F886" s="149"/>
      <c r="G886" s="149"/>
      <c r="H886" s="149"/>
      <c r="I886" s="149"/>
      <c r="J886" s="149"/>
      <c r="K886" s="182"/>
      <c r="L886" s="149"/>
      <c r="M886" s="149"/>
      <c r="N886" s="149"/>
      <c r="O886" s="146"/>
      <c r="P886" s="146"/>
      <c r="Q886" s="146"/>
      <c r="R886" s="156"/>
      <c r="S886" s="146"/>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row>
    <row r="887" spans="1:44" ht="12.3">
      <c r="A887" s="157"/>
      <c r="B887" s="157"/>
      <c r="C887" s="149"/>
      <c r="D887" s="149"/>
      <c r="E887" s="149"/>
      <c r="F887" s="149"/>
      <c r="G887" s="149"/>
      <c r="H887" s="149"/>
      <c r="I887" s="149"/>
      <c r="J887" s="149"/>
      <c r="K887" s="182"/>
      <c r="L887" s="149"/>
      <c r="M887" s="149"/>
      <c r="N887" s="149"/>
      <c r="O887" s="146"/>
      <c r="P887" s="146"/>
      <c r="Q887" s="146"/>
      <c r="R887" s="156"/>
      <c r="S887" s="146"/>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row>
    <row r="888" spans="1:44" ht="12.3">
      <c r="A888" s="157"/>
      <c r="B888" s="157"/>
      <c r="C888" s="149"/>
      <c r="D888" s="149"/>
      <c r="E888" s="149"/>
      <c r="F888" s="149"/>
      <c r="G888" s="149"/>
      <c r="H888" s="149"/>
      <c r="I888" s="149"/>
      <c r="J888" s="149"/>
      <c r="K888" s="182"/>
      <c r="L888" s="149"/>
      <c r="M888" s="149"/>
      <c r="N888" s="149"/>
      <c r="O888" s="146"/>
      <c r="P888" s="146"/>
      <c r="Q888" s="146"/>
      <c r="R888" s="156"/>
      <c r="S888" s="146"/>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row>
    <row r="889" spans="1:44" ht="12.3">
      <c r="A889" s="157"/>
      <c r="B889" s="157"/>
      <c r="C889" s="149"/>
      <c r="D889" s="149"/>
      <c r="E889" s="149"/>
      <c r="F889" s="149"/>
      <c r="G889" s="149"/>
      <c r="H889" s="149"/>
      <c r="I889" s="149"/>
      <c r="J889" s="149"/>
      <c r="K889" s="182"/>
      <c r="L889" s="149"/>
      <c r="M889" s="149"/>
      <c r="N889" s="149"/>
      <c r="O889" s="146"/>
      <c r="P889" s="146"/>
      <c r="Q889" s="146"/>
      <c r="R889" s="156"/>
      <c r="S889" s="146"/>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row>
    <row r="890" spans="1:44" ht="12.3">
      <c r="A890" s="157"/>
      <c r="B890" s="157"/>
      <c r="C890" s="149"/>
      <c r="D890" s="149"/>
      <c r="E890" s="149"/>
      <c r="F890" s="149"/>
      <c r="G890" s="149"/>
      <c r="H890" s="149"/>
      <c r="I890" s="149"/>
      <c r="J890" s="149"/>
      <c r="K890" s="182"/>
      <c r="L890" s="149"/>
      <c r="M890" s="149"/>
      <c r="N890" s="149"/>
      <c r="O890" s="146"/>
      <c r="P890" s="146"/>
      <c r="Q890" s="146"/>
      <c r="R890" s="156"/>
      <c r="S890" s="146"/>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row>
    <row r="891" spans="1:44" ht="12.3">
      <c r="A891" s="157"/>
      <c r="B891" s="157"/>
      <c r="C891" s="149"/>
      <c r="D891" s="149"/>
      <c r="E891" s="149"/>
      <c r="F891" s="149"/>
      <c r="G891" s="149"/>
      <c r="H891" s="149"/>
      <c r="I891" s="149"/>
      <c r="J891" s="149"/>
      <c r="K891" s="182"/>
      <c r="L891" s="149"/>
      <c r="M891" s="149"/>
      <c r="N891" s="149"/>
      <c r="O891" s="146"/>
      <c r="P891" s="146"/>
      <c r="Q891" s="146"/>
      <c r="R891" s="156"/>
      <c r="S891" s="146"/>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row>
    <row r="892" spans="1:44" ht="12.3">
      <c r="A892" s="157"/>
      <c r="B892" s="157"/>
      <c r="C892" s="149"/>
      <c r="D892" s="149"/>
      <c r="E892" s="149"/>
      <c r="F892" s="149"/>
      <c r="G892" s="149"/>
      <c r="H892" s="149"/>
      <c r="I892" s="149"/>
      <c r="J892" s="149"/>
      <c r="K892" s="182"/>
      <c r="L892" s="149"/>
      <c r="M892" s="149"/>
      <c r="N892" s="149"/>
      <c r="O892" s="146"/>
      <c r="P892" s="146"/>
      <c r="Q892" s="146"/>
      <c r="R892" s="156"/>
      <c r="S892" s="146"/>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row>
    <row r="893" spans="1:44" ht="12.3">
      <c r="A893" s="157"/>
      <c r="B893" s="157"/>
      <c r="C893" s="149"/>
      <c r="D893" s="149"/>
      <c r="E893" s="149"/>
      <c r="F893" s="149"/>
      <c r="G893" s="149"/>
      <c r="H893" s="149"/>
      <c r="I893" s="149"/>
      <c r="J893" s="149"/>
      <c r="K893" s="182"/>
      <c r="L893" s="149"/>
      <c r="M893" s="149"/>
      <c r="N893" s="149"/>
      <c r="O893" s="146"/>
      <c r="P893" s="146"/>
      <c r="Q893" s="146"/>
      <c r="R893" s="156"/>
      <c r="S893" s="146"/>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row>
    <row r="894" spans="1:44" ht="12.3">
      <c r="A894" s="157"/>
      <c r="B894" s="157"/>
      <c r="C894" s="149"/>
      <c r="D894" s="149"/>
      <c r="E894" s="149"/>
      <c r="F894" s="149"/>
      <c r="G894" s="149"/>
      <c r="H894" s="149"/>
      <c r="I894" s="149"/>
      <c r="J894" s="149"/>
      <c r="K894" s="182"/>
      <c r="L894" s="149"/>
      <c r="M894" s="149"/>
      <c r="N894" s="149"/>
      <c r="O894" s="146"/>
      <c r="P894" s="146"/>
      <c r="Q894" s="146"/>
      <c r="R894" s="156"/>
      <c r="S894" s="146"/>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row>
    <row r="895" spans="1:44" ht="12.3">
      <c r="A895" s="157"/>
      <c r="B895" s="157"/>
      <c r="C895" s="149"/>
      <c r="D895" s="149"/>
      <c r="E895" s="149"/>
      <c r="F895" s="149"/>
      <c r="G895" s="149"/>
      <c r="H895" s="149"/>
      <c r="I895" s="149"/>
      <c r="J895" s="149"/>
      <c r="K895" s="182"/>
      <c r="L895" s="149"/>
      <c r="M895" s="149"/>
      <c r="N895" s="149"/>
      <c r="O895" s="146"/>
      <c r="P895" s="146"/>
      <c r="Q895" s="146"/>
      <c r="R895" s="156"/>
      <c r="S895" s="146"/>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row>
    <row r="896" spans="1:44" ht="12.3">
      <c r="A896" s="157"/>
      <c r="B896" s="157"/>
      <c r="C896" s="149"/>
      <c r="D896" s="149"/>
      <c r="E896" s="149"/>
      <c r="F896" s="149"/>
      <c r="G896" s="149"/>
      <c r="H896" s="149"/>
      <c r="I896" s="149"/>
      <c r="J896" s="149"/>
      <c r="K896" s="182"/>
      <c r="L896" s="149"/>
      <c r="M896" s="149"/>
      <c r="N896" s="149"/>
      <c r="O896" s="146"/>
      <c r="P896" s="146"/>
      <c r="Q896" s="146"/>
      <c r="R896" s="156"/>
      <c r="S896" s="146"/>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row>
    <row r="897" spans="1:44" ht="12.3">
      <c r="A897" s="157"/>
      <c r="B897" s="157"/>
      <c r="C897" s="149"/>
      <c r="D897" s="149"/>
      <c r="E897" s="149"/>
      <c r="F897" s="149"/>
      <c r="G897" s="149"/>
      <c r="H897" s="149"/>
      <c r="I897" s="149"/>
      <c r="J897" s="149"/>
      <c r="K897" s="182"/>
      <c r="L897" s="149"/>
      <c r="M897" s="149"/>
      <c r="N897" s="149"/>
      <c r="O897" s="146"/>
      <c r="P897" s="146"/>
      <c r="Q897" s="146"/>
      <c r="R897" s="156"/>
      <c r="S897" s="146"/>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row>
    <row r="898" spans="1:44" ht="12.3">
      <c r="A898" s="157"/>
      <c r="B898" s="157"/>
      <c r="C898" s="149"/>
      <c r="D898" s="149"/>
      <c r="E898" s="149"/>
      <c r="F898" s="149"/>
      <c r="G898" s="149"/>
      <c r="H898" s="149"/>
      <c r="I898" s="149"/>
      <c r="J898" s="149"/>
      <c r="K898" s="182"/>
      <c r="L898" s="149"/>
      <c r="M898" s="149"/>
      <c r="N898" s="149"/>
      <c r="O898" s="146"/>
      <c r="P898" s="146"/>
      <c r="Q898" s="146"/>
      <c r="R898" s="156"/>
      <c r="S898" s="146"/>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row>
    <row r="899" spans="1:44" ht="12.3">
      <c r="A899" s="157"/>
      <c r="B899" s="157"/>
      <c r="C899" s="149"/>
      <c r="D899" s="149"/>
      <c r="E899" s="149"/>
      <c r="F899" s="149"/>
      <c r="G899" s="149"/>
      <c r="H899" s="149"/>
      <c r="I899" s="149"/>
      <c r="J899" s="149"/>
      <c r="K899" s="182"/>
      <c r="L899" s="149"/>
      <c r="M899" s="149"/>
      <c r="N899" s="149"/>
      <c r="O899" s="146"/>
      <c r="P899" s="146"/>
      <c r="Q899" s="146"/>
      <c r="R899" s="156"/>
      <c r="S899" s="146"/>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row>
    <row r="900" spans="1:44" ht="12.3">
      <c r="A900" s="157"/>
      <c r="B900" s="157"/>
      <c r="C900" s="149"/>
      <c r="D900" s="149"/>
      <c r="E900" s="149"/>
      <c r="F900" s="149"/>
      <c r="G900" s="149"/>
      <c r="H900" s="149"/>
      <c r="I900" s="149"/>
      <c r="J900" s="149"/>
      <c r="K900" s="182"/>
      <c r="L900" s="149"/>
      <c r="M900" s="149"/>
      <c r="N900" s="149"/>
      <c r="O900" s="146"/>
      <c r="P900" s="146"/>
      <c r="Q900" s="146"/>
      <c r="R900" s="156"/>
      <c r="S900" s="146"/>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row>
    <row r="901" spans="1:44" ht="12.3">
      <c r="A901" s="157"/>
      <c r="B901" s="157"/>
      <c r="C901" s="149"/>
      <c r="D901" s="149"/>
      <c r="E901" s="149"/>
      <c r="F901" s="149"/>
      <c r="G901" s="149"/>
      <c r="H901" s="149"/>
      <c r="I901" s="149"/>
      <c r="J901" s="149"/>
      <c r="K901" s="182"/>
      <c r="L901" s="149"/>
      <c r="M901" s="149"/>
      <c r="N901" s="149"/>
      <c r="O901" s="146"/>
      <c r="P901" s="146"/>
      <c r="Q901" s="146"/>
      <c r="R901" s="156"/>
      <c r="S901" s="146"/>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row>
    <row r="902" spans="1:44" ht="12.3">
      <c r="A902" s="157"/>
      <c r="B902" s="157"/>
      <c r="C902" s="149"/>
      <c r="D902" s="149"/>
      <c r="E902" s="149"/>
      <c r="F902" s="149"/>
      <c r="G902" s="149"/>
      <c r="H902" s="149"/>
      <c r="I902" s="149"/>
      <c r="J902" s="149"/>
      <c r="K902" s="182"/>
      <c r="L902" s="149"/>
      <c r="M902" s="149"/>
      <c r="N902" s="149"/>
      <c r="O902" s="146"/>
      <c r="P902" s="146"/>
      <c r="Q902" s="146"/>
      <c r="R902" s="156"/>
      <c r="S902" s="146"/>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row>
    <row r="903" spans="1:44" ht="12.3">
      <c r="A903" s="157"/>
      <c r="B903" s="157"/>
      <c r="C903" s="149"/>
      <c r="D903" s="149"/>
      <c r="E903" s="149"/>
      <c r="F903" s="149"/>
      <c r="G903" s="149"/>
      <c r="H903" s="149"/>
      <c r="I903" s="149"/>
      <c r="J903" s="149"/>
      <c r="K903" s="182"/>
      <c r="L903" s="149"/>
      <c r="M903" s="149"/>
      <c r="N903" s="149"/>
      <c r="O903" s="146"/>
      <c r="P903" s="146"/>
      <c r="Q903" s="146"/>
      <c r="R903" s="156"/>
      <c r="S903" s="146"/>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row>
    <row r="904" spans="1:44" ht="12.3">
      <c r="A904" s="157"/>
      <c r="B904" s="157"/>
      <c r="C904" s="149"/>
      <c r="D904" s="149"/>
      <c r="E904" s="149"/>
      <c r="F904" s="149"/>
      <c r="G904" s="149"/>
      <c r="H904" s="149"/>
      <c r="I904" s="149"/>
      <c r="J904" s="149"/>
      <c r="K904" s="182"/>
      <c r="L904" s="149"/>
      <c r="M904" s="149"/>
      <c r="N904" s="149"/>
      <c r="O904" s="146"/>
      <c r="P904" s="146"/>
      <c r="Q904" s="146"/>
      <c r="R904" s="156"/>
      <c r="S904" s="146"/>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row>
    <row r="905" spans="1:44" ht="12.3">
      <c r="A905" s="157"/>
      <c r="B905" s="157"/>
      <c r="C905" s="149"/>
      <c r="D905" s="149"/>
      <c r="E905" s="149"/>
      <c r="F905" s="149"/>
      <c r="G905" s="149"/>
      <c r="H905" s="149"/>
      <c r="I905" s="149"/>
      <c r="J905" s="149"/>
      <c r="K905" s="182"/>
      <c r="L905" s="149"/>
      <c r="M905" s="149"/>
      <c r="N905" s="149"/>
      <c r="O905" s="146"/>
      <c r="P905" s="146"/>
      <c r="Q905" s="146"/>
      <c r="R905" s="156"/>
      <c r="S905" s="146"/>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row>
    <row r="906" spans="1:44" ht="12.3">
      <c r="A906" s="157"/>
      <c r="B906" s="157"/>
      <c r="C906" s="149"/>
      <c r="D906" s="149"/>
      <c r="E906" s="149"/>
      <c r="F906" s="149"/>
      <c r="G906" s="149"/>
      <c r="H906" s="149"/>
      <c r="I906" s="149"/>
      <c r="J906" s="149"/>
      <c r="K906" s="182"/>
      <c r="L906" s="149"/>
      <c r="M906" s="149"/>
      <c r="N906" s="149"/>
      <c r="O906" s="146"/>
      <c r="P906" s="146"/>
      <c r="Q906" s="146"/>
      <c r="R906" s="156"/>
      <c r="S906" s="146"/>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row>
    <row r="907" spans="1:44" ht="12.3">
      <c r="A907" s="157"/>
      <c r="B907" s="157"/>
      <c r="C907" s="149"/>
      <c r="D907" s="149"/>
      <c r="E907" s="149"/>
      <c r="F907" s="149"/>
      <c r="G907" s="149"/>
      <c r="H907" s="149"/>
      <c r="I907" s="149"/>
      <c r="J907" s="149"/>
      <c r="K907" s="182"/>
      <c r="L907" s="149"/>
      <c r="M907" s="149"/>
      <c r="N907" s="149"/>
      <c r="O907" s="146"/>
      <c r="P907" s="146"/>
      <c r="Q907" s="146"/>
      <c r="R907" s="156"/>
      <c r="S907" s="146"/>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row>
    <row r="908" spans="1:44" ht="12.3">
      <c r="A908" s="157"/>
      <c r="B908" s="157"/>
      <c r="C908" s="149"/>
      <c r="D908" s="149"/>
      <c r="E908" s="149"/>
      <c r="F908" s="149"/>
      <c r="G908" s="149"/>
      <c r="H908" s="149"/>
      <c r="I908" s="149"/>
      <c r="J908" s="149"/>
      <c r="K908" s="182"/>
      <c r="L908" s="149"/>
      <c r="M908" s="149"/>
      <c r="N908" s="149"/>
      <c r="O908" s="146"/>
      <c r="P908" s="146"/>
      <c r="Q908" s="146"/>
      <c r="R908" s="156"/>
      <c r="S908" s="146"/>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row>
    <row r="909" spans="1:44" ht="12.3">
      <c r="A909" s="157"/>
      <c r="B909" s="157"/>
      <c r="C909" s="149"/>
      <c r="D909" s="149"/>
      <c r="E909" s="149"/>
      <c r="F909" s="149"/>
      <c r="G909" s="149"/>
      <c r="H909" s="149"/>
      <c r="I909" s="149"/>
      <c r="J909" s="149"/>
      <c r="K909" s="182"/>
      <c r="L909" s="149"/>
      <c r="M909" s="149"/>
      <c r="N909" s="149"/>
      <c r="O909" s="146"/>
      <c r="P909" s="146"/>
      <c r="Q909" s="146"/>
      <c r="R909" s="156"/>
      <c r="S909" s="146"/>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row>
    <row r="910" spans="1:44" ht="12.3">
      <c r="A910" s="157"/>
      <c r="B910" s="157"/>
      <c r="C910" s="149"/>
      <c r="D910" s="149"/>
      <c r="E910" s="149"/>
      <c r="F910" s="149"/>
      <c r="G910" s="149"/>
      <c r="H910" s="149"/>
      <c r="I910" s="149"/>
      <c r="J910" s="149"/>
      <c r="K910" s="182"/>
      <c r="L910" s="149"/>
      <c r="M910" s="149"/>
      <c r="N910" s="149"/>
      <c r="O910" s="146"/>
      <c r="P910" s="146"/>
      <c r="Q910" s="146"/>
      <c r="R910" s="156"/>
      <c r="S910" s="146"/>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row>
    <row r="911" spans="1:44" ht="12.3">
      <c r="A911" s="157"/>
      <c r="B911" s="157"/>
      <c r="C911" s="149"/>
      <c r="D911" s="149"/>
      <c r="E911" s="149"/>
      <c r="F911" s="149"/>
      <c r="G911" s="149"/>
      <c r="H911" s="149"/>
      <c r="I911" s="149"/>
      <c r="J911" s="149"/>
      <c r="K911" s="182"/>
      <c r="L911" s="149"/>
      <c r="M911" s="149"/>
      <c r="N911" s="149"/>
      <c r="O911" s="146"/>
      <c r="P911" s="146"/>
      <c r="Q911" s="146"/>
      <c r="R911" s="156"/>
      <c r="S911" s="146"/>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row>
    <row r="912" spans="1:44" ht="12.3">
      <c r="A912" s="157"/>
      <c r="B912" s="157"/>
      <c r="C912" s="149"/>
      <c r="D912" s="149"/>
      <c r="E912" s="149"/>
      <c r="F912" s="149"/>
      <c r="G912" s="149"/>
      <c r="H912" s="149"/>
      <c r="I912" s="149"/>
      <c r="J912" s="149"/>
      <c r="K912" s="182"/>
      <c r="L912" s="149"/>
      <c r="M912" s="149"/>
      <c r="N912" s="149"/>
      <c r="O912" s="146"/>
      <c r="P912" s="146"/>
      <c r="Q912" s="146"/>
      <c r="R912" s="156"/>
      <c r="S912" s="146"/>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row>
    <row r="913" spans="1:44" ht="12.3">
      <c r="A913" s="157"/>
      <c r="B913" s="157"/>
      <c r="C913" s="149"/>
      <c r="D913" s="149"/>
      <c r="E913" s="149"/>
      <c r="F913" s="149"/>
      <c r="G913" s="149"/>
      <c r="H913" s="149"/>
      <c r="I913" s="149"/>
      <c r="J913" s="149"/>
      <c r="K913" s="182"/>
      <c r="L913" s="149"/>
      <c r="M913" s="149"/>
      <c r="N913" s="149"/>
      <c r="O913" s="146"/>
      <c r="P913" s="146"/>
      <c r="Q913" s="146"/>
      <c r="R913" s="156"/>
      <c r="S913" s="146"/>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row>
    <row r="914" spans="1:44" ht="12.3">
      <c r="A914" s="157"/>
      <c r="B914" s="157"/>
      <c r="C914" s="149"/>
      <c r="D914" s="149"/>
      <c r="E914" s="149"/>
      <c r="F914" s="149"/>
      <c r="G914" s="149"/>
      <c r="H914" s="149"/>
      <c r="I914" s="149"/>
      <c r="J914" s="149"/>
      <c r="K914" s="182"/>
      <c r="L914" s="149"/>
      <c r="M914" s="149"/>
      <c r="N914" s="149"/>
      <c r="O914" s="146"/>
      <c r="P914" s="146"/>
      <c r="Q914" s="146"/>
      <c r="R914" s="156"/>
      <c r="S914" s="146"/>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row>
    <row r="915" spans="1:44" ht="12.3">
      <c r="A915" s="157"/>
      <c r="B915" s="157"/>
      <c r="C915" s="149"/>
      <c r="D915" s="149"/>
      <c r="E915" s="149"/>
      <c r="F915" s="149"/>
      <c r="G915" s="149"/>
      <c r="H915" s="149"/>
      <c r="I915" s="149"/>
      <c r="J915" s="149"/>
      <c r="K915" s="182"/>
      <c r="L915" s="149"/>
      <c r="M915" s="149"/>
      <c r="N915" s="149"/>
      <c r="O915" s="146"/>
      <c r="P915" s="146"/>
      <c r="Q915" s="146"/>
      <c r="R915" s="156"/>
      <c r="S915" s="146"/>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row>
    <row r="916" spans="1:44" ht="12.3">
      <c r="A916" s="157"/>
      <c r="B916" s="157"/>
      <c r="C916" s="149"/>
      <c r="D916" s="149"/>
      <c r="E916" s="149"/>
      <c r="F916" s="149"/>
      <c r="G916" s="149"/>
      <c r="H916" s="149"/>
      <c r="I916" s="149"/>
      <c r="J916" s="149"/>
      <c r="K916" s="182"/>
      <c r="L916" s="149"/>
      <c r="M916" s="149"/>
      <c r="N916" s="149"/>
      <c r="O916" s="146"/>
      <c r="P916" s="146"/>
      <c r="Q916" s="146"/>
      <c r="R916" s="156"/>
      <c r="S916" s="146"/>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row>
    <row r="917" spans="1:44" ht="12.3">
      <c r="A917" s="157"/>
      <c r="B917" s="157"/>
      <c r="C917" s="149"/>
      <c r="D917" s="149"/>
      <c r="E917" s="149"/>
      <c r="F917" s="149"/>
      <c r="G917" s="149"/>
      <c r="H917" s="149"/>
      <c r="I917" s="149"/>
      <c r="J917" s="149"/>
      <c r="K917" s="182"/>
      <c r="L917" s="149"/>
      <c r="M917" s="149"/>
      <c r="N917" s="149"/>
      <c r="O917" s="146"/>
      <c r="P917" s="146"/>
      <c r="Q917" s="146"/>
      <c r="R917" s="156"/>
      <c r="S917" s="146"/>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row>
    <row r="918" spans="1:44" ht="12.3">
      <c r="A918" s="157"/>
      <c r="B918" s="157"/>
      <c r="C918" s="149"/>
      <c r="D918" s="149"/>
      <c r="E918" s="149"/>
      <c r="F918" s="149"/>
      <c r="G918" s="149"/>
      <c r="H918" s="149"/>
      <c r="I918" s="149"/>
      <c r="J918" s="149"/>
      <c r="K918" s="182"/>
      <c r="L918" s="149"/>
      <c r="M918" s="149"/>
      <c r="N918" s="149"/>
      <c r="O918" s="146"/>
      <c r="P918" s="146"/>
      <c r="Q918" s="146"/>
      <c r="R918" s="156"/>
      <c r="S918" s="146"/>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row>
    <row r="919" spans="1:44" ht="12.3">
      <c r="A919" s="157"/>
      <c r="B919" s="157"/>
      <c r="C919" s="149"/>
      <c r="D919" s="149"/>
      <c r="E919" s="149"/>
      <c r="F919" s="149"/>
      <c r="G919" s="149"/>
      <c r="H919" s="149"/>
      <c r="I919" s="149"/>
      <c r="J919" s="149"/>
      <c r="K919" s="182"/>
      <c r="L919" s="149"/>
      <c r="M919" s="149"/>
      <c r="N919" s="149"/>
      <c r="O919" s="146"/>
      <c r="P919" s="146"/>
      <c r="Q919" s="146"/>
      <c r="R919" s="156"/>
      <c r="S919" s="146"/>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row>
    <row r="920" spans="1:44" ht="12.3">
      <c r="A920" s="157"/>
      <c r="B920" s="157"/>
      <c r="C920" s="149"/>
      <c r="D920" s="149"/>
      <c r="E920" s="149"/>
      <c r="F920" s="149"/>
      <c r="G920" s="149"/>
      <c r="H920" s="149"/>
      <c r="I920" s="149"/>
      <c r="J920" s="149"/>
      <c r="K920" s="182"/>
      <c r="L920" s="149"/>
      <c r="M920" s="149"/>
      <c r="N920" s="149"/>
      <c r="O920" s="146"/>
      <c r="P920" s="146"/>
      <c r="Q920" s="146"/>
      <c r="R920" s="156"/>
      <c r="S920" s="146"/>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row>
    <row r="921" spans="1:44" ht="12.3">
      <c r="A921" s="157"/>
      <c r="B921" s="157"/>
      <c r="C921" s="149"/>
      <c r="D921" s="149"/>
      <c r="E921" s="149"/>
      <c r="F921" s="149"/>
      <c r="G921" s="149"/>
      <c r="H921" s="149"/>
      <c r="I921" s="149"/>
      <c r="J921" s="149"/>
      <c r="K921" s="182"/>
      <c r="L921" s="149"/>
      <c r="M921" s="149"/>
      <c r="N921" s="149"/>
      <c r="O921" s="146"/>
      <c r="P921" s="146"/>
      <c r="Q921" s="146"/>
      <c r="R921" s="156"/>
      <c r="S921" s="146"/>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row>
    <row r="922" spans="1:44" ht="12.3">
      <c r="A922" s="157"/>
      <c r="B922" s="157"/>
      <c r="C922" s="149"/>
      <c r="D922" s="149"/>
      <c r="E922" s="149"/>
      <c r="F922" s="149"/>
      <c r="G922" s="149"/>
      <c r="H922" s="149"/>
      <c r="I922" s="149"/>
      <c r="J922" s="149"/>
      <c r="K922" s="182"/>
      <c r="L922" s="149"/>
      <c r="M922" s="149"/>
      <c r="N922" s="149"/>
      <c r="O922" s="146"/>
      <c r="P922" s="146"/>
      <c r="Q922" s="146"/>
      <c r="R922" s="156"/>
      <c r="S922" s="146"/>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row>
    <row r="923" spans="1:44" ht="12.3">
      <c r="A923" s="157"/>
      <c r="B923" s="157"/>
      <c r="C923" s="149"/>
      <c r="D923" s="149"/>
      <c r="E923" s="149"/>
      <c r="F923" s="149"/>
      <c r="G923" s="149"/>
      <c r="H923" s="149"/>
      <c r="I923" s="149"/>
      <c r="J923" s="149"/>
      <c r="K923" s="182"/>
      <c r="L923" s="149"/>
      <c r="M923" s="149"/>
      <c r="N923" s="149"/>
      <c r="O923" s="146"/>
      <c r="P923" s="146"/>
      <c r="Q923" s="146"/>
      <c r="R923" s="156"/>
      <c r="S923" s="146"/>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row>
    <row r="924" spans="1:44" ht="12.3">
      <c r="A924" s="157"/>
      <c r="B924" s="157"/>
      <c r="C924" s="149"/>
      <c r="D924" s="149"/>
      <c r="E924" s="149"/>
      <c r="F924" s="149"/>
      <c r="G924" s="149"/>
      <c r="H924" s="149"/>
      <c r="I924" s="149"/>
      <c r="J924" s="149"/>
      <c r="K924" s="182"/>
      <c r="L924" s="149"/>
      <c r="M924" s="149"/>
      <c r="N924" s="149"/>
      <c r="O924" s="146"/>
      <c r="P924" s="146"/>
      <c r="Q924" s="146"/>
      <c r="R924" s="156"/>
      <c r="S924" s="146"/>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row>
    <row r="925" spans="1:44" ht="12.3">
      <c r="A925" s="157"/>
      <c r="B925" s="157"/>
      <c r="C925" s="149"/>
      <c r="D925" s="149"/>
      <c r="E925" s="149"/>
      <c r="F925" s="149"/>
      <c r="G925" s="149"/>
      <c r="H925" s="149"/>
      <c r="I925" s="149"/>
      <c r="J925" s="149"/>
      <c r="K925" s="182"/>
      <c r="L925" s="149"/>
      <c r="M925" s="149"/>
      <c r="N925" s="149"/>
      <c r="O925" s="146"/>
      <c r="P925" s="146"/>
      <c r="Q925" s="146"/>
      <c r="R925" s="156"/>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row>
    <row r="926" spans="1:44" ht="12.3">
      <c r="A926" s="157"/>
      <c r="B926" s="157"/>
      <c r="C926" s="149"/>
      <c r="D926" s="149"/>
      <c r="E926" s="149"/>
      <c r="F926" s="149"/>
      <c r="G926" s="149"/>
      <c r="H926" s="149"/>
      <c r="I926" s="149"/>
      <c r="J926" s="149"/>
      <c r="K926" s="182"/>
      <c r="L926" s="149"/>
      <c r="M926" s="149"/>
      <c r="N926" s="149"/>
      <c r="O926" s="146"/>
      <c r="P926" s="146"/>
      <c r="Q926" s="146"/>
      <c r="R926" s="156"/>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row>
    <row r="927" spans="1:44" ht="12.3">
      <c r="A927" s="157"/>
      <c r="B927" s="157"/>
      <c r="C927" s="149"/>
      <c r="D927" s="149"/>
      <c r="E927" s="149"/>
      <c r="F927" s="149"/>
      <c r="G927" s="149"/>
      <c r="H927" s="149"/>
      <c r="I927" s="149"/>
      <c r="J927" s="149"/>
      <c r="K927" s="182"/>
      <c r="L927" s="149"/>
      <c r="M927" s="149"/>
      <c r="N927" s="149"/>
      <c r="O927" s="146"/>
      <c r="P927" s="146"/>
      <c r="Q927" s="146"/>
      <c r="R927" s="156"/>
      <c r="S927" s="146"/>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row>
    <row r="928" spans="1:44" ht="12.3">
      <c r="A928" s="157"/>
      <c r="B928" s="157"/>
      <c r="C928" s="149"/>
      <c r="D928" s="149"/>
      <c r="E928" s="149"/>
      <c r="F928" s="149"/>
      <c r="G928" s="149"/>
      <c r="H928" s="149"/>
      <c r="I928" s="149"/>
      <c r="J928" s="149"/>
      <c r="K928" s="182"/>
      <c r="L928" s="149"/>
      <c r="M928" s="149"/>
      <c r="N928" s="149"/>
      <c r="O928" s="146"/>
      <c r="P928" s="146"/>
      <c r="Q928" s="146"/>
      <c r="R928" s="156"/>
      <c r="S928" s="146"/>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row>
    <row r="929" spans="1:44" ht="12.3">
      <c r="A929" s="157"/>
      <c r="B929" s="157"/>
      <c r="C929" s="149"/>
      <c r="D929" s="149"/>
      <c r="E929" s="149"/>
      <c r="F929" s="149"/>
      <c r="G929" s="149"/>
      <c r="H929" s="149"/>
      <c r="I929" s="149"/>
      <c r="J929" s="149"/>
      <c r="K929" s="182"/>
      <c r="L929" s="149"/>
      <c r="M929" s="149"/>
      <c r="N929" s="149"/>
      <c r="O929" s="146"/>
      <c r="P929" s="146"/>
      <c r="Q929" s="146"/>
      <c r="R929" s="156"/>
      <c r="S929" s="146"/>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row>
    <row r="930" spans="1:44" ht="12.3">
      <c r="A930" s="157"/>
      <c r="B930" s="157"/>
      <c r="C930" s="149"/>
      <c r="D930" s="149"/>
      <c r="E930" s="149"/>
      <c r="F930" s="149"/>
      <c r="G930" s="149"/>
      <c r="H930" s="149"/>
      <c r="I930" s="149"/>
      <c r="J930" s="149"/>
      <c r="K930" s="182"/>
      <c r="L930" s="149"/>
      <c r="M930" s="149"/>
      <c r="N930" s="149"/>
      <c r="O930" s="146"/>
      <c r="P930" s="146"/>
      <c r="Q930" s="146"/>
      <c r="R930" s="156"/>
      <c r="S930" s="146"/>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row>
    <row r="931" spans="1:44" ht="12.3">
      <c r="A931" s="157"/>
      <c r="B931" s="157"/>
      <c r="C931" s="149"/>
      <c r="D931" s="149"/>
      <c r="E931" s="149"/>
      <c r="F931" s="149"/>
      <c r="G931" s="149"/>
      <c r="H931" s="149"/>
      <c r="I931" s="149"/>
      <c r="J931" s="149"/>
      <c r="K931" s="182"/>
      <c r="L931" s="149"/>
      <c r="M931" s="149"/>
      <c r="N931" s="149"/>
      <c r="O931" s="146"/>
      <c r="P931" s="146"/>
      <c r="Q931" s="146"/>
      <c r="R931" s="156"/>
      <c r="S931" s="146"/>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row>
    <row r="932" spans="1:44" ht="12.3">
      <c r="A932" s="157"/>
      <c r="B932" s="157"/>
      <c r="C932" s="149"/>
      <c r="D932" s="149"/>
      <c r="E932" s="149"/>
      <c r="F932" s="149"/>
      <c r="G932" s="149"/>
      <c r="H932" s="149"/>
      <c r="I932" s="149"/>
      <c r="J932" s="149"/>
      <c r="K932" s="182"/>
      <c r="L932" s="149"/>
      <c r="M932" s="149"/>
      <c r="N932" s="149"/>
      <c r="P932" s="146"/>
      <c r="Q932" s="146"/>
      <c r="R932" s="156"/>
      <c r="S932" s="146"/>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row>
    <row r="933" spans="1:44" ht="12.3">
      <c r="A933" s="157"/>
      <c r="B933" s="157"/>
      <c r="C933" s="149"/>
      <c r="D933" s="149"/>
      <c r="E933" s="149"/>
      <c r="F933" s="149"/>
      <c r="G933" s="149"/>
      <c r="H933" s="149"/>
      <c r="I933" s="149"/>
      <c r="J933" s="149"/>
      <c r="K933" s="182"/>
      <c r="L933" s="149"/>
      <c r="M933" s="149"/>
      <c r="N933" s="149"/>
      <c r="P933" s="146"/>
      <c r="Q933" s="146"/>
      <c r="R933" s="156"/>
      <c r="S933" s="146"/>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row>
    <row r="934" spans="1:44" ht="12.3">
      <c r="A934" s="157"/>
      <c r="B934" s="157"/>
      <c r="C934" s="149"/>
      <c r="D934" s="149"/>
      <c r="E934" s="149"/>
      <c r="F934" s="149"/>
      <c r="G934" s="149"/>
      <c r="H934" s="149"/>
      <c r="I934" s="149"/>
      <c r="J934" s="149"/>
      <c r="K934" s="182"/>
      <c r="L934" s="149"/>
      <c r="M934" s="149"/>
      <c r="N934" s="149"/>
      <c r="P934" s="146"/>
      <c r="Q934" s="146"/>
      <c r="R934" s="156"/>
      <c r="S934" s="146"/>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row>
    <row r="935" spans="1:44" ht="12.3">
      <c r="A935" s="157"/>
      <c r="B935" s="157"/>
      <c r="C935" s="149"/>
      <c r="D935" s="149"/>
      <c r="E935" s="149"/>
      <c r="F935" s="149"/>
      <c r="G935" s="149"/>
      <c r="H935" s="149"/>
      <c r="I935" s="149"/>
      <c r="J935" s="149"/>
      <c r="K935" s="182"/>
      <c r="L935" s="149"/>
      <c r="M935" s="149"/>
      <c r="N935" s="149"/>
      <c r="P935" s="146"/>
      <c r="Q935" s="146"/>
      <c r="R935" s="156"/>
      <c r="S935" s="146"/>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row>
    <row r="936" spans="1:44" ht="12.3">
      <c r="A936" s="157"/>
      <c r="B936" s="157"/>
      <c r="C936" s="149"/>
      <c r="D936" s="149"/>
      <c r="E936" s="149"/>
      <c r="F936" s="149"/>
      <c r="G936" s="149"/>
      <c r="H936" s="149"/>
      <c r="I936" s="149"/>
      <c r="J936" s="149"/>
      <c r="K936" s="182"/>
      <c r="L936" s="149"/>
      <c r="M936" s="149"/>
      <c r="N936" s="149"/>
      <c r="P936" s="146"/>
      <c r="Q936" s="146"/>
      <c r="R936" s="156"/>
      <c r="S936" s="146"/>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row>
    <row r="937" spans="1:44" ht="12.3">
      <c r="A937" s="157"/>
      <c r="B937" s="157"/>
      <c r="C937" s="149"/>
      <c r="D937" s="149"/>
      <c r="E937" s="149"/>
      <c r="F937" s="149"/>
      <c r="G937" s="149"/>
      <c r="H937" s="149"/>
      <c r="I937" s="149"/>
      <c r="J937" s="149"/>
      <c r="K937" s="182"/>
      <c r="L937" s="149"/>
      <c r="M937" s="149"/>
      <c r="N937" s="149"/>
      <c r="P937" s="146"/>
      <c r="Q937" s="146"/>
      <c r="R937" s="156"/>
      <c r="S937" s="146"/>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row>
    <row r="938" spans="1:44" ht="12.3">
      <c r="A938" s="157"/>
      <c r="B938" s="157"/>
      <c r="C938" s="149"/>
      <c r="D938" s="149"/>
      <c r="E938" s="149"/>
      <c r="F938" s="149"/>
      <c r="G938" s="149"/>
      <c r="H938" s="149"/>
      <c r="I938" s="149"/>
      <c r="J938" s="149"/>
      <c r="K938" s="182"/>
      <c r="L938" s="149"/>
      <c r="M938" s="149"/>
      <c r="N938" s="149"/>
      <c r="P938" s="146"/>
      <c r="Q938" s="146"/>
      <c r="R938" s="156"/>
      <c r="S938" s="146"/>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row>
    <row r="939" spans="1:44" ht="12.3">
      <c r="A939" s="157"/>
      <c r="B939" s="157"/>
      <c r="C939" s="149"/>
      <c r="D939" s="149"/>
      <c r="E939" s="149"/>
      <c r="F939" s="149"/>
      <c r="G939" s="149"/>
      <c r="H939" s="149"/>
      <c r="I939" s="149"/>
      <c r="J939" s="149"/>
      <c r="K939" s="182"/>
      <c r="L939" s="149"/>
      <c r="M939" s="149"/>
      <c r="N939" s="149"/>
      <c r="P939" s="146"/>
      <c r="Q939" s="146"/>
      <c r="R939" s="156"/>
      <c r="S939" s="146"/>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row>
    <row r="940" spans="1:44" ht="12.3">
      <c r="A940" s="157"/>
      <c r="B940" s="157"/>
      <c r="C940" s="149"/>
      <c r="D940" s="149"/>
      <c r="E940" s="149"/>
      <c r="F940" s="149"/>
      <c r="G940" s="149"/>
      <c r="H940" s="149"/>
      <c r="I940" s="149"/>
      <c r="J940" s="149"/>
      <c r="K940" s="182"/>
      <c r="L940" s="149"/>
      <c r="M940" s="149"/>
      <c r="N940" s="149"/>
      <c r="P940" s="146"/>
      <c r="Q940" s="146"/>
      <c r="R940" s="156"/>
      <c r="S940" s="146"/>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row>
    <row r="941" spans="1:44" ht="12.3">
      <c r="A941" s="157"/>
      <c r="B941" s="157"/>
      <c r="C941" s="149"/>
      <c r="D941" s="149"/>
      <c r="E941" s="149"/>
      <c r="F941" s="149"/>
      <c r="G941" s="149"/>
      <c r="H941" s="149"/>
      <c r="I941" s="149"/>
      <c r="J941" s="149"/>
      <c r="K941" s="182"/>
      <c r="L941" s="149"/>
      <c r="M941" s="149"/>
      <c r="N941" s="149"/>
      <c r="P941" s="146"/>
      <c r="Q941" s="146"/>
      <c r="R941" s="156"/>
      <c r="S941" s="146"/>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row>
    <row r="942" spans="1:44" ht="12.3">
      <c r="A942" s="157"/>
      <c r="B942" s="157"/>
      <c r="C942" s="149"/>
      <c r="D942" s="149"/>
      <c r="E942" s="149"/>
      <c r="F942" s="149"/>
      <c r="G942" s="149"/>
      <c r="H942" s="149"/>
      <c r="I942" s="149"/>
      <c r="J942" s="149"/>
      <c r="K942" s="182"/>
      <c r="L942" s="149"/>
      <c r="M942" s="149"/>
      <c r="N942" s="149"/>
      <c r="P942" s="146"/>
      <c r="Q942" s="146"/>
      <c r="R942" s="156"/>
      <c r="S942" s="146"/>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row>
    <row r="943" spans="1:44" ht="12.3">
      <c r="A943" s="157"/>
      <c r="B943" s="157"/>
      <c r="C943" s="149"/>
      <c r="D943" s="149"/>
      <c r="E943" s="149"/>
      <c r="F943" s="149"/>
      <c r="G943" s="149"/>
      <c r="H943" s="149"/>
      <c r="I943" s="149"/>
      <c r="J943" s="149"/>
      <c r="K943" s="182"/>
      <c r="L943" s="149"/>
      <c r="M943" s="149"/>
      <c r="N943" s="149"/>
      <c r="P943" s="146"/>
      <c r="Q943" s="146"/>
      <c r="R943" s="156"/>
      <c r="S943" s="146"/>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row>
    <row r="944" spans="1:44" ht="12.3">
      <c r="A944" s="157"/>
      <c r="B944" s="157"/>
      <c r="C944" s="149"/>
      <c r="D944" s="149"/>
      <c r="E944" s="149"/>
      <c r="F944" s="149"/>
      <c r="G944" s="149"/>
      <c r="H944" s="149"/>
      <c r="I944" s="149"/>
      <c r="J944" s="149"/>
      <c r="K944" s="182"/>
      <c r="L944" s="149"/>
      <c r="M944" s="149"/>
      <c r="N944" s="149"/>
      <c r="P944" s="146"/>
      <c r="Q944" s="146"/>
      <c r="R944" s="156"/>
      <c r="S944" s="146"/>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row>
    <row r="945" spans="1:44" ht="12.3">
      <c r="A945" s="157"/>
      <c r="B945" s="157"/>
      <c r="C945" s="149"/>
      <c r="D945" s="149"/>
      <c r="E945" s="149"/>
      <c r="F945" s="149"/>
      <c r="G945" s="149"/>
      <c r="H945" s="149"/>
      <c r="I945" s="149"/>
      <c r="J945" s="149"/>
      <c r="K945" s="182"/>
      <c r="L945" s="149"/>
      <c r="M945" s="149"/>
      <c r="N945" s="149"/>
      <c r="P945" s="146"/>
      <c r="Q945" s="146"/>
      <c r="R945" s="156"/>
      <c r="S945" s="146"/>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row>
    <row r="946" spans="1:44" ht="12.3">
      <c r="A946" s="157"/>
      <c r="B946" s="157"/>
      <c r="C946" s="149"/>
      <c r="D946" s="149"/>
      <c r="E946" s="149"/>
      <c r="F946" s="149"/>
      <c r="G946" s="149"/>
      <c r="H946" s="149"/>
      <c r="I946" s="149"/>
      <c r="J946" s="149"/>
      <c r="K946" s="182"/>
      <c r="L946" s="149"/>
      <c r="M946" s="149"/>
      <c r="N946" s="149"/>
      <c r="P946" s="146"/>
      <c r="Q946" s="146"/>
      <c r="R946" s="156"/>
      <c r="S946" s="146"/>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row>
    <row r="947" spans="1:44" ht="12.3">
      <c r="A947" s="157"/>
      <c r="B947" s="157"/>
      <c r="C947" s="149"/>
      <c r="D947" s="149"/>
      <c r="E947" s="149"/>
      <c r="F947" s="149"/>
      <c r="G947" s="149"/>
      <c r="H947" s="149"/>
      <c r="I947" s="149"/>
      <c r="J947" s="149"/>
      <c r="K947" s="182"/>
      <c r="L947" s="149"/>
      <c r="M947" s="149"/>
      <c r="N947" s="149"/>
      <c r="P947" s="146"/>
      <c r="Q947" s="146"/>
      <c r="R947" s="156"/>
      <c r="S947" s="146"/>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row>
    <row r="948" spans="1:44" ht="12.3">
      <c r="A948" s="157"/>
      <c r="B948" s="157"/>
      <c r="C948" s="149"/>
      <c r="D948" s="149"/>
      <c r="E948" s="149"/>
      <c r="F948" s="149"/>
      <c r="G948" s="149"/>
      <c r="H948" s="149"/>
      <c r="I948" s="149"/>
      <c r="J948" s="149"/>
      <c r="K948" s="182"/>
      <c r="L948" s="149"/>
      <c r="M948" s="149"/>
      <c r="N948" s="149"/>
      <c r="P948" s="146"/>
      <c r="Q948" s="146"/>
      <c r="R948" s="156"/>
      <c r="S948" s="146"/>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row>
    <row r="949" spans="1:44" ht="12.3">
      <c r="A949" s="157"/>
      <c r="B949" s="157"/>
      <c r="C949" s="149"/>
      <c r="D949" s="149"/>
      <c r="E949" s="149"/>
      <c r="F949" s="149"/>
      <c r="G949" s="149"/>
      <c r="H949" s="149"/>
      <c r="I949" s="149"/>
      <c r="J949" s="149"/>
      <c r="K949" s="182"/>
      <c r="L949" s="149"/>
      <c r="M949" s="149"/>
      <c r="N949" s="149"/>
      <c r="P949" s="146"/>
      <c r="Q949" s="146"/>
      <c r="R949" s="156"/>
      <c r="S949" s="146"/>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row>
    <row r="950" spans="1:44" ht="12.3">
      <c r="A950" s="157"/>
      <c r="B950" s="157"/>
      <c r="C950" s="149"/>
      <c r="D950" s="149"/>
      <c r="E950" s="149"/>
      <c r="F950" s="149"/>
      <c r="G950" s="149"/>
      <c r="H950" s="149"/>
      <c r="I950" s="149"/>
      <c r="J950" s="149"/>
      <c r="K950" s="182"/>
      <c r="L950" s="149"/>
      <c r="M950" s="149"/>
      <c r="N950" s="149"/>
      <c r="P950" s="146"/>
      <c r="Q950" s="146"/>
      <c r="R950" s="156"/>
      <c r="S950" s="146"/>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row>
    <row r="951" spans="1:44" ht="12.3">
      <c r="A951" s="157"/>
      <c r="B951" s="157"/>
      <c r="C951" s="149"/>
      <c r="D951" s="149"/>
      <c r="E951" s="149"/>
      <c r="F951" s="149"/>
      <c r="G951" s="149"/>
      <c r="H951" s="149"/>
      <c r="I951" s="149"/>
      <c r="J951" s="149"/>
      <c r="K951" s="182"/>
      <c r="L951" s="149"/>
      <c r="M951" s="149"/>
      <c r="N951" s="149"/>
      <c r="P951" s="146"/>
      <c r="Q951" s="146"/>
      <c r="R951" s="156"/>
      <c r="S951" s="146"/>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row>
    <row r="952" spans="1:44" ht="12.3">
      <c r="A952" s="157"/>
      <c r="B952" s="157"/>
      <c r="C952" s="149"/>
      <c r="D952" s="149"/>
      <c r="E952" s="149"/>
      <c r="F952" s="149"/>
      <c r="G952" s="149"/>
      <c r="H952" s="149"/>
      <c r="I952" s="149"/>
      <c r="J952" s="149"/>
      <c r="K952" s="182"/>
      <c r="L952" s="149"/>
      <c r="M952" s="149"/>
      <c r="N952" s="149"/>
      <c r="P952" s="146"/>
      <c r="Q952" s="146"/>
      <c r="R952" s="156"/>
      <c r="S952" s="146"/>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row>
    <row r="953" spans="1:44" ht="12.3">
      <c r="A953" s="157"/>
      <c r="B953" s="157"/>
      <c r="C953" s="149"/>
      <c r="D953" s="149"/>
      <c r="E953" s="149"/>
      <c r="F953" s="149"/>
      <c r="G953" s="149"/>
      <c r="H953" s="149"/>
      <c r="I953" s="149"/>
      <c r="J953" s="149"/>
      <c r="K953" s="182"/>
      <c r="L953" s="149"/>
      <c r="M953" s="149"/>
      <c r="N953" s="149"/>
      <c r="P953" s="146"/>
      <c r="Q953" s="146"/>
      <c r="R953" s="156"/>
      <c r="S953" s="146"/>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row>
    <row r="954" spans="1:44" ht="12.3">
      <c r="A954" s="157"/>
      <c r="B954" s="157"/>
      <c r="C954" s="149"/>
      <c r="D954" s="149"/>
      <c r="E954" s="149"/>
      <c r="F954" s="149"/>
      <c r="G954" s="149"/>
      <c r="H954" s="149"/>
      <c r="I954" s="149"/>
      <c r="J954" s="149"/>
      <c r="K954" s="182"/>
      <c r="L954" s="149"/>
      <c r="M954" s="149"/>
      <c r="N954" s="149"/>
      <c r="P954" s="146"/>
      <c r="Q954" s="146"/>
      <c r="R954" s="156"/>
      <c r="S954" s="146"/>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row>
    <row r="955" spans="1:44" ht="12.3">
      <c r="A955" s="157"/>
      <c r="B955" s="157"/>
      <c r="C955" s="149"/>
      <c r="D955" s="149"/>
      <c r="E955" s="149"/>
      <c r="F955" s="149"/>
      <c r="G955" s="149"/>
      <c r="H955" s="149"/>
      <c r="I955" s="149"/>
      <c r="J955" s="149"/>
      <c r="K955" s="182"/>
      <c r="L955" s="149"/>
      <c r="M955" s="149"/>
      <c r="N955" s="149"/>
      <c r="P955" s="146"/>
      <c r="Q955" s="146"/>
      <c r="R955" s="156"/>
      <c r="S955" s="146"/>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row>
    <row r="956" spans="1:44" ht="12.3">
      <c r="A956" s="157"/>
      <c r="B956" s="157"/>
      <c r="C956" s="149"/>
      <c r="D956" s="149"/>
      <c r="E956" s="149"/>
      <c r="F956" s="149"/>
      <c r="G956" s="149"/>
      <c r="H956" s="149"/>
      <c r="I956" s="149"/>
      <c r="J956" s="149"/>
      <c r="K956" s="182"/>
      <c r="L956" s="149"/>
      <c r="M956" s="149"/>
      <c r="N956" s="149"/>
      <c r="P956" s="146"/>
      <c r="Q956" s="146"/>
      <c r="R956" s="156"/>
      <c r="S956" s="146"/>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row>
    <row r="957" spans="1:44" ht="12.3">
      <c r="A957" s="157"/>
      <c r="B957" s="157"/>
      <c r="C957" s="149"/>
      <c r="D957" s="149"/>
      <c r="E957" s="149"/>
      <c r="F957" s="149"/>
      <c r="G957" s="149"/>
      <c r="H957" s="149"/>
      <c r="I957" s="149"/>
      <c r="J957" s="149"/>
      <c r="K957" s="182"/>
      <c r="L957" s="149"/>
      <c r="M957" s="149"/>
      <c r="N957" s="149"/>
      <c r="P957" s="146"/>
      <c r="Q957" s="146"/>
      <c r="R957" s="156"/>
      <c r="S957" s="146"/>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row>
    <row r="958" spans="1:44" ht="12.3">
      <c r="A958" s="157"/>
      <c r="B958" s="157"/>
      <c r="C958" s="149"/>
      <c r="D958" s="149"/>
      <c r="E958" s="149"/>
      <c r="F958" s="149"/>
      <c r="G958" s="149"/>
      <c r="H958" s="149"/>
      <c r="I958" s="149"/>
      <c r="J958" s="149"/>
      <c r="K958" s="182"/>
      <c r="L958" s="149"/>
      <c r="M958" s="149"/>
      <c r="N958" s="149"/>
      <c r="P958" s="146"/>
      <c r="Q958" s="146"/>
      <c r="R958" s="156"/>
      <c r="S958" s="146"/>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row>
    <row r="959" spans="1:44" ht="12.3">
      <c r="A959" s="157"/>
      <c r="B959" s="157"/>
      <c r="C959" s="149"/>
      <c r="D959" s="149"/>
      <c r="E959" s="149"/>
      <c r="F959" s="149"/>
      <c r="G959" s="149"/>
      <c r="H959" s="149"/>
      <c r="I959" s="149"/>
      <c r="J959" s="149"/>
      <c r="K959" s="182"/>
      <c r="L959" s="149"/>
      <c r="M959" s="149"/>
      <c r="N959" s="149"/>
      <c r="P959" s="146"/>
      <c r="Q959" s="146"/>
      <c r="R959" s="156"/>
      <c r="S959" s="146"/>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row>
    <row r="960" spans="1:44" ht="12.3">
      <c r="A960" s="157"/>
      <c r="B960" s="157"/>
      <c r="C960" s="149"/>
      <c r="D960" s="149"/>
      <c r="E960" s="149"/>
      <c r="F960" s="149"/>
      <c r="G960" s="149"/>
      <c r="H960" s="149"/>
      <c r="I960" s="149"/>
      <c r="J960" s="149"/>
      <c r="K960" s="182"/>
      <c r="L960" s="149"/>
      <c r="M960" s="149"/>
      <c r="N960" s="149"/>
      <c r="P960" s="146"/>
      <c r="Q960" s="146"/>
      <c r="R960" s="156"/>
      <c r="S960" s="146"/>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row>
    <row r="961" spans="1:44" ht="12.3">
      <c r="A961" s="157"/>
      <c r="B961" s="157"/>
      <c r="C961" s="149"/>
      <c r="D961" s="149"/>
      <c r="E961" s="149"/>
      <c r="F961" s="149"/>
      <c r="G961" s="149"/>
      <c r="H961" s="149"/>
      <c r="I961" s="149"/>
      <c r="J961" s="149"/>
      <c r="K961" s="182"/>
      <c r="L961" s="149"/>
      <c r="M961" s="149"/>
      <c r="N961" s="149"/>
      <c r="P961" s="146"/>
      <c r="Q961" s="146"/>
      <c r="R961" s="156"/>
      <c r="S961" s="146"/>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row>
    <row r="962" spans="1:44" ht="12.3">
      <c r="A962" s="157"/>
      <c r="B962" s="157"/>
      <c r="C962" s="149"/>
      <c r="D962" s="149"/>
      <c r="E962" s="149"/>
      <c r="F962" s="149"/>
      <c r="G962" s="149"/>
      <c r="H962" s="149"/>
      <c r="I962" s="149"/>
      <c r="J962" s="149"/>
      <c r="K962" s="182"/>
      <c r="L962" s="149"/>
      <c r="M962" s="149"/>
      <c r="N962" s="149"/>
      <c r="P962" s="146"/>
      <c r="Q962" s="146"/>
      <c r="R962" s="156"/>
      <c r="S962" s="146"/>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row>
    <row r="963" spans="1:44" ht="12.3">
      <c r="A963" s="157"/>
      <c r="B963" s="157"/>
      <c r="C963" s="149"/>
      <c r="D963" s="149"/>
      <c r="E963" s="149"/>
      <c r="F963" s="149"/>
      <c r="G963" s="149"/>
      <c r="H963" s="149"/>
      <c r="I963" s="149"/>
      <c r="J963" s="149"/>
      <c r="K963" s="182"/>
      <c r="L963" s="149"/>
      <c r="M963" s="149"/>
      <c r="N963" s="149"/>
      <c r="P963" s="146"/>
      <c r="Q963" s="146"/>
      <c r="R963" s="156"/>
      <c r="S963" s="146"/>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row>
    <row r="964" spans="1:44" ht="12.3">
      <c r="A964" s="157"/>
      <c r="B964" s="157"/>
      <c r="C964" s="149"/>
      <c r="D964" s="149"/>
      <c r="E964" s="149"/>
      <c r="F964" s="149"/>
      <c r="G964" s="149"/>
      <c r="H964" s="149"/>
      <c r="I964" s="149"/>
      <c r="J964" s="149"/>
      <c r="K964" s="182"/>
      <c r="L964" s="149"/>
      <c r="M964" s="149"/>
      <c r="N964" s="149"/>
      <c r="P964" s="146"/>
      <c r="Q964" s="146"/>
      <c r="R964" s="156"/>
      <c r="S964" s="146"/>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row>
    <row r="965" spans="1:44" ht="12.3">
      <c r="A965" s="157"/>
      <c r="B965" s="157"/>
      <c r="C965" s="149"/>
      <c r="D965" s="149"/>
      <c r="E965" s="149"/>
      <c r="F965" s="149"/>
      <c r="G965" s="149"/>
      <c r="H965" s="149"/>
      <c r="I965" s="149"/>
      <c r="J965" s="149"/>
      <c r="K965" s="182"/>
      <c r="L965" s="149"/>
      <c r="M965" s="149"/>
      <c r="N965" s="149"/>
      <c r="P965" s="146"/>
      <c r="Q965" s="146"/>
      <c r="R965" s="156"/>
      <c r="S965" s="146"/>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row>
    <row r="966" spans="1:44" ht="12.3">
      <c r="A966" s="157"/>
      <c r="B966" s="157"/>
      <c r="C966" s="149"/>
      <c r="D966" s="149"/>
      <c r="E966" s="149"/>
      <c r="F966" s="149"/>
      <c r="G966" s="149"/>
      <c r="H966" s="149"/>
      <c r="I966" s="149"/>
      <c r="J966" s="149"/>
      <c r="K966" s="182"/>
      <c r="L966" s="149"/>
      <c r="M966" s="149"/>
      <c r="N966" s="149"/>
      <c r="P966" s="146"/>
      <c r="Q966" s="146"/>
      <c r="R966" s="156"/>
      <c r="S966" s="146"/>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row>
    <row r="967" spans="1:44" ht="12.3">
      <c r="A967" s="157"/>
      <c r="B967" s="157"/>
      <c r="C967" s="149"/>
      <c r="D967" s="149"/>
      <c r="E967" s="149"/>
      <c r="F967" s="149"/>
      <c r="G967" s="149"/>
      <c r="H967" s="149"/>
      <c r="I967" s="149"/>
      <c r="J967" s="149"/>
      <c r="K967" s="182"/>
      <c r="L967" s="149"/>
      <c r="M967" s="149"/>
      <c r="N967" s="149"/>
      <c r="P967" s="146"/>
      <c r="Q967" s="146"/>
      <c r="R967" s="156"/>
      <c r="S967" s="146"/>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row>
    <row r="968" spans="1:44" ht="12.3">
      <c r="A968" s="157"/>
      <c r="B968" s="157"/>
      <c r="C968" s="149"/>
      <c r="D968" s="149"/>
      <c r="E968" s="149"/>
      <c r="F968" s="149"/>
      <c r="G968" s="149"/>
      <c r="H968" s="149"/>
      <c r="I968" s="149"/>
      <c r="J968" s="149"/>
      <c r="K968" s="182"/>
      <c r="L968" s="149"/>
      <c r="M968" s="149"/>
      <c r="N968" s="149"/>
      <c r="P968" s="146"/>
      <c r="Q968" s="146"/>
      <c r="R968" s="156"/>
      <c r="S968" s="146"/>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row>
    <row r="969" spans="1:44" ht="12.3">
      <c r="A969" s="157"/>
      <c r="B969" s="157"/>
      <c r="C969" s="149"/>
      <c r="D969" s="149"/>
      <c r="E969" s="149"/>
      <c r="F969" s="149"/>
      <c r="G969" s="149"/>
      <c r="H969" s="149"/>
      <c r="I969" s="149"/>
      <c r="J969" s="149"/>
      <c r="K969" s="182"/>
      <c r="L969" s="149"/>
      <c r="M969" s="149"/>
      <c r="N969" s="149"/>
      <c r="P969" s="146"/>
      <c r="Q969" s="146"/>
      <c r="R969" s="156"/>
      <c r="S969" s="146"/>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row>
    <row r="970" spans="1:44" ht="12.3">
      <c r="A970" s="157"/>
      <c r="B970" s="157"/>
      <c r="C970" s="149"/>
      <c r="D970" s="149"/>
      <c r="E970" s="149"/>
      <c r="F970" s="149"/>
      <c r="G970" s="149"/>
      <c r="H970" s="149"/>
      <c r="I970" s="149"/>
      <c r="J970" s="149"/>
      <c r="K970" s="182"/>
      <c r="L970" s="149"/>
      <c r="M970" s="149"/>
      <c r="N970" s="149"/>
      <c r="P970" s="146"/>
      <c r="Q970" s="146"/>
      <c r="R970" s="156"/>
      <c r="S970" s="146"/>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row>
    <row r="971" spans="1:44" ht="12.3">
      <c r="A971" s="157"/>
      <c r="B971" s="157"/>
      <c r="C971" s="149"/>
      <c r="D971" s="149"/>
      <c r="E971" s="149"/>
      <c r="F971" s="149"/>
      <c r="G971" s="149"/>
      <c r="H971" s="149"/>
      <c r="I971" s="149"/>
      <c r="J971" s="149"/>
      <c r="K971" s="182"/>
      <c r="L971" s="149"/>
      <c r="M971" s="149"/>
      <c r="N971" s="149"/>
      <c r="P971" s="146"/>
      <c r="Q971" s="146"/>
      <c r="R971" s="156"/>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row>
    <row r="972" spans="1:44" ht="12.3">
      <c r="A972" s="157"/>
      <c r="B972" s="157"/>
      <c r="C972" s="149"/>
      <c r="D972" s="149"/>
      <c r="E972" s="149"/>
      <c r="F972" s="149"/>
      <c r="G972" s="149"/>
      <c r="H972" s="149"/>
      <c r="I972" s="149"/>
      <c r="J972" s="149"/>
      <c r="K972" s="182"/>
      <c r="L972" s="149"/>
      <c r="M972" s="149"/>
      <c r="N972" s="149"/>
      <c r="P972" s="146"/>
      <c r="Q972" s="146"/>
      <c r="R972" s="156"/>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row>
    <row r="973" spans="1:44" ht="12.3">
      <c r="A973" s="157"/>
      <c r="B973" s="157"/>
      <c r="C973" s="149"/>
      <c r="D973" s="149"/>
      <c r="E973" s="149"/>
      <c r="F973" s="149"/>
      <c r="G973" s="149"/>
      <c r="H973" s="149"/>
      <c r="I973" s="149"/>
      <c r="J973" s="149"/>
      <c r="K973" s="182"/>
      <c r="L973" s="149"/>
      <c r="M973" s="149"/>
      <c r="N973" s="149"/>
      <c r="P973" s="146"/>
      <c r="Q973" s="146"/>
      <c r="R973" s="156"/>
      <c r="S973" s="146"/>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row>
    <row r="974" spans="1:44" ht="12.3">
      <c r="A974" s="157"/>
      <c r="B974" s="157"/>
      <c r="C974" s="149"/>
      <c r="D974" s="149"/>
      <c r="E974" s="149"/>
      <c r="F974" s="149"/>
      <c r="G974" s="149"/>
      <c r="H974" s="149"/>
      <c r="I974" s="149"/>
      <c r="J974" s="149"/>
      <c r="K974" s="182"/>
      <c r="L974" s="149"/>
      <c r="M974" s="149"/>
      <c r="N974" s="149"/>
      <c r="P974" s="146"/>
      <c r="Q974" s="146"/>
      <c r="R974" s="156"/>
      <c r="S974" s="146"/>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row>
    <row r="975" spans="1:44" ht="12.3">
      <c r="A975" s="157"/>
      <c r="B975" s="157"/>
      <c r="C975" s="149"/>
      <c r="D975" s="149"/>
      <c r="E975" s="149"/>
      <c r="F975" s="149"/>
      <c r="G975" s="149"/>
      <c r="H975" s="149"/>
      <c r="I975" s="149"/>
      <c r="J975" s="149"/>
      <c r="K975" s="182"/>
      <c r="L975" s="149"/>
      <c r="M975" s="149"/>
      <c r="N975" s="149"/>
      <c r="P975" s="146"/>
      <c r="Q975" s="146"/>
      <c r="R975" s="156"/>
      <c r="S975" s="146"/>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row>
    <row r="976" spans="1:44" ht="12.3">
      <c r="A976" s="157"/>
      <c r="B976" s="157"/>
      <c r="C976" s="149"/>
      <c r="D976" s="149"/>
      <c r="E976" s="149"/>
      <c r="F976" s="149"/>
      <c r="G976" s="149"/>
      <c r="H976" s="149"/>
      <c r="I976" s="149"/>
      <c r="J976" s="149"/>
      <c r="K976" s="182"/>
      <c r="L976" s="149"/>
      <c r="M976" s="149"/>
      <c r="N976" s="149"/>
      <c r="P976" s="146"/>
      <c r="Q976" s="146"/>
      <c r="R976" s="156"/>
      <c r="S976" s="146"/>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row>
    <row r="977" spans="1:44" ht="12.3">
      <c r="A977" s="157"/>
      <c r="B977" s="157"/>
      <c r="C977" s="149"/>
      <c r="D977" s="149"/>
      <c r="E977" s="149"/>
      <c r="F977" s="149"/>
      <c r="G977" s="149"/>
      <c r="H977" s="149"/>
      <c r="I977" s="149"/>
      <c r="J977" s="149"/>
      <c r="K977" s="182"/>
      <c r="L977" s="149"/>
      <c r="M977" s="149"/>
      <c r="N977" s="149"/>
      <c r="P977" s="146"/>
      <c r="Q977" s="146"/>
      <c r="R977" s="156"/>
      <c r="S977" s="146"/>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row>
    <row r="978" spans="1:44" ht="12.3">
      <c r="A978" s="157"/>
      <c r="B978" s="157"/>
      <c r="C978" s="149"/>
      <c r="D978" s="149"/>
      <c r="E978" s="149"/>
      <c r="F978" s="149"/>
      <c r="G978" s="149"/>
      <c r="H978" s="149"/>
      <c r="I978" s="149"/>
      <c r="J978" s="149"/>
      <c r="K978" s="182"/>
      <c r="L978" s="149"/>
      <c r="M978" s="149"/>
      <c r="N978" s="149"/>
      <c r="P978" s="146"/>
      <c r="Q978" s="146"/>
      <c r="R978" s="156"/>
      <c r="S978" s="146"/>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row>
    <row r="979" spans="1:44" ht="12.3">
      <c r="A979" s="157"/>
      <c r="B979" s="157"/>
      <c r="C979" s="149"/>
      <c r="D979" s="149"/>
      <c r="E979" s="149"/>
      <c r="F979" s="149"/>
      <c r="G979" s="149"/>
      <c r="H979" s="149"/>
      <c r="I979" s="149"/>
      <c r="J979" s="149"/>
      <c r="K979" s="182"/>
      <c r="L979" s="149"/>
      <c r="M979" s="149"/>
      <c r="N979" s="149"/>
      <c r="P979" s="146"/>
      <c r="Q979" s="146"/>
      <c r="R979" s="156"/>
      <c r="S979" s="146"/>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c r="AR979" s="146"/>
    </row>
    <row r="980" spans="1:44" ht="12.3">
      <c r="A980" s="157"/>
      <c r="B980" s="157"/>
      <c r="C980" s="149"/>
      <c r="D980" s="149"/>
      <c r="E980" s="149"/>
      <c r="F980" s="149"/>
      <c r="G980" s="149"/>
      <c r="H980" s="149"/>
      <c r="I980" s="149"/>
      <c r="J980" s="149"/>
      <c r="K980" s="182"/>
      <c r="L980" s="149"/>
      <c r="M980" s="149"/>
      <c r="N980" s="149"/>
      <c r="P980" s="146"/>
      <c r="Q980" s="146"/>
      <c r="R980" s="156"/>
      <c r="S980" s="146"/>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c r="AR980" s="146"/>
    </row>
    <row r="981" spans="1:44" ht="12.3">
      <c r="A981" s="157"/>
      <c r="B981" s="157"/>
      <c r="C981" s="149"/>
      <c r="D981" s="149"/>
      <c r="E981" s="149"/>
      <c r="F981" s="149"/>
      <c r="G981" s="149"/>
      <c r="H981" s="149"/>
      <c r="I981" s="149"/>
      <c r="J981" s="149"/>
      <c r="K981" s="182"/>
      <c r="L981" s="149"/>
      <c r="M981" s="149"/>
      <c r="N981" s="149"/>
      <c r="P981" s="146"/>
      <c r="Q981" s="146"/>
      <c r="R981" s="156"/>
      <c r="S981" s="146"/>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c r="AR981" s="146"/>
    </row>
    <row r="982" spans="1:44" ht="12.3">
      <c r="A982" s="157"/>
      <c r="B982" s="157"/>
      <c r="C982" s="149"/>
      <c r="D982" s="149"/>
      <c r="E982" s="149"/>
      <c r="F982" s="149"/>
      <c r="G982" s="149"/>
      <c r="H982" s="149"/>
      <c r="I982" s="149"/>
      <c r="J982" s="149"/>
      <c r="K982" s="182"/>
      <c r="L982" s="149"/>
      <c r="M982" s="149"/>
      <c r="N982" s="149"/>
      <c r="P982" s="146"/>
      <c r="Q982" s="146"/>
      <c r="R982" s="156"/>
      <c r="S982" s="146"/>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c r="AR982" s="146"/>
    </row>
    <row r="983" spans="1:44" ht="12.3">
      <c r="A983" s="157"/>
      <c r="B983" s="157"/>
      <c r="C983" s="149"/>
      <c r="D983" s="149"/>
      <c r="E983" s="149"/>
      <c r="F983" s="149"/>
      <c r="G983" s="149"/>
      <c r="H983" s="149"/>
      <c r="I983" s="149"/>
      <c r="J983" s="149"/>
      <c r="K983" s="182"/>
      <c r="L983" s="149"/>
      <c r="M983" s="149"/>
      <c r="N983" s="149"/>
      <c r="P983" s="146"/>
      <c r="Q983" s="146"/>
      <c r="R983" s="156"/>
      <c r="S983" s="146"/>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c r="AR983" s="146"/>
    </row>
    <row r="984" spans="1:44" ht="12.3">
      <c r="A984" s="157"/>
      <c r="B984" s="157"/>
      <c r="C984" s="149"/>
      <c r="D984" s="149"/>
      <c r="E984" s="149"/>
      <c r="F984" s="149"/>
      <c r="G984" s="149"/>
      <c r="H984" s="149"/>
      <c r="I984" s="149"/>
      <c r="J984" s="149"/>
      <c r="K984" s="182"/>
      <c r="L984" s="149"/>
      <c r="M984" s="149"/>
      <c r="N984" s="149"/>
      <c r="P984" s="146"/>
      <c r="Q984" s="146"/>
      <c r="R984" s="156"/>
      <c r="S984" s="146"/>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c r="AR984" s="146"/>
    </row>
    <row r="985" spans="1:44" ht="12.3">
      <c r="A985" s="157"/>
      <c r="B985" s="157"/>
      <c r="C985" s="149"/>
      <c r="D985" s="149"/>
      <c r="E985" s="149"/>
      <c r="F985" s="149"/>
      <c r="G985" s="149"/>
      <c r="H985" s="149"/>
      <c r="I985" s="149"/>
      <c r="J985" s="149"/>
      <c r="K985" s="182"/>
      <c r="L985" s="149"/>
      <c r="M985" s="149"/>
      <c r="N985" s="149"/>
      <c r="P985" s="146"/>
      <c r="Q985" s="146"/>
      <c r="R985" s="156"/>
      <c r="S985" s="146"/>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c r="AR985" s="146"/>
    </row>
    <row r="986" spans="1:44" ht="12.3">
      <c r="A986" s="157"/>
      <c r="B986" s="157"/>
      <c r="C986" s="149"/>
      <c r="D986" s="149"/>
      <c r="E986" s="149"/>
      <c r="F986" s="149"/>
      <c r="G986" s="149"/>
      <c r="H986" s="149"/>
      <c r="I986" s="149"/>
      <c r="J986" s="149"/>
      <c r="K986" s="182"/>
      <c r="L986" s="149"/>
      <c r="M986" s="149"/>
      <c r="N986" s="149"/>
      <c r="P986" s="146"/>
      <c r="Q986" s="146"/>
      <c r="R986" s="156"/>
      <c r="S986" s="146"/>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c r="AR986" s="146"/>
    </row>
    <row r="987" spans="1:44" ht="12.3">
      <c r="A987" s="157"/>
      <c r="B987" s="157"/>
      <c r="C987" s="149"/>
      <c r="D987" s="149"/>
      <c r="E987" s="149"/>
      <c r="F987" s="149"/>
      <c r="G987" s="149"/>
      <c r="H987" s="149"/>
      <c r="I987" s="149"/>
      <c r="J987" s="149"/>
      <c r="K987" s="182"/>
      <c r="L987" s="149"/>
      <c r="M987" s="149"/>
      <c r="N987" s="149"/>
      <c r="P987" s="146"/>
      <c r="Q987" s="146"/>
      <c r="R987" s="156"/>
      <c r="S987" s="146"/>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c r="AR987" s="146"/>
    </row>
    <row r="988" spans="1:44" ht="12.3">
      <c r="A988" s="157"/>
      <c r="B988" s="157"/>
      <c r="C988" s="149"/>
      <c r="D988" s="149"/>
      <c r="E988" s="149"/>
      <c r="F988" s="149"/>
      <c r="G988" s="149"/>
      <c r="H988" s="149"/>
      <c r="I988" s="149"/>
      <c r="J988" s="149"/>
      <c r="K988" s="182"/>
      <c r="L988" s="149"/>
      <c r="M988" s="149"/>
      <c r="N988" s="149"/>
      <c r="P988" s="146"/>
      <c r="Q988" s="146"/>
      <c r="R988" s="156"/>
      <c r="S988" s="146"/>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c r="AR988" s="146"/>
    </row>
    <row r="989" spans="1:44" ht="12.3">
      <c r="A989" s="157"/>
      <c r="B989" s="157"/>
      <c r="C989" s="149"/>
      <c r="D989" s="149"/>
      <c r="E989" s="149"/>
      <c r="F989" s="149"/>
      <c r="G989" s="149"/>
      <c r="H989" s="149"/>
      <c r="I989" s="149"/>
      <c r="J989" s="149"/>
      <c r="K989" s="182"/>
      <c r="L989" s="149"/>
      <c r="M989" s="149"/>
      <c r="N989" s="149"/>
      <c r="P989" s="146"/>
      <c r="Q989" s="146"/>
      <c r="R989" s="156"/>
      <c r="S989" s="146"/>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c r="AR989" s="146"/>
    </row>
    <row r="990" spans="1:44" ht="12.3">
      <c r="A990" s="157"/>
      <c r="B990" s="157"/>
      <c r="C990" s="149"/>
      <c r="D990" s="149"/>
      <c r="E990" s="149"/>
      <c r="F990" s="149"/>
      <c r="G990" s="149"/>
      <c r="H990" s="149"/>
      <c r="I990" s="149"/>
      <c r="J990" s="149"/>
      <c r="K990" s="182"/>
      <c r="L990" s="149"/>
      <c r="M990" s="149"/>
      <c r="N990" s="149"/>
      <c r="P990" s="146"/>
      <c r="Q990" s="146"/>
      <c r="R990" s="156"/>
      <c r="S990" s="146"/>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c r="AR990" s="146"/>
    </row>
    <row r="991" spans="1:44" ht="12.3">
      <c r="A991" s="157"/>
      <c r="B991" s="157"/>
      <c r="C991" s="149"/>
      <c r="D991" s="149"/>
      <c r="E991" s="149"/>
      <c r="F991" s="149"/>
      <c r="G991" s="149"/>
      <c r="H991" s="149"/>
      <c r="I991" s="149"/>
      <c r="J991" s="149"/>
      <c r="K991" s="182"/>
      <c r="L991" s="149"/>
      <c r="M991" s="149"/>
      <c r="N991" s="149"/>
      <c r="P991" s="146"/>
      <c r="Q991" s="146"/>
      <c r="R991" s="156"/>
      <c r="S991" s="146"/>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c r="AR991" s="146"/>
    </row>
    <row r="992" spans="1:44" ht="12.3">
      <c r="A992" s="157"/>
      <c r="B992" s="157"/>
      <c r="C992" s="149"/>
      <c r="D992" s="149"/>
      <c r="E992" s="149"/>
      <c r="F992" s="149"/>
      <c r="G992" s="149"/>
      <c r="H992" s="149"/>
      <c r="I992" s="149"/>
      <c r="J992" s="149"/>
      <c r="K992" s="182"/>
      <c r="L992" s="149"/>
      <c r="M992" s="149"/>
      <c r="N992" s="149"/>
      <c r="P992" s="146"/>
      <c r="Q992" s="146"/>
      <c r="R992" s="156"/>
      <c r="S992" s="146"/>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c r="AR992" s="146"/>
    </row>
    <row r="993" spans="1:44" ht="12.3">
      <c r="A993" s="157"/>
      <c r="B993" s="157"/>
      <c r="C993" s="149"/>
      <c r="D993" s="149"/>
      <c r="E993" s="149"/>
      <c r="F993" s="149"/>
      <c r="G993" s="149"/>
      <c r="H993" s="149"/>
      <c r="I993" s="149"/>
      <c r="J993" s="149"/>
      <c r="K993" s="182"/>
      <c r="L993" s="149"/>
      <c r="M993" s="149"/>
      <c r="N993" s="149"/>
      <c r="P993" s="146"/>
      <c r="Q993" s="146"/>
      <c r="R993" s="156"/>
      <c r="S993" s="146"/>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c r="AR993" s="146"/>
    </row>
    <row r="994" spans="1:44" ht="12.3">
      <c r="A994" s="157"/>
      <c r="B994" s="157"/>
      <c r="C994" s="149"/>
      <c r="D994" s="149"/>
      <c r="E994" s="149"/>
      <c r="F994" s="149"/>
      <c r="G994" s="149"/>
      <c r="H994" s="149"/>
      <c r="I994" s="149"/>
      <c r="J994" s="149"/>
      <c r="K994" s="182"/>
      <c r="L994" s="149"/>
      <c r="M994" s="149"/>
      <c r="N994" s="149"/>
      <c r="P994" s="146"/>
      <c r="Q994" s="146"/>
      <c r="R994" s="156"/>
      <c r="S994" s="146"/>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c r="AR994" s="146"/>
    </row>
    <row r="995" spans="1:44" ht="12.3">
      <c r="A995" s="157"/>
      <c r="B995" s="157"/>
      <c r="C995" s="149"/>
      <c r="D995" s="149"/>
      <c r="E995" s="149"/>
      <c r="F995" s="149"/>
      <c r="G995" s="149"/>
      <c r="H995" s="149"/>
      <c r="I995" s="149"/>
      <c r="J995" s="149"/>
      <c r="K995" s="182"/>
      <c r="L995" s="149"/>
      <c r="M995" s="149"/>
      <c r="N995" s="149"/>
      <c r="P995" s="146"/>
      <c r="Q995" s="146"/>
      <c r="R995" s="156"/>
      <c r="S995" s="146"/>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c r="AR995" s="146"/>
    </row>
    <row r="996" spans="1:44" ht="12.3">
      <c r="A996" s="157"/>
      <c r="B996" s="157"/>
      <c r="C996" s="149"/>
      <c r="D996" s="149"/>
      <c r="E996" s="149"/>
      <c r="F996" s="149"/>
      <c r="G996" s="149"/>
      <c r="H996" s="149"/>
      <c r="I996" s="149"/>
      <c r="J996" s="149"/>
      <c r="K996" s="182"/>
      <c r="L996" s="149"/>
      <c r="M996" s="149"/>
      <c r="N996" s="149"/>
      <c r="P996" s="146"/>
      <c r="Q996" s="146"/>
      <c r="R996" s="156"/>
      <c r="S996" s="146"/>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c r="AR996" s="146"/>
    </row>
    <row r="997" spans="1:44" ht="12.3">
      <c r="A997" s="157"/>
      <c r="B997" s="157"/>
      <c r="C997" s="149"/>
      <c r="D997" s="149"/>
      <c r="E997" s="149"/>
      <c r="F997" s="149"/>
      <c r="G997" s="149"/>
      <c r="H997" s="149"/>
      <c r="I997" s="149"/>
      <c r="J997" s="149"/>
      <c r="K997" s="182"/>
      <c r="L997" s="149"/>
      <c r="M997" s="149"/>
      <c r="N997" s="149"/>
      <c r="P997" s="146"/>
      <c r="Q997" s="146"/>
      <c r="R997" s="156"/>
      <c r="S997" s="146"/>
      <c r="T997" s="146"/>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146"/>
      <c r="AR997" s="146"/>
    </row>
    <row r="998" spans="1:44" ht="12.3">
      <c r="A998" s="157"/>
      <c r="B998" s="157"/>
      <c r="C998" s="149"/>
      <c r="D998" s="149"/>
      <c r="E998" s="149"/>
      <c r="F998" s="149"/>
      <c r="G998" s="149"/>
      <c r="H998" s="149"/>
      <c r="I998" s="149"/>
      <c r="J998" s="149"/>
      <c r="K998" s="182"/>
      <c r="L998" s="149"/>
      <c r="M998" s="149"/>
      <c r="N998" s="149"/>
      <c r="P998" s="146"/>
      <c r="Q998" s="146"/>
      <c r="R998" s="156"/>
      <c r="S998" s="146"/>
      <c r="T998" s="146"/>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146"/>
      <c r="AR998" s="146"/>
    </row>
    <row r="999" spans="1:44" ht="12.3">
      <c r="A999" s="157"/>
      <c r="B999" s="157"/>
      <c r="C999" s="149"/>
      <c r="D999" s="149"/>
      <c r="E999" s="149"/>
      <c r="F999" s="149"/>
      <c r="G999" s="149"/>
      <c r="H999" s="149"/>
      <c r="I999" s="149"/>
      <c r="J999" s="149"/>
      <c r="K999" s="182"/>
      <c r="L999" s="149"/>
      <c r="M999" s="149"/>
      <c r="N999" s="149"/>
      <c r="P999" s="146"/>
      <c r="Q999" s="146"/>
      <c r="R999" s="156"/>
      <c r="S999" s="146"/>
      <c r="T999" s="146"/>
      <c r="U999" s="146"/>
      <c r="V999" s="146"/>
      <c r="W999" s="146"/>
      <c r="X999" s="146"/>
      <c r="Y999" s="146"/>
      <c r="Z999" s="146"/>
      <c r="AA999" s="146"/>
      <c r="AB999" s="146"/>
      <c r="AC999" s="146"/>
      <c r="AD999" s="146"/>
      <c r="AE999" s="146"/>
      <c r="AF999" s="146"/>
      <c r="AG999" s="146"/>
      <c r="AH999" s="146"/>
      <c r="AI999" s="146"/>
      <c r="AJ999" s="146"/>
      <c r="AK999" s="146"/>
      <c r="AL999" s="146"/>
      <c r="AM999" s="146"/>
      <c r="AN999" s="146"/>
      <c r="AO999" s="146"/>
      <c r="AP999" s="146"/>
      <c r="AQ999" s="146"/>
      <c r="AR999" s="146"/>
    </row>
    <row r="1000" spans="1:44" ht="12.3">
      <c r="A1000" s="157"/>
      <c r="B1000" s="157"/>
      <c r="C1000" s="149"/>
      <c r="D1000" s="149"/>
      <c r="E1000" s="149"/>
      <c r="F1000" s="149"/>
      <c r="G1000" s="149"/>
      <c r="H1000" s="149"/>
      <c r="I1000" s="149"/>
      <c r="J1000" s="149"/>
      <c r="K1000" s="182"/>
      <c r="L1000" s="149"/>
      <c r="M1000" s="149"/>
      <c r="N1000" s="149"/>
      <c r="P1000" s="146"/>
      <c r="Q1000" s="146"/>
      <c r="R1000" s="156"/>
      <c r="S1000" s="146"/>
      <c r="T1000" s="146"/>
      <c r="U1000" s="146"/>
      <c r="V1000" s="146"/>
      <c r="W1000" s="146"/>
      <c r="X1000" s="146"/>
      <c r="Y1000" s="146"/>
      <c r="Z1000" s="146"/>
      <c r="AA1000" s="146"/>
      <c r="AB1000" s="146"/>
      <c r="AC1000" s="146"/>
      <c r="AD1000" s="146"/>
      <c r="AE1000" s="146"/>
      <c r="AF1000" s="146"/>
      <c r="AG1000" s="146"/>
      <c r="AH1000" s="146"/>
      <c r="AI1000" s="146"/>
      <c r="AJ1000" s="146"/>
      <c r="AK1000" s="146"/>
      <c r="AL1000" s="146"/>
      <c r="AM1000" s="146"/>
      <c r="AN1000" s="146"/>
      <c r="AO1000" s="146"/>
      <c r="AP1000" s="146"/>
      <c r="AQ1000" s="146"/>
      <c r="AR1000" s="146"/>
    </row>
    <row r="1001" spans="1:44" ht="12.3">
      <c r="A1001" s="157"/>
      <c r="B1001" s="157"/>
      <c r="C1001" s="149"/>
      <c r="D1001" s="149"/>
      <c r="E1001" s="149"/>
      <c r="F1001" s="149"/>
      <c r="G1001" s="149"/>
      <c r="H1001" s="149"/>
      <c r="I1001" s="149"/>
      <c r="J1001" s="149"/>
      <c r="K1001" s="182"/>
      <c r="L1001" s="149"/>
      <c r="M1001" s="149"/>
      <c r="N1001" s="149"/>
      <c r="P1001" s="146"/>
      <c r="Q1001" s="146"/>
      <c r="R1001" s="156"/>
      <c r="S1001" s="146"/>
      <c r="T1001" s="146"/>
      <c r="U1001" s="146"/>
      <c r="V1001" s="146"/>
      <c r="W1001" s="146"/>
      <c r="X1001" s="146"/>
      <c r="Y1001" s="146"/>
      <c r="Z1001" s="146"/>
      <c r="AA1001" s="146"/>
      <c r="AB1001" s="146"/>
      <c r="AC1001" s="146"/>
      <c r="AD1001" s="146"/>
      <c r="AE1001" s="146"/>
      <c r="AF1001" s="146"/>
      <c r="AG1001" s="146"/>
      <c r="AH1001" s="146"/>
      <c r="AI1001" s="146"/>
      <c r="AJ1001" s="146"/>
      <c r="AK1001" s="146"/>
      <c r="AL1001" s="146"/>
      <c r="AM1001" s="146"/>
      <c r="AN1001" s="146"/>
      <c r="AO1001" s="146"/>
      <c r="AP1001" s="146"/>
      <c r="AQ1001" s="146"/>
      <c r="AR1001" s="146"/>
    </row>
    <row r="1002" spans="1:44" ht="12.3">
      <c r="A1002" s="157"/>
      <c r="B1002" s="157"/>
      <c r="C1002" s="149"/>
      <c r="D1002" s="149"/>
      <c r="E1002" s="149"/>
      <c r="F1002" s="149"/>
      <c r="G1002" s="149"/>
      <c r="H1002" s="149"/>
      <c r="I1002" s="149"/>
      <c r="J1002" s="149"/>
      <c r="K1002" s="182"/>
      <c r="L1002" s="149"/>
      <c r="M1002" s="149"/>
      <c r="N1002" s="149"/>
      <c r="P1002" s="146"/>
      <c r="Q1002" s="146"/>
      <c r="R1002" s="156"/>
      <c r="S1002" s="146"/>
      <c r="T1002" s="146"/>
      <c r="U1002" s="146"/>
      <c r="V1002" s="146"/>
      <c r="W1002" s="146"/>
      <c r="X1002" s="146"/>
      <c r="Y1002" s="146"/>
      <c r="Z1002" s="146"/>
      <c r="AA1002" s="146"/>
      <c r="AB1002" s="146"/>
      <c r="AC1002" s="146"/>
      <c r="AD1002" s="146"/>
      <c r="AE1002" s="146"/>
      <c r="AF1002" s="146"/>
      <c r="AG1002" s="146"/>
      <c r="AH1002" s="146"/>
      <c r="AI1002" s="146"/>
      <c r="AJ1002" s="146"/>
      <c r="AK1002" s="146"/>
      <c r="AL1002" s="146"/>
      <c r="AM1002" s="146"/>
      <c r="AN1002" s="146"/>
      <c r="AO1002" s="146"/>
      <c r="AP1002" s="146"/>
      <c r="AQ1002" s="146"/>
      <c r="AR1002" s="146"/>
    </row>
    <row r="1003" spans="1:44" ht="12.3">
      <c r="A1003" s="157"/>
      <c r="B1003" s="157"/>
      <c r="C1003" s="149"/>
      <c r="D1003" s="149"/>
      <c r="E1003" s="149"/>
      <c r="F1003" s="149"/>
      <c r="G1003" s="149"/>
      <c r="H1003" s="149"/>
      <c r="I1003" s="149"/>
      <c r="J1003" s="149"/>
      <c r="K1003" s="182"/>
      <c r="L1003" s="149"/>
      <c r="M1003" s="149"/>
      <c r="N1003" s="149"/>
      <c r="P1003" s="146"/>
      <c r="Q1003" s="146"/>
      <c r="R1003" s="156"/>
      <c r="S1003" s="146"/>
      <c r="T1003" s="146"/>
      <c r="U1003" s="146"/>
      <c r="V1003" s="146"/>
      <c r="W1003" s="146"/>
      <c r="X1003" s="146"/>
      <c r="Y1003" s="146"/>
      <c r="Z1003" s="146"/>
      <c r="AA1003" s="146"/>
      <c r="AB1003" s="146"/>
      <c r="AC1003" s="146"/>
      <c r="AD1003" s="146"/>
      <c r="AE1003" s="146"/>
      <c r="AF1003" s="146"/>
      <c r="AG1003" s="146"/>
      <c r="AH1003" s="146"/>
      <c r="AI1003" s="146"/>
      <c r="AJ1003" s="146"/>
      <c r="AK1003" s="146"/>
      <c r="AL1003" s="146"/>
      <c r="AM1003" s="146"/>
      <c r="AN1003" s="146"/>
      <c r="AO1003" s="146"/>
      <c r="AP1003" s="146"/>
      <c r="AQ1003" s="146"/>
      <c r="AR1003" s="146"/>
    </row>
    <row r="1004" spans="1:44" ht="12.3">
      <c r="A1004" s="157"/>
      <c r="B1004" s="157"/>
      <c r="C1004" s="149"/>
      <c r="D1004" s="149"/>
      <c r="E1004" s="149"/>
      <c r="F1004" s="149"/>
      <c r="G1004" s="149"/>
      <c r="H1004" s="149"/>
      <c r="I1004" s="149"/>
      <c r="J1004" s="149"/>
      <c r="K1004" s="182"/>
      <c r="L1004" s="149"/>
      <c r="M1004" s="149"/>
      <c r="N1004" s="149"/>
      <c r="P1004" s="146"/>
      <c r="Q1004" s="146"/>
      <c r="R1004" s="156"/>
      <c r="S1004" s="146"/>
      <c r="T1004" s="146"/>
      <c r="U1004" s="146"/>
      <c r="V1004" s="146"/>
      <c r="W1004" s="146"/>
      <c r="X1004" s="146"/>
      <c r="Y1004" s="146"/>
      <c r="Z1004" s="146"/>
      <c r="AA1004" s="146"/>
      <c r="AB1004" s="146"/>
      <c r="AC1004" s="146"/>
      <c r="AD1004" s="146"/>
      <c r="AE1004" s="146"/>
      <c r="AF1004" s="146"/>
      <c r="AG1004" s="146"/>
      <c r="AH1004" s="146"/>
      <c r="AI1004" s="146"/>
      <c r="AJ1004" s="146"/>
      <c r="AK1004" s="146"/>
      <c r="AL1004" s="146"/>
      <c r="AM1004" s="146"/>
      <c r="AN1004" s="146"/>
      <c r="AO1004" s="146"/>
      <c r="AP1004" s="146"/>
      <c r="AQ1004" s="146"/>
      <c r="AR1004" s="146"/>
    </row>
    <row r="1005" spans="1:44" ht="12.3">
      <c r="A1005" s="157"/>
      <c r="B1005" s="157"/>
      <c r="C1005" s="149"/>
      <c r="D1005" s="149"/>
      <c r="E1005" s="149"/>
      <c r="F1005" s="149"/>
      <c r="G1005" s="149"/>
      <c r="H1005" s="149"/>
      <c r="I1005" s="149"/>
      <c r="J1005" s="149"/>
      <c r="K1005" s="182"/>
      <c r="L1005" s="149"/>
      <c r="M1005" s="149"/>
      <c r="N1005" s="149"/>
      <c r="P1005" s="146"/>
      <c r="Q1005" s="146"/>
      <c r="R1005" s="156"/>
      <c r="S1005" s="146"/>
      <c r="T1005" s="146"/>
      <c r="U1005" s="146"/>
      <c r="V1005" s="146"/>
      <c r="W1005" s="146"/>
      <c r="X1005" s="146"/>
      <c r="Y1005" s="146"/>
      <c r="Z1005" s="146"/>
      <c r="AA1005" s="146"/>
      <c r="AB1005" s="146"/>
      <c r="AC1005" s="146"/>
      <c r="AD1005" s="146"/>
      <c r="AE1005" s="146"/>
      <c r="AF1005" s="146"/>
      <c r="AG1005" s="146"/>
      <c r="AH1005" s="146"/>
      <c r="AI1005" s="146"/>
      <c r="AJ1005" s="146"/>
      <c r="AK1005" s="146"/>
      <c r="AL1005" s="146"/>
      <c r="AM1005" s="146"/>
      <c r="AN1005" s="146"/>
      <c r="AO1005" s="146"/>
      <c r="AP1005" s="146"/>
      <c r="AQ1005" s="146"/>
      <c r="AR1005" s="146"/>
    </row>
    <row r="1006" spans="1:44" ht="12.3">
      <c r="A1006" s="157"/>
      <c r="B1006" s="157"/>
      <c r="C1006" s="149"/>
      <c r="D1006" s="149"/>
      <c r="E1006" s="149"/>
      <c r="F1006" s="149"/>
      <c r="G1006" s="149"/>
      <c r="H1006" s="149"/>
      <c r="I1006" s="149"/>
      <c r="J1006" s="149"/>
      <c r="K1006" s="182"/>
      <c r="L1006" s="149"/>
      <c r="M1006" s="149"/>
      <c r="N1006" s="149"/>
      <c r="P1006" s="146"/>
      <c r="Q1006" s="146"/>
      <c r="R1006" s="156"/>
      <c r="S1006" s="146"/>
      <c r="T1006" s="146"/>
      <c r="U1006" s="146"/>
      <c r="V1006" s="146"/>
      <c r="W1006" s="146"/>
      <c r="X1006" s="146"/>
      <c r="Y1006" s="146"/>
      <c r="Z1006" s="146"/>
      <c r="AA1006" s="146"/>
      <c r="AB1006" s="146"/>
      <c r="AC1006" s="146"/>
      <c r="AD1006" s="146"/>
      <c r="AE1006" s="146"/>
      <c r="AF1006" s="146"/>
      <c r="AG1006" s="146"/>
      <c r="AH1006" s="146"/>
      <c r="AI1006" s="146"/>
      <c r="AJ1006" s="146"/>
      <c r="AK1006" s="146"/>
      <c r="AL1006" s="146"/>
      <c r="AM1006" s="146"/>
      <c r="AN1006" s="146"/>
      <c r="AO1006" s="146"/>
      <c r="AP1006" s="146"/>
      <c r="AQ1006" s="146"/>
      <c r="AR1006" s="146"/>
    </row>
    <row r="1007" spans="1:44" ht="12.3">
      <c r="A1007" s="157"/>
      <c r="B1007" s="157"/>
      <c r="C1007" s="149"/>
      <c r="D1007" s="149"/>
      <c r="E1007" s="149"/>
      <c r="F1007" s="149"/>
      <c r="G1007" s="149"/>
      <c r="H1007" s="149"/>
      <c r="I1007" s="149"/>
      <c r="J1007" s="149"/>
      <c r="K1007" s="182"/>
      <c r="L1007" s="149"/>
      <c r="M1007" s="149"/>
      <c r="N1007" s="149"/>
      <c r="P1007" s="146"/>
      <c r="Q1007" s="146"/>
      <c r="R1007" s="156"/>
      <c r="S1007" s="146"/>
      <c r="T1007" s="146"/>
      <c r="U1007" s="146"/>
      <c r="V1007" s="146"/>
      <c r="W1007" s="146"/>
      <c r="X1007" s="146"/>
      <c r="Y1007" s="146"/>
      <c r="Z1007" s="146"/>
      <c r="AA1007" s="146"/>
      <c r="AB1007" s="146"/>
      <c r="AC1007" s="146"/>
      <c r="AD1007" s="146"/>
      <c r="AE1007" s="146"/>
      <c r="AF1007" s="146"/>
      <c r="AG1007" s="146"/>
      <c r="AH1007" s="146"/>
      <c r="AI1007" s="146"/>
      <c r="AJ1007" s="146"/>
      <c r="AK1007" s="146"/>
      <c r="AL1007" s="146"/>
      <c r="AM1007" s="146"/>
      <c r="AN1007" s="146"/>
      <c r="AO1007" s="146"/>
      <c r="AP1007" s="146"/>
      <c r="AQ1007" s="146"/>
      <c r="AR1007" s="146"/>
    </row>
    <row r="1008" spans="1:44" ht="12.3">
      <c r="A1008" s="157"/>
      <c r="B1008" s="157"/>
      <c r="C1008" s="149"/>
      <c r="D1008" s="149"/>
      <c r="E1008" s="149"/>
      <c r="F1008" s="149"/>
      <c r="G1008" s="149"/>
      <c r="H1008" s="149"/>
      <c r="I1008" s="149"/>
      <c r="J1008" s="149"/>
      <c r="K1008" s="182"/>
      <c r="L1008" s="149"/>
      <c r="M1008" s="149"/>
      <c r="N1008" s="149"/>
      <c r="P1008" s="146"/>
      <c r="Q1008" s="146"/>
      <c r="R1008" s="156"/>
      <c r="S1008" s="146"/>
      <c r="T1008" s="146"/>
      <c r="U1008" s="146"/>
      <c r="V1008" s="146"/>
      <c r="W1008" s="146"/>
      <c r="X1008" s="146"/>
      <c r="Y1008" s="146"/>
      <c r="Z1008" s="146"/>
      <c r="AA1008" s="146"/>
      <c r="AB1008" s="146"/>
      <c r="AC1008" s="146"/>
      <c r="AD1008" s="146"/>
      <c r="AE1008" s="146"/>
      <c r="AF1008" s="146"/>
      <c r="AG1008" s="146"/>
      <c r="AH1008" s="146"/>
      <c r="AI1008" s="146"/>
      <c r="AJ1008" s="146"/>
      <c r="AK1008" s="146"/>
      <c r="AL1008" s="146"/>
      <c r="AM1008" s="146"/>
      <c r="AN1008" s="146"/>
      <c r="AO1008" s="146"/>
      <c r="AP1008" s="146"/>
      <c r="AQ1008" s="146"/>
      <c r="AR1008" s="146"/>
    </row>
    <row r="1009" spans="1:44" ht="12.3">
      <c r="A1009" s="157"/>
      <c r="B1009" s="157"/>
      <c r="C1009" s="149"/>
      <c r="D1009" s="149"/>
      <c r="E1009" s="149"/>
      <c r="F1009" s="149"/>
      <c r="G1009" s="149"/>
      <c r="H1009" s="149"/>
      <c r="I1009" s="149"/>
      <c r="J1009" s="149"/>
      <c r="K1009" s="182"/>
      <c r="L1009" s="149"/>
      <c r="M1009" s="149"/>
      <c r="N1009" s="149"/>
      <c r="P1009" s="146"/>
      <c r="Q1009" s="146"/>
      <c r="R1009" s="156"/>
      <c r="S1009" s="146"/>
      <c r="T1009" s="146"/>
      <c r="U1009" s="146"/>
      <c r="V1009" s="146"/>
      <c r="W1009" s="146"/>
      <c r="X1009" s="146"/>
      <c r="Y1009" s="146"/>
      <c r="Z1009" s="146"/>
      <c r="AA1009" s="146"/>
      <c r="AB1009" s="146"/>
      <c r="AC1009" s="146"/>
      <c r="AD1009" s="146"/>
      <c r="AE1009" s="146"/>
      <c r="AF1009" s="146"/>
      <c r="AG1009" s="146"/>
      <c r="AH1009" s="146"/>
      <c r="AI1009" s="146"/>
      <c r="AJ1009" s="146"/>
      <c r="AK1009" s="146"/>
      <c r="AL1009" s="146"/>
      <c r="AM1009" s="146"/>
      <c r="AN1009" s="146"/>
      <c r="AO1009" s="146"/>
      <c r="AP1009" s="146"/>
      <c r="AQ1009" s="146"/>
      <c r="AR1009" s="146"/>
    </row>
    <row r="1010" spans="1:44" ht="12.3">
      <c r="A1010" s="157"/>
      <c r="B1010" s="157"/>
      <c r="C1010" s="149"/>
      <c r="D1010" s="149"/>
      <c r="E1010" s="149"/>
      <c r="F1010" s="149"/>
      <c r="G1010" s="149"/>
      <c r="H1010" s="149"/>
      <c r="I1010" s="149"/>
      <c r="J1010" s="149"/>
      <c r="K1010" s="182"/>
      <c r="L1010" s="149"/>
      <c r="M1010" s="149"/>
      <c r="N1010" s="149"/>
      <c r="P1010" s="146"/>
      <c r="Q1010" s="146"/>
      <c r="R1010" s="156"/>
      <c r="S1010" s="146"/>
      <c r="T1010" s="146"/>
      <c r="U1010" s="146"/>
      <c r="V1010" s="146"/>
      <c r="W1010" s="146"/>
      <c r="X1010" s="146"/>
      <c r="Y1010" s="146"/>
      <c r="Z1010" s="146"/>
      <c r="AA1010" s="146"/>
      <c r="AB1010" s="146"/>
      <c r="AC1010" s="146"/>
      <c r="AD1010" s="146"/>
      <c r="AE1010" s="146"/>
      <c r="AF1010" s="146"/>
      <c r="AG1010" s="146"/>
      <c r="AH1010" s="146"/>
      <c r="AI1010" s="146"/>
      <c r="AJ1010" s="146"/>
      <c r="AK1010" s="146"/>
      <c r="AL1010" s="146"/>
      <c r="AM1010" s="146"/>
      <c r="AN1010" s="146"/>
      <c r="AO1010" s="146"/>
      <c r="AP1010" s="146"/>
      <c r="AQ1010" s="146"/>
      <c r="AR1010" s="146"/>
    </row>
    <row r="1011" spans="1:44" ht="12.3">
      <c r="A1011" s="157"/>
      <c r="B1011" s="157"/>
      <c r="C1011" s="149"/>
      <c r="D1011" s="149"/>
      <c r="E1011" s="149"/>
      <c r="F1011" s="149"/>
      <c r="G1011" s="149"/>
      <c r="H1011" s="149"/>
      <c r="I1011" s="149"/>
      <c r="J1011" s="149"/>
      <c r="K1011" s="182"/>
      <c r="L1011" s="149"/>
      <c r="M1011" s="149"/>
      <c r="N1011" s="149"/>
      <c r="P1011" s="146"/>
      <c r="Q1011" s="146"/>
      <c r="R1011" s="156"/>
      <c r="S1011" s="146"/>
      <c r="T1011" s="146"/>
      <c r="U1011" s="146"/>
      <c r="V1011" s="146"/>
      <c r="W1011" s="146"/>
      <c r="X1011" s="146"/>
      <c r="Y1011" s="146"/>
      <c r="Z1011" s="146"/>
      <c r="AA1011" s="146"/>
      <c r="AB1011" s="146"/>
      <c r="AC1011" s="146"/>
      <c r="AD1011" s="146"/>
      <c r="AE1011" s="146"/>
      <c r="AF1011" s="146"/>
      <c r="AG1011" s="146"/>
      <c r="AH1011" s="146"/>
      <c r="AI1011" s="146"/>
      <c r="AJ1011" s="146"/>
      <c r="AK1011" s="146"/>
      <c r="AL1011" s="146"/>
      <c r="AM1011" s="146"/>
      <c r="AN1011" s="146"/>
      <c r="AO1011" s="146"/>
      <c r="AP1011" s="146"/>
      <c r="AQ1011" s="146"/>
      <c r="AR1011" s="146"/>
    </row>
    <row r="1012" spans="1:44" ht="12.3">
      <c r="A1012" s="157"/>
      <c r="B1012" s="157"/>
      <c r="C1012" s="149"/>
      <c r="D1012" s="149"/>
      <c r="E1012" s="149"/>
      <c r="F1012" s="149"/>
      <c r="G1012" s="149"/>
      <c r="H1012" s="149"/>
      <c r="I1012" s="149"/>
      <c r="J1012" s="149"/>
      <c r="K1012" s="182"/>
      <c r="L1012" s="149"/>
      <c r="M1012" s="149"/>
      <c r="N1012" s="149"/>
      <c r="P1012" s="146"/>
      <c r="Q1012" s="146"/>
      <c r="R1012" s="156"/>
      <c r="S1012" s="146"/>
      <c r="T1012" s="146"/>
      <c r="U1012" s="146"/>
      <c r="V1012" s="146"/>
      <c r="W1012" s="146"/>
      <c r="X1012" s="146"/>
      <c r="Y1012" s="146"/>
      <c r="Z1012" s="146"/>
      <c r="AA1012" s="146"/>
      <c r="AB1012" s="146"/>
      <c r="AC1012" s="146"/>
      <c r="AD1012" s="146"/>
      <c r="AE1012" s="146"/>
      <c r="AF1012" s="146"/>
      <c r="AG1012" s="146"/>
      <c r="AH1012" s="146"/>
      <c r="AI1012" s="146"/>
      <c r="AJ1012" s="146"/>
      <c r="AK1012" s="146"/>
      <c r="AL1012" s="146"/>
      <c r="AM1012" s="146"/>
      <c r="AN1012" s="146"/>
      <c r="AO1012" s="146"/>
      <c r="AP1012" s="146"/>
      <c r="AQ1012" s="146"/>
      <c r="AR1012" s="146"/>
    </row>
    <row r="1013" spans="1:44" ht="12.3">
      <c r="A1013" s="157"/>
      <c r="B1013" s="157"/>
      <c r="C1013" s="149"/>
      <c r="D1013" s="149"/>
      <c r="E1013" s="149"/>
      <c r="F1013" s="149"/>
      <c r="G1013" s="149"/>
      <c r="H1013" s="149"/>
      <c r="I1013" s="149"/>
      <c r="J1013" s="149"/>
      <c r="K1013" s="182"/>
      <c r="L1013" s="149"/>
      <c r="M1013" s="149"/>
      <c r="N1013" s="149"/>
      <c r="P1013" s="146"/>
      <c r="Q1013" s="146"/>
      <c r="R1013" s="156"/>
      <c r="S1013" s="146"/>
      <c r="T1013" s="146"/>
      <c r="U1013" s="146"/>
      <c r="V1013" s="146"/>
      <c r="W1013" s="146"/>
      <c r="X1013" s="146"/>
      <c r="Y1013" s="146"/>
      <c r="Z1013" s="146"/>
      <c r="AA1013" s="146"/>
      <c r="AB1013" s="146"/>
      <c r="AC1013" s="146"/>
      <c r="AD1013" s="146"/>
      <c r="AE1013" s="146"/>
      <c r="AF1013" s="146"/>
      <c r="AG1013" s="146"/>
      <c r="AH1013" s="146"/>
      <c r="AI1013" s="146"/>
      <c r="AJ1013" s="146"/>
      <c r="AK1013" s="146"/>
      <c r="AL1013" s="146"/>
      <c r="AM1013" s="146"/>
      <c r="AN1013" s="146"/>
      <c r="AO1013" s="146"/>
      <c r="AP1013" s="146"/>
      <c r="AQ1013" s="146"/>
      <c r="AR1013" s="146"/>
    </row>
    <row r="1014" spans="1:44" ht="12.3">
      <c r="A1014" s="157"/>
      <c r="B1014" s="157"/>
      <c r="C1014" s="149"/>
      <c r="D1014" s="149"/>
      <c r="E1014" s="149"/>
      <c r="F1014" s="149"/>
      <c r="G1014" s="149"/>
      <c r="H1014" s="149"/>
      <c r="I1014" s="149"/>
      <c r="J1014" s="149"/>
      <c r="K1014" s="182"/>
      <c r="L1014" s="149"/>
      <c r="M1014" s="149"/>
      <c r="N1014" s="149"/>
      <c r="P1014" s="146"/>
      <c r="Q1014" s="146"/>
      <c r="R1014" s="156"/>
      <c r="S1014" s="146"/>
      <c r="T1014" s="146"/>
      <c r="U1014" s="146"/>
      <c r="V1014" s="146"/>
      <c r="W1014" s="146"/>
      <c r="X1014" s="146"/>
      <c r="Y1014" s="146"/>
      <c r="Z1014" s="146"/>
      <c r="AA1014" s="146"/>
      <c r="AB1014" s="146"/>
      <c r="AC1014" s="146"/>
      <c r="AD1014" s="146"/>
      <c r="AE1014" s="146"/>
      <c r="AF1014" s="146"/>
      <c r="AG1014" s="146"/>
      <c r="AH1014" s="146"/>
      <c r="AI1014" s="146"/>
      <c r="AJ1014" s="146"/>
      <c r="AK1014" s="146"/>
      <c r="AL1014" s="146"/>
      <c r="AM1014" s="146"/>
      <c r="AN1014" s="146"/>
      <c r="AO1014" s="146"/>
      <c r="AP1014" s="146"/>
      <c r="AQ1014" s="146"/>
      <c r="AR1014" s="146"/>
    </row>
    <row r="1015" spans="1:44" ht="12.3">
      <c r="A1015" s="157"/>
      <c r="B1015" s="157"/>
      <c r="C1015" s="149"/>
      <c r="D1015" s="149"/>
      <c r="E1015" s="149"/>
      <c r="F1015" s="149"/>
      <c r="G1015" s="149"/>
      <c r="H1015" s="149"/>
      <c r="I1015" s="149"/>
      <c r="J1015" s="149"/>
      <c r="K1015" s="182"/>
      <c r="L1015" s="149"/>
      <c r="M1015" s="149"/>
      <c r="N1015" s="149"/>
      <c r="P1015" s="146"/>
      <c r="Q1015" s="146"/>
      <c r="R1015" s="156"/>
      <c r="S1015" s="146"/>
      <c r="T1015" s="146"/>
      <c r="U1015" s="146"/>
      <c r="V1015" s="146"/>
      <c r="W1015" s="146"/>
      <c r="X1015" s="146"/>
      <c r="Y1015" s="146"/>
      <c r="Z1015" s="146"/>
      <c r="AA1015" s="146"/>
      <c r="AB1015" s="146"/>
      <c r="AC1015" s="146"/>
      <c r="AD1015" s="146"/>
      <c r="AE1015" s="146"/>
      <c r="AF1015" s="146"/>
      <c r="AG1015" s="146"/>
      <c r="AH1015" s="146"/>
      <c r="AI1015" s="146"/>
      <c r="AJ1015" s="146"/>
      <c r="AK1015" s="146"/>
      <c r="AL1015" s="146"/>
      <c r="AM1015" s="146"/>
      <c r="AN1015" s="146"/>
      <c r="AO1015" s="146"/>
      <c r="AP1015" s="146"/>
      <c r="AQ1015" s="146"/>
      <c r="AR1015" s="146"/>
    </row>
    <row r="1016" spans="1:44" ht="12.3">
      <c r="A1016" s="157"/>
      <c r="B1016" s="157"/>
      <c r="C1016" s="149"/>
      <c r="D1016" s="149"/>
      <c r="E1016" s="149"/>
      <c r="F1016" s="149"/>
      <c r="G1016" s="149"/>
      <c r="H1016" s="149"/>
      <c r="I1016" s="149"/>
      <c r="J1016" s="149"/>
      <c r="K1016" s="182"/>
      <c r="L1016" s="149"/>
      <c r="M1016" s="149"/>
      <c r="N1016" s="149"/>
      <c r="P1016" s="146"/>
      <c r="Q1016" s="146"/>
      <c r="R1016" s="156"/>
      <c r="S1016" s="146"/>
      <c r="T1016" s="146"/>
      <c r="U1016" s="146"/>
      <c r="V1016" s="146"/>
      <c r="W1016" s="146"/>
      <c r="X1016" s="146"/>
      <c r="Y1016" s="146"/>
      <c r="Z1016" s="146"/>
      <c r="AA1016" s="146"/>
      <c r="AB1016" s="146"/>
      <c r="AC1016" s="146"/>
      <c r="AD1016" s="146"/>
      <c r="AE1016" s="146"/>
      <c r="AF1016" s="146"/>
      <c r="AG1016" s="146"/>
      <c r="AH1016" s="146"/>
      <c r="AI1016" s="146"/>
      <c r="AJ1016" s="146"/>
      <c r="AK1016" s="146"/>
      <c r="AL1016" s="146"/>
      <c r="AM1016" s="146"/>
      <c r="AN1016" s="146"/>
      <c r="AO1016" s="146"/>
      <c r="AP1016" s="146"/>
      <c r="AQ1016" s="146"/>
      <c r="AR1016" s="146"/>
    </row>
    <row r="1017" spans="1:44" ht="12.3">
      <c r="A1017" s="157"/>
      <c r="B1017" s="157"/>
      <c r="C1017" s="149"/>
      <c r="D1017" s="149"/>
      <c r="E1017" s="149"/>
      <c r="F1017" s="149"/>
      <c r="G1017" s="149"/>
      <c r="H1017" s="149"/>
      <c r="I1017" s="149"/>
      <c r="J1017" s="149"/>
      <c r="K1017" s="182"/>
      <c r="L1017" s="149"/>
      <c r="M1017" s="149"/>
      <c r="N1017" s="149"/>
      <c r="P1017" s="146"/>
      <c r="Q1017" s="146"/>
      <c r="R1017" s="156"/>
      <c r="S1017" s="146"/>
      <c r="T1017" s="146"/>
      <c r="U1017" s="146"/>
      <c r="V1017" s="146"/>
      <c r="W1017" s="146"/>
      <c r="X1017" s="146"/>
      <c r="Y1017" s="146"/>
      <c r="Z1017" s="146"/>
      <c r="AA1017" s="146"/>
      <c r="AB1017" s="146"/>
      <c r="AC1017" s="146"/>
      <c r="AD1017" s="146"/>
      <c r="AE1017" s="146"/>
      <c r="AF1017" s="146"/>
      <c r="AG1017" s="146"/>
      <c r="AH1017" s="146"/>
      <c r="AI1017" s="146"/>
      <c r="AJ1017" s="146"/>
      <c r="AK1017" s="146"/>
      <c r="AL1017" s="146"/>
      <c r="AM1017" s="146"/>
      <c r="AN1017" s="146"/>
      <c r="AO1017" s="146"/>
      <c r="AP1017" s="146"/>
      <c r="AQ1017" s="146"/>
      <c r="AR1017" s="146"/>
    </row>
    <row r="1018" spans="1:44" ht="12.3">
      <c r="A1018" s="157"/>
      <c r="B1018" s="157"/>
      <c r="C1018" s="149"/>
      <c r="D1018" s="149"/>
      <c r="E1018" s="149"/>
      <c r="F1018" s="149"/>
      <c r="G1018" s="149"/>
      <c r="H1018" s="149"/>
      <c r="I1018" s="149"/>
      <c r="J1018" s="149"/>
      <c r="K1018" s="182"/>
      <c r="L1018" s="149"/>
      <c r="M1018" s="149"/>
      <c r="N1018" s="149"/>
      <c r="P1018" s="146"/>
      <c r="Q1018" s="146"/>
      <c r="R1018" s="156"/>
      <c r="S1018" s="146"/>
      <c r="T1018" s="146"/>
      <c r="U1018" s="146"/>
      <c r="V1018" s="146"/>
      <c r="W1018" s="146"/>
      <c r="X1018" s="146"/>
      <c r="Y1018" s="146"/>
      <c r="Z1018" s="146"/>
      <c r="AA1018" s="146"/>
      <c r="AB1018" s="146"/>
      <c r="AC1018" s="146"/>
      <c r="AD1018" s="146"/>
      <c r="AE1018" s="146"/>
      <c r="AF1018" s="146"/>
      <c r="AG1018" s="146"/>
      <c r="AH1018" s="146"/>
      <c r="AI1018" s="146"/>
      <c r="AJ1018" s="146"/>
      <c r="AK1018" s="146"/>
      <c r="AL1018" s="146"/>
      <c r="AM1018" s="146"/>
      <c r="AN1018" s="146"/>
      <c r="AO1018" s="146"/>
      <c r="AP1018" s="146"/>
      <c r="AQ1018" s="146"/>
      <c r="AR1018" s="146"/>
    </row>
    <row r="1019" spans="1:44" ht="12.3">
      <c r="A1019" s="157"/>
      <c r="B1019" s="157"/>
      <c r="C1019" s="149"/>
      <c r="D1019" s="149"/>
      <c r="E1019" s="149"/>
      <c r="F1019" s="149"/>
      <c r="G1019" s="149"/>
      <c r="H1019" s="149"/>
      <c r="I1019" s="149"/>
      <c r="J1019" s="149"/>
      <c r="K1019" s="182"/>
      <c r="L1019" s="149"/>
      <c r="M1019" s="149"/>
      <c r="N1019" s="149"/>
      <c r="P1019" s="146"/>
      <c r="Q1019" s="146"/>
      <c r="R1019" s="156"/>
      <c r="S1019" s="146"/>
      <c r="T1019" s="146"/>
      <c r="U1019" s="146"/>
      <c r="V1019" s="146"/>
      <c r="W1019" s="146"/>
      <c r="X1019" s="146"/>
      <c r="Y1019" s="146"/>
      <c r="Z1019" s="146"/>
      <c r="AA1019" s="146"/>
      <c r="AB1019" s="146"/>
      <c r="AC1019" s="146"/>
      <c r="AD1019" s="146"/>
      <c r="AE1019" s="146"/>
      <c r="AF1019" s="146"/>
      <c r="AG1019" s="146"/>
      <c r="AH1019" s="146"/>
      <c r="AI1019" s="146"/>
      <c r="AJ1019" s="146"/>
      <c r="AK1019" s="146"/>
      <c r="AL1019" s="146"/>
      <c r="AM1019" s="146"/>
      <c r="AN1019" s="146"/>
      <c r="AO1019" s="146"/>
      <c r="AP1019" s="146"/>
      <c r="AQ1019" s="146"/>
      <c r="AR1019" s="146"/>
    </row>
    <row r="1020" spans="1:44" ht="12.3">
      <c r="A1020" s="157"/>
      <c r="B1020" s="157"/>
      <c r="C1020" s="149"/>
      <c r="D1020" s="149"/>
      <c r="E1020" s="149"/>
      <c r="F1020" s="149"/>
      <c r="G1020" s="149"/>
      <c r="H1020" s="149"/>
      <c r="I1020" s="149"/>
      <c r="J1020" s="149"/>
      <c r="K1020" s="182"/>
      <c r="L1020" s="149"/>
      <c r="M1020" s="149"/>
      <c r="N1020" s="149"/>
      <c r="P1020" s="146"/>
      <c r="Q1020" s="146"/>
      <c r="R1020" s="156"/>
      <c r="S1020" s="146"/>
      <c r="T1020" s="146"/>
      <c r="U1020" s="146"/>
      <c r="V1020" s="146"/>
      <c r="W1020" s="146"/>
      <c r="X1020" s="146"/>
      <c r="Y1020" s="146"/>
      <c r="Z1020" s="146"/>
      <c r="AA1020" s="146"/>
      <c r="AB1020" s="146"/>
      <c r="AC1020" s="146"/>
      <c r="AD1020" s="146"/>
      <c r="AE1020" s="146"/>
      <c r="AF1020" s="146"/>
      <c r="AG1020" s="146"/>
      <c r="AH1020" s="146"/>
      <c r="AI1020" s="146"/>
      <c r="AJ1020" s="146"/>
      <c r="AK1020" s="146"/>
      <c r="AL1020" s="146"/>
      <c r="AM1020" s="146"/>
      <c r="AN1020" s="146"/>
      <c r="AO1020" s="146"/>
      <c r="AP1020" s="146"/>
      <c r="AQ1020" s="146"/>
      <c r="AR1020" s="146"/>
    </row>
    <row r="1021" spans="1:44" ht="12.3">
      <c r="A1021" s="157"/>
      <c r="B1021" s="157"/>
      <c r="C1021" s="149"/>
      <c r="D1021" s="149"/>
      <c r="E1021" s="149"/>
      <c r="F1021" s="149"/>
      <c r="G1021" s="149"/>
      <c r="H1021" s="149"/>
      <c r="I1021" s="149"/>
      <c r="J1021" s="149"/>
      <c r="K1021" s="182"/>
      <c r="L1021" s="149"/>
      <c r="M1021" s="149"/>
      <c r="N1021" s="149"/>
      <c r="P1021" s="146"/>
      <c r="Q1021" s="146"/>
      <c r="R1021" s="156"/>
      <c r="S1021" s="146"/>
      <c r="T1021" s="146"/>
      <c r="U1021" s="146"/>
      <c r="V1021" s="146"/>
      <c r="W1021" s="146"/>
      <c r="X1021" s="146"/>
      <c r="Y1021" s="146"/>
      <c r="Z1021" s="146"/>
      <c r="AA1021" s="146"/>
      <c r="AB1021" s="146"/>
      <c r="AC1021" s="146"/>
      <c r="AD1021" s="146"/>
      <c r="AE1021" s="146"/>
      <c r="AF1021" s="146"/>
      <c r="AG1021" s="146"/>
      <c r="AH1021" s="146"/>
      <c r="AI1021" s="146"/>
      <c r="AJ1021" s="146"/>
      <c r="AK1021" s="146"/>
      <c r="AL1021" s="146"/>
      <c r="AM1021" s="146"/>
      <c r="AN1021" s="146"/>
      <c r="AO1021" s="146"/>
      <c r="AP1021" s="146"/>
      <c r="AQ1021" s="146"/>
      <c r="AR1021" s="146"/>
    </row>
    <row r="1022" spans="1:44" ht="12.3">
      <c r="A1022" s="157"/>
      <c r="B1022" s="157"/>
      <c r="C1022" s="149"/>
      <c r="D1022" s="149"/>
      <c r="E1022" s="149"/>
      <c r="F1022" s="149"/>
      <c r="G1022" s="149"/>
      <c r="H1022" s="149"/>
      <c r="I1022" s="149"/>
      <c r="J1022" s="149"/>
      <c r="K1022" s="182"/>
      <c r="L1022" s="149"/>
      <c r="M1022" s="149"/>
      <c r="N1022" s="149"/>
      <c r="P1022" s="146"/>
      <c r="Q1022" s="146"/>
      <c r="R1022" s="156"/>
      <c r="S1022" s="146"/>
      <c r="T1022" s="146"/>
      <c r="U1022" s="146"/>
      <c r="V1022" s="146"/>
      <c r="W1022" s="146"/>
      <c r="X1022" s="146"/>
      <c r="Y1022" s="146"/>
      <c r="Z1022" s="146"/>
      <c r="AA1022" s="146"/>
      <c r="AB1022" s="146"/>
      <c r="AC1022" s="146"/>
      <c r="AD1022" s="146"/>
      <c r="AE1022" s="146"/>
      <c r="AF1022" s="146"/>
      <c r="AG1022" s="146"/>
      <c r="AH1022" s="146"/>
      <c r="AI1022" s="146"/>
      <c r="AJ1022" s="146"/>
      <c r="AK1022" s="146"/>
      <c r="AL1022" s="146"/>
      <c r="AM1022" s="146"/>
      <c r="AN1022" s="146"/>
      <c r="AO1022" s="146"/>
      <c r="AP1022" s="146"/>
      <c r="AQ1022" s="146"/>
      <c r="AR1022" s="146"/>
    </row>
    <row r="1023" spans="1:44" ht="12.3">
      <c r="A1023" s="157"/>
      <c r="B1023" s="157"/>
      <c r="C1023" s="149"/>
      <c r="D1023" s="149"/>
      <c r="E1023" s="149"/>
      <c r="F1023" s="149"/>
      <c r="G1023" s="149"/>
      <c r="H1023" s="149"/>
      <c r="I1023" s="149"/>
      <c r="J1023" s="149"/>
      <c r="K1023" s="182"/>
      <c r="L1023" s="149"/>
      <c r="M1023" s="149"/>
      <c r="N1023" s="149"/>
      <c r="P1023" s="146"/>
      <c r="Q1023" s="146"/>
      <c r="R1023" s="156"/>
      <c r="S1023" s="146"/>
      <c r="T1023" s="146"/>
      <c r="U1023" s="146"/>
      <c r="V1023" s="146"/>
      <c r="W1023" s="146"/>
      <c r="X1023" s="146"/>
      <c r="Y1023" s="146"/>
      <c r="Z1023" s="146"/>
      <c r="AA1023" s="146"/>
      <c r="AB1023" s="146"/>
      <c r="AC1023" s="146"/>
      <c r="AD1023" s="146"/>
      <c r="AE1023" s="146"/>
      <c r="AF1023" s="146"/>
      <c r="AG1023" s="146"/>
      <c r="AH1023" s="146"/>
      <c r="AI1023" s="146"/>
      <c r="AJ1023" s="146"/>
      <c r="AK1023" s="146"/>
      <c r="AL1023" s="146"/>
      <c r="AM1023" s="146"/>
      <c r="AN1023" s="146"/>
      <c r="AO1023" s="146"/>
      <c r="AP1023" s="146"/>
      <c r="AQ1023" s="146"/>
      <c r="AR1023" s="146"/>
    </row>
    <row r="1024" spans="1:44" ht="12.3">
      <c r="A1024" s="157"/>
      <c r="B1024" s="157"/>
      <c r="C1024" s="149"/>
      <c r="D1024" s="149"/>
      <c r="E1024" s="149"/>
      <c r="F1024" s="149"/>
      <c r="G1024" s="149"/>
      <c r="H1024" s="149"/>
      <c r="I1024" s="149"/>
      <c r="J1024" s="149"/>
      <c r="K1024" s="182"/>
      <c r="L1024" s="149"/>
      <c r="M1024" s="149"/>
      <c r="N1024" s="149"/>
      <c r="P1024" s="146"/>
      <c r="Q1024" s="146"/>
      <c r="R1024" s="156"/>
      <c r="S1024" s="146"/>
      <c r="T1024" s="146"/>
      <c r="U1024" s="146"/>
      <c r="V1024" s="146"/>
      <c r="W1024" s="146"/>
      <c r="X1024" s="146"/>
      <c r="Y1024" s="146"/>
      <c r="Z1024" s="146"/>
      <c r="AA1024" s="146"/>
      <c r="AB1024" s="146"/>
      <c r="AC1024" s="146"/>
      <c r="AD1024" s="146"/>
      <c r="AE1024" s="146"/>
      <c r="AF1024" s="146"/>
      <c r="AG1024" s="146"/>
      <c r="AH1024" s="146"/>
      <c r="AI1024" s="146"/>
      <c r="AJ1024" s="146"/>
      <c r="AK1024" s="146"/>
      <c r="AL1024" s="146"/>
      <c r="AM1024" s="146"/>
      <c r="AN1024" s="146"/>
      <c r="AO1024" s="146"/>
      <c r="AP1024" s="146"/>
      <c r="AQ1024" s="146"/>
      <c r="AR1024" s="146"/>
    </row>
    <row r="1025" spans="1:44" ht="12.3">
      <c r="A1025" s="157"/>
      <c r="B1025" s="157"/>
      <c r="C1025" s="149"/>
      <c r="D1025" s="149"/>
      <c r="E1025" s="149"/>
      <c r="F1025" s="149"/>
      <c r="G1025" s="149"/>
      <c r="H1025" s="149"/>
      <c r="I1025" s="149"/>
      <c r="J1025" s="149"/>
      <c r="K1025" s="182"/>
      <c r="L1025" s="149"/>
      <c r="M1025" s="149"/>
      <c r="N1025" s="149"/>
      <c r="P1025" s="146"/>
      <c r="Q1025" s="146"/>
      <c r="R1025" s="156"/>
      <c r="S1025" s="146"/>
      <c r="T1025" s="146"/>
      <c r="U1025" s="146"/>
      <c r="V1025" s="146"/>
      <c r="W1025" s="146"/>
      <c r="X1025" s="146"/>
      <c r="Y1025" s="146"/>
      <c r="Z1025" s="146"/>
      <c r="AA1025" s="146"/>
      <c r="AB1025" s="146"/>
      <c r="AC1025" s="146"/>
      <c r="AD1025" s="146"/>
      <c r="AE1025" s="146"/>
      <c r="AF1025" s="146"/>
      <c r="AG1025" s="146"/>
      <c r="AH1025" s="146"/>
      <c r="AI1025" s="146"/>
      <c r="AJ1025" s="146"/>
      <c r="AK1025" s="146"/>
      <c r="AL1025" s="146"/>
      <c r="AM1025" s="146"/>
      <c r="AN1025" s="146"/>
      <c r="AO1025" s="146"/>
      <c r="AP1025" s="146"/>
      <c r="AQ1025" s="146"/>
      <c r="AR1025" s="146"/>
    </row>
    <row r="1026" spans="1:44" ht="12.3">
      <c r="A1026" s="157"/>
      <c r="B1026" s="157"/>
      <c r="C1026" s="149"/>
      <c r="D1026" s="149"/>
      <c r="E1026" s="149"/>
      <c r="F1026" s="149"/>
      <c r="G1026" s="149"/>
      <c r="H1026" s="149"/>
      <c r="I1026" s="149"/>
      <c r="J1026" s="149"/>
      <c r="K1026" s="182"/>
      <c r="L1026" s="149"/>
      <c r="M1026" s="149"/>
      <c r="N1026" s="149"/>
      <c r="P1026" s="146"/>
      <c r="Q1026" s="146"/>
      <c r="R1026" s="156"/>
      <c r="S1026" s="146"/>
      <c r="T1026" s="146"/>
      <c r="U1026" s="146"/>
      <c r="V1026" s="146"/>
      <c r="W1026" s="146"/>
      <c r="X1026" s="146"/>
      <c r="Y1026" s="146"/>
      <c r="Z1026" s="146"/>
      <c r="AA1026" s="146"/>
      <c r="AB1026" s="146"/>
      <c r="AC1026" s="146"/>
      <c r="AD1026" s="146"/>
      <c r="AE1026" s="146"/>
      <c r="AF1026" s="146"/>
      <c r="AG1026" s="146"/>
      <c r="AH1026" s="146"/>
      <c r="AI1026" s="146"/>
      <c r="AJ1026" s="146"/>
      <c r="AK1026" s="146"/>
      <c r="AL1026" s="146"/>
      <c r="AM1026" s="146"/>
      <c r="AN1026" s="146"/>
      <c r="AO1026" s="146"/>
      <c r="AP1026" s="146"/>
      <c r="AQ1026" s="146"/>
      <c r="AR1026" s="146"/>
    </row>
    <row r="1027" spans="1:44" ht="12.3">
      <c r="A1027" s="157"/>
      <c r="B1027" s="157"/>
      <c r="C1027" s="149"/>
      <c r="D1027" s="149"/>
      <c r="E1027" s="149"/>
      <c r="F1027" s="149"/>
      <c r="G1027" s="149"/>
      <c r="H1027" s="149"/>
      <c r="I1027" s="149"/>
      <c r="J1027" s="149"/>
      <c r="K1027" s="182"/>
      <c r="L1027" s="149"/>
      <c r="M1027" s="149"/>
      <c r="N1027" s="149"/>
      <c r="P1027" s="146"/>
      <c r="Q1027" s="146"/>
      <c r="R1027" s="156"/>
      <c r="S1027" s="146"/>
      <c r="T1027" s="146"/>
      <c r="U1027" s="146"/>
      <c r="V1027" s="146"/>
      <c r="W1027" s="146"/>
      <c r="X1027" s="146"/>
      <c r="Y1027" s="146"/>
      <c r="Z1027" s="146"/>
      <c r="AA1027" s="146"/>
      <c r="AB1027" s="146"/>
      <c r="AC1027" s="146"/>
      <c r="AD1027" s="146"/>
      <c r="AE1027" s="146"/>
      <c r="AF1027" s="146"/>
      <c r="AG1027" s="146"/>
      <c r="AH1027" s="146"/>
      <c r="AI1027" s="146"/>
      <c r="AJ1027" s="146"/>
      <c r="AK1027" s="146"/>
      <c r="AL1027" s="146"/>
      <c r="AM1027" s="146"/>
      <c r="AN1027" s="146"/>
      <c r="AO1027" s="146"/>
      <c r="AP1027" s="146"/>
      <c r="AQ1027" s="146"/>
      <c r="AR1027" s="146"/>
    </row>
    <row r="1028" spans="1:44" ht="12.3">
      <c r="A1028" s="157"/>
      <c r="B1028" s="157"/>
      <c r="C1028" s="149"/>
      <c r="D1028" s="149"/>
      <c r="E1028" s="149"/>
      <c r="F1028" s="149"/>
      <c r="G1028" s="149"/>
      <c r="H1028" s="149"/>
      <c r="I1028" s="149"/>
      <c r="J1028" s="149"/>
      <c r="K1028" s="182"/>
      <c r="L1028" s="149"/>
      <c r="M1028" s="149"/>
      <c r="N1028" s="149"/>
      <c r="P1028" s="146"/>
      <c r="Q1028" s="146"/>
      <c r="R1028" s="156"/>
      <c r="S1028" s="146"/>
      <c r="T1028" s="146"/>
      <c r="U1028" s="146"/>
      <c r="V1028" s="146"/>
      <c r="W1028" s="146"/>
      <c r="X1028" s="146"/>
      <c r="Y1028" s="146"/>
      <c r="Z1028" s="146"/>
      <c r="AA1028" s="146"/>
      <c r="AB1028" s="146"/>
      <c r="AC1028" s="146"/>
      <c r="AD1028" s="146"/>
      <c r="AE1028" s="146"/>
      <c r="AF1028" s="146"/>
      <c r="AG1028" s="146"/>
      <c r="AH1028" s="146"/>
      <c r="AI1028" s="146"/>
      <c r="AJ1028" s="146"/>
      <c r="AK1028" s="146"/>
      <c r="AL1028" s="146"/>
      <c r="AM1028" s="146"/>
      <c r="AN1028" s="146"/>
      <c r="AO1028" s="146"/>
      <c r="AP1028" s="146"/>
      <c r="AQ1028" s="146"/>
      <c r="AR1028" s="146"/>
    </row>
    <row r="1029" spans="1:44" ht="12.3">
      <c r="A1029" s="157"/>
      <c r="B1029" s="157"/>
      <c r="C1029" s="149"/>
      <c r="D1029" s="149"/>
      <c r="E1029" s="149"/>
      <c r="F1029" s="149"/>
      <c r="G1029" s="149"/>
      <c r="H1029" s="149"/>
      <c r="I1029" s="149"/>
      <c r="J1029" s="149"/>
      <c r="K1029" s="182"/>
      <c r="L1029" s="149"/>
      <c r="M1029" s="149"/>
      <c r="N1029" s="149"/>
      <c r="P1029" s="146"/>
      <c r="Q1029" s="146"/>
      <c r="R1029" s="156"/>
      <c r="S1029" s="146"/>
      <c r="T1029" s="146"/>
      <c r="U1029" s="146"/>
      <c r="V1029" s="146"/>
      <c r="W1029" s="146"/>
      <c r="X1029" s="146"/>
      <c r="Y1029" s="146"/>
      <c r="Z1029" s="146"/>
      <c r="AA1029" s="146"/>
      <c r="AB1029" s="146"/>
      <c r="AC1029" s="146"/>
      <c r="AD1029" s="146"/>
      <c r="AE1029" s="146"/>
      <c r="AF1029" s="146"/>
      <c r="AG1029" s="146"/>
      <c r="AH1029" s="146"/>
      <c r="AI1029" s="146"/>
      <c r="AJ1029" s="146"/>
      <c r="AK1029" s="146"/>
      <c r="AL1029" s="146"/>
      <c r="AM1029" s="146"/>
      <c r="AN1029" s="146"/>
      <c r="AO1029" s="146"/>
      <c r="AP1029" s="146"/>
      <c r="AQ1029" s="146"/>
      <c r="AR1029" s="146"/>
    </row>
    <row r="1030" spans="1:44" ht="12.3">
      <c r="A1030" s="157"/>
      <c r="B1030" s="157"/>
      <c r="C1030" s="149"/>
      <c r="D1030" s="149"/>
      <c r="E1030" s="149"/>
      <c r="F1030" s="149"/>
      <c r="G1030" s="149"/>
      <c r="H1030" s="149"/>
      <c r="I1030" s="149"/>
      <c r="J1030" s="149"/>
      <c r="K1030" s="182"/>
      <c r="L1030" s="149"/>
      <c r="M1030" s="149"/>
      <c r="N1030" s="149"/>
      <c r="P1030" s="146"/>
      <c r="Q1030" s="146"/>
      <c r="R1030" s="156"/>
      <c r="S1030" s="146"/>
      <c r="T1030" s="146"/>
      <c r="U1030" s="146"/>
      <c r="V1030" s="146"/>
      <c r="W1030" s="146"/>
      <c r="X1030" s="146"/>
      <c r="Y1030" s="146"/>
      <c r="Z1030" s="146"/>
      <c r="AA1030" s="146"/>
      <c r="AB1030" s="146"/>
      <c r="AC1030" s="146"/>
      <c r="AD1030" s="146"/>
      <c r="AE1030" s="146"/>
      <c r="AF1030" s="146"/>
      <c r="AG1030" s="146"/>
      <c r="AH1030" s="146"/>
      <c r="AI1030" s="146"/>
      <c r="AJ1030" s="146"/>
      <c r="AK1030" s="146"/>
      <c r="AL1030" s="146"/>
      <c r="AM1030" s="146"/>
      <c r="AN1030" s="146"/>
      <c r="AO1030" s="146"/>
      <c r="AP1030" s="146"/>
      <c r="AQ1030" s="146"/>
      <c r="AR1030" s="146"/>
    </row>
    <row r="1031" spans="1:44" ht="12.3">
      <c r="A1031" s="157"/>
      <c r="B1031" s="157"/>
      <c r="C1031" s="149"/>
      <c r="D1031" s="149"/>
      <c r="E1031" s="149"/>
      <c r="F1031" s="149"/>
      <c r="G1031" s="149"/>
      <c r="H1031" s="149"/>
      <c r="I1031" s="149"/>
      <c r="J1031" s="149"/>
      <c r="K1031" s="182"/>
      <c r="L1031" s="149"/>
      <c r="M1031" s="149"/>
      <c r="N1031" s="149"/>
      <c r="P1031" s="146"/>
      <c r="Q1031" s="146"/>
      <c r="R1031" s="156"/>
      <c r="S1031" s="146"/>
      <c r="T1031" s="146"/>
      <c r="U1031" s="146"/>
      <c r="V1031" s="146"/>
      <c r="W1031" s="146"/>
      <c r="X1031" s="146"/>
      <c r="Y1031" s="146"/>
      <c r="Z1031" s="146"/>
      <c r="AA1031" s="146"/>
      <c r="AB1031" s="146"/>
      <c r="AC1031" s="146"/>
      <c r="AD1031" s="146"/>
      <c r="AE1031" s="146"/>
      <c r="AF1031" s="146"/>
      <c r="AG1031" s="146"/>
      <c r="AH1031" s="146"/>
      <c r="AI1031" s="146"/>
      <c r="AJ1031" s="146"/>
      <c r="AK1031" s="146"/>
      <c r="AL1031" s="146"/>
      <c r="AM1031" s="146"/>
      <c r="AN1031" s="146"/>
      <c r="AO1031" s="146"/>
      <c r="AP1031" s="146"/>
      <c r="AQ1031" s="146"/>
      <c r="AR1031" s="146"/>
    </row>
    <row r="1032" spans="1:44" ht="12.3">
      <c r="A1032" s="157"/>
      <c r="B1032" s="157"/>
      <c r="C1032" s="149"/>
      <c r="D1032" s="149"/>
      <c r="E1032" s="149"/>
      <c r="F1032" s="149"/>
      <c r="G1032" s="149"/>
      <c r="H1032" s="149"/>
      <c r="I1032" s="149"/>
      <c r="J1032" s="149"/>
      <c r="K1032" s="182"/>
      <c r="L1032" s="149"/>
      <c r="M1032" s="149"/>
      <c r="N1032" s="149"/>
      <c r="P1032" s="146"/>
      <c r="Q1032" s="146"/>
      <c r="R1032" s="156"/>
      <c r="S1032" s="146"/>
      <c r="T1032" s="146"/>
      <c r="U1032" s="146"/>
      <c r="V1032" s="146"/>
      <c r="W1032" s="146"/>
      <c r="X1032" s="146"/>
      <c r="Y1032" s="146"/>
      <c r="Z1032" s="146"/>
      <c r="AA1032" s="146"/>
      <c r="AB1032" s="146"/>
      <c r="AC1032" s="146"/>
      <c r="AD1032" s="146"/>
      <c r="AE1032" s="146"/>
      <c r="AF1032" s="146"/>
      <c r="AG1032" s="146"/>
      <c r="AH1032" s="146"/>
      <c r="AI1032" s="146"/>
      <c r="AJ1032" s="146"/>
      <c r="AK1032" s="146"/>
      <c r="AL1032" s="146"/>
      <c r="AM1032" s="146"/>
      <c r="AN1032" s="146"/>
      <c r="AO1032" s="146"/>
      <c r="AP1032" s="146"/>
      <c r="AQ1032" s="146"/>
      <c r="AR1032" s="146"/>
    </row>
    <row r="1033" spans="1:44" ht="12.3">
      <c r="A1033" s="157"/>
      <c r="B1033" s="157"/>
      <c r="C1033" s="149"/>
      <c r="D1033" s="149"/>
      <c r="E1033" s="149"/>
      <c r="F1033" s="149"/>
      <c r="G1033" s="149"/>
      <c r="H1033" s="149"/>
      <c r="I1033" s="149"/>
      <c r="J1033" s="149"/>
      <c r="K1033" s="182"/>
      <c r="L1033" s="149"/>
      <c r="M1033" s="149"/>
      <c r="N1033" s="149"/>
      <c r="P1033" s="146"/>
      <c r="Q1033" s="146"/>
      <c r="R1033" s="156"/>
      <c r="S1033" s="146"/>
      <c r="T1033" s="146"/>
      <c r="U1033" s="146"/>
      <c r="V1033" s="146"/>
      <c r="W1033" s="146"/>
      <c r="X1033" s="146"/>
      <c r="Y1033" s="146"/>
      <c r="Z1033" s="146"/>
      <c r="AA1033" s="146"/>
      <c r="AB1033" s="146"/>
      <c r="AC1033" s="146"/>
      <c r="AD1033" s="146"/>
      <c r="AE1033" s="146"/>
      <c r="AF1033" s="146"/>
      <c r="AG1033" s="146"/>
      <c r="AH1033" s="146"/>
      <c r="AI1033" s="146"/>
      <c r="AJ1033" s="146"/>
      <c r="AK1033" s="146"/>
      <c r="AL1033" s="146"/>
      <c r="AM1033" s="146"/>
      <c r="AN1033" s="146"/>
      <c r="AO1033" s="146"/>
      <c r="AP1033" s="146"/>
      <c r="AQ1033" s="146"/>
      <c r="AR1033" s="146"/>
    </row>
    <row r="1034" spans="1:44" ht="12.3">
      <c r="A1034" s="157"/>
      <c r="B1034" s="157"/>
      <c r="C1034" s="149"/>
      <c r="D1034" s="149"/>
      <c r="E1034" s="149"/>
      <c r="F1034" s="149"/>
      <c r="G1034" s="149"/>
      <c r="H1034" s="149"/>
      <c r="I1034" s="149"/>
      <c r="J1034" s="149"/>
      <c r="K1034" s="182"/>
      <c r="L1034" s="149"/>
      <c r="M1034" s="149"/>
      <c r="N1034" s="149"/>
      <c r="P1034" s="146"/>
      <c r="Q1034" s="146"/>
      <c r="R1034" s="156"/>
      <c r="S1034" s="146"/>
      <c r="T1034" s="146"/>
      <c r="U1034" s="146"/>
      <c r="V1034" s="146"/>
      <c r="W1034" s="146"/>
      <c r="X1034" s="146"/>
      <c r="Y1034" s="146"/>
      <c r="Z1034" s="146"/>
      <c r="AA1034" s="146"/>
      <c r="AB1034" s="146"/>
      <c r="AC1034" s="146"/>
      <c r="AD1034" s="146"/>
      <c r="AE1034" s="146"/>
      <c r="AF1034" s="146"/>
      <c r="AG1034" s="146"/>
      <c r="AH1034" s="146"/>
      <c r="AI1034" s="146"/>
      <c r="AJ1034" s="146"/>
      <c r="AK1034" s="146"/>
      <c r="AL1034" s="146"/>
      <c r="AM1034" s="146"/>
      <c r="AN1034" s="146"/>
      <c r="AO1034" s="146"/>
      <c r="AP1034" s="146"/>
      <c r="AQ1034" s="146"/>
      <c r="AR1034" s="146"/>
    </row>
    <row r="1035" spans="1:44" ht="12.3">
      <c r="A1035" s="157"/>
      <c r="B1035" s="157"/>
      <c r="C1035" s="149"/>
      <c r="D1035" s="149"/>
      <c r="E1035" s="149"/>
      <c r="F1035" s="149"/>
      <c r="G1035" s="149"/>
      <c r="H1035" s="149"/>
      <c r="I1035" s="149"/>
      <c r="J1035" s="149"/>
      <c r="K1035" s="182"/>
      <c r="L1035" s="149"/>
      <c r="M1035" s="149"/>
      <c r="N1035" s="149"/>
      <c r="P1035" s="146"/>
      <c r="Q1035" s="146"/>
      <c r="R1035" s="156"/>
      <c r="S1035" s="146"/>
      <c r="T1035" s="146"/>
      <c r="U1035" s="146"/>
      <c r="V1035" s="146"/>
      <c r="W1035" s="146"/>
      <c r="X1035" s="146"/>
      <c r="Y1035" s="146"/>
      <c r="Z1035" s="146"/>
      <c r="AA1035" s="146"/>
      <c r="AB1035" s="146"/>
      <c r="AC1035" s="146"/>
      <c r="AD1035" s="146"/>
      <c r="AE1035" s="146"/>
      <c r="AF1035" s="146"/>
      <c r="AG1035" s="146"/>
      <c r="AH1035" s="146"/>
      <c r="AI1035" s="146"/>
      <c r="AJ1035" s="146"/>
      <c r="AK1035" s="146"/>
      <c r="AL1035" s="146"/>
      <c r="AM1035" s="146"/>
      <c r="AN1035" s="146"/>
      <c r="AO1035" s="146"/>
      <c r="AP1035" s="146"/>
      <c r="AQ1035" s="146"/>
      <c r="AR1035" s="146"/>
    </row>
    <row r="1036" spans="1:44" ht="12.3">
      <c r="A1036" s="157"/>
      <c r="B1036" s="157"/>
      <c r="C1036" s="149"/>
      <c r="D1036" s="149"/>
      <c r="E1036" s="149"/>
      <c r="F1036" s="149"/>
      <c r="G1036" s="149"/>
      <c r="H1036" s="149"/>
      <c r="I1036" s="149"/>
      <c r="J1036" s="149"/>
      <c r="K1036" s="182"/>
      <c r="L1036" s="149"/>
      <c r="M1036" s="149"/>
      <c r="N1036" s="149"/>
      <c r="P1036" s="146"/>
      <c r="Q1036" s="146"/>
      <c r="R1036" s="156"/>
      <c r="S1036" s="146"/>
      <c r="T1036" s="146"/>
      <c r="U1036" s="146"/>
      <c r="V1036" s="146"/>
      <c r="W1036" s="146"/>
      <c r="X1036" s="146"/>
      <c r="Y1036" s="146"/>
      <c r="Z1036" s="146"/>
      <c r="AA1036" s="146"/>
      <c r="AB1036" s="146"/>
      <c r="AC1036" s="146"/>
      <c r="AD1036" s="146"/>
      <c r="AE1036" s="146"/>
      <c r="AF1036" s="146"/>
      <c r="AG1036" s="146"/>
      <c r="AH1036" s="146"/>
      <c r="AI1036" s="146"/>
      <c r="AJ1036" s="146"/>
      <c r="AK1036" s="146"/>
      <c r="AL1036" s="146"/>
      <c r="AM1036" s="146"/>
      <c r="AN1036" s="146"/>
      <c r="AO1036" s="146"/>
      <c r="AP1036" s="146"/>
      <c r="AQ1036" s="146"/>
      <c r="AR1036" s="146"/>
    </row>
    <row r="1037" spans="1:44" ht="12.3">
      <c r="A1037" s="157"/>
      <c r="B1037" s="157"/>
      <c r="C1037" s="149"/>
      <c r="D1037" s="149"/>
      <c r="E1037" s="149"/>
      <c r="F1037" s="149"/>
      <c r="G1037" s="149"/>
      <c r="H1037" s="149"/>
      <c r="I1037" s="149"/>
      <c r="J1037" s="149"/>
      <c r="K1037" s="182"/>
      <c r="L1037" s="149"/>
      <c r="M1037" s="149"/>
      <c r="N1037" s="149"/>
      <c r="P1037" s="146"/>
      <c r="Q1037" s="146"/>
      <c r="R1037" s="156"/>
      <c r="S1037" s="146"/>
      <c r="T1037" s="146"/>
      <c r="U1037" s="146"/>
      <c r="V1037" s="146"/>
      <c r="W1037" s="146"/>
      <c r="X1037" s="146"/>
      <c r="Y1037" s="146"/>
      <c r="Z1037" s="146"/>
      <c r="AA1037" s="146"/>
      <c r="AB1037" s="146"/>
      <c r="AC1037" s="146"/>
      <c r="AD1037" s="146"/>
      <c r="AE1037" s="146"/>
      <c r="AF1037" s="146"/>
      <c r="AG1037" s="146"/>
      <c r="AH1037" s="146"/>
      <c r="AI1037" s="146"/>
      <c r="AJ1037" s="146"/>
      <c r="AK1037" s="146"/>
      <c r="AL1037" s="146"/>
      <c r="AM1037" s="146"/>
      <c r="AN1037" s="146"/>
      <c r="AO1037" s="146"/>
      <c r="AP1037" s="146"/>
      <c r="AQ1037" s="146"/>
      <c r="AR1037" s="146"/>
    </row>
  </sheetData>
  <mergeCells count="26">
    <mergeCell ref="B201:B202"/>
    <mergeCell ref="B204:B206"/>
    <mergeCell ref="B207:B208"/>
    <mergeCell ref="B212:B213"/>
    <mergeCell ref="B169:B171"/>
    <mergeCell ref="B172:B173"/>
    <mergeCell ref="B178:B179"/>
    <mergeCell ref="B180:B185"/>
    <mergeCell ref="B186:B189"/>
    <mergeCell ref="B191:B192"/>
    <mergeCell ref="B194:B196"/>
    <mergeCell ref="B158:B159"/>
    <mergeCell ref="B163:B164"/>
    <mergeCell ref="B165:B166"/>
    <mergeCell ref="B167:B168"/>
    <mergeCell ref="B199:B200"/>
    <mergeCell ref="B139:B140"/>
    <mergeCell ref="B141:B142"/>
    <mergeCell ref="B144:B145"/>
    <mergeCell ref="B153:B154"/>
    <mergeCell ref="B155:B156"/>
    <mergeCell ref="B118:B120"/>
    <mergeCell ref="B122:B127"/>
    <mergeCell ref="B128:B130"/>
    <mergeCell ref="B132:B135"/>
    <mergeCell ref="B136:B1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Raw</vt:lpstr>
      <vt:lpstr>Processed</vt:lpstr>
      <vt:lpstr>Processed - Stability</vt:lpstr>
      <vt:lpstr>Interval Definitions</vt:lpstr>
      <vt:lpstr>Sense checking</vt:lpstr>
      <vt:lpstr>2-way r</vt:lpstr>
      <vt:lpstr>2-way k</vt:lpstr>
      <vt:lpstr>3-way</vt:lpstr>
      <vt:lpstr>4-way</vt:lpstr>
      <vt:lpstr>4-way Chapter 2</vt:lpstr>
      <vt:lpstr>IsD r</vt:lpstr>
      <vt:lpstr>IsD k</vt:lpstr>
      <vt:lpstr>AA r</vt:lpstr>
      <vt:lpstr>AA k</vt:lpstr>
      <vt:lpstr>CC r</vt:lpstr>
      <vt:lpstr>CC k</vt:lpstr>
      <vt:lpstr>BB r</vt:lpstr>
      <vt:lpstr>BB k</vt:lpstr>
      <vt:lpstr>Description of 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Timothy Esler</cp:lastModifiedBy>
  <dcterms:modified xsi:type="dcterms:W3CDTF">2020-03-23T01:00:53Z</dcterms:modified>
</cp:coreProperties>
</file>